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/>
  <mc:AlternateContent xmlns:mc="http://schemas.openxmlformats.org/markup-compatibility/2006">
    <mc:Choice Requires="x15">
      <x15ac:absPath xmlns:x15ac="http://schemas.microsoft.com/office/spreadsheetml/2010/11/ac" url="https://csulb-my.sharepoint.com/personal/tess_monzon_csulb_edu/Documents/Desktop/New folder/"/>
    </mc:Choice>
  </mc:AlternateContent>
  <xr:revisionPtr revIDLastSave="29" documentId="8_{F79FAB51-E040-422A-B7EE-3E717452B9E3}" xr6:coauthVersionLast="47" xr6:coauthVersionMax="47" xr10:uidLastSave="{5E5EE322-FA23-4098-AD92-1B63DC8B3818}"/>
  <bookViews>
    <workbookView xWindow="-108" yWindow="-108" windowWidth="23256" windowHeight="12576" tabRatio="821" firstSheet="2" activeTab="2" xr2:uid="{00000000-000D-0000-FFFF-FFFF00000000}"/>
  </bookViews>
  <sheets>
    <sheet name="Interface" sheetId="1" state="hidden" r:id="rId1"/>
    <sheet name="DataSetting" sheetId="2" state="hidden" r:id="rId2"/>
    <sheet name="Summary" sheetId="3" r:id="rId3"/>
    <sheet name="OSR_Summary_18VAVWG" sheetId="4" state="hidden" r:id="rId4"/>
    <sheet name="OSR_Current ...69b7dd8c_1IEQKFK" sheetId="5" state="hidden" r:id="rId5"/>
    <sheet name="Div 1" sheetId="6" r:id="rId6"/>
    <sheet name="OSR_Div 1_7H47HR" sheetId="7" state="hidden" r:id="rId7"/>
    <sheet name="OSR_Div 3 (2)...4cb81c06_PBSMLS" sheetId="8" state="hidden" r:id="rId8"/>
    <sheet name="OSR_Div 2_1PQ800A" sheetId="10" state="hidden" r:id="rId9"/>
    <sheet name="OSR_Div 1 (2)...789fe994_2NV3KA" sheetId="11" state="hidden" r:id="rId10"/>
    <sheet name="OSR_Div 3_18723PH" sheetId="13" state="hidden" r:id="rId11"/>
    <sheet name="OSR_300 (2)_7...54cb56fc_UFX0O2" sheetId="14" state="hidden" r:id="rId12"/>
    <sheet name="OSR_300_IYZXI6" sheetId="16" state="hidden" r:id="rId13"/>
    <sheet name="OSR_310 (2)_5...3d931dee_QNK8R2" sheetId="17" state="hidden" r:id="rId14"/>
    <sheet name="OSR_300 &amp; 317_1C00ID4" sheetId="19" state="hidden" r:id="rId15"/>
    <sheet name="OSR_300 (2)_...6aa5a22d_14M6XO4" sheetId="20" state="hidden" r:id="rId16"/>
    <sheet name="OSR_310_1CMTOSB" sheetId="22" state="hidden" r:id="rId17"/>
    <sheet name="OSR_300 (2)_e...5d0da5bf_6BPGAO" sheetId="23" state="hidden" r:id="rId18"/>
    <sheet name="OSR_310 (2)_...6e684f08_1FLCNJG" sheetId="24" state="hidden" r:id="rId19"/>
    <sheet name="OSR_308_UAWDAG" sheetId="26" state="hidden" r:id="rId20"/>
    <sheet name="OSR_330 (2)_...8a14c83e_1NSH7XI" sheetId="27" state="hidden" r:id="rId21"/>
    <sheet name="OSR_331_10VKQAJ" sheetId="29" state="hidden" r:id="rId22"/>
    <sheet name="OSR_308 (2)_...47685838_1YQW4QY" sheetId="30" state="hidden" r:id="rId23"/>
    <sheet name="OSR_332_6NDVBW" sheetId="32" state="hidden" r:id="rId24"/>
    <sheet name="OSR_331 (2)_...7280af70_1P5SPLT" sheetId="33" state="hidden" r:id="rId25"/>
    <sheet name="OSR_333_69UF5U" sheetId="35" state="hidden" r:id="rId26"/>
    <sheet name="OSR_Div 4_1740TMT" sheetId="37" state="hidden" r:id="rId27"/>
    <sheet name="OSR_310 (2)_...8cac1423_1JTU33X" sheetId="38" state="hidden" r:id="rId28"/>
    <sheet name="OSR_310 &amp; 491_1NGRCS9" sheetId="40" state="hidden" r:id="rId29"/>
    <sheet name="OSR_491 (2)_...853a34aa_1UNC34K" sheetId="41" state="hidden" r:id="rId30"/>
    <sheet name="OSR_491_9Z9JH5" sheetId="43" state="hidden" r:id="rId31"/>
    <sheet name="OSR_Div 4 (2...2533da42_174R6QX" sheetId="44" state="hidden" r:id="rId32"/>
    <sheet name="OSR_492_943FP1" sheetId="46" state="hidden" r:id="rId33"/>
    <sheet name="OSR_Div 4 (2)...1a9a4454_CQFRNE" sheetId="47" state="hidden" r:id="rId34"/>
    <sheet name="OSR_Div 5_16NAZO2" sheetId="49" state="hidden" r:id="rId35"/>
    <sheet name="OSR_492 (2)_...cd97c6a6_13HYXEV" sheetId="50" state="hidden" r:id="rId36"/>
    <sheet name="OSR_Div 6_P37YY7" sheetId="52" state="hidden" r:id="rId37"/>
    <sheet name="OSR_Div 5 (2)...32d16c57_IVJ1QO" sheetId="53" state="hidden" r:id="rId38"/>
    <sheet name="100" sheetId="54" r:id="rId39"/>
    <sheet name="Div 2" sheetId="9" r:id="rId40"/>
    <sheet name="200" sheetId="55" r:id="rId41"/>
    <sheet name="201" sheetId="56" r:id="rId42"/>
    <sheet name="202" sheetId="57" r:id="rId43"/>
    <sheet name="203" sheetId="58" r:id="rId44"/>
    <sheet name="204" sheetId="59" r:id="rId45"/>
    <sheet name="205" sheetId="60" r:id="rId46"/>
    <sheet name="206" sheetId="61" r:id="rId47"/>
    <sheet name="Div 3" sheetId="12" r:id="rId48"/>
    <sheet name="300" sheetId="15" r:id="rId49"/>
    <sheet name="300 &amp; 317" sheetId="18" r:id="rId50"/>
    <sheet name="301" sheetId="62" r:id="rId51"/>
    <sheet name="308" sheetId="25" r:id="rId52"/>
    <sheet name="311" sheetId="65" r:id="rId53"/>
    <sheet name="324" sheetId="72" r:id="rId54"/>
    <sheet name="333" sheetId="34" r:id="rId55"/>
    <sheet name="307" sheetId="63" r:id="rId56"/>
    <sheet name="331" sheetId="28" r:id="rId57"/>
    <sheet name="332" sheetId="31" r:id="rId58"/>
    <sheet name="315" sheetId="67" r:id="rId59"/>
    <sheet name="326" sheetId="74" r:id="rId60"/>
    <sheet name="316" sheetId="68" r:id="rId61"/>
    <sheet name="Div 6" sheetId="51" r:id="rId62"/>
    <sheet name="317" sheetId="69" r:id="rId63"/>
    <sheet name="310" sheetId="21" r:id="rId64"/>
    <sheet name="309" sheetId="64" r:id="rId65"/>
    <sheet name="321" sheetId="71" r:id="rId66"/>
    <sheet name="325" sheetId="73" r:id="rId67"/>
    <sheet name="327" sheetId="75" r:id="rId68"/>
    <sheet name="Div 4" sheetId="36" r:id="rId69"/>
    <sheet name="310 &amp; 491" sheetId="39" r:id="rId70"/>
    <sheet name="491" sheetId="42" r:id="rId71"/>
    <sheet name="405" sheetId="76" r:id="rId72"/>
    <sheet name="406" sheetId="77" r:id="rId73"/>
    <sheet name="411" sheetId="78" r:id="rId74"/>
    <sheet name="412" sheetId="79" r:id="rId75"/>
    <sheet name="413" sheetId="80" r:id="rId76"/>
    <sheet name="414" sheetId="81" r:id="rId77"/>
    <sheet name="415" sheetId="82" r:id="rId78"/>
    <sheet name="418" sheetId="83" r:id="rId79"/>
    <sheet name="423" sheetId="84" r:id="rId80"/>
    <sheet name="424" sheetId="85" r:id="rId81"/>
    <sheet name="425" sheetId="86" r:id="rId82"/>
    <sheet name="492" sheetId="45" r:id="rId83"/>
    <sheet name="430" sheetId="87" r:id="rId84"/>
    <sheet name="433" sheetId="88" r:id="rId85"/>
    <sheet name="435" sheetId="89" r:id="rId86"/>
    <sheet name="444" sheetId="90" r:id="rId87"/>
    <sheet name="450" sheetId="91" r:id="rId88"/>
    <sheet name="Div 5" sheetId="48" r:id="rId89"/>
    <sheet name="501" sheetId="92" r:id="rId90"/>
    <sheet name="Dept" sheetId="93" state="hidden" r:id="rId91"/>
    <sheet name="OSR_Dept_Y0WUKY" sheetId="94" state="hidden" r:id="rId92"/>
    <sheet name="OSR_Summary (...56e5d78f_5JEYZH" sheetId="95" state="hidden" r:id="rId93"/>
  </sheets>
  <definedNames>
    <definedName name="OSRRefD13x_0" localSheetId="48">'300'!$D$13:$D$19</definedName>
    <definedName name="OSRRefD13x_0" localSheetId="49">'300 &amp; 317'!$D$13:$D$19</definedName>
    <definedName name="OSRRefD13x_0" localSheetId="55">'307'!$D$13:$D$16</definedName>
    <definedName name="OSRRefD13x_0" localSheetId="51">'308'!$D$13:$D$17</definedName>
    <definedName name="OSRRefD13x_0" localSheetId="64">'309'!$D$13:$D$16</definedName>
    <definedName name="OSRRefD13x_0" localSheetId="63">'310'!$D$13:$D$18</definedName>
    <definedName name="OSRRefD13x_0" localSheetId="69">'310 &amp; 491'!$D$13:$D$18</definedName>
    <definedName name="OSRRefD13x_0" localSheetId="52">'311'!$D$13:$D$17</definedName>
    <definedName name="OSRRefD13x_0" localSheetId="58">'315'!$D$13:$D$17</definedName>
    <definedName name="OSRRefD13x_0" localSheetId="60">'316'!$D$13:$D$17</definedName>
    <definedName name="OSRRefD13x_0" localSheetId="62">'317'!$D$13:$D$17</definedName>
    <definedName name="OSRRefD13x_0" localSheetId="65">'321'!$D$13:$D$14</definedName>
    <definedName name="OSRRefD13x_0" localSheetId="53">'324'!$D$13:$D$14</definedName>
    <definedName name="OSRRefD13x_0" localSheetId="66">'325'!$D$13:$D$14</definedName>
    <definedName name="OSRRefD13x_0" localSheetId="59">'326'!$D$13:$D$16</definedName>
    <definedName name="OSRRefD13x_0" localSheetId="67">'327'!$D$13:$D$15</definedName>
    <definedName name="OSRRefD13x_0" localSheetId="56">'331'!$D$13:$D$17</definedName>
    <definedName name="OSRRefD13x_0" localSheetId="57">'332'!$D$13:$D$17</definedName>
    <definedName name="OSRRefD13x_0" localSheetId="54">'333'!$D$13:$D$17</definedName>
    <definedName name="OSRRefD13x_0" localSheetId="71">'405'!$D$13:$D$16</definedName>
    <definedName name="OSRRefD13x_0" localSheetId="77">'415'!$D$13:$D$16</definedName>
    <definedName name="OSRRefD13x_0" localSheetId="78">'418'!$D$13:$D$14</definedName>
    <definedName name="OSRRefD13x_0" localSheetId="81">'425'!$D$13</definedName>
    <definedName name="OSRRefD13x_0" localSheetId="84">'433'!$D$13:$D$16</definedName>
    <definedName name="OSRRefD13x_0" localSheetId="85">'435'!$D$13:$D$14</definedName>
    <definedName name="OSRRefD13x_0" localSheetId="86">'444'!$D$13:$D$16</definedName>
    <definedName name="OSRRefD13x_0" localSheetId="87">'450'!$D$13:$D$16</definedName>
    <definedName name="OSRRefD13x_0" localSheetId="70">'491'!$D$13:$D$17</definedName>
    <definedName name="OSRRefD13x_0" localSheetId="82">'492'!$D$13:$D$18</definedName>
    <definedName name="OSRRefD13x_0" localSheetId="89">'501'!$D$13</definedName>
    <definedName name="OSRRefD13x_0" localSheetId="47">'Div 3'!$D$13:$D$23</definedName>
    <definedName name="OSRRefD13x_0" localSheetId="68">'Div 4'!$D$13:$D$20</definedName>
    <definedName name="OSRRefD13x_0" localSheetId="88">'Div 5'!$D$13</definedName>
    <definedName name="OSRRefD13x_0" localSheetId="61">'Div 6'!$D$13:$D$17</definedName>
    <definedName name="OSRRefD13x_0" localSheetId="2">Summary!$D$13:$D$25</definedName>
    <definedName name="OSRRefD16x_0" localSheetId="48">'300'!$D$22:$D$48</definedName>
    <definedName name="OSRRefD16x_0" localSheetId="49">'300 &amp; 317'!$D$22:$D$54</definedName>
    <definedName name="OSRRefD16x_0" localSheetId="50">'301'!$D$15</definedName>
    <definedName name="OSRRefD16x_0" localSheetId="55">'307'!$D$19:$D$28</definedName>
    <definedName name="OSRRefD16x_0" localSheetId="51">'308'!$D$20:$D$29</definedName>
    <definedName name="OSRRefD16x_0" localSheetId="64">'309'!$D$19:$D$20</definedName>
    <definedName name="OSRRefD16x_0" localSheetId="63">'310'!$D$21:$D$23</definedName>
    <definedName name="OSRRefD16x_0" localSheetId="69">'310 &amp; 491'!$D$21:$D$23</definedName>
    <definedName name="OSRRefD16x_0" localSheetId="52">'311'!$D$20:$D$29</definedName>
    <definedName name="OSRRefD16x_0" localSheetId="58">'315'!$D$20:$D$38</definedName>
    <definedName name="OSRRefD16x_0" localSheetId="60">'316'!$D$20:$D$21</definedName>
    <definedName name="OSRRefD16x_0" localSheetId="62">'317'!$D$20:$D$29</definedName>
    <definedName name="OSRRefD16x_0" localSheetId="65">'321'!$D$17:$D$18</definedName>
    <definedName name="OSRRefD16x_0" localSheetId="53">'324'!$D$17</definedName>
    <definedName name="OSRRefD16x_0" localSheetId="66">'325'!$D$17:$D$19</definedName>
    <definedName name="OSRRefD16x_0" localSheetId="59">'326'!$D$19:$D$22</definedName>
    <definedName name="OSRRefD16x_0" localSheetId="67">'327'!$D$18:$D$20</definedName>
    <definedName name="OSRRefD16x_0" localSheetId="56">'331'!$D$20:$D$38</definedName>
    <definedName name="OSRRefD16x_0" localSheetId="57">'332'!$D$20:$D$21</definedName>
    <definedName name="OSRRefD16x_0" localSheetId="54">'333'!$D$20:$D$40</definedName>
    <definedName name="OSRRefD16x_0" localSheetId="71">'405'!$D$19:$D$21</definedName>
    <definedName name="OSRRefD16x_0" localSheetId="77">'415'!$D$19:$D$21</definedName>
    <definedName name="OSRRefD16x_0" localSheetId="78">'418'!$D$17:$D$18</definedName>
    <definedName name="OSRRefD16x_0" localSheetId="81">'425'!$D$16</definedName>
    <definedName name="OSRRefD16x_0" localSheetId="84">'433'!$D$19:$D$21</definedName>
    <definedName name="OSRRefD16x_0" localSheetId="86">'444'!$D$19:$D$21</definedName>
    <definedName name="OSRRefD16x_0" localSheetId="87">'450'!$D$19:$D$21</definedName>
    <definedName name="OSRRefD16x_0" localSheetId="70">'491'!$D$20:$D$22</definedName>
    <definedName name="OSRRefD16x_0" localSheetId="82">'492'!$D$21:$D$23</definedName>
    <definedName name="OSRRefD16x_0" localSheetId="47">'Div 3'!$D$26:$D$54</definedName>
    <definedName name="OSRRefD16x_0" localSheetId="68">'Div 4'!$D$23:$D$25</definedName>
    <definedName name="OSRRefD16x_0" localSheetId="61">'Div 6'!$D$20:$D$29</definedName>
    <definedName name="OSRRefD16x_0" localSheetId="2">Summary!$D$28:$D$62</definedName>
    <definedName name="OSRRefD22_0x_0" localSheetId="40">'200'!$D$20</definedName>
    <definedName name="OSRRefD22_0x_0" localSheetId="41">'201'!$D$20:$D$28</definedName>
    <definedName name="OSRRefD22_0x_0" localSheetId="42">'202'!$D$20:$D$28</definedName>
    <definedName name="OSRRefD22_0x_0" localSheetId="43">'203'!$D$20:$D$29</definedName>
    <definedName name="OSRRefD22_0x_0" localSheetId="44">'204'!$D$20:$D$28</definedName>
    <definedName name="OSRRefD22_0x_0" localSheetId="45">'205'!$D$20:$D$28</definedName>
    <definedName name="OSRRefD22_0x_0" localSheetId="46">'206'!$D$20:$D$28</definedName>
    <definedName name="OSRRefD22_0x_0" localSheetId="48">'300'!$D$54:$D$63</definedName>
    <definedName name="OSRRefD22_0x_0" localSheetId="49">'300 &amp; 317'!$D$60:$D$69</definedName>
    <definedName name="OSRRefD22_0x_0" localSheetId="50">'301'!$D$21:$D$30</definedName>
    <definedName name="OSRRefD22_0x_0" localSheetId="55">'307'!$D$34:$D$41</definedName>
    <definedName name="OSRRefD22_0x_0" localSheetId="51">'308'!$D$35:$D$44</definedName>
    <definedName name="OSRRefD22_0x_0" localSheetId="64">'309'!$D$26:$D$27</definedName>
    <definedName name="OSRRefD22_0x_0" localSheetId="63">'310'!$D$29:$D$38</definedName>
    <definedName name="OSRRefD22_0x_0" localSheetId="69">'310 &amp; 491'!$D$29:$D$38</definedName>
    <definedName name="OSRRefD22_0x_0" localSheetId="52">'311'!$D$35:$D$44</definedName>
    <definedName name="OSRRefD22_0x_0" localSheetId="58">'315'!$D$44:$D$52</definedName>
    <definedName name="OSRRefD22_0x_0" localSheetId="60">'316'!$D$27:$D$35</definedName>
    <definedName name="OSRRefD22_0x_0" localSheetId="62">'317'!$D$35:$D$44</definedName>
    <definedName name="OSRRefD22_0x_0" localSheetId="65">'321'!$D$24:$D$33</definedName>
    <definedName name="OSRRefD22_0x_0" localSheetId="66">'325'!$D$25:$D$33</definedName>
    <definedName name="OSRRefD22_0x_0" localSheetId="59">'326'!$D$28:$D$36</definedName>
    <definedName name="OSRRefD22_0x_0" localSheetId="67">'327'!$D$26</definedName>
    <definedName name="OSRRefD22_0x_0" localSheetId="56">'331'!$D$44:$D$52</definedName>
    <definedName name="OSRRefD22_0x_0" localSheetId="57">'332'!$D$27:$D$35</definedName>
    <definedName name="OSRRefD22_0x_0" localSheetId="54">'333'!$D$46:$D$54</definedName>
    <definedName name="OSRRefD22_0x_0" localSheetId="71">'405'!$D$27:$D$35</definedName>
    <definedName name="OSRRefD22_0x_0" localSheetId="72">'406'!$D$20</definedName>
    <definedName name="OSRRefD22_0x_0" localSheetId="73">'411'!$D$20:$D$28</definedName>
    <definedName name="OSRRefD22_0x_0" localSheetId="74">'412'!$D$20</definedName>
    <definedName name="OSRRefD22_0x_0" localSheetId="75">'413'!$D$20</definedName>
    <definedName name="OSRRefD22_0x_0" localSheetId="76">'414'!$D$20</definedName>
    <definedName name="OSRRefD22_0x_0" localSheetId="77">'415'!$D$27:$D$36</definedName>
    <definedName name="OSRRefD22_0x_0" localSheetId="78">'418'!$D$24:$D$32</definedName>
    <definedName name="OSRRefD22_0x_0" localSheetId="79">'423'!$D$20:$D$27</definedName>
    <definedName name="OSRRefD22_0x_0" localSheetId="80">'424'!$D$20</definedName>
    <definedName name="OSRRefD22_0x_0" localSheetId="81">'425'!$D$22</definedName>
    <definedName name="OSRRefD22_0x_0" localSheetId="83">'430'!$D$20:$D$28</definedName>
    <definedName name="OSRRefD22_0x_0" localSheetId="84">'433'!$D$27:$D$36</definedName>
    <definedName name="OSRRefD22_0x_0" localSheetId="85">'435'!$D$22</definedName>
    <definedName name="OSRRefD22_0x_0" localSheetId="86">'444'!$D$27:$D$36</definedName>
    <definedName name="OSRRefD22_0x_0" localSheetId="87">'450'!$D$27:$D$36</definedName>
    <definedName name="OSRRefD22_0x_0" localSheetId="70">'491'!$D$28:$D$37</definedName>
    <definedName name="OSRRefD22_0x_0" localSheetId="82">'492'!$D$29:$D$38</definedName>
    <definedName name="OSRRefD22_0x_0" localSheetId="89">'501'!$D$21:$D$30</definedName>
    <definedName name="OSRRefD22_0x_0" localSheetId="39">'Div 2'!$D$20:$D$30</definedName>
    <definedName name="OSRRefD22_0x_0" localSheetId="47">'Div 3'!$D$60:$D$69</definedName>
    <definedName name="OSRRefD22_0x_0" localSheetId="68">'Div 4'!$D$31:$D$40</definedName>
    <definedName name="OSRRefD22_0x_0" localSheetId="88">'Div 5'!$D$21:$D$30</definedName>
    <definedName name="OSRRefD22_0x_0" localSheetId="61">'Div 6'!$D$35:$D$44</definedName>
    <definedName name="OSRRefD22_0x_0" localSheetId="2">Summary!$D$68:$D$77</definedName>
    <definedName name="OSRRefD22_10x_0" localSheetId="41">'201'!$D$59:$D$60</definedName>
    <definedName name="OSRRefD22_10x_0" localSheetId="42">'202'!$D$60</definedName>
    <definedName name="OSRRefD22_10x_0" localSheetId="43">'203'!$D$61:$D$62</definedName>
    <definedName name="OSRRefD22_10x_0" localSheetId="44">'204'!$D$63</definedName>
    <definedName name="OSRRefD22_10x_0" localSheetId="48">'300'!$D$94:$D$95</definedName>
    <definedName name="OSRRefD22_10x_0" localSheetId="49">'300 &amp; 317'!$D$100:$D$101</definedName>
    <definedName name="OSRRefD22_10x_0" localSheetId="50">'301'!$D$61</definedName>
    <definedName name="OSRRefD22_10x_0" localSheetId="55">'307'!$D$72:$D$73</definedName>
    <definedName name="OSRRefD22_10x_0" localSheetId="51">'308'!$D$76:$D$77</definedName>
    <definedName name="OSRRefD22_10x_0" localSheetId="64">'309'!$D$50:$D$51</definedName>
    <definedName name="OSRRefD22_10x_0" localSheetId="63">'310'!$D$68</definedName>
    <definedName name="OSRRefD22_10x_0" localSheetId="69">'310 &amp; 491'!$D$69</definedName>
    <definedName name="OSRRefD22_10x_0" localSheetId="52">'311'!$D$76:$D$77</definedName>
    <definedName name="OSRRefD22_10x_0" localSheetId="58">'315'!$D$82</definedName>
    <definedName name="OSRRefD22_10x_0" localSheetId="60">'316'!$D$67:$D$70</definedName>
    <definedName name="OSRRefD22_10x_0" localSheetId="62">'317'!$D$74</definedName>
    <definedName name="OSRRefD22_10x_0" localSheetId="65">'321'!$D$65:$D$68</definedName>
    <definedName name="OSRRefD22_10x_0" localSheetId="66">'325'!$D$63</definedName>
    <definedName name="OSRRefD22_10x_0" localSheetId="59">'326'!$D$66</definedName>
    <definedName name="OSRRefD22_10x_0" localSheetId="56">'331'!$D$83</definedName>
    <definedName name="OSRRefD22_10x_0" localSheetId="57">'332'!$D$67:$D$70</definedName>
    <definedName name="OSRRefD22_10x_0" localSheetId="54">'333'!$D$86</definedName>
    <definedName name="OSRRefD22_10x_0" localSheetId="71">'405'!$D$66:$D$69</definedName>
    <definedName name="OSRRefD22_10x_0" localSheetId="73">'411'!$D$63</definedName>
    <definedName name="OSRRefD22_10x_0" localSheetId="77">'415'!$D$66</definedName>
    <definedName name="OSRRefD22_10x_0" localSheetId="78">'418'!$D$67</definedName>
    <definedName name="OSRRefD22_10x_0" localSheetId="84">'433'!$D$65</definedName>
    <definedName name="OSRRefD22_10x_0" localSheetId="86">'444'!$D$65</definedName>
    <definedName name="OSRRefD22_10x_0" localSheetId="87">'450'!$D$65</definedName>
    <definedName name="OSRRefD22_10x_0" localSheetId="70">'491'!$D$68</definedName>
    <definedName name="OSRRefD22_10x_0" localSheetId="82">'492'!$D$67</definedName>
    <definedName name="OSRRefD22_10x_0" localSheetId="89">'501'!$D$62</definedName>
    <definedName name="OSRRefD22_10x_0" localSheetId="39">'Div 2'!$D$60</definedName>
    <definedName name="OSRRefD22_10x_0" localSheetId="47">'Div 3'!$D$100:$D$101</definedName>
    <definedName name="OSRRefD22_10x_0" localSheetId="68">'Div 4'!$D$71</definedName>
    <definedName name="OSRRefD22_10x_0" localSheetId="88">'Div 5'!$D$62</definedName>
    <definedName name="OSRRefD22_10x_0" localSheetId="61">'Div 6'!$D$74</definedName>
    <definedName name="OSRRefD22_10x_0" localSheetId="2">Summary!$D$108:$D$109</definedName>
    <definedName name="OSRRefD22_11x_0" localSheetId="41">'201'!$D$62</definedName>
    <definedName name="OSRRefD22_11x_0" localSheetId="42">'202'!$D$62</definedName>
    <definedName name="OSRRefD22_11x_0" localSheetId="43">'203'!$D$64:$D$67</definedName>
    <definedName name="OSRRefD22_11x_0" localSheetId="48">'300'!$D$97:$D$98</definedName>
    <definedName name="OSRRefD22_11x_0" localSheetId="49">'300 &amp; 317'!$D$103:$D$104</definedName>
    <definedName name="OSRRefD22_11x_0" localSheetId="50">'301'!$D$63</definedName>
    <definedName name="OSRRefD22_11x_0" localSheetId="55">'307'!$D$75</definedName>
    <definedName name="OSRRefD22_11x_0" localSheetId="51">'308'!$D$79:$D$80</definedName>
    <definedName name="OSRRefD22_11x_0" localSheetId="64">'309'!$D$53</definedName>
    <definedName name="OSRRefD22_11x_0" localSheetId="63">'310'!$D$70:$D$72</definedName>
    <definedName name="OSRRefD22_11x_0" localSheetId="69">'310 &amp; 491'!$D$71</definedName>
    <definedName name="OSRRefD22_11x_0" localSheetId="52">'311'!$D$79:$D$80</definedName>
    <definedName name="OSRRefD22_11x_0" localSheetId="58">'315'!$D$84</definedName>
    <definedName name="OSRRefD22_11x_0" localSheetId="60">'316'!$D$72</definedName>
    <definedName name="OSRRefD22_11x_0" localSheetId="65">'321'!$D$70</definedName>
    <definedName name="OSRRefD22_11x_0" localSheetId="66">'325'!$D$65:$D$67</definedName>
    <definedName name="OSRRefD22_11x_0" localSheetId="59">'326'!$D$68:$D$69</definedName>
    <definedName name="OSRRefD22_11x_0" localSheetId="56">'331'!$D$85</definedName>
    <definedName name="OSRRefD22_11x_0" localSheetId="57">'332'!$D$72</definedName>
    <definedName name="OSRRefD22_11x_0" localSheetId="54">'333'!$D$88</definedName>
    <definedName name="OSRRefD22_11x_0" localSheetId="71">'405'!$D$71</definedName>
    <definedName name="OSRRefD22_11x_0" localSheetId="73">'411'!$D$65:$D$66</definedName>
    <definedName name="OSRRefD22_11x_0" localSheetId="77">'415'!$D$68:$D$69</definedName>
    <definedName name="OSRRefD22_11x_0" localSheetId="78">'418'!$D$69:$D$76</definedName>
    <definedName name="OSRRefD22_11x_0" localSheetId="84">'433'!$D$67:$D$69</definedName>
    <definedName name="OSRRefD22_11x_0" localSheetId="86">'444'!$D$67:$D$68</definedName>
    <definedName name="OSRRefD22_11x_0" localSheetId="87">'450'!$D$67:$D$69</definedName>
    <definedName name="OSRRefD22_11x_0" localSheetId="70">'491'!$D$70</definedName>
    <definedName name="OSRRefD22_11x_0" localSheetId="82">'492'!$D$69</definedName>
    <definedName name="OSRRefD22_11x_0" localSheetId="89">'501'!$D$64:$D$66</definedName>
    <definedName name="OSRRefD22_11x_0" localSheetId="39">'Div 2'!$D$62</definedName>
    <definedName name="OSRRefD22_11x_0" localSheetId="47">'Div 3'!$D$103:$D$104</definedName>
    <definedName name="OSRRefD22_11x_0" localSheetId="68">'Div 4'!$D$73</definedName>
    <definedName name="OSRRefD22_11x_0" localSheetId="88">'Div 5'!$D$64:$D$66</definedName>
    <definedName name="OSRRefD22_11x_0" localSheetId="2">Summary!$D$111:$D$113</definedName>
    <definedName name="OSRRefD22_12x_0" localSheetId="41">'201'!$D$64:$D$65</definedName>
    <definedName name="OSRRefD22_12x_0" localSheetId="42">'202'!$D$64</definedName>
    <definedName name="OSRRefD22_12x_0" localSheetId="43">'203'!$D$69</definedName>
    <definedName name="OSRRefD22_12x_0" localSheetId="48">'300'!$D$100</definedName>
    <definedName name="OSRRefD22_12x_0" localSheetId="49">'300 &amp; 317'!$D$106</definedName>
    <definedName name="OSRRefD22_12x_0" localSheetId="50">'301'!$D$65</definedName>
    <definedName name="OSRRefD22_12x_0" localSheetId="55">'307'!$D$77:$D$80</definedName>
    <definedName name="OSRRefD22_12x_0" localSheetId="51">'308'!$D$82:$D$83</definedName>
    <definedName name="OSRRefD22_12x_0" localSheetId="64">'309'!$D$55</definedName>
    <definedName name="OSRRefD22_12x_0" localSheetId="63">'310'!$D$74</definedName>
    <definedName name="OSRRefD22_12x_0" localSheetId="69">'310 &amp; 491'!$D$73:$D$76</definedName>
    <definedName name="OSRRefD22_12x_0" localSheetId="52">'311'!$D$82:$D$83</definedName>
    <definedName name="OSRRefD22_12x_0" localSheetId="58">'315'!$D$86:$D$87</definedName>
    <definedName name="OSRRefD22_12x_0" localSheetId="65">'321'!$D$72</definedName>
    <definedName name="OSRRefD22_12x_0" localSheetId="66">'325'!$D$69:$D$71</definedName>
    <definedName name="OSRRefD22_12x_0" localSheetId="59">'326'!$D$71:$D$72</definedName>
    <definedName name="OSRRefD22_12x_0" localSheetId="56">'331'!$D$87</definedName>
    <definedName name="OSRRefD22_12x_0" localSheetId="54">'333'!$D$90</definedName>
    <definedName name="OSRRefD22_12x_0" localSheetId="71">'405'!$D$73:$D$81</definedName>
    <definedName name="OSRRefD22_12x_0" localSheetId="73">'411'!$D$68</definedName>
    <definedName name="OSRRefD22_12x_0" localSheetId="77">'415'!$D$71:$D$74</definedName>
    <definedName name="OSRRefD22_12x_0" localSheetId="78">'418'!$D$78:$D$79</definedName>
    <definedName name="OSRRefD22_12x_0" localSheetId="84">'433'!$D$71:$D$74</definedName>
    <definedName name="OSRRefD22_12x_0" localSheetId="86">'444'!$D$70:$D$73</definedName>
    <definedName name="OSRRefD22_12x_0" localSheetId="87">'450'!$D$71:$D$74</definedName>
    <definedName name="OSRRefD22_12x_0" localSheetId="70">'491'!$D$72:$D$75</definedName>
    <definedName name="OSRRefD22_12x_0" localSheetId="82">'492'!$D$71:$D$73</definedName>
    <definedName name="OSRRefD22_12x_0" localSheetId="89">'501'!$D$68</definedName>
    <definedName name="OSRRefD22_12x_0" localSheetId="39">'Div 2'!$D$64:$D$67</definedName>
    <definedName name="OSRRefD22_12x_0" localSheetId="47">'Div 3'!$D$106</definedName>
    <definedName name="OSRRefD22_12x_0" localSheetId="68">'Div 4'!$D$75</definedName>
    <definedName name="OSRRefD22_12x_0" localSheetId="88">'Div 5'!$D$68</definedName>
    <definedName name="OSRRefD22_12x_0" localSheetId="2">Summary!$D$115</definedName>
    <definedName name="OSRRefD22_13x_0" localSheetId="41">'201'!$D$67</definedName>
    <definedName name="OSRRefD22_13x_0" localSheetId="43">'203'!$D$71</definedName>
    <definedName name="OSRRefD22_13x_0" localSheetId="48">'300'!$D$102</definedName>
    <definedName name="OSRRefD22_13x_0" localSheetId="49">'300 &amp; 317'!$D$108</definedName>
    <definedName name="OSRRefD22_13x_0" localSheetId="50">'301'!$D$67</definedName>
    <definedName name="OSRRefD22_13x_0" localSheetId="55">'307'!$D$82</definedName>
    <definedName name="OSRRefD22_13x_0" localSheetId="51">'308'!$D$85</definedName>
    <definedName name="OSRRefD22_13x_0" localSheetId="63">'310'!$D$76:$D$78</definedName>
    <definedName name="OSRRefD22_13x_0" localSheetId="69">'310 &amp; 491'!$D$78:$D$79</definedName>
    <definedName name="OSRRefD22_13x_0" localSheetId="52">'311'!$D$85</definedName>
    <definedName name="OSRRefD22_13x_0" localSheetId="58">'315'!$D$89:$D$91</definedName>
    <definedName name="OSRRefD22_13x_0" localSheetId="66">'325'!$D$73:$D$78</definedName>
    <definedName name="OSRRefD22_13x_0" localSheetId="59">'326'!$D$74:$D$75</definedName>
    <definedName name="OSRRefD22_13x_0" localSheetId="56">'331'!$D$89</definedName>
    <definedName name="OSRRefD22_13x_0" localSheetId="54">'333'!$D$92</definedName>
    <definedName name="OSRRefD22_13x_0" localSheetId="71">'405'!$D$83</definedName>
    <definedName name="OSRRefD22_13x_0" localSheetId="73">'411'!$D$70</definedName>
    <definedName name="OSRRefD22_13x_0" localSheetId="77">'415'!$D$76</definedName>
    <definedName name="OSRRefD22_13x_0" localSheetId="78">'418'!$D$81</definedName>
    <definedName name="OSRRefD22_13x_0" localSheetId="84">'433'!$D$76:$D$83</definedName>
    <definedName name="OSRRefD22_13x_0" localSheetId="86">'444'!$D$75</definedName>
    <definedName name="OSRRefD22_13x_0" localSheetId="87">'450'!$D$76:$D$82</definedName>
    <definedName name="OSRRefD22_13x_0" localSheetId="70">'491'!$D$77</definedName>
    <definedName name="OSRRefD22_13x_0" localSheetId="82">'492'!$D$75:$D$78</definedName>
    <definedName name="OSRRefD22_13x_0" localSheetId="89">'501'!$D$70</definedName>
    <definedName name="OSRRefD22_13x_0" localSheetId="39">'Div 2'!$D$69:$D$72</definedName>
    <definedName name="OSRRefD22_13x_0" localSheetId="47">'Div 3'!$D$108</definedName>
    <definedName name="OSRRefD22_13x_0" localSheetId="68">'Div 4'!$D$77</definedName>
    <definedName name="OSRRefD22_13x_0" localSheetId="88">'Div 5'!$D$70</definedName>
    <definedName name="OSRRefD22_13x_0" localSheetId="2">Summary!$D$117</definedName>
    <definedName name="OSRRefD22_14x_0" localSheetId="41">'201'!$D$69</definedName>
    <definedName name="OSRRefD22_14x_0" localSheetId="43">'203'!$D$73</definedName>
    <definedName name="OSRRefD22_14x_0" localSheetId="48">'300'!$D$104</definedName>
    <definedName name="OSRRefD22_14x_0" localSheetId="49">'300 &amp; 317'!$D$110</definedName>
    <definedName name="OSRRefD22_14x_0" localSheetId="50">'301'!$D$69</definedName>
    <definedName name="OSRRefD22_14x_0" localSheetId="63">'310'!$D$80:$D$85</definedName>
    <definedName name="OSRRefD22_14x_0" localSheetId="69">'310 &amp; 491'!$D$81:$D$85</definedName>
    <definedName name="OSRRefD22_14x_0" localSheetId="58">'315'!$D$93:$D$94</definedName>
    <definedName name="OSRRefD22_14x_0" localSheetId="66">'325'!$D$80:$D$81</definedName>
    <definedName name="OSRRefD22_14x_0" localSheetId="59">'326'!$D$77:$D$79</definedName>
    <definedName name="OSRRefD22_14x_0" localSheetId="56">'331'!$D$91:$D$92</definedName>
    <definedName name="OSRRefD22_14x_0" localSheetId="54">'333'!$D$94:$D$95</definedName>
    <definedName name="OSRRefD22_14x_0" localSheetId="71">'405'!$D$85</definedName>
    <definedName name="OSRRefD22_14x_0" localSheetId="73">'411'!$D$72:$D$73</definedName>
    <definedName name="OSRRefD22_14x_0" localSheetId="77">'415'!$D$78:$D$85</definedName>
    <definedName name="OSRRefD22_14x_0" localSheetId="78">'418'!$D$83</definedName>
    <definedName name="OSRRefD22_14x_0" localSheetId="84">'433'!$D$85</definedName>
    <definedName name="OSRRefD22_14x_0" localSheetId="86">'444'!$D$77:$D$85</definedName>
    <definedName name="OSRRefD22_14x_0" localSheetId="87">'450'!$D$84</definedName>
    <definedName name="OSRRefD22_14x_0" localSheetId="70">'491'!$D$79:$D$83</definedName>
    <definedName name="OSRRefD22_14x_0" localSheetId="82">'492'!$D$80</definedName>
    <definedName name="OSRRefD22_14x_0" localSheetId="39">'Div 2'!$D$74:$D$75</definedName>
    <definedName name="OSRRefD22_14x_0" localSheetId="47">'Div 3'!$D$110</definedName>
    <definedName name="OSRRefD22_14x_0" localSheetId="68">'Div 4'!$D$79:$D$82</definedName>
    <definedName name="OSRRefD22_14x_0" localSheetId="2">Summary!$D$119</definedName>
    <definedName name="OSRRefD22_15x_0" localSheetId="41">'201'!$D$71</definedName>
    <definedName name="OSRRefD22_15x_0" localSheetId="48">'300'!$D$106</definedName>
    <definedName name="OSRRefD22_15x_0" localSheetId="49">'300 &amp; 317'!$D$112</definedName>
    <definedName name="OSRRefD22_15x_0" localSheetId="50">'301'!$D$71:$D$74</definedName>
    <definedName name="OSRRefD22_15x_0" localSheetId="63">'310'!$D$87:$D$88</definedName>
    <definedName name="OSRRefD22_15x_0" localSheetId="69">'310 &amp; 491'!$D$87</definedName>
    <definedName name="OSRRefD22_15x_0" localSheetId="58">'315'!$D$96:$D$99</definedName>
    <definedName name="OSRRefD22_15x_0" localSheetId="66">'325'!$D$83</definedName>
    <definedName name="OSRRefD22_15x_0" localSheetId="59">'326'!$D$81</definedName>
    <definedName name="OSRRefD22_15x_0" localSheetId="56">'331'!$D$94:$D$96</definedName>
    <definedName name="OSRRefD22_15x_0" localSheetId="54">'333'!$D$97:$D$99</definedName>
    <definedName name="OSRRefD22_15x_0" localSheetId="71">'405'!$D$87</definedName>
    <definedName name="OSRRefD22_15x_0" localSheetId="73">'411'!$D$75</definedName>
    <definedName name="OSRRefD22_15x_0" localSheetId="77">'415'!$D$87:$D$88</definedName>
    <definedName name="OSRRefD22_15x_0" localSheetId="78">'418'!$D$85</definedName>
    <definedName name="OSRRefD22_15x_0" localSheetId="84">'433'!$D$87</definedName>
    <definedName name="OSRRefD22_15x_0" localSheetId="86">'444'!$D$87</definedName>
    <definedName name="OSRRefD22_15x_0" localSheetId="87">'450'!$D$86</definedName>
    <definedName name="OSRRefD22_15x_0" localSheetId="70">'491'!$D$85</definedName>
    <definedName name="OSRRefD22_15x_0" localSheetId="82">'492'!$D$82:$D$90</definedName>
    <definedName name="OSRRefD22_15x_0" localSheetId="39">'Div 2'!$D$77:$D$78</definedName>
    <definedName name="OSRRefD22_15x_0" localSheetId="47">'Div 3'!$D$112</definedName>
    <definedName name="OSRRefD22_15x_0" localSheetId="68">'Div 4'!$D$84</definedName>
    <definedName name="OSRRefD22_15x_0" localSheetId="2">Summary!$D$121</definedName>
    <definedName name="OSRRefD22_16x_0" localSheetId="48">'300'!$D$108:$D$111</definedName>
    <definedName name="OSRRefD22_16x_0" localSheetId="49">'300 &amp; 317'!$D$114:$D$117</definedName>
    <definedName name="OSRRefD22_16x_0" localSheetId="50">'301'!$D$76:$D$77</definedName>
    <definedName name="OSRRefD22_16x_0" localSheetId="63">'310'!$D$90</definedName>
    <definedName name="OSRRefD22_16x_0" localSheetId="69">'310 &amp; 491'!$D$89:$D$98</definedName>
    <definedName name="OSRRefD22_16x_0" localSheetId="58">'315'!$D$101</definedName>
    <definedName name="OSRRefD22_16x_0" localSheetId="66">'325'!$D$85</definedName>
    <definedName name="OSRRefD22_16x_0" localSheetId="59">'326'!$D$83:$D$84</definedName>
    <definedName name="OSRRefD22_16x_0" localSheetId="56">'331'!$D$98:$D$99</definedName>
    <definedName name="OSRRefD22_16x_0" localSheetId="54">'333'!$D$101:$D$103</definedName>
    <definedName name="OSRRefD22_16x_0" localSheetId="71">'405'!$D$89</definedName>
    <definedName name="OSRRefD22_16x_0" localSheetId="77">'415'!$D$90</definedName>
    <definedName name="OSRRefD22_16x_0" localSheetId="86">'444'!$D$89</definedName>
    <definedName name="OSRRefD22_16x_0" localSheetId="87">'450'!$D$88</definedName>
    <definedName name="OSRRefD22_16x_0" localSheetId="70">'491'!$D$87:$D$96</definedName>
    <definedName name="OSRRefD22_16x_0" localSheetId="82">'492'!$D$92:$D$93</definedName>
    <definedName name="OSRRefD22_16x_0" localSheetId="39">'Div 2'!$D$80:$D$85</definedName>
    <definedName name="OSRRefD22_16x_0" localSheetId="47">'Div 3'!$D$114</definedName>
    <definedName name="OSRRefD22_16x_0" localSheetId="68">'Div 4'!$D$86:$D$90</definedName>
    <definedName name="OSRRefD22_16x_0" localSheetId="2">Summary!$D$123</definedName>
    <definedName name="OSRRefD22_17x_0" localSheetId="48">'300'!$D$113:$D$116</definedName>
    <definedName name="OSRRefD22_17x_0" localSheetId="49">'300 &amp; 317'!$D$119:$D$122</definedName>
    <definedName name="OSRRefD22_17x_0" localSheetId="50">'301'!$D$79</definedName>
    <definedName name="OSRRefD22_17x_0" localSheetId="63">'310'!$D$92</definedName>
    <definedName name="OSRRefD22_17x_0" localSheetId="69">'310 &amp; 491'!$D$100:$D$101</definedName>
    <definedName name="OSRRefD22_17x_0" localSheetId="58">'315'!$D$103</definedName>
    <definedName name="OSRRefD22_17x_0" localSheetId="59">'326'!$D$86</definedName>
    <definedName name="OSRRefD22_17x_0" localSheetId="56">'331'!$D$101:$D$102</definedName>
    <definedName name="OSRRefD22_17x_0" localSheetId="54">'333'!$D$105:$D$106</definedName>
    <definedName name="OSRRefD22_17x_0" localSheetId="77">'415'!$D$92</definedName>
    <definedName name="OSRRefD22_17x_0" localSheetId="70">'491'!$D$98:$D$99</definedName>
    <definedName name="OSRRefD22_17x_0" localSheetId="82">'492'!$D$95</definedName>
    <definedName name="OSRRefD22_17x_0" localSheetId="39">'Div 2'!$D$87:$D$88</definedName>
    <definedName name="OSRRefD22_17x_0" localSheetId="47">'Div 3'!$D$116:$D$119</definedName>
    <definedName name="OSRRefD22_17x_0" localSheetId="68">'Div 4'!$D$92:$D$93</definedName>
    <definedName name="OSRRefD22_17x_0" localSheetId="2">Summary!$D$125</definedName>
    <definedName name="OSRRefD22_18x_0" localSheetId="48">'300'!$D$118:$D$120</definedName>
    <definedName name="OSRRefD22_18x_0" localSheetId="49">'300 &amp; 317'!$D$124:$D$126</definedName>
    <definedName name="OSRRefD22_18x_0" localSheetId="50">'301'!$D$81:$D$86</definedName>
    <definedName name="OSRRefD22_18x_0" localSheetId="69">'310 &amp; 491'!$D$103</definedName>
    <definedName name="OSRRefD22_18x_0" localSheetId="58">'315'!$D$105</definedName>
    <definedName name="OSRRefD22_18x_0" localSheetId="56">'331'!$D$104:$D$108</definedName>
    <definedName name="OSRRefD22_18x_0" localSheetId="54">'333'!$D$108:$D$113</definedName>
    <definedName name="OSRRefD22_18x_0" localSheetId="70">'491'!$D$101</definedName>
    <definedName name="OSRRefD22_18x_0" localSheetId="82">'492'!$D$97:$D$98</definedName>
    <definedName name="OSRRefD22_18x_0" localSheetId="39">'Div 2'!$D$90</definedName>
    <definedName name="OSRRefD22_18x_0" localSheetId="47">'Div 3'!$D$121:$D$124</definedName>
    <definedName name="OSRRefD22_18x_0" localSheetId="68">'Div 4'!$D$95:$D$104</definedName>
    <definedName name="OSRRefD22_18x_0" localSheetId="2">Summary!$D$127:$D$130</definedName>
    <definedName name="OSRRefD22_19x_0" localSheetId="48">'300'!$D$122:$D$123</definedName>
    <definedName name="OSRRefD22_19x_0" localSheetId="49">'300 &amp; 317'!$D$128:$D$129</definedName>
    <definedName name="OSRRefD22_19x_0" localSheetId="50">'301'!$D$88</definedName>
    <definedName name="OSRRefD22_19x_0" localSheetId="69">'310 &amp; 491'!$D$105:$D$106</definedName>
    <definedName name="OSRRefD22_19x_0" localSheetId="56">'331'!$D$110</definedName>
    <definedName name="OSRRefD22_19x_0" localSheetId="54">'333'!$D$115</definedName>
    <definedName name="OSRRefD22_19x_0" localSheetId="70">'491'!$D$103:$D$104</definedName>
    <definedName name="OSRRefD22_19x_0" localSheetId="39">'Div 2'!$D$92:$D$93</definedName>
    <definedName name="OSRRefD22_19x_0" localSheetId="47">'Div 3'!$D$126:$D$129</definedName>
    <definedName name="OSRRefD22_19x_0" localSheetId="68">'Div 4'!$D$106:$D$107</definedName>
    <definedName name="OSRRefD22_19x_0" localSheetId="2">Summary!$D$132:$D$135</definedName>
    <definedName name="OSRRefD22_1x_0" localSheetId="40">'200'!$D$22</definedName>
    <definedName name="OSRRefD22_1x_0" localSheetId="41">'201'!$D$30:$D$39</definedName>
    <definedName name="OSRRefD22_1x_0" localSheetId="42">'202'!$D$30:$D$39</definedName>
    <definedName name="OSRRefD22_1x_0" localSheetId="43">'203'!$D$31:$D$40</definedName>
    <definedName name="OSRRefD22_1x_0" localSheetId="44">'204'!$D$30:$D$39</definedName>
    <definedName name="OSRRefD22_1x_0" localSheetId="45">'205'!$D$30:$D$39</definedName>
    <definedName name="OSRRefD22_1x_0" localSheetId="46">'206'!$D$30:$D$39</definedName>
    <definedName name="OSRRefD22_1x_0" localSheetId="48">'300'!$D$65:$D$74</definedName>
    <definedName name="OSRRefD22_1x_0" localSheetId="49">'300 &amp; 317'!$D$71:$D$80</definedName>
    <definedName name="OSRRefD22_1x_0" localSheetId="50">'301'!$D$32:$D$41</definedName>
    <definedName name="OSRRefD22_1x_0" localSheetId="55">'307'!$D$43:$D$52</definedName>
    <definedName name="OSRRefD22_1x_0" localSheetId="51">'308'!$D$46:$D$55</definedName>
    <definedName name="OSRRefD22_1x_0" localSheetId="64">'309'!$D$29:$D$30</definedName>
    <definedName name="OSRRefD22_1x_0" localSheetId="63">'310'!$D$40:$D$49</definedName>
    <definedName name="OSRRefD22_1x_0" localSheetId="69">'310 &amp; 491'!$D$40:$D$49</definedName>
    <definedName name="OSRRefD22_1x_0" localSheetId="52">'311'!$D$46:$D$55</definedName>
    <definedName name="OSRRefD22_1x_0" localSheetId="58">'315'!$D$54:$D$63</definedName>
    <definedName name="OSRRefD22_1x_0" localSheetId="60">'316'!$D$37:$D$46</definedName>
    <definedName name="OSRRefD22_1x_0" localSheetId="62">'317'!$D$46:$D$55</definedName>
    <definedName name="OSRRefD22_1x_0" localSheetId="65">'321'!$D$35:$D$44</definedName>
    <definedName name="OSRRefD22_1x_0" localSheetId="66">'325'!$D$35:$D$44</definedName>
    <definedName name="OSRRefD22_1x_0" localSheetId="59">'326'!$D$38:$D$47</definedName>
    <definedName name="OSRRefD22_1x_0" localSheetId="67">'327'!$D$28</definedName>
    <definedName name="OSRRefD22_1x_0" localSheetId="56">'331'!$D$54:$D$63</definedName>
    <definedName name="OSRRefD22_1x_0" localSheetId="57">'332'!$D$37:$D$46</definedName>
    <definedName name="OSRRefD22_1x_0" localSheetId="54">'333'!$D$56:$D$65</definedName>
    <definedName name="OSRRefD22_1x_0" localSheetId="71">'405'!$D$37:$D$46</definedName>
    <definedName name="OSRRefD22_1x_0" localSheetId="72">'406'!$D$22</definedName>
    <definedName name="OSRRefD22_1x_0" localSheetId="73">'411'!$D$30:$D$39</definedName>
    <definedName name="OSRRefD22_1x_0" localSheetId="74">'412'!$D$22</definedName>
    <definedName name="OSRRefD22_1x_0" localSheetId="75">'413'!$D$22</definedName>
    <definedName name="OSRRefD22_1x_0" localSheetId="76">'414'!$D$22</definedName>
    <definedName name="OSRRefD22_1x_0" localSheetId="77">'415'!$D$38:$D$47</definedName>
    <definedName name="OSRRefD22_1x_0" localSheetId="78">'418'!$D$34:$D$43</definedName>
    <definedName name="OSRRefD22_1x_0" localSheetId="79">'423'!$D$29:$D$38</definedName>
    <definedName name="OSRRefD22_1x_0" localSheetId="80">'424'!$D$22</definedName>
    <definedName name="OSRRefD22_1x_0" localSheetId="81">'425'!$D$24</definedName>
    <definedName name="OSRRefD22_1x_0" localSheetId="83">'430'!$D$30:$D$39</definedName>
    <definedName name="OSRRefD22_1x_0" localSheetId="84">'433'!$D$38:$D$47</definedName>
    <definedName name="OSRRefD22_1x_0" localSheetId="85">'435'!$D$24</definedName>
    <definedName name="OSRRefD22_1x_0" localSheetId="86">'444'!$D$38:$D$47</definedName>
    <definedName name="OSRRefD22_1x_0" localSheetId="87">'450'!$D$38:$D$47</definedName>
    <definedName name="OSRRefD22_1x_0" localSheetId="70">'491'!$D$39:$D$48</definedName>
    <definedName name="OSRRefD22_1x_0" localSheetId="82">'492'!$D$40:$D$49</definedName>
    <definedName name="OSRRefD22_1x_0" localSheetId="89">'501'!$D$32:$D$41</definedName>
    <definedName name="OSRRefD22_1x_0" localSheetId="39">'Div 2'!$D$32:$D$41</definedName>
    <definedName name="OSRRefD22_1x_0" localSheetId="47">'Div 3'!$D$71:$D$80</definedName>
    <definedName name="OSRRefD22_1x_0" localSheetId="68">'Div 4'!$D$42:$D$51</definedName>
    <definedName name="OSRRefD22_1x_0" localSheetId="88">'Div 5'!$D$32:$D$41</definedName>
    <definedName name="OSRRefD22_1x_0" localSheetId="61">'Div 6'!$D$46:$D$55</definedName>
    <definedName name="OSRRefD22_1x_0" localSheetId="2">Summary!$D$79:$D$88</definedName>
    <definedName name="OSRRefD22_20x_0" localSheetId="48">'300'!$D$125:$D$131</definedName>
    <definedName name="OSRRefD22_20x_0" localSheetId="49">'300 &amp; 317'!$D$131:$D$137</definedName>
    <definedName name="OSRRefD22_20x_0" localSheetId="50">'301'!$D$90</definedName>
    <definedName name="OSRRefD22_20x_0" localSheetId="69">'310 &amp; 491'!$D$108</definedName>
    <definedName name="OSRRefD22_20x_0" localSheetId="56">'331'!$D$112</definedName>
    <definedName name="OSRRefD22_20x_0" localSheetId="54">'333'!$D$117</definedName>
    <definedName name="OSRRefD22_20x_0" localSheetId="70">'491'!$D$106</definedName>
    <definedName name="OSRRefD22_20x_0" localSheetId="47">'Div 3'!$D$131:$D$132</definedName>
    <definedName name="OSRRefD22_20x_0" localSheetId="68">'Div 4'!$D$109</definedName>
    <definedName name="OSRRefD22_20x_0" localSheetId="2">Summary!$D$137:$D$141</definedName>
    <definedName name="OSRRefD22_21x_0" localSheetId="48">'300'!$D$133:$D$134</definedName>
    <definedName name="OSRRefD22_21x_0" localSheetId="49">'300 &amp; 317'!$D$139:$D$140</definedName>
    <definedName name="OSRRefD22_21x_0" localSheetId="50">'301'!$D$92:$D$93</definedName>
    <definedName name="OSRRefD22_21x_0" localSheetId="56">'331'!$D$114:$D$115</definedName>
    <definedName name="OSRRefD22_21x_0" localSheetId="54">'333'!$D$119:$D$120</definedName>
    <definedName name="OSRRefD22_21x_0" localSheetId="47">'Div 3'!$D$134:$D$140</definedName>
    <definedName name="OSRRefD22_21x_0" localSheetId="68">'Div 4'!$D$111:$D$112</definedName>
    <definedName name="OSRRefD22_21x_0" localSheetId="2">Summary!$D$143:$D$144</definedName>
    <definedName name="OSRRefD22_22x_0" localSheetId="48">'300'!$D$136</definedName>
    <definedName name="OSRRefD22_22x_0" localSheetId="49">'300 &amp; 317'!$D$142</definedName>
    <definedName name="OSRRefD22_22x_0" localSheetId="50">'301'!$D$95</definedName>
    <definedName name="OSRRefD22_22x_0" localSheetId="56">'331'!$D$117</definedName>
    <definedName name="OSRRefD22_22x_0" localSheetId="54">'333'!$D$122</definedName>
    <definedName name="OSRRefD22_22x_0" localSheetId="47">'Div 3'!$D$142:$D$143</definedName>
    <definedName name="OSRRefD22_22x_0" localSheetId="68">'Div 4'!$D$114</definedName>
    <definedName name="OSRRefD22_22x_0" localSheetId="2">Summary!$D$146:$D$155</definedName>
    <definedName name="OSRRefD22_23x_0" localSheetId="48">'300'!$D$138:$D$140</definedName>
    <definedName name="OSRRefD22_23x_0" localSheetId="49">'300 &amp; 317'!$D$144:$D$146</definedName>
    <definedName name="OSRRefD22_23x_0" localSheetId="47">'Div 3'!$D$145</definedName>
    <definedName name="OSRRefD22_23x_0" localSheetId="2">Summary!$D$157:$D$158</definedName>
    <definedName name="OSRRefD22_24x_0" localSheetId="48">'300'!$D$142</definedName>
    <definedName name="OSRRefD22_24x_0" localSheetId="49">'300 &amp; 317'!$D$148</definedName>
    <definedName name="OSRRefD22_24x_0" localSheetId="47">'Div 3'!$D$147:$D$149</definedName>
    <definedName name="OSRRefD22_24x_0" localSheetId="2">Summary!$D$160</definedName>
    <definedName name="OSRRefD22_25x_0" localSheetId="47">'Div 3'!$D$151</definedName>
    <definedName name="OSRRefD22_25x_0" localSheetId="2">Summary!$D$162:$D$164</definedName>
    <definedName name="OSRRefD22_26x_0" localSheetId="2">Summary!$D$166</definedName>
    <definedName name="OSRRefD22_2x_0" localSheetId="40">'200'!$D$24</definedName>
    <definedName name="OSRRefD22_2x_0" localSheetId="41">'201'!$D$41</definedName>
    <definedName name="OSRRefD22_2x_0" localSheetId="42">'202'!$D$41</definedName>
    <definedName name="OSRRefD22_2x_0" localSheetId="43">'203'!$D$42</definedName>
    <definedName name="OSRRefD22_2x_0" localSheetId="44">'204'!$D$41</definedName>
    <definedName name="OSRRefD22_2x_0" localSheetId="45">'205'!$D$41</definedName>
    <definedName name="OSRRefD22_2x_0" localSheetId="46">'206'!$D$41</definedName>
    <definedName name="OSRRefD22_2x_0" localSheetId="48">'300'!$D$76</definedName>
    <definedName name="OSRRefD22_2x_0" localSheetId="49">'300 &amp; 317'!$D$82</definedName>
    <definedName name="OSRRefD22_2x_0" localSheetId="50">'301'!$D$43</definedName>
    <definedName name="OSRRefD22_2x_0" localSheetId="55">'307'!$D$54</definedName>
    <definedName name="OSRRefD22_2x_0" localSheetId="51">'308'!$D$57</definedName>
    <definedName name="OSRRefD22_2x_0" localSheetId="64">'309'!$D$32</definedName>
    <definedName name="OSRRefD22_2x_0" localSheetId="63">'310'!$D$51</definedName>
    <definedName name="OSRRefD22_2x_0" localSheetId="69">'310 &amp; 491'!$D$51</definedName>
    <definedName name="OSRRefD22_2x_0" localSheetId="52">'311'!$D$57</definedName>
    <definedName name="OSRRefD22_2x_0" localSheetId="58">'315'!$D$65</definedName>
    <definedName name="OSRRefD22_2x_0" localSheetId="60">'316'!$D$48</definedName>
    <definedName name="OSRRefD22_2x_0" localSheetId="62">'317'!$D$57</definedName>
    <definedName name="OSRRefD22_2x_0" localSheetId="65">'321'!$D$46</definedName>
    <definedName name="OSRRefD22_2x_0" localSheetId="66">'325'!$D$46</definedName>
    <definedName name="OSRRefD22_2x_0" localSheetId="59">'326'!$D$49</definedName>
    <definedName name="OSRRefD22_2x_0" localSheetId="56">'331'!$D$65</definedName>
    <definedName name="OSRRefD22_2x_0" localSheetId="57">'332'!$D$48</definedName>
    <definedName name="OSRRefD22_2x_0" localSheetId="54">'333'!$D$67</definedName>
    <definedName name="OSRRefD22_2x_0" localSheetId="71">'405'!$D$48</definedName>
    <definedName name="OSRRefD22_2x_0" localSheetId="73">'411'!$D$41</definedName>
    <definedName name="OSRRefD22_2x_0" localSheetId="74">'412'!$D$24</definedName>
    <definedName name="OSRRefD22_2x_0" localSheetId="75">'413'!$D$24</definedName>
    <definedName name="OSRRefD22_2x_0" localSheetId="76">'414'!$D$24</definedName>
    <definedName name="OSRRefD22_2x_0" localSheetId="77">'415'!$D$49</definedName>
    <definedName name="OSRRefD22_2x_0" localSheetId="78">'418'!$D$45</definedName>
    <definedName name="OSRRefD22_2x_0" localSheetId="79">'423'!$D$40</definedName>
    <definedName name="OSRRefD22_2x_0" localSheetId="80">'424'!$D$24</definedName>
    <definedName name="OSRRefD22_2x_0" localSheetId="81">'425'!$D$26</definedName>
    <definedName name="OSRRefD22_2x_0" localSheetId="83">'430'!$D$41</definedName>
    <definedName name="OSRRefD22_2x_0" localSheetId="84">'433'!$D$49</definedName>
    <definedName name="OSRRefD22_2x_0" localSheetId="86">'444'!$D$49</definedName>
    <definedName name="OSRRefD22_2x_0" localSheetId="87">'450'!$D$49</definedName>
    <definedName name="OSRRefD22_2x_0" localSheetId="70">'491'!$D$50</definedName>
    <definedName name="OSRRefD22_2x_0" localSheetId="82">'492'!$D$51</definedName>
    <definedName name="OSRRefD22_2x_0" localSheetId="89">'501'!$D$43</definedName>
    <definedName name="OSRRefD22_2x_0" localSheetId="39">'Div 2'!$D$43</definedName>
    <definedName name="OSRRefD22_2x_0" localSheetId="47">'Div 3'!$D$82</definedName>
    <definedName name="OSRRefD22_2x_0" localSheetId="68">'Div 4'!$D$53</definedName>
    <definedName name="OSRRefD22_2x_0" localSheetId="88">'Div 5'!$D$43</definedName>
    <definedName name="OSRRefD22_2x_0" localSheetId="61">'Div 6'!$D$57</definedName>
    <definedName name="OSRRefD22_2x_0" localSheetId="2">Summary!$D$90</definedName>
    <definedName name="OSRRefD22_3x_0" localSheetId="40">'200'!$D$26:$D$27</definedName>
    <definedName name="OSRRefD22_3x_0" localSheetId="41">'201'!$D$43</definedName>
    <definedName name="OSRRefD22_3x_0" localSheetId="42">'202'!$D$43</definedName>
    <definedName name="OSRRefD22_3x_0" localSheetId="43">'203'!$D$44</definedName>
    <definedName name="OSRRefD22_3x_0" localSheetId="44">'204'!$D$43:$D$44</definedName>
    <definedName name="OSRRefD22_3x_0" localSheetId="45">'205'!$D$43</definedName>
    <definedName name="OSRRefD22_3x_0" localSheetId="46">'206'!$D$43</definedName>
    <definedName name="OSRRefD22_3x_0" localSheetId="48">'300'!$D$78</definedName>
    <definedName name="OSRRefD22_3x_0" localSheetId="49">'300 &amp; 317'!$D$84</definedName>
    <definedName name="OSRRefD22_3x_0" localSheetId="50">'301'!$D$45</definedName>
    <definedName name="OSRRefD22_3x_0" localSheetId="55">'307'!$D$56</definedName>
    <definedName name="OSRRefD22_3x_0" localSheetId="51">'308'!$D$59</definedName>
    <definedName name="OSRRefD22_3x_0" localSheetId="64">'309'!$D$34</definedName>
    <definedName name="OSRRefD22_3x_0" localSheetId="63">'310'!$D$53</definedName>
    <definedName name="OSRRefD22_3x_0" localSheetId="69">'310 &amp; 491'!$D$53</definedName>
    <definedName name="OSRRefD22_3x_0" localSheetId="52">'311'!$D$59</definedName>
    <definedName name="OSRRefD22_3x_0" localSheetId="58">'315'!$D$67</definedName>
    <definedName name="OSRRefD22_3x_0" localSheetId="60">'316'!$D$50</definedName>
    <definedName name="OSRRefD22_3x_0" localSheetId="62">'317'!$D$59</definedName>
    <definedName name="OSRRefD22_3x_0" localSheetId="65">'321'!$D$48</definedName>
    <definedName name="OSRRefD22_3x_0" localSheetId="66">'325'!$D$48</definedName>
    <definedName name="OSRRefD22_3x_0" localSheetId="59">'326'!$D$51</definedName>
    <definedName name="OSRRefD22_3x_0" localSheetId="56">'331'!$D$67</definedName>
    <definedName name="OSRRefD22_3x_0" localSheetId="57">'332'!$D$50</definedName>
    <definedName name="OSRRefD22_3x_0" localSheetId="54">'333'!$D$69</definedName>
    <definedName name="OSRRefD22_3x_0" localSheetId="71">'405'!$D$50</definedName>
    <definedName name="OSRRefD22_3x_0" localSheetId="73">'411'!$D$43:$D$44</definedName>
    <definedName name="OSRRefD22_3x_0" localSheetId="74">'412'!$D$26</definedName>
    <definedName name="OSRRefD22_3x_0" localSheetId="77">'415'!$D$51</definedName>
    <definedName name="OSRRefD22_3x_0" localSheetId="78">'418'!$D$47</definedName>
    <definedName name="OSRRefD22_3x_0" localSheetId="79">'423'!$D$42</definedName>
    <definedName name="OSRRefD22_3x_0" localSheetId="81">'425'!$D$28</definedName>
    <definedName name="OSRRefD22_3x_0" localSheetId="83">'430'!$D$43</definedName>
    <definedName name="OSRRefD22_3x_0" localSheetId="84">'433'!$D$51</definedName>
    <definedName name="OSRRefD22_3x_0" localSheetId="86">'444'!$D$51</definedName>
    <definedName name="OSRRefD22_3x_0" localSheetId="87">'450'!$D$51</definedName>
    <definedName name="OSRRefD22_3x_0" localSheetId="70">'491'!$D$52</definedName>
    <definedName name="OSRRefD22_3x_0" localSheetId="82">'492'!$D$53</definedName>
    <definedName name="OSRRefD22_3x_0" localSheetId="89">'501'!$D$45</definedName>
    <definedName name="OSRRefD22_3x_0" localSheetId="39">'Div 2'!$D$45</definedName>
    <definedName name="OSRRefD22_3x_0" localSheetId="47">'Div 3'!$D$84</definedName>
    <definedName name="OSRRefD22_3x_0" localSheetId="68">'Div 4'!$D$55</definedName>
    <definedName name="OSRRefD22_3x_0" localSheetId="88">'Div 5'!$D$45</definedName>
    <definedName name="OSRRefD22_3x_0" localSheetId="61">'Div 6'!$D$59</definedName>
    <definedName name="OSRRefD22_3x_0" localSheetId="2">Summary!$D$92</definedName>
    <definedName name="OSRRefD22_4x_0" localSheetId="41">'201'!$D$45</definedName>
    <definedName name="OSRRefD22_4x_0" localSheetId="42">'202'!$D$45</definedName>
    <definedName name="OSRRefD22_4x_0" localSheetId="43">'203'!$D$46</definedName>
    <definedName name="OSRRefD22_4x_0" localSheetId="44">'204'!$D$46</definedName>
    <definedName name="OSRRefD22_4x_0" localSheetId="45">'205'!$D$45:$D$46</definedName>
    <definedName name="OSRRefD22_4x_0" localSheetId="46">'206'!$D$45:$D$46</definedName>
    <definedName name="OSRRefD22_4x_0" localSheetId="48">'300'!$D$80</definedName>
    <definedName name="OSRRefD22_4x_0" localSheetId="49">'300 &amp; 317'!$D$86</definedName>
    <definedName name="OSRRefD22_4x_0" localSheetId="50">'301'!$D$47</definedName>
    <definedName name="OSRRefD22_4x_0" localSheetId="55">'307'!$D$58</definedName>
    <definedName name="OSRRefD22_4x_0" localSheetId="51">'308'!$D$61</definedName>
    <definedName name="OSRRefD22_4x_0" localSheetId="64">'309'!$D$36</definedName>
    <definedName name="OSRRefD22_4x_0" localSheetId="63">'310'!$D$55</definedName>
    <definedName name="OSRRefD22_4x_0" localSheetId="69">'310 &amp; 491'!$D$55</definedName>
    <definedName name="OSRRefD22_4x_0" localSheetId="52">'311'!$D$61</definedName>
    <definedName name="OSRRefD22_4x_0" localSheetId="58">'315'!$D$69</definedName>
    <definedName name="OSRRefD22_4x_0" localSheetId="60">'316'!$D$52</definedName>
    <definedName name="OSRRefD22_4x_0" localSheetId="62">'317'!$D$61</definedName>
    <definedName name="OSRRefD22_4x_0" localSheetId="65">'321'!$D$50</definedName>
    <definedName name="OSRRefD22_4x_0" localSheetId="66">'325'!$D$50</definedName>
    <definedName name="OSRRefD22_4x_0" localSheetId="59">'326'!$D$53</definedName>
    <definedName name="OSRRefD22_4x_0" localSheetId="56">'331'!$D$69</definedName>
    <definedName name="OSRRefD22_4x_0" localSheetId="57">'332'!$D$52</definedName>
    <definedName name="OSRRefD22_4x_0" localSheetId="54">'333'!$D$71</definedName>
    <definedName name="OSRRefD22_4x_0" localSheetId="71">'405'!$D$52</definedName>
    <definedName name="OSRRefD22_4x_0" localSheetId="73">'411'!$D$46</definedName>
    <definedName name="OSRRefD22_4x_0" localSheetId="77">'415'!$D$53</definedName>
    <definedName name="OSRRefD22_4x_0" localSheetId="78">'418'!$D$49:$D$50</definedName>
    <definedName name="OSRRefD22_4x_0" localSheetId="79">'423'!$D$44</definedName>
    <definedName name="OSRRefD22_4x_0" localSheetId="81">'425'!$D$30</definedName>
    <definedName name="OSRRefD22_4x_0" localSheetId="83">'430'!$D$45</definedName>
    <definedName name="OSRRefD22_4x_0" localSheetId="84">'433'!$D$53</definedName>
    <definedName name="OSRRefD22_4x_0" localSheetId="86">'444'!$D$53</definedName>
    <definedName name="OSRRefD22_4x_0" localSheetId="87">'450'!$D$53</definedName>
    <definedName name="OSRRefD22_4x_0" localSheetId="70">'491'!$D$54</definedName>
    <definedName name="OSRRefD22_4x_0" localSheetId="82">'492'!$D$55</definedName>
    <definedName name="OSRRefD22_4x_0" localSheetId="89">'501'!$D$47</definedName>
    <definedName name="OSRRefD22_4x_0" localSheetId="39">'Div 2'!$D$47</definedName>
    <definedName name="OSRRefD22_4x_0" localSheetId="47">'Div 3'!$D$86</definedName>
    <definedName name="OSRRefD22_4x_0" localSheetId="68">'Div 4'!$D$57</definedName>
    <definedName name="OSRRefD22_4x_0" localSheetId="88">'Div 5'!$D$47</definedName>
    <definedName name="OSRRefD22_4x_0" localSheetId="61">'Div 6'!$D$61</definedName>
    <definedName name="OSRRefD22_4x_0" localSheetId="2">Summary!$D$94</definedName>
    <definedName name="OSRRefD22_5x_0" localSheetId="41">'201'!$D$47</definedName>
    <definedName name="OSRRefD22_5x_0" localSheetId="42">'202'!$D$47</definedName>
    <definedName name="OSRRefD22_5x_0" localSheetId="43">'203'!$D$48</definedName>
    <definedName name="OSRRefD22_5x_0" localSheetId="44">'204'!$D$48:$D$51</definedName>
    <definedName name="OSRRefD22_5x_0" localSheetId="45">'205'!$D$48</definedName>
    <definedName name="OSRRefD22_5x_0" localSheetId="46">'206'!$D$48</definedName>
    <definedName name="OSRRefD22_5x_0" localSheetId="48">'300'!$D$82:$D$83</definedName>
    <definedName name="OSRRefD22_5x_0" localSheetId="49">'300 &amp; 317'!$D$88:$D$89</definedName>
    <definedName name="OSRRefD22_5x_0" localSheetId="50">'301'!$D$49:$D$50</definedName>
    <definedName name="OSRRefD22_5x_0" localSheetId="55">'307'!$D$60:$D$61</definedName>
    <definedName name="OSRRefD22_5x_0" localSheetId="51">'308'!$D$63</definedName>
    <definedName name="OSRRefD22_5x_0" localSheetId="64">'309'!$D$38</definedName>
    <definedName name="OSRRefD22_5x_0" localSheetId="63">'310'!$D$57:$D$58</definedName>
    <definedName name="OSRRefD22_5x_0" localSheetId="69">'310 &amp; 491'!$D$57:$D$58</definedName>
    <definedName name="OSRRefD22_5x_0" localSheetId="52">'311'!$D$63</definedName>
    <definedName name="OSRRefD22_5x_0" localSheetId="58">'315'!$D$71</definedName>
    <definedName name="OSRRefD22_5x_0" localSheetId="60">'316'!$D$54:$D$55</definedName>
    <definedName name="OSRRefD22_5x_0" localSheetId="62">'317'!$D$63</definedName>
    <definedName name="OSRRefD22_5x_0" localSheetId="65">'321'!$D$52</definedName>
    <definedName name="OSRRefD22_5x_0" localSheetId="66">'325'!$D$52:$D$53</definedName>
    <definedName name="OSRRefD22_5x_0" localSheetId="59">'326'!$D$55</definedName>
    <definedName name="OSRRefD22_5x_0" localSheetId="56">'331'!$D$71</definedName>
    <definedName name="OSRRefD22_5x_0" localSheetId="57">'332'!$D$54:$D$55</definedName>
    <definedName name="OSRRefD22_5x_0" localSheetId="54">'333'!$D$73:$D$74</definedName>
    <definedName name="OSRRefD22_5x_0" localSheetId="71">'405'!$D$54:$D$55</definedName>
    <definedName name="OSRRefD22_5x_0" localSheetId="73">'411'!$D$48</definedName>
    <definedName name="OSRRefD22_5x_0" localSheetId="77">'415'!$D$55:$D$56</definedName>
    <definedName name="OSRRefD22_5x_0" localSheetId="78">'418'!$D$52</definedName>
    <definedName name="OSRRefD22_5x_0" localSheetId="79">'423'!$D$46</definedName>
    <definedName name="OSRRefD22_5x_0" localSheetId="81">'425'!$D$32</definedName>
    <definedName name="OSRRefD22_5x_0" localSheetId="83">'430'!$D$47:$D$48</definedName>
    <definedName name="OSRRefD22_5x_0" localSheetId="84">'433'!$D$55</definedName>
    <definedName name="OSRRefD22_5x_0" localSheetId="86">'444'!$D$55</definedName>
    <definedName name="OSRRefD22_5x_0" localSheetId="87">'450'!$D$55</definedName>
    <definedName name="OSRRefD22_5x_0" localSheetId="70">'491'!$D$56:$D$57</definedName>
    <definedName name="OSRRefD22_5x_0" localSheetId="82">'492'!$D$57</definedName>
    <definedName name="OSRRefD22_5x_0" localSheetId="89">'501'!$D$49:$D$50</definedName>
    <definedName name="OSRRefD22_5x_0" localSheetId="39">'Div 2'!$D$49:$D$50</definedName>
    <definedName name="OSRRefD22_5x_0" localSheetId="47">'Div 3'!$D$88:$D$89</definedName>
    <definedName name="OSRRefD22_5x_0" localSheetId="68">'Div 4'!$D$59:$D$60</definedName>
    <definedName name="OSRRefD22_5x_0" localSheetId="88">'Div 5'!$D$49:$D$50</definedName>
    <definedName name="OSRRefD22_5x_0" localSheetId="61">'Div 6'!$D$63</definedName>
    <definedName name="OSRRefD22_5x_0" localSheetId="2">Summary!$D$96:$D$97</definedName>
    <definedName name="OSRRefD22_6x_0" localSheetId="41">'201'!$D$49</definedName>
    <definedName name="OSRRefD22_6x_0" localSheetId="42">'202'!$D$49</definedName>
    <definedName name="OSRRefD22_6x_0" localSheetId="43">'203'!$D$50</definedName>
    <definedName name="OSRRefD22_6x_0" localSheetId="44">'204'!$D$53:$D$54</definedName>
    <definedName name="OSRRefD22_6x_0" localSheetId="45">'205'!$D$50:$D$52</definedName>
    <definedName name="OSRRefD22_6x_0" localSheetId="46">'206'!$D$50:$D$51</definedName>
    <definedName name="OSRRefD22_6x_0" localSheetId="48">'300'!$D$85:$D$86</definedName>
    <definedName name="OSRRefD22_6x_0" localSheetId="49">'300 &amp; 317'!$D$91:$D$92</definedName>
    <definedName name="OSRRefD22_6x_0" localSheetId="50">'301'!$D$52:$D$53</definedName>
    <definedName name="OSRRefD22_6x_0" localSheetId="55">'307'!$D$63</definedName>
    <definedName name="OSRRefD22_6x_0" localSheetId="51">'308'!$D$65:$D$66</definedName>
    <definedName name="OSRRefD22_6x_0" localSheetId="64">'309'!$D$40</definedName>
    <definedName name="OSRRefD22_6x_0" localSheetId="63">'310'!$D$60</definedName>
    <definedName name="OSRRefD22_6x_0" localSheetId="69">'310 &amp; 491'!$D$60</definedName>
    <definedName name="OSRRefD22_6x_0" localSheetId="52">'311'!$D$65:$D$66</definedName>
    <definedName name="OSRRefD22_6x_0" localSheetId="58">'315'!$D$73</definedName>
    <definedName name="OSRRefD22_6x_0" localSheetId="60">'316'!$D$57</definedName>
    <definedName name="OSRRefD22_6x_0" localSheetId="62">'317'!$D$65</definedName>
    <definedName name="OSRRefD22_6x_0" localSheetId="65">'321'!$D$54</definedName>
    <definedName name="OSRRefD22_6x_0" localSheetId="66">'325'!$D$55</definedName>
    <definedName name="OSRRefD22_6x_0" localSheetId="59">'326'!$D$57:$D$58</definedName>
    <definedName name="OSRRefD22_6x_0" localSheetId="56">'331'!$D$73</definedName>
    <definedName name="OSRRefD22_6x_0" localSheetId="57">'332'!$D$57</definedName>
    <definedName name="OSRRefD22_6x_0" localSheetId="54">'333'!$D$76</definedName>
    <definedName name="OSRRefD22_6x_0" localSheetId="71">'405'!$D$57</definedName>
    <definedName name="OSRRefD22_6x_0" localSheetId="73">'411'!$D$50</definedName>
    <definedName name="OSRRefD22_6x_0" localSheetId="77">'415'!$D$58</definedName>
    <definedName name="OSRRefD22_6x_0" localSheetId="78">'418'!$D$54</definedName>
    <definedName name="OSRRefD22_6x_0" localSheetId="83">'430'!$D$50:$D$51</definedName>
    <definedName name="OSRRefD22_6x_0" localSheetId="84">'433'!$D$57</definedName>
    <definedName name="OSRRefD22_6x_0" localSheetId="86">'444'!$D$57</definedName>
    <definedName name="OSRRefD22_6x_0" localSheetId="87">'450'!$D$57</definedName>
    <definedName name="OSRRefD22_6x_0" localSheetId="70">'491'!$D$59</definedName>
    <definedName name="OSRRefD22_6x_0" localSheetId="82">'492'!$D$59</definedName>
    <definedName name="OSRRefD22_6x_0" localSheetId="89">'501'!$D$52</definedName>
    <definedName name="OSRRefD22_6x_0" localSheetId="39">'Div 2'!$D$52</definedName>
    <definedName name="OSRRefD22_6x_0" localSheetId="47">'Div 3'!$D$91:$D$92</definedName>
    <definedName name="OSRRefD22_6x_0" localSheetId="68">'Div 4'!$D$62</definedName>
    <definedName name="OSRRefD22_6x_0" localSheetId="88">'Div 5'!$D$52</definedName>
    <definedName name="OSRRefD22_6x_0" localSheetId="61">'Div 6'!$D$65</definedName>
    <definedName name="OSRRefD22_6x_0" localSheetId="2">Summary!$D$99:$D$100</definedName>
    <definedName name="OSRRefD22_7x_0" localSheetId="41">'201'!$D$51</definedName>
    <definedName name="OSRRefD22_7x_0" localSheetId="42">'202'!$D$51:$D$53</definedName>
    <definedName name="OSRRefD22_7x_0" localSheetId="43">'203'!$D$52</definedName>
    <definedName name="OSRRefD22_7x_0" localSheetId="44">'204'!$D$56</definedName>
    <definedName name="OSRRefD22_7x_0" localSheetId="45">'205'!$D$54</definedName>
    <definedName name="OSRRefD22_7x_0" localSheetId="46">'206'!$D$53</definedName>
    <definedName name="OSRRefD22_7x_0" localSheetId="48">'300'!$D$88</definedName>
    <definedName name="OSRRefD22_7x_0" localSheetId="49">'300 &amp; 317'!$D$94</definedName>
    <definedName name="OSRRefD22_7x_0" localSheetId="50">'301'!$D$55</definedName>
    <definedName name="OSRRefD22_7x_0" localSheetId="55">'307'!$D$65</definedName>
    <definedName name="OSRRefD22_7x_0" localSheetId="51">'308'!$D$68</definedName>
    <definedName name="OSRRefD22_7x_0" localSheetId="64">'309'!$D$42</definedName>
    <definedName name="OSRRefD22_7x_0" localSheetId="63">'310'!$D$62</definedName>
    <definedName name="OSRRefD22_7x_0" localSheetId="69">'310 &amp; 491'!$D$62</definedName>
    <definedName name="OSRRefD22_7x_0" localSheetId="52">'311'!$D$68</definedName>
    <definedName name="OSRRefD22_7x_0" localSheetId="58">'315'!$D$75</definedName>
    <definedName name="OSRRefD22_7x_0" localSheetId="60">'316'!$D$59:$D$61</definedName>
    <definedName name="OSRRefD22_7x_0" localSheetId="62">'317'!$D$67</definedName>
    <definedName name="OSRRefD22_7x_0" localSheetId="65">'321'!$D$56:$D$57</definedName>
    <definedName name="OSRRefD22_7x_0" localSheetId="66">'325'!$D$57</definedName>
    <definedName name="OSRRefD22_7x_0" localSheetId="59">'326'!$D$60</definedName>
    <definedName name="OSRRefD22_7x_0" localSheetId="56">'331'!$D$75</definedName>
    <definedName name="OSRRefD22_7x_0" localSheetId="57">'332'!$D$59:$D$61</definedName>
    <definedName name="OSRRefD22_7x_0" localSheetId="54">'333'!$D$78</definedName>
    <definedName name="OSRRefD22_7x_0" localSheetId="71">'405'!$D$59</definedName>
    <definedName name="OSRRefD22_7x_0" localSheetId="73">'411'!$D$52</definedName>
    <definedName name="OSRRefD22_7x_0" localSheetId="77">'415'!$D$60</definedName>
    <definedName name="OSRRefD22_7x_0" localSheetId="78">'418'!$D$56:$D$57</definedName>
    <definedName name="OSRRefD22_7x_0" localSheetId="83">'430'!$D$53</definedName>
    <definedName name="OSRRefD22_7x_0" localSheetId="84">'433'!$D$59</definedName>
    <definedName name="OSRRefD22_7x_0" localSheetId="86">'444'!$D$59</definedName>
    <definedName name="OSRRefD22_7x_0" localSheetId="87">'450'!$D$59</definedName>
    <definedName name="OSRRefD22_7x_0" localSheetId="70">'491'!$D$61</definedName>
    <definedName name="OSRRefD22_7x_0" localSheetId="82">'492'!$D$61</definedName>
    <definedName name="OSRRefD22_7x_0" localSheetId="89">'501'!$D$54</definedName>
    <definedName name="OSRRefD22_7x_0" localSheetId="39">'Div 2'!$D$54</definedName>
    <definedName name="OSRRefD22_7x_0" localSheetId="47">'Div 3'!$D$94</definedName>
    <definedName name="OSRRefD22_7x_0" localSheetId="68">'Div 4'!$D$64</definedName>
    <definedName name="OSRRefD22_7x_0" localSheetId="88">'Div 5'!$D$54</definedName>
    <definedName name="OSRRefD22_7x_0" localSheetId="61">'Div 6'!$D$67</definedName>
    <definedName name="OSRRefD22_7x_0" localSheetId="2">Summary!$D$102</definedName>
    <definedName name="OSRRefD22_8x_0" localSheetId="41">'201'!$D$53</definedName>
    <definedName name="OSRRefD22_8x_0" localSheetId="42">'202'!$D$55</definedName>
    <definedName name="OSRRefD22_8x_0" localSheetId="43">'203'!$D$54:$D$56</definedName>
    <definedName name="OSRRefD22_8x_0" localSheetId="44">'204'!$D$58:$D$59</definedName>
    <definedName name="OSRRefD22_8x_0" localSheetId="48">'300'!$D$90</definedName>
    <definedName name="OSRRefD22_8x_0" localSheetId="49">'300 &amp; 317'!$D$96</definedName>
    <definedName name="OSRRefD22_8x_0" localSheetId="50">'301'!$D$57</definedName>
    <definedName name="OSRRefD22_8x_0" localSheetId="55">'307'!$D$67</definedName>
    <definedName name="OSRRefD22_8x_0" localSheetId="51">'308'!$D$70</definedName>
    <definedName name="OSRRefD22_8x_0" localSheetId="64">'309'!$D$44:$D$45</definedName>
    <definedName name="OSRRefD22_8x_0" localSheetId="63">'310'!$D$64</definedName>
    <definedName name="OSRRefD22_8x_0" localSheetId="69">'310 &amp; 491'!$D$64:$D$65</definedName>
    <definedName name="OSRRefD22_8x_0" localSheetId="52">'311'!$D$70</definedName>
    <definedName name="OSRRefD22_8x_0" localSheetId="58">'315'!$D$77:$D$78</definedName>
    <definedName name="OSRRefD22_8x_0" localSheetId="60">'316'!$D$63</definedName>
    <definedName name="OSRRefD22_8x_0" localSheetId="62">'317'!$D$69</definedName>
    <definedName name="OSRRefD22_8x_0" localSheetId="65">'321'!$D$59</definedName>
    <definedName name="OSRRefD22_8x_0" localSheetId="66">'325'!$D$59</definedName>
    <definedName name="OSRRefD22_8x_0" localSheetId="59">'326'!$D$62</definedName>
    <definedName name="OSRRefD22_8x_0" localSheetId="56">'331'!$D$77:$D$78</definedName>
    <definedName name="OSRRefD22_8x_0" localSheetId="57">'332'!$D$63</definedName>
    <definedName name="OSRRefD22_8x_0" localSheetId="54">'333'!$D$80:$D$81</definedName>
    <definedName name="OSRRefD22_8x_0" localSheetId="71">'405'!$D$61</definedName>
    <definedName name="OSRRefD22_8x_0" localSheetId="73">'411'!$D$54:$D$57</definedName>
    <definedName name="OSRRefD22_8x_0" localSheetId="77">'415'!$D$62</definedName>
    <definedName name="OSRRefD22_8x_0" localSheetId="78">'418'!$D$59:$D$60</definedName>
    <definedName name="OSRRefD22_8x_0" localSheetId="83">'430'!$D$55</definedName>
    <definedName name="OSRRefD22_8x_0" localSheetId="84">'433'!$D$61</definedName>
    <definedName name="OSRRefD22_8x_0" localSheetId="86">'444'!$D$61</definedName>
    <definedName name="OSRRefD22_8x_0" localSheetId="87">'450'!$D$61</definedName>
    <definedName name="OSRRefD22_8x_0" localSheetId="70">'491'!$D$63:$D$64</definedName>
    <definedName name="OSRRefD22_8x_0" localSheetId="82">'492'!$D$63</definedName>
    <definedName name="OSRRefD22_8x_0" localSheetId="89">'501'!$D$56</definedName>
    <definedName name="OSRRefD22_8x_0" localSheetId="39">'Div 2'!$D$56</definedName>
    <definedName name="OSRRefD22_8x_0" localSheetId="47">'Div 3'!$D$96</definedName>
    <definedName name="OSRRefD22_8x_0" localSheetId="68">'Div 4'!$D$66</definedName>
    <definedName name="OSRRefD22_8x_0" localSheetId="88">'Div 5'!$D$56</definedName>
    <definedName name="OSRRefD22_8x_0" localSheetId="61">'Div 6'!$D$69</definedName>
    <definedName name="OSRRefD22_8x_0" localSheetId="2">Summary!$D$104</definedName>
    <definedName name="OSRRefD22_9x_0" localSheetId="41">'201'!$D$55:$D$57</definedName>
    <definedName name="OSRRefD22_9x_0" localSheetId="42">'202'!$D$57:$D$58</definedName>
    <definedName name="OSRRefD22_9x_0" localSheetId="43">'203'!$D$58:$D$59</definedName>
    <definedName name="OSRRefD22_9x_0" localSheetId="44">'204'!$D$61</definedName>
    <definedName name="OSRRefD22_9x_0" localSheetId="48">'300'!$D$92</definedName>
    <definedName name="OSRRefD22_9x_0" localSheetId="49">'300 &amp; 317'!$D$98</definedName>
    <definedName name="OSRRefD22_9x_0" localSheetId="50">'301'!$D$59</definedName>
    <definedName name="OSRRefD22_9x_0" localSheetId="55">'307'!$D$69:$D$70</definedName>
    <definedName name="OSRRefD22_9x_0" localSheetId="51">'308'!$D$72:$D$74</definedName>
    <definedName name="OSRRefD22_9x_0" localSheetId="64">'309'!$D$47:$D$48</definedName>
    <definedName name="OSRRefD22_9x_0" localSheetId="63">'310'!$D$66</definedName>
    <definedName name="OSRRefD22_9x_0" localSheetId="69">'310 &amp; 491'!$D$67</definedName>
    <definedName name="OSRRefD22_9x_0" localSheetId="52">'311'!$D$72:$D$74</definedName>
    <definedName name="OSRRefD22_9x_0" localSheetId="58">'315'!$D$80</definedName>
    <definedName name="OSRRefD22_9x_0" localSheetId="60">'316'!$D$65</definedName>
    <definedName name="OSRRefD22_9x_0" localSheetId="62">'317'!$D$71:$D$72</definedName>
    <definedName name="OSRRefD22_9x_0" localSheetId="65">'321'!$D$61:$D$63</definedName>
    <definedName name="OSRRefD22_9x_0" localSheetId="66">'325'!$D$61</definedName>
    <definedName name="OSRRefD22_9x_0" localSheetId="59">'326'!$D$64</definedName>
    <definedName name="OSRRefD22_9x_0" localSheetId="56">'331'!$D$80:$D$81</definedName>
    <definedName name="OSRRefD22_9x_0" localSheetId="57">'332'!$D$65</definedName>
    <definedName name="OSRRefD22_9x_0" localSheetId="54">'333'!$D$83:$D$84</definedName>
    <definedName name="OSRRefD22_9x_0" localSheetId="71">'405'!$D$63:$D$64</definedName>
    <definedName name="OSRRefD22_9x_0" localSheetId="73">'411'!$D$59:$D$61</definedName>
    <definedName name="OSRRefD22_9x_0" localSheetId="77">'415'!$D$64</definedName>
    <definedName name="OSRRefD22_9x_0" localSheetId="78">'418'!$D$62:$D$65</definedName>
    <definedName name="OSRRefD22_9x_0" localSheetId="84">'433'!$D$63</definedName>
    <definedName name="OSRRefD22_9x_0" localSheetId="86">'444'!$D$63</definedName>
    <definedName name="OSRRefD22_9x_0" localSheetId="87">'450'!$D$63</definedName>
    <definedName name="OSRRefD22_9x_0" localSheetId="70">'491'!$D$66</definedName>
    <definedName name="OSRRefD22_9x_0" localSheetId="82">'492'!$D$65</definedName>
    <definedName name="OSRRefD22_9x_0" localSheetId="89">'501'!$D$58:$D$60</definedName>
    <definedName name="OSRRefD22_9x_0" localSheetId="39">'Div 2'!$D$58</definedName>
    <definedName name="OSRRefD22_9x_0" localSheetId="47">'Div 3'!$D$98</definedName>
    <definedName name="OSRRefD22_9x_0" localSheetId="68">'Div 4'!$D$68:$D$69</definedName>
    <definedName name="OSRRefD22_9x_0" localSheetId="88">'Div 5'!$D$58:$D$60</definedName>
    <definedName name="OSRRefD22_9x_0" localSheetId="61">'Div 6'!$D$71:$D$72</definedName>
    <definedName name="OSRRefD22_9x_0" localSheetId="2">Summary!$D$106</definedName>
    <definedName name="OSRRefD22x_0" localSheetId="40">'200'!$D$20,'200'!$D$22,'200'!$D$24,'200'!$D$26:$D$27</definedName>
    <definedName name="OSRRefD22x_0" localSheetId="41">'201'!$D$20:$D$28,'201'!$D$30:$D$39,'201'!$D$41,'201'!$D$43,'201'!$D$45,'201'!$D$47,'201'!$D$49,'201'!$D$51,'201'!$D$53,'201'!$D$55:$D$57,'201'!$D$59:$D$60,'201'!$D$62,'201'!$D$64:$D$65,'201'!$D$67,'201'!$D$69,'201'!$D$71</definedName>
    <definedName name="OSRRefD22x_0" localSheetId="42">'202'!$D$20:$D$28,'202'!$D$30:$D$39,'202'!$D$41,'202'!$D$43,'202'!$D$45,'202'!$D$47,'202'!$D$49,'202'!$D$51:$D$53,'202'!$D$55,'202'!$D$57:$D$58,'202'!$D$60,'202'!$D$62,'202'!$D$64</definedName>
    <definedName name="OSRRefD22x_0" localSheetId="43">'203'!$D$20:$D$29,'203'!$D$31:$D$40,'203'!$D$42,'203'!$D$44,'203'!$D$46,'203'!$D$48,'203'!$D$50,'203'!$D$52,'203'!$D$54:$D$56,'203'!$D$58:$D$59,'203'!$D$61:$D$62,'203'!$D$64:$D$67,'203'!$D$69,'203'!$D$71,'203'!$D$73</definedName>
    <definedName name="OSRRefD22x_0" localSheetId="44">'204'!$D$20:$D$28,'204'!$D$30:$D$39,'204'!$D$41,'204'!$D$43:$D$44,'204'!$D$46,'204'!$D$48:$D$51,'204'!$D$53:$D$54,'204'!$D$56,'204'!$D$58:$D$59,'204'!$D$61,'204'!$D$63</definedName>
    <definedName name="OSRRefD22x_0" localSheetId="45">'205'!$D$20:$D$28,'205'!$D$30:$D$39,'205'!$D$41,'205'!$D$43,'205'!$D$45:$D$46,'205'!$D$48,'205'!$D$50:$D$52,'205'!$D$54</definedName>
    <definedName name="OSRRefD22x_0" localSheetId="46">'206'!$D$20:$D$28,'206'!$D$30:$D$39,'206'!$D$41,'206'!$D$43,'206'!$D$45:$D$46,'206'!$D$48,'206'!$D$50:$D$51,'206'!$D$53</definedName>
    <definedName name="OSRRefD22x_0" localSheetId="48">'300'!$D$54:$D$63,'300'!$D$65:$D$74,'300'!$D$76,'300'!$D$78,'300'!$D$80,'300'!$D$82:$D$83,'300'!$D$85:$D$86,'300'!$D$88,'300'!$D$90,'300'!$D$92,'300'!$D$94:$D$95,'300'!$D$97:$D$98,'300'!$D$100,'300'!$D$102,'300'!$D$104,'300'!$D$106,'300'!$D$108:$D$111,'300'!$D$113:$D$116,'300'!$D$118:$D$120,'300'!$D$122:$D$123,'300'!$D$125:$D$131,'300'!$D$133:$D$134,'300'!$D$136,'300'!$D$138:$D$140,'300'!$D$142</definedName>
    <definedName name="OSRRefD22x_0" localSheetId="49">'300 &amp; 317'!$D$60:$D$69,'300 &amp; 317'!$D$71:$D$80,'300 &amp; 317'!$D$82,'300 &amp; 317'!$D$84,'300 &amp; 317'!$D$86,'300 &amp; 317'!$D$88:$D$89,'300 &amp; 317'!$D$91:$D$92,'300 &amp; 317'!$D$94,'300 &amp; 317'!$D$96,'300 &amp; 317'!$D$98,'300 &amp; 317'!$D$100:$D$101,'300 &amp; 317'!$D$103:$D$104,'300 &amp; 317'!$D$106,'300 &amp; 317'!$D$108,'300 &amp; 317'!$D$110,'300 &amp; 317'!$D$112,'300 &amp; 317'!$D$114:$D$117,'300 &amp; 317'!$D$119:$D$122,'300 &amp; 317'!$D$124:$D$126,'300 &amp; 317'!$D$128:$D$129,'300 &amp; 317'!$D$131:$D$137,'300 &amp; 317'!$D$139:$D$140,'300 &amp; 317'!$D$142,'300 &amp; 317'!$D$144:$D$146,'300 &amp; 317'!$D$148</definedName>
    <definedName name="OSRRefD22x_0" localSheetId="50">'301'!$D$21:$D$30,'301'!$D$32:$D$41,'301'!$D$43,'301'!$D$45,'301'!$D$47,'301'!$D$49:$D$50,'301'!$D$52:$D$53,'301'!$D$55,'301'!$D$57,'301'!$D$59,'301'!$D$61,'301'!$D$63,'301'!$D$65,'301'!$D$67,'301'!$D$69,'301'!$D$71:$D$74,'301'!$D$76:$D$77,'301'!$D$79,'301'!$D$81:$D$86,'301'!$D$88,'301'!$D$90,'301'!$D$92:$D$93,'301'!$D$95</definedName>
    <definedName name="OSRRefD22x_0" localSheetId="55">'307'!$D$34:$D$41,'307'!$D$43:$D$52,'307'!$D$54,'307'!$D$56,'307'!$D$58,'307'!$D$60:$D$61,'307'!$D$63,'307'!$D$65,'307'!$D$67,'307'!$D$69:$D$70,'307'!$D$72:$D$73,'307'!$D$75,'307'!$D$77:$D$80,'307'!$D$82</definedName>
    <definedName name="OSRRefD22x_0" localSheetId="51">'308'!$D$35:$D$44,'308'!$D$46:$D$55,'308'!$D$57,'308'!$D$59,'308'!$D$61,'308'!$D$63,'308'!$D$65:$D$66,'308'!$D$68,'308'!$D$70,'308'!$D$72:$D$74,'308'!$D$76:$D$77,'308'!$D$79:$D$80,'308'!$D$82:$D$83,'308'!$D$85</definedName>
    <definedName name="OSRRefD22x_0" localSheetId="64">'309'!$D$26:$D$27,'309'!$D$29:$D$30,'309'!$D$32,'309'!$D$34,'309'!$D$36,'309'!$D$38,'309'!$D$40,'309'!$D$42,'309'!$D$44:$D$45,'309'!$D$47:$D$48,'309'!$D$50:$D$51,'309'!$D$53,'309'!$D$55</definedName>
    <definedName name="OSRRefD22x_0" localSheetId="63">'310'!$D$29:$D$38,'310'!$D$40:$D$49,'310'!$D$51,'310'!$D$53,'310'!$D$55,'310'!$D$57:$D$58,'310'!$D$60,'310'!$D$62,'310'!$D$64,'310'!$D$66,'310'!$D$68,'310'!$D$70:$D$72,'310'!$D$74,'310'!$D$76:$D$78,'310'!$D$80:$D$85,'310'!$D$87:$D$88,'310'!$D$90,'310'!$D$92</definedName>
    <definedName name="OSRRefD22x_0" localSheetId="69">'310 &amp; 491'!$D$29:$D$38,'310 &amp; 491'!$D$40:$D$49,'310 &amp; 491'!$D$51,'310 &amp; 491'!$D$53,'310 &amp; 491'!$D$55,'310 &amp; 491'!$D$57:$D$58,'310 &amp; 491'!$D$60,'310 &amp; 491'!$D$62,'310 &amp; 491'!$D$64:$D$65,'310 &amp; 491'!$D$67,'310 &amp; 491'!$D$69,'310 &amp; 491'!$D$71,'310 &amp; 491'!$D$73:$D$76,'310 &amp; 491'!$D$78:$D$79,'310 &amp; 491'!$D$81:$D$85,'310 &amp; 491'!$D$87,'310 &amp; 491'!$D$89:$D$98,'310 &amp; 491'!$D$100:$D$101,'310 &amp; 491'!$D$103,'310 &amp; 491'!$D$105:$D$106,'310 &amp; 491'!$D$108</definedName>
    <definedName name="OSRRefD22x_0" localSheetId="52">'311'!$D$35:$D$44,'311'!$D$46:$D$55,'311'!$D$57,'311'!$D$59,'311'!$D$61,'311'!$D$63,'311'!$D$65:$D$66,'311'!$D$68,'311'!$D$70,'311'!$D$72:$D$74,'311'!$D$76:$D$77,'311'!$D$79:$D$80,'311'!$D$82:$D$83,'311'!$D$85</definedName>
    <definedName name="OSRRefD22x_0" localSheetId="58">'315'!$D$44:$D$52,'315'!$D$54:$D$63,'315'!$D$65,'315'!$D$67,'315'!$D$69,'315'!$D$71,'315'!$D$73,'315'!$D$75,'315'!$D$77:$D$78,'315'!$D$80,'315'!$D$82,'315'!$D$84,'315'!$D$86:$D$87,'315'!$D$89:$D$91,'315'!$D$93:$D$94,'315'!$D$96:$D$99,'315'!$D$101,'315'!$D$103,'315'!$D$105</definedName>
    <definedName name="OSRRefD22x_0" localSheetId="60">'316'!$D$27:$D$35,'316'!$D$37:$D$46,'316'!$D$48,'316'!$D$50,'316'!$D$52,'316'!$D$54:$D$55,'316'!$D$57,'316'!$D$59:$D$61,'316'!$D$63,'316'!$D$65,'316'!$D$67:$D$70,'316'!$D$72</definedName>
    <definedName name="OSRRefD22x_0" localSheetId="62">'317'!$D$35:$D$44,'317'!$D$46:$D$55,'317'!$D$57,'317'!$D$59,'317'!$D$61,'317'!$D$63,'317'!$D$65,'317'!$D$67,'317'!$D$69,'317'!$D$71:$D$72,'317'!$D$74</definedName>
    <definedName name="OSRRefD22x_0" localSheetId="65">'321'!$D$24:$D$33,'321'!$D$35:$D$44,'321'!$D$46,'321'!$D$48,'321'!$D$50,'321'!$D$52,'321'!$D$54,'321'!$D$56:$D$57,'321'!$D$59,'321'!$D$61:$D$63,'321'!$D$65:$D$68,'321'!$D$70,'321'!$D$72</definedName>
    <definedName name="OSRRefD22x_0" localSheetId="66">'325'!$D$25:$D$33,'325'!$D$35:$D$44,'325'!$D$46,'325'!$D$48,'325'!$D$50,'325'!$D$52:$D$53,'325'!$D$55,'325'!$D$57,'325'!$D$59,'325'!$D$61,'325'!$D$63,'325'!$D$65:$D$67,'325'!$D$69:$D$71,'325'!$D$73:$D$78,'325'!$D$80:$D$81,'325'!$D$83,'325'!$D$85</definedName>
    <definedName name="OSRRefD22x_0" localSheetId="59">'326'!$D$28:$D$36,'326'!$D$38:$D$47,'326'!$D$49,'326'!$D$51,'326'!$D$53,'326'!$D$55,'326'!$D$57:$D$58,'326'!$D$60,'326'!$D$62,'326'!$D$64,'326'!$D$66,'326'!$D$68:$D$69,'326'!$D$71:$D$72,'326'!$D$74:$D$75,'326'!$D$77:$D$79,'326'!$D$81,'326'!$D$83:$D$84,'326'!$D$86</definedName>
    <definedName name="OSRRefD22x_0" localSheetId="67">'327'!$D$26,'327'!$D$28</definedName>
    <definedName name="OSRRefD22x_0" localSheetId="56">'331'!$D$44:$D$52,'331'!$D$54:$D$63,'331'!$D$65,'331'!$D$67,'331'!$D$69,'331'!$D$71,'331'!$D$73,'331'!$D$75,'331'!$D$77:$D$78,'331'!$D$80:$D$81,'331'!$D$83,'331'!$D$85,'331'!$D$87,'331'!$D$89,'331'!$D$91:$D$92,'331'!$D$94:$D$96,'331'!$D$98:$D$99,'331'!$D$101:$D$102,'331'!$D$104:$D$108,'331'!$D$110,'331'!$D$112,'331'!$D$114:$D$115,'331'!$D$117</definedName>
    <definedName name="OSRRefD22x_0" localSheetId="57">'332'!$D$27:$D$35,'332'!$D$37:$D$46,'332'!$D$48,'332'!$D$50,'332'!$D$52,'332'!$D$54:$D$55,'332'!$D$57,'332'!$D$59:$D$61,'332'!$D$63,'332'!$D$65,'332'!$D$67:$D$70,'332'!$D$72</definedName>
    <definedName name="OSRRefD22x_0" localSheetId="54">'333'!$D$46:$D$54,'333'!$D$56:$D$65,'333'!$D$67,'333'!$D$69,'333'!$D$71,'333'!$D$73:$D$74,'333'!$D$76,'333'!$D$78,'333'!$D$80:$D$81,'333'!$D$83:$D$84,'333'!$D$86,'333'!$D$88,'333'!$D$90,'333'!$D$92,'333'!$D$94:$D$95,'333'!$D$97:$D$99,'333'!$D$101:$D$103,'333'!$D$105:$D$106,'333'!$D$108:$D$113,'333'!$D$115,'333'!$D$117,'333'!$D$119:$D$120,'333'!$D$122</definedName>
    <definedName name="OSRRefD22x_0" localSheetId="71">'405'!$D$27:$D$35,'405'!$D$37:$D$46,'405'!$D$48,'405'!$D$50,'405'!$D$52,'405'!$D$54:$D$55,'405'!$D$57,'405'!$D$59,'405'!$D$61,'405'!$D$63:$D$64,'405'!$D$66:$D$69,'405'!$D$71,'405'!$D$73:$D$81,'405'!$D$83,'405'!$D$85,'405'!$D$87,'405'!$D$89</definedName>
    <definedName name="OSRRefD22x_0" localSheetId="72">'406'!$D$20,'406'!$D$22</definedName>
    <definedName name="OSRRefD22x_0" localSheetId="73">'411'!$D$20:$D$28,'411'!$D$30:$D$39,'411'!$D$41,'411'!$D$43:$D$44,'411'!$D$46,'411'!$D$48,'411'!$D$50,'411'!$D$52,'411'!$D$54:$D$57,'411'!$D$59:$D$61,'411'!$D$63,'411'!$D$65:$D$66,'411'!$D$68,'411'!$D$70,'411'!$D$72:$D$73,'411'!$D$75</definedName>
    <definedName name="OSRRefD22x_0" localSheetId="74">'412'!$D$20,'412'!$D$22,'412'!$D$24,'412'!$D$26</definedName>
    <definedName name="OSRRefD22x_0" localSheetId="75">'413'!$D$20,'413'!$D$22,'413'!$D$24</definedName>
    <definedName name="OSRRefD22x_0" localSheetId="76">'414'!$D$20,'414'!$D$22,'414'!$D$24</definedName>
    <definedName name="OSRRefD22x_0" localSheetId="77">'415'!$D$27:$D$36,'415'!$D$38:$D$47,'415'!$D$49,'415'!$D$51,'415'!$D$53,'415'!$D$55:$D$56,'415'!$D$58,'415'!$D$60,'415'!$D$62,'415'!$D$64,'415'!$D$66,'415'!$D$68:$D$69,'415'!$D$71:$D$74,'415'!$D$76,'415'!$D$78:$D$85,'415'!$D$87:$D$88,'415'!$D$90,'415'!$D$92</definedName>
    <definedName name="OSRRefD22x_0" localSheetId="78">'418'!$D$24:$D$32,'418'!$D$34:$D$43,'418'!$D$45,'418'!$D$47,'418'!$D$49:$D$50,'418'!$D$52,'418'!$D$54,'418'!$D$56:$D$57,'418'!$D$59:$D$60,'418'!$D$62:$D$65,'418'!$D$67,'418'!$D$69:$D$76,'418'!$D$78:$D$79,'418'!$D$81,'418'!$D$83,'418'!$D$85</definedName>
    <definedName name="OSRRefD22x_0" localSheetId="79">'423'!$D$20:$D$27,'423'!$D$29:$D$38,'423'!$D$40,'423'!$D$42,'423'!$D$44,'423'!$D$46</definedName>
    <definedName name="OSRRefD22x_0" localSheetId="80">'424'!$D$20,'424'!$D$22,'424'!$D$24</definedName>
    <definedName name="OSRRefD22x_0" localSheetId="81">'425'!$D$22,'425'!$D$24,'425'!$D$26,'425'!$D$28,'425'!$D$30,'425'!$D$32</definedName>
    <definedName name="OSRRefD22x_0" localSheetId="83">'430'!$D$20:$D$28,'430'!$D$30:$D$39,'430'!$D$41,'430'!$D$43,'430'!$D$45,'430'!$D$47:$D$48,'430'!$D$50:$D$51,'430'!$D$53,'430'!$D$55</definedName>
    <definedName name="OSRRefD22x_0" localSheetId="84">'433'!$D$27:$D$36,'433'!$D$38:$D$47,'433'!$D$49,'433'!$D$51,'433'!$D$53,'433'!$D$55,'433'!$D$57,'433'!$D$59,'433'!$D$61,'433'!$D$63,'433'!$D$65,'433'!$D$67:$D$69,'433'!$D$71:$D$74,'433'!$D$76:$D$83,'433'!$D$85,'433'!$D$87</definedName>
    <definedName name="OSRRefD22x_0" localSheetId="85">'435'!$D$22,'435'!$D$24</definedName>
    <definedName name="OSRRefD22x_0" localSheetId="86">'444'!$D$27:$D$36,'444'!$D$38:$D$47,'444'!$D$49,'444'!$D$51,'444'!$D$53,'444'!$D$55,'444'!$D$57,'444'!$D$59,'444'!$D$61,'444'!$D$63,'444'!$D$65,'444'!$D$67:$D$68,'444'!$D$70:$D$73,'444'!$D$75,'444'!$D$77:$D$85,'444'!$D$87,'444'!$D$89</definedName>
    <definedName name="OSRRefD22x_0" localSheetId="87">'450'!$D$27:$D$36,'450'!$D$38:$D$47,'450'!$D$49,'450'!$D$51,'450'!$D$53,'450'!$D$55,'450'!$D$57,'450'!$D$59,'450'!$D$61,'450'!$D$63,'450'!$D$65,'450'!$D$67:$D$69,'450'!$D$71:$D$74,'450'!$D$76:$D$82,'450'!$D$84,'450'!$D$86,'450'!$D$88</definedName>
    <definedName name="OSRRefD22x_0" localSheetId="70">'491'!$D$28:$D$37,'491'!$D$39:$D$48,'491'!$D$50,'491'!$D$52,'491'!$D$54,'491'!$D$56:$D$57,'491'!$D$59,'491'!$D$61,'491'!$D$63:$D$64,'491'!$D$66,'491'!$D$68,'491'!$D$70,'491'!$D$72:$D$75,'491'!$D$77,'491'!$D$79:$D$83,'491'!$D$85,'491'!$D$87:$D$96,'491'!$D$98:$D$99,'491'!$D$101,'491'!$D$103:$D$104,'491'!$D$106</definedName>
    <definedName name="OSRRefD22x_0" localSheetId="82">'492'!$D$29:$D$38,'492'!$D$40:$D$49,'492'!$D$51,'492'!$D$53,'492'!$D$55,'492'!$D$57,'492'!$D$59,'492'!$D$61,'492'!$D$63,'492'!$D$65,'492'!$D$67,'492'!$D$69,'492'!$D$71:$D$73,'492'!$D$75:$D$78,'492'!$D$80,'492'!$D$82:$D$90,'492'!$D$92:$D$93,'492'!$D$95,'492'!$D$97:$D$98</definedName>
    <definedName name="OSRRefD22x_0" localSheetId="89">'501'!$D$21:$D$30,'501'!$D$32:$D$41,'501'!$D$43,'501'!$D$45,'501'!$D$47,'501'!$D$49:$D$50,'501'!$D$52,'501'!$D$54,'501'!$D$56,'501'!$D$58:$D$60,'501'!$D$62,'501'!$D$64:$D$66,'501'!$D$68,'501'!$D$70</definedName>
    <definedName name="OSRRefD22x_0" localSheetId="39">'Div 2'!$D$20:$D$30,'Div 2'!$D$32:$D$41,'Div 2'!$D$43,'Div 2'!$D$45,'Div 2'!$D$47,'Div 2'!$D$49:$D$50,'Div 2'!$D$52,'Div 2'!$D$54,'Div 2'!$D$56,'Div 2'!$D$58,'Div 2'!$D$60,'Div 2'!$D$62,'Div 2'!$D$64:$D$67,'Div 2'!$D$69:$D$72,'Div 2'!$D$74:$D$75,'Div 2'!$D$77:$D$78,'Div 2'!$D$80:$D$85,'Div 2'!$D$87:$D$88,'Div 2'!$D$90,'Div 2'!$D$92:$D$93</definedName>
    <definedName name="OSRRefD22x_0" localSheetId="47">'Div 3'!$D$60:$D$69,'Div 3'!$D$71:$D$80,'Div 3'!$D$82,'Div 3'!$D$84,'Div 3'!$D$86,'Div 3'!$D$88:$D$89,'Div 3'!$D$91:$D$92,'Div 3'!$D$94,'Div 3'!$D$96,'Div 3'!$D$98,'Div 3'!$D$100:$D$101,'Div 3'!$D$103:$D$104,'Div 3'!$D$106,'Div 3'!$D$108,'Div 3'!$D$110,'Div 3'!$D$112,'Div 3'!$D$114,'Div 3'!$D$116:$D$119,'Div 3'!$D$121:$D$124,'Div 3'!$D$126:$D$129,'Div 3'!$D$131:$D$132,'Div 3'!$D$134:$D$140,'Div 3'!$D$142:$D$143,'Div 3'!$D$145,'Div 3'!$D$147:$D$149,'Div 3'!$D$151</definedName>
    <definedName name="OSRRefD22x_0" localSheetId="68">'Div 4'!$D$31:$D$40,'Div 4'!$D$42:$D$51,'Div 4'!$D$53,'Div 4'!$D$55,'Div 4'!$D$57,'Div 4'!$D$59:$D$60,'Div 4'!$D$62,'Div 4'!$D$64,'Div 4'!$D$66,'Div 4'!$D$68:$D$69,'Div 4'!$D$71,'Div 4'!$D$73,'Div 4'!$D$75,'Div 4'!$D$77,'Div 4'!$D$79:$D$82,'Div 4'!$D$84,'Div 4'!$D$86:$D$90,'Div 4'!$D$92:$D$93,'Div 4'!$D$95:$D$104,'Div 4'!$D$106:$D$107,'Div 4'!$D$109,'Div 4'!$D$111:$D$112,'Div 4'!$D$114</definedName>
    <definedName name="OSRRefD22x_0" localSheetId="88">'Div 5'!$D$21:$D$30,'Div 5'!$D$32:$D$41,'Div 5'!$D$43,'Div 5'!$D$45,'Div 5'!$D$47,'Div 5'!$D$49:$D$50,'Div 5'!$D$52,'Div 5'!$D$54,'Div 5'!$D$56,'Div 5'!$D$58:$D$60,'Div 5'!$D$62,'Div 5'!$D$64:$D$66,'Div 5'!$D$68,'Div 5'!$D$70</definedName>
    <definedName name="OSRRefD22x_0" localSheetId="61">'Div 6'!$D$35:$D$44,'Div 6'!$D$46:$D$55,'Div 6'!$D$57,'Div 6'!$D$59,'Div 6'!$D$61,'Div 6'!$D$63,'Div 6'!$D$65,'Div 6'!$D$67,'Div 6'!$D$69,'Div 6'!$D$71:$D$72,'Div 6'!$D$74</definedName>
    <definedName name="OSRRefD22x_0" localSheetId="2">Summary!$D$68:$D$77,Summary!$D$79:$D$88,Summary!$D$90,Summary!$D$92,Summary!$D$94,Summary!$D$96:$D$97,Summary!$D$99:$D$100,Summary!$D$102,Summary!$D$104,Summary!$D$106,Summary!$D$108:$D$109,Summary!$D$111:$D$113,Summary!$D$115,Summary!$D$117,Summary!$D$119,Summary!$D$121,Summary!$D$123,Summary!$D$125,Summary!$D$127:$D$130,Summary!$D$132:$D$135,Summary!$D$137:$D$141,Summary!$D$143:$D$144,Summary!$D$146:$D$155,Summary!$D$157:$D$158,Summary!$D$160,Summary!$D$162:$D$164,Summary!$D$166</definedName>
    <definedName name="OSRRefD25x_0" localSheetId="48">'300'!$D$145:$D$149</definedName>
    <definedName name="OSRRefD25x_0" localSheetId="49">'300 &amp; 317'!$D$151:$D$157</definedName>
    <definedName name="OSRRefD25x_0" localSheetId="50">'301'!$D$98:$D$99</definedName>
    <definedName name="OSRRefD25x_0" localSheetId="51">'308'!$D$88:$D$91</definedName>
    <definedName name="OSRRefD25x_0" localSheetId="69">'310 &amp; 491'!$D$111:$D$114</definedName>
    <definedName name="OSRRefD25x_0" localSheetId="52">'311'!$D$88:$D$91</definedName>
    <definedName name="OSRRefD25x_0" localSheetId="58">'315'!$D$108:$D$110</definedName>
    <definedName name="OSRRefD25x_0" localSheetId="60">'316'!$D$75</definedName>
    <definedName name="OSRRefD25x_0" localSheetId="62">'317'!$D$77:$D$79</definedName>
    <definedName name="OSRRefD25x_0" localSheetId="56">'331'!$D$120:$D$122</definedName>
    <definedName name="OSRRefD25x_0" localSheetId="57">'332'!$D$75</definedName>
    <definedName name="OSRRefD25x_0" localSheetId="54">'333'!$D$125:$D$127</definedName>
    <definedName name="OSRRefD25x_0" localSheetId="71">'405'!$D$92</definedName>
    <definedName name="OSRRefD25x_0" localSheetId="73">'411'!$D$78</definedName>
    <definedName name="OSRRefD25x_0" localSheetId="77">'415'!$D$95</definedName>
    <definedName name="OSRRefD25x_0" localSheetId="78">'418'!$D$88</definedName>
    <definedName name="OSRRefD25x_0" localSheetId="79">'423'!$D$49:$D$51</definedName>
    <definedName name="OSRRefD25x_0" localSheetId="70">'491'!$D$109:$D$112</definedName>
    <definedName name="OSRRefD25x_0" localSheetId="89">'501'!$D$73</definedName>
    <definedName name="OSRRefD25x_0" localSheetId="47">'Div 3'!$D$154:$D$158</definedName>
    <definedName name="OSRRefD25x_0" localSheetId="68">'Div 4'!$D$117:$D$120</definedName>
    <definedName name="OSRRefD25x_0" localSheetId="88">'Div 5'!$D$73</definedName>
    <definedName name="OSRRefD25x_0" localSheetId="61">'Div 6'!$D$77:$D$79</definedName>
    <definedName name="OSRRefD25x_0" localSheetId="2">Summary!$D$169:$D$176</definedName>
    <definedName name="OSRRefH13x_0" localSheetId="48">'300'!$H$13:$H$19</definedName>
    <definedName name="OSRRefH13x_0" localSheetId="49">'300 &amp; 317'!$H$13:$H$19</definedName>
    <definedName name="OSRRefH13x_0" localSheetId="55">'307'!$H$13:$H$16</definedName>
    <definedName name="OSRRefH13x_0" localSheetId="51">'308'!$H$13:$H$17</definedName>
    <definedName name="OSRRefH13x_0" localSheetId="64">'309'!$H$13:$H$16</definedName>
    <definedName name="OSRRefH13x_0" localSheetId="63">'310'!$H$13:$H$18</definedName>
    <definedName name="OSRRefH13x_0" localSheetId="69">'310 &amp; 491'!$H$13:$H$18</definedName>
    <definedName name="OSRRefH13x_0" localSheetId="52">'311'!$H$13:$H$17</definedName>
    <definedName name="OSRRefH13x_0" localSheetId="58">'315'!$H$13:$H$17</definedName>
    <definedName name="OSRRefH13x_0" localSheetId="60">'316'!$H$13:$H$17</definedName>
    <definedName name="OSRRefH13x_0" localSheetId="62">'317'!$H$13:$H$17</definedName>
    <definedName name="OSRRefH13x_0" localSheetId="65">'321'!$H$13:$H$14</definedName>
    <definedName name="OSRRefH13x_0" localSheetId="53">'324'!$H$13:$H$14</definedName>
    <definedName name="OSRRefH13x_0" localSheetId="66">'325'!$H$13:$H$14</definedName>
    <definedName name="OSRRefH13x_0" localSheetId="59">'326'!$H$13:$H$16</definedName>
    <definedName name="OSRRefH13x_0" localSheetId="67">'327'!$H$13:$H$15</definedName>
    <definedName name="OSRRefH13x_0" localSheetId="56">'331'!$H$13:$H$17</definedName>
    <definedName name="OSRRefH13x_0" localSheetId="57">'332'!$H$13:$H$17</definedName>
    <definedName name="OSRRefH13x_0" localSheetId="54">'333'!$H$13:$H$17</definedName>
    <definedName name="OSRRefH13x_0" localSheetId="71">'405'!$H$13:$H$16</definedName>
    <definedName name="OSRRefH13x_0" localSheetId="77">'415'!$H$13:$H$16</definedName>
    <definedName name="OSRRefH13x_0" localSheetId="78">'418'!$H$13:$H$14</definedName>
    <definedName name="OSRRefH13x_0" localSheetId="81">'425'!$H$13</definedName>
    <definedName name="OSRRefH13x_0" localSheetId="84">'433'!$H$13:$H$16</definedName>
    <definedName name="OSRRefH13x_0" localSheetId="85">'435'!$H$13:$H$14</definedName>
    <definedName name="OSRRefH13x_0" localSheetId="86">'444'!$H$13:$H$16</definedName>
    <definedName name="OSRRefH13x_0" localSheetId="87">'450'!$H$13:$H$16</definedName>
    <definedName name="OSRRefH13x_0" localSheetId="70">'491'!$H$13:$H$17</definedName>
    <definedName name="OSRRefH13x_0" localSheetId="82">'492'!$H$13:$H$18</definedName>
    <definedName name="OSRRefH13x_0" localSheetId="89">'501'!$H$13</definedName>
    <definedName name="OSRRefH13x_0" localSheetId="47">'Div 3'!$H$13:$H$23</definedName>
    <definedName name="OSRRefH13x_0" localSheetId="68">'Div 4'!$H$13:$H$20</definedName>
    <definedName name="OSRRefH13x_0" localSheetId="88">'Div 5'!$H$13</definedName>
    <definedName name="OSRRefH13x_0" localSheetId="61">'Div 6'!$H$13:$H$17</definedName>
    <definedName name="OSRRefH13x_0" localSheetId="2">Summary!$H$13:$H$25</definedName>
    <definedName name="OSRRefH16x_0" localSheetId="48">'300'!$H$22:$H$48</definedName>
    <definedName name="OSRRefH16x_0" localSheetId="49">'300 &amp; 317'!$H$22:$H$54</definedName>
    <definedName name="OSRRefH16x_0" localSheetId="50">'301'!$H$15</definedName>
    <definedName name="OSRRefH16x_0" localSheetId="55">'307'!$H$19:$H$28</definedName>
    <definedName name="OSRRefH16x_0" localSheetId="51">'308'!$H$20:$H$29</definedName>
    <definedName name="OSRRefH16x_0" localSheetId="64">'309'!$H$19:$H$20</definedName>
    <definedName name="OSRRefH16x_0" localSheetId="63">'310'!$H$21:$H$23</definedName>
    <definedName name="OSRRefH16x_0" localSheetId="69">'310 &amp; 491'!$H$21:$H$23</definedName>
    <definedName name="OSRRefH16x_0" localSheetId="52">'311'!$H$20:$H$29</definedName>
    <definedName name="OSRRefH16x_0" localSheetId="58">'315'!$H$20:$H$38</definedName>
    <definedName name="OSRRefH16x_0" localSheetId="60">'316'!$H$20:$H$21</definedName>
    <definedName name="OSRRefH16x_0" localSheetId="62">'317'!$H$20:$H$29</definedName>
    <definedName name="OSRRefH16x_0" localSheetId="65">'321'!$H$17:$H$18</definedName>
    <definedName name="OSRRefH16x_0" localSheetId="53">'324'!$H$17</definedName>
    <definedName name="OSRRefH16x_0" localSheetId="66">'325'!$H$17:$H$19</definedName>
    <definedName name="OSRRefH16x_0" localSheetId="59">'326'!$H$19:$H$22</definedName>
    <definedName name="OSRRefH16x_0" localSheetId="67">'327'!$H$18:$H$20</definedName>
    <definedName name="OSRRefH16x_0" localSheetId="56">'331'!$H$20:$H$38</definedName>
    <definedName name="OSRRefH16x_0" localSheetId="57">'332'!$H$20:$H$21</definedName>
    <definedName name="OSRRefH16x_0" localSheetId="54">'333'!$H$20:$H$40</definedName>
    <definedName name="OSRRefH16x_0" localSheetId="71">'405'!$H$19:$H$21</definedName>
    <definedName name="OSRRefH16x_0" localSheetId="77">'415'!$H$19:$H$21</definedName>
    <definedName name="OSRRefH16x_0" localSheetId="78">'418'!$H$17:$H$18</definedName>
    <definedName name="OSRRefH16x_0" localSheetId="81">'425'!$H$16</definedName>
    <definedName name="OSRRefH16x_0" localSheetId="84">'433'!$H$19:$H$21</definedName>
    <definedName name="OSRRefH16x_0" localSheetId="86">'444'!$H$19:$H$21</definedName>
    <definedName name="OSRRefH16x_0" localSheetId="87">'450'!$H$19:$H$21</definedName>
    <definedName name="OSRRefH16x_0" localSheetId="70">'491'!$H$20:$H$22</definedName>
    <definedName name="OSRRefH16x_0" localSheetId="82">'492'!$H$21:$H$23</definedName>
    <definedName name="OSRRefH16x_0" localSheetId="47">'Div 3'!$H$26:$H$54</definedName>
    <definedName name="OSRRefH16x_0" localSheetId="68">'Div 4'!$H$23:$H$25</definedName>
    <definedName name="OSRRefH16x_0" localSheetId="61">'Div 6'!$H$20:$H$29</definedName>
    <definedName name="OSRRefH16x_0" localSheetId="2">Summary!$H$28:$H$62</definedName>
    <definedName name="OSRRefH22_0x_0" localSheetId="40">'200'!$H$20</definedName>
    <definedName name="OSRRefH22_0x_0" localSheetId="41">'201'!$H$20:$H$28</definedName>
    <definedName name="OSRRefH22_0x_0" localSheetId="42">'202'!$H$20:$H$28</definedName>
    <definedName name="OSRRefH22_0x_0" localSheetId="43">'203'!$H$20:$H$29</definedName>
    <definedName name="OSRRefH22_0x_0" localSheetId="44">'204'!$H$20:$H$28</definedName>
    <definedName name="OSRRefH22_0x_0" localSheetId="45">'205'!$H$20:$H$28</definedName>
    <definedName name="OSRRefH22_0x_0" localSheetId="46">'206'!$H$20:$H$28</definedName>
    <definedName name="OSRRefH22_0x_0" localSheetId="48">'300'!$H$54:$H$63</definedName>
    <definedName name="OSRRefH22_0x_0" localSheetId="49">'300 &amp; 317'!$H$60:$H$69</definedName>
    <definedName name="OSRRefH22_0x_0" localSheetId="50">'301'!$H$21:$H$30</definedName>
    <definedName name="OSRRefH22_0x_0" localSheetId="55">'307'!$H$34:$H$41</definedName>
    <definedName name="OSRRefH22_0x_0" localSheetId="51">'308'!$H$35:$H$44</definedName>
    <definedName name="OSRRefH22_0x_0" localSheetId="64">'309'!$H$26:$H$27</definedName>
    <definedName name="OSRRefH22_0x_0" localSheetId="63">'310'!$H$29:$H$38</definedName>
    <definedName name="OSRRefH22_0x_0" localSheetId="69">'310 &amp; 491'!$H$29:$H$38</definedName>
    <definedName name="OSRRefH22_0x_0" localSheetId="52">'311'!$H$35:$H$44</definedName>
    <definedName name="OSRRefH22_0x_0" localSheetId="58">'315'!$H$44:$H$52</definedName>
    <definedName name="OSRRefH22_0x_0" localSheetId="60">'316'!$H$27:$H$35</definedName>
    <definedName name="OSRRefH22_0x_0" localSheetId="62">'317'!$H$35:$H$44</definedName>
    <definedName name="OSRRefH22_0x_0" localSheetId="65">'321'!$H$24:$H$33</definedName>
    <definedName name="OSRRefH22_0x_0" localSheetId="66">'325'!$H$25:$H$33</definedName>
    <definedName name="OSRRefH22_0x_0" localSheetId="59">'326'!$H$28:$H$36</definedName>
    <definedName name="OSRRefH22_0x_0" localSheetId="67">'327'!$H$26</definedName>
    <definedName name="OSRRefH22_0x_0" localSheetId="56">'331'!$H$44:$H$52</definedName>
    <definedName name="OSRRefH22_0x_0" localSheetId="57">'332'!$H$27:$H$35</definedName>
    <definedName name="OSRRefH22_0x_0" localSheetId="54">'333'!$H$46:$H$54</definedName>
    <definedName name="OSRRefH22_0x_0" localSheetId="71">'405'!$H$27:$H$35</definedName>
    <definedName name="OSRRefH22_0x_0" localSheetId="72">'406'!$H$20</definedName>
    <definedName name="OSRRefH22_0x_0" localSheetId="73">'411'!$H$20:$H$28</definedName>
    <definedName name="OSRRefH22_0x_0" localSheetId="74">'412'!$H$20</definedName>
    <definedName name="OSRRefH22_0x_0" localSheetId="75">'413'!$H$20</definedName>
    <definedName name="OSRRefH22_0x_0" localSheetId="76">'414'!$H$20</definedName>
    <definedName name="OSRRefH22_0x_0" localSheetId="77">'415'!$H$27:$H$36</definedName>
    <definedName name="OSRRefH22_0x_0" localSheetId="78">'418'!$H$24:$H$32</definedName>
    <definedName name="OSRRefH22_0x_0" localSheetId="79">'423'!$H$20:$H$27</definedName>
    <definedName name="OSRRefH22_0x_0" localSheetId="80">'424'!$H$20</definedName>
    <definedName name="OSRRefH22_0x_0" localSheetId="81">'425'!$H$22</definedName>
    <definedName name="OSRRefH22_0x_0" localSheetId="83">'430'!$H$20:$H$28</definedName>
    <definedName name="OSRRefH22_0x_0" localSheetId="84">'433'!$H$27:$H$36</definedName>
    <definedName name="OSRRefH22_0x_0" localSheetId="85">'435'!$H$22</definedName>
    <definedName name="OSRRefH22_0x_0" localSheetId="86">'444'!$H$27:$H$36</definedName>
    <definedName name="OSRRefH22_0x_0" localSheetId="87">'450'!$H$27:$H$36</definedName>
    <definedName name="OSRRefH22_0x_0" localSheetId="70">'491'!$H$28:$H$37</definedName>
    <definedName name="OSRRefH22_0x_0" localSheetId="82">'492'!$H$29:$H$38</definedName>
    <definedName name="OSRRefH22_0x_0" localSheetId="89">'501'!$H$21:$H$30</definedName>
    <definedName name="OSRRefH22_0x_0" localSheetId="39">'Div 2'!$H$20:$H$30</definedName>
    <definedName name="OSRRefH22_0x_0" localSheetId="47">'Div 3'!$H$60:$H$69</definedName>
    <definedName name="OSRRefH22_0x_0" localSheetId="68">'Div 4'!$H$31:$H$40</definedName>
    <definedName name="OSRRefH22_0x_0" localSheetId="88">'Div 5'!$H$21:$H$30</definedName>
    <definedName name="OSRRefH22_0x_0" localSheetId="61">'Div 6'!$H$35:$H$44</definedName>
    <definedName name="OSRRefH22_0x_0" localSheetId="2">Summary!$H$68:$H$77</definedName>
    <definedName name="OSRRefH22_10x_0" localSheetId="41">'201'!$H$59:$H$60</definedName>
    <definedName name="OSRRefH22_10x_0" localSheetId="42">'202'!$H$60</definedName>
    <definedName name="OSRRefH22_10x_0" localSheetId="43">'203'!$H$61:$H$62</definedName>
    <definedName name="OSRRefH22_10x_0" localSheetId="44">'204'!$H$63</definedName>
    <definedName name="OSRRefH22_10x_0" localSheetId="48">'300'!$H$94:$H$95</definedName>
    <definedName name="OSRRefH22_10x_0" localSheetId="49">'300 &amp; 317'!$H$100:$H$101</definedName>
    <definedName name="OSRRefH22_10x_0" localSheetId="50">'301'!$H$61</definedName>
    <definedName name="OSRRefH22_10x_0" localSheetId="55">'307'!$H$72:$H$73</definedName>
    <definedName name="OSRRefH22_10x_0" localSheetId="51">'308'!$H$76:$H$77</definedName>
    <definedName name="OSRRefH22_10x_0" localSheetId="64">'309'!$H$50:$H$51</definedName>
    <definedName name="OSRRefH22_10x_0" localSheetId="63">'310'!$H$68</definedName>
    <definedName name="OSRRefH22_10x_0" localSheetId="69">'310 &amp; 491'!$H$69</definedName>
    <definedName name="OSRRefH22_10x_0" localSheetId="52">'311'!$H$76:$H$77</definedName>
    <definedName name="OSRRefH22_10x_0" localSheetId="58">'315'!$H$82</definedName>
    <definedName name="OSRRefH22_10x_0" localSheetId="60">'316'!$H$67:$H$70</definedName>
    <definedName name="OSRRefH22_10x_0" localSheetId="62">'317'!$H$74</definedName>
    <definedName name="OSRRefH22_10x_0" localSheetId="65">'321'!$H$65:$H$68</definedName>
    <definedName name="OSRRefH22_10x_0" localSheetId="66">'325'!$H$63</definedName>
    <definedName name="OSRRefH22_10x_0" localSheetId="59">'326'!$H$66</definedName>
    <definedName name="OSRRefH22_10x_0" localSheetId="56">'331'!$H$83</definedName>
    <definedName name="OSRRefH22_10x_0" localSheetId="57">'332'!$H$67:$H$70</definedName>
    <definedName name="OSRRefH22_10x_0" localSheetId="54">'333'!$H$86</definedName>
    <definedName name="OSRRefH22_10x_0" localSheetId="71">'405'!$H$66:$H$69</definedName>
    <definedName name="OSRRefH22_10x_0" localSheetId="73">'411'!$H$63</definedName>
    <definedName name="OSRRefH22_10x_0" localSheetId="77">'415'!$H$66</definedName>
    <definedName name="OSRRefH22_10x_0" localSheetId="78">'418'!$H$67</definedName>
    <definedName name="OSRRefH22_10x_0" localSheetId="84">'433'!$H$65</definedName>
    <definedName name="OSRRefH22_10x_0" localSheetId="86">'444'!$H$65</definedName>
    <definedName name="OSRRefH22_10x_0" localSheetId="87">'450'!$H$65</definedName>
    <definedName name="OSRRefH22_10x_0" localSheetId="70">'491'!$H$68</definedName>
    <definedName name="OSRRefH22_10x_0" localSheetId="82">'492'!$H$67</definedName>
    <definedName name="OSRRefH22_10x_0" localSheetId="89">'501'!$H$62</definedName>
    <definedName name="OSRRefH22_10x_0" localSheetId="39">'Div 2'!$H$60</definedName>
    <definedName name="OSRRefH22_10x_0" localSheetId="47">'Div 3'!$H$100:$H$101</definedName>
    <definedName name="OSRRefH22_10x_0" localSheetId="68">'Div 4'!$H$71</definedName>
    <definedName name="OSRRefH22_10x_0" localSheetId="88">'Div 5'!$H$62</definedName>
    <definedName name="OSRRefH22_10x_0" localSheetId="61">'Div 6'!$H$74</definedName>
    <definedName name="OSRRefH22_10x_0" localSheetId="2">Summary!$H$108:$H$109</definedName>
    <definedName name="OSRRefH22_11x_0" localSheetId="41">'201'!$H$62</definedName>
    <definedName name="OSRRefH22_11x_0" localSheetId="42">'202'!$H$62</definedName>
    <definedName name="OSRRefH22_11x_0" localSheetId="43">'203'!$H$64:$H$67</definedName>
    <definedName name="OSRRefH22_11x_0" localSheetId="48">'300'!$H$97:$H$98</definedName>
    <definedName name="OSRRefH22_11x_0" localSheetId="49">'300 &amp; 317'!$H$103:$H$104</definedName>
    <definedName name="OSRRefH22_11x_0" localSheetId="50">'301'!$H$63</definedName>
    <definedName name="OSRRefH22_11x_0" localSheetId="55">'307'!$H$75</definedName>
    <definedName name="OSRRefH22_11x_0" localSheetId="51">'308'!$H$79:$H$80</definedName>
    <definedName name="OSRRefH22_11x_0" localSheetId="64">'309'!$H$53</definedName>
    <definedName name="OSRRefH22_11x_0" localSheetId="63">'310'!$H$70:$H$72</definedName>
    <definedName name="OSRRefH22_11x_0" localSheetId="69">'310 &amp; 491'!$H$71</definedName>
    <definedName name="OSRRefH22_11x_0" localSheetId="52">'311'!$H$79:$H$80</definedName>
    <definedName name="OSRRefH22_11x_0" localSheetId="58">'315'!$H$84</definedName>
    <definedName name="OSRRefH22_11x_0" localSheetId="60">'316'!$H$72</definedName>
    <definedName name="OSRRefH22_11x_0" localSheetId="65">'321'!$H$70</definedName>
    <definedName name="OSRRefH22_11x_0" localSheetId="66">'325'!$H$65:$H$67</definedName>
    <definedName name="OSRRefH22_11x_0" localSheetId="59">'326'!$H$68:$H$69</definedName>
    <definedName name="OSRRefH22_11x_0" localSheetId="56">'331'!$H$85</definedName>
    <definedName name="OSRRefH22_11x_0" localSheetId="57">'332'!$H$72</definedName>
    <definedName name="OSRRefH22_11x_0" localSheetId="54">'333'!$H$88</definedName>
    <definedName name="OSRRefH22_11x_0" localSheetId="71">'405'!$H$71</definedName>
    <definedName name="OSRRefH22_11x_0" localSheetId="73">'411'!$H$65:$H$66</definedName>
    <definedName name="OSRRefH22_11x_0" localSheetId="77">'415'!$H$68:$H$69</definedName>
    <definedName name="OSRRefH22_11x_0" localSheetId="78">'418'!$H$69:$H$76</definedName>
    <definedName name="OSRRefH22_11x_0" localSheetId="84">'433'!$H$67:$H$69</definedName>
    <definedName name="OSRRefH22_11x_0" localSheetId="86">'444'!$H$67:$H$68</definedName>
    <definedName name="OSRRefH22_11x_0" localSheetId="87">'450'!$H$67:$H$69</definedName>
    <definedName name="OSRRefH22_11x_0" localSheetId="70">'491'!$H$70</definedName>
    <definedName name="OSRRefH22_11x_0" localSheetId="82">'492'!$H$69</definedName>
    <definedName name="OSRRefH22_11x_0" localSheetId="89">'501'!$H$64:$H$66</definedName>
    <definedName name="OSRRefH22_11x_0" localSheetId="39">'Div 2'!$H$62</definedName>
    <definedName name="OSRRefH22_11x_0" localSheetId="47">'Div 3'!$H$103:$H$104</definedName>
    <definedName name="OSRRefH22_11x_0" localSheetId="68">'Div 4'!$H$73</definedName>
    <definedName name="OSRRefH22_11x_0" localSheetId="88">'Div 5'!$H$64:$H$66</definedName>
    <definedName name="OSRRefH22_11x_0" localSheetId="2">Summary!$H$111:$H$113</definedName>
    <definedName name="OSRRefH22_12x_0" localSheetId="41">'201'!$H$64:$H$65</definedName>
    <definedName name="OSRRefH22_12x_0" localSheetId="42">'202'!$H$64</definedName>
    <definedName name="OSRRefH22_12x_0" localSheetId="43">'203'!$H$69</definedName>
    <definedName name="OSRRefH22_12x_0" localSheetId="48">'300'!$H$100</definedName>
    <definedName name="OSRRefH22_12x_0" localSheetId="49">'300 &amp; 317'!$H$106</definedName>
    <definedName name="OSRRefH22_12x_0" localSheetId="50">'301'!$H$65</definedName>
    <definedName name="OSRRefH22_12x_0" localSheetId="55">'307'!$H$77:$H$80</definedName>
    <definedName name="OSRRefH22_12x_0" localSheetId="51">'308'!$H$82:$H$83</definedName>
    <definedName name="OSRRefH22_12x_0" localSheetId="64">'309'!$H$55</definedName>
    <definedName name="OSRRefH22_12x_0" localSheetId="63">'310'!$H$74</definedName>
    <definedName name="OSRRefH22_12x_0" localSheetId="69">'310 &amp; 491'!$H$73:$H$76</definedName>
    <definedName name="OSRRefH22_12x_0" localSheetId="52">'311'!$H$82:$H$83</definedName>
    <definedName name="OSRRefH22_12x_0" localSheetId="58">'315'!$H$86:$H$87</definedName>
    <definedName name="OSRRefH22_12x_0" localSheetId="65">'321'!$H$72</definedName>
    <definedName name="OSRRefH22_12x_0" localSheetId="66">'325'!$H$69:$H$71</definedName>
    <definedName name="OSRRefH22_12x_0" localSheetId="59">'326'!$H$71:$H$72</definedName>
    <definedName name="OSRRefH22_12x_0" localSheetId="56">'331'!$H$87</definedName>
    <definedName name="OSRRefH22_12x_0" localSheetId="54">'333'!$H$90</definedName>
    <definedName name="OSRRefH22_12x_0" localSheetId="71">'405'!$H$73:$H$81</definedName>
    <definedName name="OSRRefH22_12x_0" localSheetId="73">'411'!$H$68</definedName>
    <definedName name="OSRRefH22_12x_0" localSheetId="77">'415'!$H$71:$H$74</definedName>
    <definedName name="OSRRefH22_12x_0" localSheetId="78">'418'!$H$78:$H$79</definedName>
    <definedName name="OSRRefH22_12x_0" localSheetId="84">'433'!$H$71:$H$74</definedName>
    <definedName name="OSRRefH22_12x_0" localSheetId="86">'444'!$H$70:$H$73</definedName>
    <definedName name="OSRRefH22_12x_0" localSheetId="87">'450'!$H$71:$H$74</definedName>
    <definedName name="OSRRefH22_12x_0" localSheetId="70">'491'!$H$72:$H$75</definedName>
    <definedName name="OSRRefH22_12x_0" localSheetId="82">'492'!$H$71:$H$73</definedName>
    <definedName name="OSRRefH22_12x_0" localSheetId="89">'501'!$H$68</definedName>
    <definedName name="OSRRefH22_12x_0" localSheetId="39">'Div 2'!$H$64:$H$67</definedName>
    <definedName name="OSRRefH22_12x_0" localSheetId="47">'Div 3'!$H$106</definedName>
    <definedName name="OSRRefH22_12x_0" localSheetId="68">'Div 4'!$H$75</definedName>
    <definedName name="OSRRefH22_12x_0" localSheetId="88">'Div 5'!$H$68</definedName>
    <definedName name="OSRRefH22_12x_0" localSheetId="2">Summary!$H$115</definedName>
    <definedName name="OSRRefH22_13x_0" localSheetId="41">'201'!$H$67</definedName>
    <definedName name="OSRRefH22_13x_0" localSheetId="43">'203'!$H$71</definedName>
    <definedName name="OSRRefH22_13x_0" localSheetId="48">'300'!$H$102</definedName>
    <definedName name="OSRRefH22_13x_0" localSheetId="49">'300 &amp; 317'!$H$108</definedName>
    <definedName name="OSRRefH22_13x_0" localSheetId="50">'301'!$H$67</definedName>
    <definedName name="OSRRefH22_13x_0" localSheetId="55">'307'!$H$82</definedName>
    <definedName name="OSRRefH22_13x_0" localSheetId="51">'308'!$H$85</definedName>
    <definedName name="OSRRefH22_13x_0" localSheetId="63">'310'!$H$76:$H$78</definedName>
    <definedName name="OSRRefH22_13x_0" localSheetId="69">'310 &amp; 491'!$H$78:$H$79</definedName>
    <definedName name="OSRRefH22_13x_0" localSheetId="52">'311'!$H$85</definedName>
    <definedName name="OSRRefH22_13x_0" localSheetId="58">'315'!$H$89:$H$91</definedName>
    <definedName name="OSRRefH22_13x_0" localSheetId="66">'325'!$H$73:$H$78</definedName>
    <definedName name="OSRRefH22_13x_0" localSheetId="59">'326'!$H$74:$H$75</definedName>
    <definedName name="OSRRefH22_13x_0" localSheetId="56">'331'!$H$89</definedName>
    <definedName name="OSRRefH22_13x_0" localSheetId="54">'333'!$H$92</definedName>
    <definedName name="OSRRefH22_13x_0" localSheetId="71">'405'!$H$83</definedName>
    <definedName name="OSRRefH22_13x_0" localSheetId="73">'411'!$H$70</definedName>
    <definedName name="OSRRefH22_13x_0" localSheetId="77">'415'!$H$76</definedName>
    <definedName name="OSRRefH22_13x_0" localSheetId="78">'418'!$H$81</definedName>
    <definedName name="OSRRefH22_13x_0" localSheetId="84">'433'!$H$76:$H$83</definedName>
    <definedName name="OSRRefH22_13x_0" localSheetId="86">'444'!$H$75</definedName>
    <definedName name="OSRRefH22_13x_0" localSheetId="87">'450'!$H$76:$H$82</definedName>
    <definedName name="OSRRefH22_13x_0" localSheetId="70">'491'!$H$77</definedName>
    <definedName name="OSRRefH22_13x_0" localSheetId="82">'492'!$H$75:$H$78</definedName>
    <definedName name="OSRRefH22_13x_0" localSheetId="89">'501'!$H$70</definedName>
    <definedName name="OSRRefH22_13x_0" localSheetId="39">'Div 2'!$H$69:$H$72</definedName>
    <definedName name="OSRRefH22_13x_0" localSheetId="47">'Div 3'!$H$108</definedName>
    <definedName name="OSRRefH22_13x_0" localSheetId="68">'Div 4'!$H$77</definedName>
    <definedName name="OSRRefH22_13x_0" localSheetId="88">'Div 5'!$H$70</definedName>
    <definedName name="OSRRefH22_13x_0" localSheetId="2">Summary!$H$117</definedName>
    <definedName name="OSRRefH22_14x_0" localSheetId="41">'201'!$H$69</definedName>
    <definedName name="OSRRefH22_14x_0" localSheetId="43">'203'!$H$73</definedName>
    <definedName name="OSRRefH22_14x_0" localSheetId="48">'300'!$H$104</definedName>
    <definedName name="OSRRefH22_14x_0" localSheetId="49">'300 &amp; 317'!$H$110</definedName>
    <definedName name="OSRRefH22_14x_0" localSheetId="50">'301'!$H$69</definedName>
    <definedName name="OSRRefH22_14x_0" localSheetId="63">'310'!$H$80:$H$85</definedName>
    <definedName name="OSRRefH22_14x_0" localSheetId="69">'310 &amp; 491'!$H$81:$H$85</definedName>
    <definedName name="OSRRefH22_14x_0" localSheetId="58">'315'!$H$93:$H$94</definedName>
    <definedName name="OSRRefH22_14x_0" localSheetId="66">'325'!$H$80:$H$81</definedName>
    <definedName name="OSRRefH22_14x_0" localSheetId="59">'326'!$H$77:$H$79</definedName>
    <definedName name="OSRRefH22_14x_0" localSheetId="56">'331'!$H$91:$H$92</definedName>
    <definedName name="OSRRefH22_14x_0" localSheetId="54">'333'!$H$94:$H$95</definedName>
    <definedName name="OSRRefH22_14x_0" localSheetId="71">'405'!$H$85</definedName>
    <definedName name="OSRRefH22_14x_0" localSheetId="73">'411'!$H$72:$H$73</definedName>
    <definedName name="OSRRefH22_14x_0" localSheetId="77">'415'!$H$78:$H$85</definedName>
    <definedName name="OSRRefH22_14x_0" localSheetId="78">'418'!$H$83</definedName>
    <definedName name="OSRRefH22_14x_0" localSheetId="84">'433'!$H$85</definedName>
    <definedName name="OSRRefH22_14x_0" localSheetId="86">'444'!$H$77:$H$85</definedName>
    <definedName name="OSRRefH22_14x_0" localSheetId="87">'450'!$H$84</definedName>
    <definedName name="OSRRefH22_14x_0" localSheetId="70">'491'!$H$79:$H$83</definedName>
    <definedName name="OSRRefH22_14x_0" localSheetId="82">'492'!$H$80</definedName>
    <definedName name="OSRRefH22_14x_0" localSheetId="39">'Div 2'!$H$74:$H$75</definedName>
    <definedName name="OSRRefH22_14x_0" localSheetId="47">'Div 3'!$H$110</definedName>
    <definedName name="OSRRefH22_14x_0" localSheetId="68">'Div 4'!$H$79:$H$82</definedName>
    <definedName name="OSRRefH22_14x_0" localSheetId="2">Summary!$H$119</definedName>
    <definedName name="OSRRefH22_15x_0" localSheetId="41">'201'!$H$71</definedName>
    <definedName name="OSRRefH22_15x_0" localSheetId="48">'300'!$H$106</definedName>
    <definedName name="OSRRefH22_15x_0" localSheetId="49">'300 &amp; 317'!$H$112</definedName>
    <definedName name="OSRRefH22_15x_0" localSheetId="50">'301'!$H$71:$H$74</definedName>
    <definedName name="OSRRefH22_15x_0" localSheetId="63">'310'!$H$87:$H$88</definedName>
    <definedName name="OSRRefH22_15x_0" localSheetId="69">'310 &amp; 491'!$H$87</definedName>
    <definedName name="OSRRefH22_15x_0" localSheetId="58">'315'!$H$96:$H$99</definedName>
    <definedName name="OSRRefH22_15x_0" localSheetId="66">'325'!$H$83</definedName>
    <definedName name="OSRRefH22_15x_0" localSheetId="59">'326'!$H$81</definedName>
    <definedName name="OSRRefH22_15x_0" localSheetId="56">'331'!$H$94:$H$96</definedName>
    <definedName name="OSRRefH22_15x_0" localSheetId="54">'333'!$H$97:$H$99</definedName>
    <definedName name="OSRRefH22_15x_0" localSheetId="71">'405'!$H$87</definedName>
    <definedName name="OSRRefH22_15x_0" localSheetId="73">'411'!$H$75</definedName>
    <definedName name="OSRRefH22_15x_0" localSheetId="77">'415'!$H$87:$H$88</definedName>
    <definedName name="OSRRefH22_15x_0" localSheetId="78">'418'!$H$85</definedName>
    <definedName name="OSRRefH22_15x_0" localSheetId="84">'433'!$H$87</definedName>
    <definedName name="OSRRefH22_15x_0" localSheetId="86">'444'!$H$87</definedName>
    <definedName name="OSRRefH22_15x_0" localSheetId="87">'450'!$H$86</definedName>
    <definedName name="OSRRefH22_15x_0" localSheetId="70">'491'!$H$85</definedName>
    <definedName name="OSRRefH22_15x_0" localSheetId="82">'492'!$H$82:$H$90</definedName>
    <definedName name="OSRRefH22_15x_0" localSheetId="39">'Div 2'!$H$77:$H$78</definedName>
    <definedName name="OSRRefH22_15x_0" localSheetId="47">'Div 3'!$H$112</definedName>
    <definedName name="OSRRefH22_15x_0" localSheetId="68">'Div 4'!$H$84</definedName>
    <definedName name="OSRRefH22_15x_0" localSheetId="2">Summary!$H$121</definedName>
    <definedName name="OSRRefH22_16x_0" localSheetId="48">'300'!$H$108:$H$111</definedName>
    <definedName name="OSRRefH22_16x_0" localSheetId="49">'300 &amp; 317'!$H$114:$H$117</definedName>
    <definedName name="OSRRefH22_16x_0" localSheetId="50">'301'!$H$76:$H$77</definedName>
    <definedName name="OSRRefH22_16x_0" localSheetId="63">'310'!$H$90</definedName>
    <definedName name="OSRRefH22_16x_0" localSheetId="69">'310 &amp; 491'!$H$89:$H$98</definedName>
    <definedName name="OSRRefH22_16x_0" localSheetId="58">'315'!$H$101</definedName>
    <definedName name="OSRRefH22_16x_0" localSheetId="66">'325'!$H$85</definedName>
    <definedName name="OSRRefH22_16x_0" localSheetId="59">'326'!$H$83:$H$84</definedName>
    <definedName name="OSRRefH22_16x_0" localSheetId="56">'331'!$H$98:$H$99</definedName>
    <definedName name="OSRRefH22_16x_0" localSheetId="54">'333'!$H$101:$H$103</definedName>
    <definedName name="OSRRefH22_16x_0" localSheetId="71">'405'!$H$89</definedName>
    <definedName name="OSRRefH22_16x_0" localSheetId="77">'415'!$H$90</definedName>
    <definedName name="OSRRefH22_16x_0" localSheetId="86">'444'!$H$89</definedName>
    <definedName name="OSRRefH22_16x_0" localSheetId="87">'450'!$H$88</definedName>
    <definedName name="OSRRefH22_16x_0" localSheetId="70">'491'!$H$87:$H$96</definedName>
    <definedName name="OSRRefH22_16x_0" localSheetId="82">'492'!$H$92:$H$93</definedName>
    <definedName name="OSRRefH22_16x_0" localSheetId="39">'Div 2'!$H$80:$H$85</definedName>
    <definedName name="OSRRefH22_16x_0" localSheetId="47">'Div 3'!$H$114</definedName>
    <definedName name="OSRRefH22_16x_0" localSheetId="68">'Div 4'!$H$86:$H$90</definedName>
    <definedName name="OSRRefH22_16x_0" localSheetId="2">Summary!$H$123</definedName>
    <definedName name="OSRRefH22_17x_0" localSheetId="48">'300'!$H$113:$H$116</definedName>
    <definedName name="OSRRefH22_17x_0" localSheetId="49">'300 &amp; 317'!$H$119:$H$122</definedName>
    <definedName name="OSRRefH22_17x_0" localSheetId="50">'301'!$H$79</definedName>
    <definedName name="OSRRefH22_17x_0" localSheetId="63">'310'!$H$92</definedName>
    <definedName name="OSRRefH22_17x_0" localSheetId="69">'310 &amp; 491'!$H$100:$H$101</definedName>
    <definedName name="OSRRefH22_17x_0" localSheetId="58">'315'!$H$103</definedName>
    <definedName name="OSRRefH22_17x_0" localSheetId="59">'326'!$H$86</definedName>
    <definedName name="OSRRefH22_17x_0" localSheetId="56">'331'!$H$101:$H$102</definedName>
    <definedName name="OSRRefH22_17x_0" localSheetId="54">'333'!$H$105:$H$106</definedName>
    <definedName name="OSRRefH22_17x_0" localSheetId="77">'415'!$H$92</definedName>
    <definedName name="OSRRefH22_17x_0" localSheetId="70">'491'!$H$98:$H$99</definedName>
    <definedName name="OSRRefH22_17x_0" localSheetId="82">'492'!$H$95</definedName>
    <definedName name="OSRRefH22_17x_0" localSheetId="39">'Div 2'!$H$87:$H$88</definedName>
    <definedName name="OSRRefH22_17x_0" localSheetId="47">'Div 3'!$H$116:$H$119</definedName>
    <definedName name="OSRRefH22_17x_0" localSheetId="68">'Div 4'!$H$92:$H$93</definedName>
    <definedName name="OSRRefH22_17x_0" localSheetId="2">Summary!$H$125</definedName>
    <definedName name="OSRRefH22_18x_0" localSheetId="48">'300'!$H$118:$H$120</definedName>
    <definedName name="OSRRefH22_18x_0" localSheetId="49">'300 &amp; 317'!$H$124:$H$126</definedName>
    <definedName name="OSRRefH22_18x_0" localSheetId="50">'301'!$H$81:$H$86</definedName>
    <definedName name="OSRRefH22_18x_0" localSheetId="69">'310 &amp; 491'!$H$103</definedName>
    <definedName name="OSRRefH22_18x_0" localSheetId="58">'315'!$H$105</definedName>
    <definedName name="OSRRefH22_18x_0" localSheetId="56">'331'!$H$104:$H$108</definedName>
    <definedName name="OSRRefH22_18x_0" localSheetId="54">'333'!$H$108:$H$113</definedName>
    <definedName name="OSRRefH22_18x_0" localSheetId="70">'491'!$H$101</definedName>
    <definedName name="OSRRefH22_18x_0" localSheetId="82">'492'!$H$97:$H$98</definedName>
    <definedName name="OSRRefH22_18x_0" localSheetId="39">'Div 2'!$H$90</definedName>
    <definedName name="OSRRefH22_18x_0" localSheetId="47">'Div 3'!$H$121:$H$124</definedName>
    <definedName name="OSRRefH22_18x_0" localSheetId="68">'Div 4'!$H$95:$H$104</definedName>
    <definedName name="OSRRefH22_18x_0" localSheetId="2">Summary!$H$127:$H$130</definedName>
    <definedName name="OSRRefH22_19x_0" localSheetId="48">'300'!$H$122:$H$123</definedName>
    <definedName name="OSRRefH22_19x_0" localSheetId="49">'300 &amp; 317'!$H$128:$H$129</definedName>
    <definedName name="OSRRefH22_19x_0" localSheetId="50">'301'!$H$88</definedName>
    <definedName name="OSRRefH22_19x_0" localSheetId="69">'310 &amp; 491'!$H$105:$H$106</definedName>
    <definedName name="OSRRefH22_19x_0" localSheetId="56">'331'!$H$110</definedName>
    <definedName name="OSRRefH22_19x_0" localSheetId="54">'333'!$H$115</definedName>
    <definedName name="OSRRefH22_19x_0" localSheetId="70">'491'!$H$103:$H$104</definedName>
    <definedName name="OSRRefH22_19x_0" localSheetId="39">'Div 2'!$H$92:$H$93</definedName>
    <definedName name="OSRRefH22_19x_0" localSheetId="47">'Div 3'!$H$126:$H$129</definedName>
    <definedName name="OSRRefH22_19x_0" localSheetId="68">'Div 4'!$H$106:$H$107</definedName>
    <definedName name="OSRRefH22_19x_0" localSheetId="2">Summary!$H$132:$H$135</definedName>
    <definedName name="OSRRefH22_1x_0" localSheetId="40">'200'!$H$22</definedName>
    <definedName name="OSRRefH22_1x_0" localSheetId="41">'201'!$H$30:$H$39</definedName>
    <definedName name="OSRRefH22_1x_0" localSheetId="42">'202'!$H$30:$H$39</definedName>
    <definedName name="OSRRefH22_1x_0" localSheetId="43">'203'!$H$31:$H$40</definedName>
    <definedName name="OSRRefH22_1x_0" localSheetId="44">'204'!$H$30:$H$39</definedName>
    <definedName name="OSRRefH22_1x_0" localSheetId="45">'205'!$H$30:$H$39</definedName>
    <definedName name="OSRRefH22_1x_0" localSheetId="46">'206'!$H$30:$H$39</definedName>
    <definedName name="OSRRefH22_1x_0" localSheetId="48">'300'!$H$65:$H$74</definedName>
    <definedName name="OSRRefH22_1x_0" localSheetId="49">'300 &amp; 317'!$H$71:$H$80</definedName>
    <definedName name="OSRRefH22_1x_0" localSheetId="50">'301'!$H$32:$H$41</definedName>
    <definedName name="OSRRefH22_1x_0" localSheetId="55">'307'!$H$43:$H$52</definedName>
    <definedName name="OSRRefH22_1x_0" localSheetId="51">'308'!$H$46:$H$55</definedName>
    <definedName name="OSRRefH22_1x_0" localSheetId="64">'309'!$H$29:$H$30</definedName>
    <definedName name="OSRRefH22_1x_0" localSheetId="63">'310'!$H$40:$H$49</definedName>
    <definedName name="OSRRefH22_1x_0" localSheetId="69">'310 &amp; 491'!$H$40:$H$49</definedName>
    <definedName name="OSRRefH22_1x_0" localSheetId="52">'311'!$H$46:$H$55</definedName>
    <definedName name="OSRRefH22_1x_0" localSheetId="58">'315'!$H$54:$H$63</definedName>
    <definedName name="OSRRefH22_1x_0" localSheetId="60">'316'!$H$37:$H$46</definedName>
    <definedName name="OSRRefH22_1x_0" localSheetId="62">'317'!$H$46:$H$55</definedName>
    <definedName name="OSRRefH22_1x_0" localSheetId="65">'321'!$H$35:$H$44</definedName>
    <definedName name="OSRRefH22_1x_0" localSheetId="66">'325'!$H$35:$H$44</definedName>
    <definedName name="OSRRefH22_1x_0" localSheetId="59">'326'!$H$38:$H$47</definedName>
    <definedName name="OSRRefH22_1x_0" localSheetId="67">'327'!$H$28</definedName>
    <definedName name="OSRRefH22_1x_0" localSheetId="56">'331'!$H$54:$H$63</definedName>
    <definedName name="OSRRefH22_1x_0" localSheetId="57">'332'!$H$37:$H$46</definedName>
    <definedName name="OSRRefH22_1x_0" localSheetId="54">'333'!$H$56:$H$65</definedName>
    <definedName name="OSRRefH22_1x_0" localSheetId="71">'405'!$H$37:$H$46</definedName>
    <definedName name="OSRRefH22_1x_0" localSheetId="72">'406'!$H$22</definedName>
    <definedName name="OSRRefH22_1x_0" localSheetId="73">'411'!$H$30:$H$39</definedName>
    <definedName name="OSRRefH22_1x_0" localSheetId="74">'412'!$H$22</definedName>
    <definedName name="OSRRefH22_1x_0" localSheetId="75">'413'!$H$22</definedName>
    <definedName name="OSRRefH22_1x_0" localSheetId="76">'414'!$H$22</definedName>
    <definedName name="OSRRefH22_1x_0" localSheetId="77">'415'!$H$38:$H$47</definedName>
    <definedName name="OSRRefH22_1x_0" localSheetId="78">'418'!$H$34:$H$43</definedName>
    <definedName name="OSRRefH22_1x_0" localSheetId="79">'423'!$H$29:$H$38</definedName>
    <definedName name="OSRRefH22_1x_0" localSheetId="80">'424'!$H$22</definedName>
    <definedName name="OSRRefH22_1x_0" localSheetId="81">'425'!$H$24</definedName>
    <definedName name="OSRRefH22_1x_0" localSheetId="83">'430'!$H$30:$H$39</definedName>
    <definedName name="OSRRefH22_1x_0" localSheetId="84">'433'!$H$38:$H$47</definedName>
    <definedName name="OSRRefH22_1x_0" localSheetId="85">'435'!$H$24</definedName>
    <definedName name="OSRRefH22_1x_0" localSheetId="86">'444'!$H$38:$H$47</definedName>
    <definedName name="OSRRefH22_1x_0" localSheetId="87">'450'!$H$38:$H$47</definedName>
    <definedName name="OSRRefH22_1x_0" localSheetId="70">'491'!$H$39:$H$48</definedName>
    <definedName name="OSRRefH22_1x_0" localSheetId="82">'492'!$H$40:$H$49</definedName>
    <definedName name="OSRRefH22_1x_0" localSheetId="89">'501'!$H$32:$H$41</definedName>
    <definedName name="OSRRefH22_1x_0" localSheetId="39">'Div 2'!$H$32:$H$41</definedName>
    <definedName name="OSRRefH22_1x_0" localSheetId="47">'Div 3'!$H$71:$H$80</definedName>
    <definedName name="OSRRefH22_1x_0" localSheetId="68">'Div 4'!$H$42:$H$51</definedName>
    <definedName name="OSRRefH22_1x_0" localSheetId="88">'Div 5'!$H$32:$H$41</definedName>
    <definedName name="OSRRefH22_1x_0" localSheetId="61">'Div 6'!$H$46:$H$55</definedName>
    <definedName name="OSRRefH22_1x_0" localSheetId="2">Summary!$H$79:$H$88</definedName>
    <definedName name="OSRRefH22_20x_0" localSheetId="48">'300'!$H$125:$H$131</definedName>
    <definedName name="OSRRefH22_20x_0" localSheetId="49">'300 &amp; 317'!$H$131:$H$137</definedName>
    <definedName name="OSRRefH22_20x_0" localSheetId="50">'301'!$H$90</definedName>
    <definedName name="OSRRefH22_20x_0" localSheetId="69">'310 &amp; 491'!$H$108</definedName>
    <definedName name="OSRRefH22_20x_0" localSheetId="56">'331'!$H$112</definedName>
    <definedName name="OSRRefH22_20x_0" localSheetId="54">'333'!$H$117</definedName>
    <definedName name="OSRRefH22_20x_0" localSheetId="70">'491'!$H$106</definedName>
    <definedName name="OSRRefH22_20x_0" localSheetId="47">'Div 3'!$H$131:$H$132</definedName>
    <definedName name="OSRRefH22_20x_0" localSheetId="68">'Div 4'!$H$109</definedName>
    <definedName name="OSRRefH22_20x_0" localSheetId="2">Summary!$H$137:$H$141</definedName>
    <definedName name="OSRRefH22_21x_0" localSheetId="48">'300'!$H$133:$H$134</definedName>
    <definedName name="OSRRefH22_21x_0" localSheetId="49">'300 &amp; 317'!$H$139:$H$140</definedName>
    <definedName name="OSRRefH22_21x_0" localSheetId="50">'301'!$H$92:$H$93</definedName>
    <definedName name="OSRRefH22_21x_0" localSheetId="56">'331'!$H$114:$H$115</definedName>
    <definedName name="OSRRefH22_21x_0" localSheetId="54">'333'!$H$119:$H$120</definedName>
    <definedName name="OSRRefH22_21x_0" localSheetId="47">'Div 3'!$H$134:$H$140</definedName>
    <definedName name="OSRRefH22_21x_0" localSheetId="68">'Div 4'!$H$111:$H$112</definedName>
    <definedName name="OSRRefH22_21x_0" localSheetId="2">Summary!$H$143:$H$144</definedName>
    <definedName name="OSRRefH22_22x_0" localSheetId="48">'300'!$H$136</definedName>
    <definedName name="OSRRefH22_22x_0" localSheetId="49">'300 &amp; 317'!$H$142</definedName>
    <definedName name="OSRRefH22_22x_0" localSheetId="50">'301'!$H$95</definedName>
    <definedName name="OSRRefH22_22x_0" localSheetId="56">'331'!$H$117</definedName>
    <definedName name="OSRRefH22_22x_0" localSheetId="54">'333'!$H$122</definedName>
    <definedName name="OSRRefH22_22x_0" localSheetId="47">'Div 3'!$H$142:$H$143</definedName>
    <definedName name="OSRRefH22_22x_0" localSheetId="68">'Div 4'!$H$114</definedName>
    <definedName name="OSRRefH22_22x_0" localSheetId="2">Summary!$H$146:$H$155</definedName>
    <definedName name="OSRRefH22_23x_0" localSheetId="48">'300'!$H$138:$H$140</definedName>
    <definedName name="OSRRefH22_23x_0" localSheetId="49">'300 &amp; 317'!$H$144:$H$146</definedName>
    <definedName name="OSRRefH22_23x_0" localSheetId="47">'Div 3'!$H$145</definedName>
    <definedName name="OSRRefH22_23x_0" localSheetId="2">Summary!$H$157:$H$158</definedName>
    <definedName name="OSRRefH22_24x_0" localSheetId="48">'300'!$H$142</definedName>
    <definedName name="OSRRefH22_24x_0" localSheetId="49">'300 &amp; 317'!$H$148</definedName>
    <definedName name="OSRRefH22_24x_0" localSheetId="47">'Div 3'!$H$147:$H$149</definedName>
    <definedName name="OSRRefH22_24x_0" localSheetId="2">Summary!$H$160</definedName>
    <definedName name="OSRRefH22_25x_0" localSheetId="47">'Div 3'!$H$151</definedName>
    <definedName name="OSRRefH22_25x_0" localSheetId="2">Summary!$H$162:$H$164</definedName>
    <definedName name="OSRRefH22_26x_0" localSheetId="2">Summary!$H$166</definedName>
    <definedName name="OSRRefH22_2x_0" localSheetId="40">'200'!$H$24</definedName>
    <definedName name="OSRRefH22_2x_0" localSheetId="41">'201'!$H$41</definedName>
    <definedName name="OSRRefH22_2x_0" localSheetId="42">'202'!$H$41</definedName>
    <definedName name="OSRRefH22_2x_0" localSheetId="43">'203'!$H$42</definedName>
    <definedName name="OSRRefH22_2x_0" localSheetId="44">'204'!$H$41</definedName>
    <definedName name="OSRRefH22_2x_0" localSheetId="45">'205'!$H$41</definedName>
    <definedName name="OSRRefH22_2x_0" localSheetId="46">'206'!$H$41</definedName>
    <definedName name="OSRRefH22_2x_0" localSheetId="48">'300'!$H$76</definedName>
    <definedName name="OSRRefH22_2x_0" localSheetId="49">'300 &amp; 317'!$H$82</definedName>
    <definedName name="OSRRefH22_2x_0" localSheetId="50">'301'!$H$43</definedName>
    <definedName name="OSRRefH22_2x_0" localSheetId="55">'307'!$H$54</definedName>
    <definedName name="OSRRefH22_2x_0" localSheetId="51">'308'!$H$57</definedName>
    <definedName name="OSRRefH22_2x_0" localSheetId="64">'309'!$H$32</definedName>
    <definedName name="OSRRefH22_2x_0" localSheetId="63">'310'!$H$51</definedName>
    <definedName name="OSRRefH22_2x_0" localSheetId="69">'310 &amp; 491'!$H$51</definedName>
    <definedName name="OSRRefH22_2x_0" localSheetId="52">'311'!$H$57</definedName>
    <definedName name="OSRRefH22_2x_0" localSheetId="58">'315'!$H$65</definedName>
    <definedName name="OSRRefH22_2x_0" localSheetId="60">'316'!$H$48</definedName>
    <definedName name="OSRRefH22_2x_0" localSheetId="62">'317'!$H$57</definedName>
    <definedName name="OSRRefH22_2x_0" localSheetId="65">'321'!$H$46</definedName>
    <definedName name="OSRRefH22_2x_0" localSheetId="66">'325'!$H$46</definedName>
    <definedName name="OSRRefH22_2x_0" localSheetId="59">'326'!$H$49</definedName>
    <definedName name="OSRRefH22_2x_0" localSheetId="56">'331'!$H$65</definedName>
    <definedName name="OSRRefH22_2x_0" localSheetId="57">'332'!$H$48</definedName>
    <definedName name="OSRRefH22_2x_0" localSheetId="54">'333'!$H$67</definedName>
    <definedName name="OSRRefH22_2x_0" localSheetId="71">'405'!$H$48</definedName>
    <definedName name="OSRRefH22_2x_0" localSheetId="73">'411'!$H$41</definedName>
    <definedName name="OSRRefH22_2x_0" localSheetId="74">'412'!$H$24</definedName>
    <definedName name="OSRRefH22_2x_0" localSheetId="75">'413'!$H$24</definedName>
    <definedName name="OSRRefH22_2x_0" localSheetId="76">'414'!$H$24</definedName>
    <definedName name="OSRRefH22_2x_0" localSheetId="77">'415'!$H$49</definedName>
    <definedName name="OSRRefH22_2x_0" localSheetId="78">'418'!$H$45</definedName>
    <definedName name="OSRRefH22_2x_0" localSheetId="79">'423'!$H$40</definedName>
    <definedName name="OSRRefH22_2x_0" localSheetId="80">'424'!$H$24</definedName>
    <definedName name="OSRRefH22_2x_0" localSheetId="81">'425'!$H$26</definedName>
    <definedName name="OSRRefH22_2x_0" localSheetId="83">'430'!$H$41</definedName>
    <definedName name="OSRRefH22_2x_0" localSheetId="84">'433'!$H$49</definedName>
    <definedName name="OSRRefH22_2x_0" localSheetId="86">'444'!$H$49</definedName>
    <definedName name="OSRRefH22_2x_0" localSheetId="87">'450'!$H$49</definedName>
    <definedName name="OSRRefH22_2x_0" localSheetId="70">'491'!$H$50</definedName>
    <definedName name="OSRRefH22_2x_0" localSheetId="82">'492'!$H$51</definedName>
    <definedName name="OSRRefH22_2x_0" localSheetId="89">'501'!$H$43</definedName>
    <definedName name="OSRRefH22_2x_0" localSheetId="39">'Div 2'!$H$43</definedName>
    <definedName name="OSRRefH22_2x_0" localSheetId="47">'Div 3'!$H$82</definedName>
    <definedName name="OSRRefH22_2x_0" localSheetId="68">'Div 4'!$H$53</definedName>
    <definedName name="OSRRefH22_2x_0" localSheetId="88">'Div 5'!$H$43</definedName>
    <definedName name="OSRRefH22_2x_0" localSheetId="61">'Div 6'!$H$57</definedName>
    <definedName name="OSRRefH22_2x_0" localSheetId="2">Summary!$H$90</definedName>
    <definedName name="OSRRefH22_3x_0" localSheetId="40">'200'!$H$26:$H$27</definedName>
    <definedName name="OSRRefH22_3x_0" localSheetId="41">'201'!$H$43</definedName>
    <definedName name="OSRRefH22_3x_0" localSheetId="42">'202'!$H$43</definedName>
    <definedName name="OSRRefH22_3x_0" localSheetId="43">'203'!$H$44</definedName>
    <definedName name="OSRRefH22_3x_0" localSheetId="44">'204'!$H$43:$H$44</definedName>
    <definedName name="OSRRefH22_3x_0" localSheetId="45">'205'!$H$43</definedName>
    <definedName name="OSRRefH22_3x_0" localSheetId="46">'206'!$H$43</definedName>
    <definedName name="OSRRefH22_3x_0" localSheetId="48">'300'!$H$78</definedName>
    <definedName name="OSRRefH22_3x_0" localSheetId="49">'300 &amp; 317'!$H$84</definedName>
    <definedName name="OSRRefH22_3x_0" localSheetId="50">'301'!$H$45</definedName>
    <definedName name="OSRRefH22_3x_0" localSheetId="55">'307'!$H$56</definedName>
    <definedName name="OSRRefH22_3x_0" localSheetId="51">'308'!$H$59</definedName>
    <definedName name="OSRRefH22_3x_0" localSheetId="64">'309'!$H$34</definedName>
    <definedName name="OSRRefH22_3x_0" localSheetId="63">'310'!$H$53</definedName>
    <definedName name="OSRRefH22_3x_0" localSheetId="69">'310 &amp; 491'!$H$53</definedName>
    <definedName name="OSRRefH22_3x_0" localSheetId="52">'311'!$H$59</definedName>
    <definedName name="OSRRefH22_3x_0" localSheetId="58">'315'!$H$67</definedName>
    <definedName name="OSRRefH22_3x_0" localSheetId="60">'316'!$H$50</definedName>
    <definedName name="OSRRefH22_3x_0" localSheetId="62">'317'!$H$59</definedName>
    <definedName name="OSRRefH22_3x_0" localSheetId="65">'321'!$H$48</definedName>
    <definedName name="OSRRefH22_3x_0" localSheetId="66">'325'!$H$48</definedName>
    <definedName name="OSRRefH22_3x_0" localSheetId="59">'326'!$H$51</definedName>
    <definedName name="OSRRefH22_3x_0" localSheetId="56">'331'!$H$67</definedName>
    <definedName name="OSRRefH22_3x_0" localSheetId="57">'332'!$H$50</definedName>
    <definedName name="OSRRefH22_3x_0" localSheetId="54">'333'!$H$69</definedName>
    <definedName name="OSRRefH22_3x_0" localSheetId="71">'405'!$H$50</definedName>
    <definedName name="OSRRefH22_3x_0" localSheetId="73">'411'!$H$43:$H$44</definedName>
    <definedName name="OSRRefH22_3x_0" localSheetId="74">'412'!$H$26</definedName>
    <definedName name="OSRRefH22_3x_0" localSheetId="77">'415'!$H$51</definedName>
    <definedName name="OSRRefH22_3x_0" localSheetId="78">'418'!$H$47</definedName>
    <definedName name="OSRRefH22_3x_0" localSheetId="79">'423'!$H$42</definedName>
    <definedName name="OSRRefH22_3x_0" localSheetId="81">'425'!$H$28</definedName>
    <definedName name="OSRRefH22_3x_0" localSheetId="83">'430'!$H$43</definedName>
    <definedName name="OSRRefH22_3x_0" localSheetId="84">'433'!$H$51</definedName>
    <definedName name="OSRRefH22_3x_0" localSheetId="86">'444'!$H$51</definedName>
    <definedName name="OSRRefH22_3x_0" localSheetId="87">'450'!$H$51</definedName>
    <definedName name="OSRRefH22_3x_0" localSheetId="70">'491'!$H$52</definedName>
    <definedName name="OSRRefH22_3x_0" localSheetId="82">'492'!$H$53</definedName>
    <definedName name="OSRRefH22_3x_0" localSheetId="89">'501'!$H$45</definedName>
    <definedName name="OSRRefH22_3x_0" localSheetId="39">'Div 2'!$H$45</definedName>
    <definedName name="OSRRefH22_3x_0" localSheetId="47">'Div 3'!$H$84</definedName>
    <definedName name="OSRRefH22_3x_0" localSheetId="68">'Div 4'!$H$55</definedName>
    <definedName name="OSRRefH22_3x_0" localSheetId="88">'Div 5'!$H$45</definedName>
    <definedName name="OSRRefH22_3x_0" localSheetId="61">'Div 6'!$H$59</definedName>
    <definedName name="OSRRefH22_3x_0" localSheetId="2">Summary!$H$92</definedName>
    <definedName name="OSRRefH22_4x_0" localSheetId="41">'201'!$H$45</definedName>
    <definedName name="OSRRefH22_4x_0" localSheetId="42">'202'!$H$45</definedName>
    <definedName name="OSRRefH22_4x_0" localSheetId="43">'203'!$H$46</definedName>
    <definedName name="OSRRefH22_4x_0" localSheetId="44">'204'!$H$46</definedName>
    <definedName name="OSRRefH22_4x_0" localSheetId="45">'205'!$H$45:$H$46</definedName>
    <definedName name="OSRRefH22_4x_0" localSheetId="46">'206'!$H$45:$H$46</definedName>
    <definedName name="OSRRefH22_4x_0" localSheetId="48">'300'!$H$80</definedName>
    <definedName name="OSRRefH22_4x_0" localSheetId="49">'300 &amp; 317'!$H$86</definedName>
    <definedName name="OSRRefH22_4x_0" localSheetId="50">'301'!$H$47</definedName>
    <definedName name="OSRRefH22_4x_0" localSheetId="55">'307'!$H$58</definedName>
    <definedName name="OSRRefH22_4x_0" localSheetId="51">'308'!$H$61</definedName>
    <definedName name="OSRRefH22_4x_0" localSheetId="64">'309'!$H$36</definedName>
    <definedName name="OSRRefH22_4x_0" localSheetId="63">'310'!$H$55</definedName>
    <definedName name="OSRRefH22_4x_0" localSheetId="69">'310 &amp; 491'!$H$55</definedName>
    <definedName name="OSRRefH22_4x_0" localSheetId="52">'311'!$H$61</definedName>
    <definedName name="OSRRefH22_4x_0" localSheetId="58">'315'!$H$69</definedName>
    <definedName name="OSRRefH22_4x_0" localSheetId="60">'316'!$H$52</definedName>
    <definedName name="OSRRefH22_4x_0" localSheetId="62">'317'!$H$61</definedName>
    <definedName name="OSRRefH22_4x_0" localSheetId="65">'321'!$H$50</definedName>
    <definedName name="OSRRefH22_4x_0" localSheetId="66">'325'!$H$50</definedName>
    <definedName name="OSRRefH22_4x_0" localSheetId="59">'326'!$H$53</definedName>
    <definedName name="OSRRefH22_4x_0" localSheetId="56">'331'!$H$69</definedName>
    <definedName name="OSRRefH22_4x_0" localSheetId="57">'332'!$H$52</definedName>
    <definedName name="OSRRefH22_4x_0" localSheetId="54">'333'!$H$71</definedName>
    <definedName name="OSRRefH22_4x_0" localSheetId="71">'405'!$H$52</definedName>
    <definedName name="OSRRefH22_4x_0" localSheetId="73">'411'!$H$46</definedName>
    <definedName name="OSRRefH22_4x_0" localSheetId="77">'415'!$H$53</definedName>
    <definedName name="OSRRefH22_4x_0" localSheetId="78">'418'!$H$49:$H$50</definedName>
    <definedName name="OSRRefH22_4x_0" localSheetId="79">'423'!$H$44</definedName>
    <definedName name="OSRRefH22_4x_0" localSheetId="81">'425'!$H$30</definedName>
    <definedName name="OSRRefH22_4x_0" localSheetId="83">'430'!$H$45</definedName>
    <definedName name="OSRRefH22_4x_0" localSheetId="84">'433'!$H$53</definedName>
    <definedName name="OSRRefH22_4x_0" localSheetId="86">'444'!$H$53</definedName>
    <definedName name="OSRRefH22_4x_0" localSheetId="87">'450'!$H$53</definedName>
    <definedName name="OSRRefH22_4x_0" localSheetId="70">'491'!$H$54</definedName>
    <definedName name="OSRRefH22_4x_0" localSheetId="82">'492'!$H$55</definedName>
    <definedName name="OSRRefH22_4x_0" localSheetId="89">'501'!$H$47</definedName>
    <definedName name="OSRRefH22_4x_0" localSheetId="39">'Div 2'!$H$47</definedName>
    <definedName name="OSRRefH22_4x_0" localSheetId="47">'Div 3'!$H$86</definedName>
    <definedName name="OSRRefH22_4x_0" localSheetId="68">'Div 4'!$H$57</definedName>
    <definedName name="OSRRefH22_4x_0" localSheetId="88">'Div 5'!$H$47</definedName>
    <definedName name="OSRRefH22_4x_0" localSheetId="61">'Div 6'!$H$61</definedName>
    <definedName name="OSRRefH22_4x_0" localSheetId="2">Summary!$H$94</definedName>
    <definedName name="OSRRefH22_5x_0" localSheetId="41">'201'!$H$47</definedName>
    <definedName name="OSRRefH22_5x_0" localSheetId="42">'202'!$H$47</definedName>
    <definedName name="OSRRefH22_5x_0" localSheetId="43">'203'!$H$48</definedName>
    <definedName name="OSRRefH22_5x_0" localSheetId="44">'204'!$H$48:$H$51</definedName>
    <definedName name="OSRRefH22_5x_0" localSheetId="45">'205'!$H$48</definedName>
    <definedName name="OSRRefH22_5x_0" localSheetId="46">'206'!$H$48</definedName>
    <definedName name="OSRRefH22_5x_0" localSheetId="48">'300'!$H$82:$H$83</definedName>
    <definedName name="OSRRefH22_5x_0" localSheetId="49">'300 &amp; 317'!$H$88:$H$89</definedName>
    <definedName name="OSRRefH22_5x_0" localSheetId="50">'301'!$H$49:$H$50</definedName>
    <definedName name="OSRRefH22_5x_0" localSheetId="55">'307'!$H$60:$H$61</definedName>
    <definedName name="OSRRefH22_5x_0" localSheetId="51">'308'!$H$63</definedName>
    <definedName name="OSRRefH22_5x_0" localSheetId="64">'309'!$H$38</definedName>
    <definedName name="OSRRefH22_5x_0" localSheetId="63">'310'!$H$57:$H$58</definedName>
    <definedName name="OSRRefH22_5x_0" localSheetId="69">'310 &amp; 491'!$H$57:$H$58</definedName>
    <definedName name="OSRRefH22_5x_0" localSheetId="52">'311'!$H$63</definedName>
    <definedName name="OSRRefH22_5x_0" localSheetId="58">'315'!$H$71</definedName>
    <definedName name="OSRRefH22_5x_0" localSheetId="60">'316'!$H$54:$H$55</definedName>
    <definedName name="OSRRefH22_5x_0" localSheetId="62">'317'!$H$63</definedName>
    <definedName name="OSRRefH22_5x_0" localSheetId="65">'321'!$H$52</definedName>
    <definedName name="OSRRefH22_5x_0" localSheetId="66">'325'!$H$52:$H$53</definedName>
    <definedName name="OSRRefH22_5x_0" localSheetId="59">'326'!$H$55</definedName>
    <definedName name="OSRRefH22_5x_0" localSheetId="56">'331'!$H$71</definedName>
    <definedName name="OSRRefH22_5x_0" localSheetId="57">'332'!$H$54:$H$55</definedName>
    <definedName name="OSRRefH22_5x_0" localSheetId="54">'333'!$H$73:$H$74</definedName>
    <definedName name="OSRRefH22_5x_0" localSheetId="71">'405'!$H$54:$H$55</definedName>
    <definedName name="OSRRefH22_5x_0" localSheetId="73">'411'!$H$48</definedName>
    <definedName name="OSRRefH22_5x_0" localSheetId="77">'415'!$H$55:$H$56</definedName>
    <definedName name="OSRRefH22_5x_0" localSheetId="78">'418'!$H$52</definedName>
    <definedName name="OSRRefH22_5x_0" localSheetId="79">'423'!$H$46</definedName>
    <definedName name="OSRRefH22_5x_0" localSheetId="81">'425'!$H$32</definedName>
    <definedName name="OSRRefH22_5x_0" localSheetId="83">'430'!$H$47:$H$48</definedName>
    <definedName name="OSRRefH22_5x_0" localSheetId="84">'433'!$H$55</definedName>
    <definedName name="OSRRefH22_5x_0" localSheetId="86">'444'!$H$55</definedName>
    <definedName name="OSRRefH22_5x_0" localSheetId="87">'450'!$H$55</definedName>
    <definedName name="OSRRefH22_5x_0" localSheetId="70">'491'!$H$56:$H$57</definedName>
    <definedName name="OSRRefH22_5x_0" localSheetId="82">'492'!$H$57</definedName>
    <definedName name="OSRRefH22_5x_0" localSheetId="89">'501'!$H$49:$H$50</definedName>
    <definedName name="OSRRefH22_5x_0" localSheetId="39">'Div 2'!$H$49:$H$50</definedName>
    <definedName name="OSRRefH22_5x_0" localSheetId="47">'Div 3'!$H$88:$H$89</definedName>
    <definedName name="OSRRefH22_5x_0" localSheetId="68">'Div 4'!$H$59:$H$60</definedName>
    <definedName name="OSRRefH22_5x_0" localSheetId="88">'Div 5'!$H$49:$H$50</definedName>
    <definedName name="OSRRefH22_5x_0" localSheetId="61">'Div 6'!$H$63</definedName>
    <definedName name="OSRRefH22_5x_0" localSheetId="2">Summary!$H$96:$H$97</definedName>
    <definedName name="OSRRefH22_6x_0" localSheetId="41">'201'!$H$49</definedName>
    <definedName name="OSRRefH22_6x_0" localSheetId="42">'202'!$H$49</definedName>
    <definedName name="OSRRefH22_6x_0" localSheetId="43">'203'!$H$50</definedName>
    <definedName name="OSRRefH22_6x_0" localSheetId="44">'204'!$H$53:$H$54</definedName>
    <definedName name="OSRRefH22_6x_0" localSheetId="45">'205'!$H$50:$H$52</definedName>
    <definedName name="OSRRefH22_6x_0" localSheetId="46">'206'!$H$50:$H$51</definedName>
    <definedName name="OSRRefH22_6x_0" localSheetId="48">'300'!$H$85:$H$86</definedName>
    <definedName name="OSRRefH22_6x_0" localSheetId="49">'300 &amp; 317'!$H$91:$H$92</definedName>
    <definedName name="OSRRefH22_6x_0" localSheetId="50">'301'!$H$52:$H$53</definedName>
    <definedName name="OSRRefH22_6x_0" localSheetId="55">'307'!$H$63</definedName>
    <definedName name="OSRRefH22_6x_0" localSheetId="51">'308'!$H$65:$H$66</definedName>
    <definedName name="OSRRefH22_6x_0" localSheetId="64">'309'!$H$40</definedName>
    <definedName name="OSRRefH22_6x_0" localSheetId="63">'310'!$H$60</definedName>
    <definedName name="OSRRefH22_6x_0" localSheetId="69">'310 &amp; 491'!$H$60</definedName>
    <definedName name="OSRRefH22_6x_0" localSheetId="52">'311'!$H$65:$H$66</definedName>
    <definedName name="OSRRefH22_6x_0" localSheetId="58">'315'!$H$73</definedName>
    <definedName name="OSRRefH22_6x_0" localSheetId="60">'316'!$H$57</definedName>
    <definedName name="OSRRefH22_6x_0" localSheetId="62">'317'!$H$65</definedName>
    <definedName name="OSRRefH22_6x_0" localSheetId="65">'321'!$H$54</definedName>
    <definedName name="OSRRefH22_6x_0" localSheetId="66">'325'!$H$55</definedName>
    <definedName name="OSRRefH22_6x_0" localSheetId="59">'326'!$H$57:$H$58</definedName>
    <definedName name="OSRRefH22_6x_0" localSheetId="56">'331'!$H$73</definedName>
    <definedName name="OSRRefH22_6x_0" localSheetId="57">'332'!$H$57</definedName>
    <definedName name="OSRRefH22_6x_0" localSheetId="54">'333'!$H$76</definedName>
    <definedName name="OSRRefH22_6x_0" localSheetId="71">'405'!$H$57</definedName>
    <definedName name="OSRRefH22_6x_0" localSheetId="73">'411'!$H$50</definedName>
    <definedName name="OSRRefH22_6x_0" localSheetId="77">'415'!$H$58</definedName>
    <definedName name="OSRRefH22_6x_0" localSheetId="78">'418'!$H$54</definedName>
    <definedName name="OSRRefH22_6x_0" localSheetId="83">'430'!$H$50:$H$51</definedName>
    <definedName name="OSRRefH22_6x_0" localSheetId="84">'433'!$H$57</definedName>
    <definedName name="OSRRefH22_6x_0" localSheetId="86">'444'!$H$57</definedName>
    <definedName name="OSRRefH22_6x_0" localSheetId="87">'450'!$H$57</definedName>
    <definedName name="OSRRefH22_6x_0" localSheetId="70">'491'!$H$59</definedName>
    <definedName name="OSRRefH22_6x_0" localSheetId="82">'492'!$H$59</definedName>
    <definedName name="OSRRefH22_6x_0" localSheetId="89">'501'!$H$52</definedName>
    <definedName name="OSRRefH22_6x_0" localSheetId="39">'Div 2'!$H$52</definedName>
    <definedName name="OSRRefH22_6x_0" localSheetId="47">'Div 3'!$H$91:$H$92</definedName>
    <definedName name="OSRRefH22_6x_0" localSheetId="68">'Div 4'!$H$62</definedName>
    <definedName name="OSRRefH22_6x_0" localSheetId="88">'Div 5'!$H$52</definedName>
    <definedName name="OSRRefH22_6x_0" localSheetId="61">'Div 6'!$H$65</definedName>
    <definedName name="OSRRefH22_6x_0" localSheetId="2">Summary!$H$99:$H$100</definedName>
    <definedName name="OSRRefH22_7x_0" localSheetId="41">'201'!$H$51</definedName>
    <definedName name="OSRRefH22_7x_0" localSheetId="42">'202'!$H$51:$H$53</definedName>
    <definedName name="OSRRefH22_7x_0" localSheetId="43">'203'!$H$52</definedName>
    <definedName name="OSRRefH22_7x_0" localSheetId="44">'204'!$H$56</definedName>
    <definedName name="OSRRefH22_7x_0" localSheetId="45">'205'!$H$54</definedName>
    <definedName name="OSRRefH22_7x_0" localSheetId="46">'206'!$H$53</definedName>
    <definedName name="OSRRefH22_7x_0" localSheetId="48">'300'!$H$88</definedName>
    <definedName name="OSRRefH22_7x_0" localSheetId="49">'300 &amp; 317'!$H$94</definedName>
    <definedName name="OSRRefH22_7x_0" localSheetId="50">'301'!$H$55</definedName>
    <definedName name="OSRRefH22_7x_0" localSheetId="55">'307'!$H$65</definedName>
    <definedName name="OSRRefH22_7x_0" localSheetId="51">'308'!$H$68</definedName>
    <definedName name="OSRRefH22_7x_0" localSheetId="64">'309'!$H$42</definedName>
    <definedName name="OSRRefH22_7x_0" localSheetId="63">'310'!$H$62</definedName>
    <definedName name="OSRRefH22_7x_0" localSheetId="69">'310 &amp; 491'!$H$62</definedName>
    <definedName name="OSRRefH22_7x_0" localSheetId="52">'311'!$H$68</definedName>
    <definedName name="OSRRefH22_7x_0" localSheetId="58">'315'!$H$75</definedName>
    <definedName name="OSRRefH22_7x_0" localSheetId="60">'316'!$H$59:$H$61</definedName>
    <definedName name="OSRRefH22_7x_0" localSheetId="62">'317'!$H$67</definedName>
    <definedName name="OSRRefH22_7x_0" localSheetId="65">'321'!$H$56:$H$57</definedName>
    <definedName name="OSRRefH22_7x_0" localSheetId="66">'325'!$H$57</definedName>
    <definedName name="OSRRefH22_7x_0" localSheetId="59">'326'!$H$60</definedName>
    <definedName name="OSRRefH22_7x_0" localSheetId="56">'331'!$H$75</definedName>
    <definedName name="OSRRefH22_7x_0" localSheetId="57">'332'!$H$59:$H$61</definedName>
    <definedName name="OSRRefH22_7x_0" localSheetId="54">'333'!$H$78</definedName>
    <definedName name="OSRRefH22_7x_0" localSheetId="71">'405'!$H$59</definedName>
    <definedName name="OSRRefH22_7x_0" localSheetId="73">'411'!$H$52</definedName>
    <definedName name="OSRRefH22_7x_0" localSheetId="77">'415'!$H$60</definedName>
    <definedName name="OSRRefH22_7x_0" localSheetId="78">'418'!$H$56:$H$57</definedName>
    <definedName name="OSRRefH22_7x_0" localSheetId="83">'430'!$H$53</definedName>
    <definedName name="OSRRefH22_7x_0" localSheetId="84">'433'!$H$59</definedName>
    <definedName name="OSRRefH22_7x_0" localSheetId="86">'444'!$H$59</definedName>
    <definedName name="OSRRefH22_7x_0" localSheetId="87">'450'!$H$59</definedName>
    <definedName name="OSRRefH22_7x_0" localSheetId="70">'491'!$H$61</definedName>
    <definedName name="OSRRefH22_7x_0" localSheetId="82">'492'!$H$61</definedName>
    <definedName name="OSRRefH22_7x_0" localSheetId="89">'501'!$H$54</definedName>
    <definedName name="OSRRefH22_7x_0" localSheetId="39">'Div 2'!$H$54</definedName>
    <definedName name="OSRRefH22_7x_0" localSheetId="47">'Div 3'!$H$94</definedName>
    <definedName name="OSRRefH22_7x_0" localSheetId="68">'Div 4'!$H$64</definedName>
    <definedName name="OSRRefH22_7x_0" localSheetId="88">'Div 5'!$H$54</definedName>
    <definedName name="OSRRefH22_7x_0" localSheetId="61">'Div 6'!$H$67</definedName>
    <definedName name="OSRRefH22_7x_0" localSheetId="2">Summary!$H$102</definedName>
    <definedName name="OSRRefH22_8x_0" localSheetId="41">'201'!$H$53</definedName>
    <definedName name="OSRRefH22_8x_0" localSheetId="42">'202'!$H$55</definedName>
    <definedName name="OSRRefH22_8x_0" localSheetId="43">'203'!$H$54:$H$56</definedName>
    <definedName name="OSRRefH22_8x_0" localSheetId="44">'204'!$H$58:$H$59</definedName>
    <definedName name="OSRRefH22_8x_0" localSheetId="48">'300'!$H$90</definedName>
    <definedName name="OSRRefH22_8x_0" localSheetId="49">'300 &amp; 317'!$H$96</definedName>
    <definedName name="OSRRefH22_8x_0" localSheetId="50">'301'!$H$57</definedName>
    <definedName name="OSRRefH22_8x_0" localSheetId="55">'307'!$H$67</definedName>
    <definedName name="OSRRefH22_8x_0" localSheetId="51">'308'!$H$70</definedName>
    <definedName name="OSRRefH22_8x_0" localSheetId="64">'309'!$H$44:$H$45</definedName>
    <definedName name="OSRRefH22_8x_0" localSheetId="63">'310'!$H$64</definedName>
    <definedName name="OSRRefH22_8x_0" localSheetId="69">'310 &amp; 491'!$H$64:$H$65</definedName>
    <definedName name="OSRRefH22_8x_0" localSheetId="52">'311'!$H$70</definedName>
    <definedName name="OSRRefH22_8x_0" localSheetId="58">'315'!$H$77:$H$78</definedName>
    <definedName name="OSRRefH22_8x_0" localSheetId="60">'316'!$H$63</definedName>
    <definedName name="OSRRefH22_8x_0" localSheetId="62">'317'!$H$69</definedName>
    <definedName name="OSRRefH22_8x_0" localSheetId="65">'321'!$H$59</definedName>
    <definedName name="OSRRefH22_8x_0" localSheetId="66">'325'!$H$59</definedName>
    <definedName name="OSRRefH22_8x_0" localSheetId="59">'326'!$H$62</definedName>
    <definedName name="OSRRefH22_8x_0" localSheetId="56">'331'!$H$77:$H$78</definedName>
    <definedName name="OSRRefH22_8x_0" localSheetId="57">'332'!$H$63</definedName>
    <definedName name="OSRRefH22_8x_0" localSheetId="54">'333'!$H$80:$H$81</definedName>
    <definedName name="OSRRefH22_8x_0" localSheetId="71">'405'!$H$61</definedName>
    <definedName name="OSRRefH22_8x_0" localSheetId="73">'411'!$H$54:$H$57</definedName>
    <definedName name="OSRRefH22_8x_0" localSheetId="77">'415'!$H$62</definedName>
    <definedName name="OSRRefH22_8x_0" localSheetId="78">'418'!$H$59:$H$60</definedName>
    <definedName name="OSRRefH22_8x_0" localSheetId="83">'430'!$H$55</definedName>
    <definedName name="OSRRefH22_8x_0" localSheetId="84">'433'!$H$61</definedName>
    <definedName name="OSRRefH22_8x_0" localSheetId="86">'444'!$H$61</definedName>
    <definedName name="OSRRefH22_8x_0" localSheetId="87">'450'!$H$61</definedName>
    <definedName name="OSRRefH22_8x_0" localSheetId="70">'491'!$H$63:$H$64</definedName>
    <definedName name="OSRRefH22_8x_0" localSheetId="82">'492'!$H$63</definedName>
    <definedName name="OSRRefH22_8x_0" localSheetId="89">'501'!$H$56</definedName>
    <definedName name="OSRRefH22_8x_0" localSheetId="39">'Div 2'!$H$56</definedName>
    <definedName name="OSRRefH22_8x_0" localSheetId="47">'Div 3'!$H$96</definedName>
    <definedName name="OSRRefH22_8x_0" localSheetId="68">'Div 4'!$H$66</definedName>
    <definedName name="OSRRefH22_8x_0" localSheetId="88">'Div 5'!$H$56</definedName>
    <definedName name="OSRRefH22_8x_0" localSheetId="61">'Div 6'!$H$69</definedName>
    <definedName name="OSRRefH22_8x_0" localSheetId="2">Summary!$H$104</definedName>
    <definedName name="OSRRefH22_9x_0" localSheetId="41">'201'!$H$55:$H$57</definedName>
    <definedName name="OSRRefH22_9x_0" localSheetId="42">'202'!$H$57:$H$58</definedName>
    <definedName name="OSRRefH22_9x_0" localSheetId="43">'203'!$H$58:$H$59</definedName>
    <definedName name="OSRRefH22_9x_0" localSheetId="44">'204'!$H$61</definedName>
    <definedName name="OSRRefH22_9x_0" localSheetId="48">'300'!$H$92</definedName>
    <definedName name="OSRRefH22_9x_0" localSheetId="49">'300 &amp; 317'!$H$98</definedName>
    <definedName name="OSRRefH22_9x_0" localSheetId="50">'301'!$H$59</definedName>
    <definedName name="OSRRefH22_9x_0" localSheetId="55">'307'!$H$69:$H$70</definedName>
    <definedName name="OSRRefH22_9x_0" localSheetId="51">'308'!$H$72:$H$74</definedName>
    <definedName name="OSRRefH22_9x_0" localSheetId="64">'309'!$H$47:$H$48</definedName>
    <definedName name="OSRRefH22_9x_0" localSheetId="63">'310'!$H$66</definedName>
    <definedName name="OSRRefH22_9x_0" localSheetId="69">'310 &amp; 491'!$H$67</definedName>
    <definedName name="OSRRefH22_9x_0" localSheetId="52">'311'!$H$72:$H$74</definedName>
    <definedName name="OSRRefH22_9x_0" localSheetId="58">'315'!$H$80</definedName>
    <definedName name="OSRRefH22_9x_0" localSheetId="60">'316'!$H$65</definedName>
    <definedName name="OSRRefH22_9x_0" localSheetId="62">'317'!$H$71:$H$72</definedName>
    <definedName name="OSRRefH22_9x_0" localSheetId="65">'321'!$H$61:$H$63</definedName>
    <definedName name="OSRRefH22_9x_0" localSheetId="66">'325'!$H$61</definedName>
    <definedName name="OSRRefH22_9x_0" localSheetId="59">'326'!$H$64</definedName>
    <definedName name="OSRRefH22_9x_0" localSheetId="56">'331'!$H$80:$H$81</definedName>
    <definedName name="OSRRefH22_9x_0" localSheetId="57">'332'!$H$65</definedName>
    <definedName name="OSRRefH22_9x_0" localSheetId="54">'333'!$H$83:$H$84</definedName>
    <definedName name="OSRRefH22_9x_0" localSheetId="71">'405'!$H$63:$H$64</definedName>
    <definedName name="OSRRefH22_9x_0" localSheetId="73">'411'!$H$59:$H$61</definedName>
    <definedName name="OSRRefH22_9x_0" localSheetId="77">'415'!$H$64</definedName>
    <definedName name="OSRRefH22_9x_0" localSheetId="78">'418'!$H$62:$H$65</definedName>
    <definedName name="OSRRefH22_9x_0" localSheetId="84">'433'!$H$63</definedName>
    <definedName name="OSRRefH22_9x_0" localSheetId="86">'444'!$H$63</definedName>
    <definedName name="OSRRefH22_9x_0" localSheetId="87">'450'!$H$63</definedName>
    <definedName name="OSRRefH22_9x_0" localSheetId="70">'491'!$H$66</definedName>
    <definedName name="OSRRefH22_9x_0" localSheetId="82">'492'!$H$65</definedName>
    <definedName name="OSRRefH22_9x_0" localSheetId="89">'501'!$H$58:$H$60</definedName>
    <definedName name="OSRRefH22_9x_0" localSheetId="39">'Div 2'!$H$58</definedName>
    <definedName name="OSRRefH22_9x_0" localSheetId="47">'Div 3'!$H$98</definedName>
    <definedName name="OSRRefH22_9x_0" localSheetId="68">'Div 4'!$H$68:$H$69</definedName>
    <definedName name="OSRRefH22_9x_0" localSheetId="88">'Div 5'!$H$58:$H$60</definedName>
    <definedName name="OSRRefH22_9x_0" localSheetId="61">'Div 6'!$H$71:$H$72</definedName>
    <definedName name="OSRRefH22_9x_0" localSheetId="2">Summary!$H$106</definedName>
    <definedName name="OSRRefH22x_0" localSheetId="40">'200'!$H$20,'200'!$H$22,'200'!$H$24,'200'!$H$26:$H$27</definedName>
    <definedName name="OSRRefH22x_0" localSheetId="41">'201'!$H$20:$H$28,'201'!$H$30:$H$39,'201'!$H$41,'201'!$H$43,'201'!$H$45,'201'!$H$47,'201'!$H$49,'201'!$H$51,'201'!$H$53,'201'!$H$55:$H$57,'201'!$H$59:$H$60,'201'!$H$62,'201'!$H$64:$H$65,'201'!$H$67,'201'!$H$69,'201'!$H$71</definedName>
    <definedName name="OSRRefH22x_0" localSheetId="42">'202'!$H$20:$H$28,'202'!$H$30:$H$39,'202'!$H$41,'202'!$H$43,'202'!$H$45,'202'!$H$47,'202'!$H$49,'202'!$H$51:$H$53,'202'!$H$55,'202'!$H$57:$H$58,'202'!$H$60,'202'!$H$62,'202'!$H$64</definedName>
    <definedName name="OSRRefH22x_0" localSheetId="43">'203'!$H$20:$H$29,'203'!$H$31:$H$40,'203'!$H$42,'203'!$H$44,'203'!$H$46,'203'!$H$48,'203'!$H$50,'203'!$H$52,'203'!$H$54:$H$56,'203'!$H$58:$H$59,'203'!$H$61:$H$62,'203'!$H$64:$H$67,'203'!$H$69,'203'!$H$71,'203'!$H$73</definedName>
    <definedName name="OSRRefH22x_0" localSheetId="44">'204'!$H$20:$H$28,'204'!$H$30:$H$39,'204'!$H$41,'204'!$H$43:$H$44,'204'!$H$46,'204'!$H$48:$H$51,'204'!$H$53:$H$54,'204'!$H$56,'204'!$H$58:$H$59,'204'!$H$61,'204'!$H$63</definedName>
    <definedName name="OSRRefH22x_0" localSheetId="45">'205'!$H$20:$H$28,'205'!$H$30:$H$39,'205'!$H$41,'205'!$H$43,'205'!$H$45:$H$46,'205'!$H$48,'205'!$H$50:$H$52,'205'!$H$54</definedName>
    <definedName name="OSRRefH22x_0" localSheetId="46">'206'!$H$20:$H$28,'206'!$H$30:$H$39,'206'!$H$41,'206'!$H$43,'206'!$H$45:$H$46,'206'!$H$48,'206'!$H$50:$H$51,'206'!$H$53</definedName>
    <definedName name="OSRRefH22x_0" localSheetId="48">'300'!$H$54:$H$63,'300'!$H$65:$H$74,'300'!$H$76,'300'!$H$78,'300'!$H$80,'300'!$H$82:$H$83,'300'!$H$85:$H$86,'300'!$H$88,'300'!$H$90,'300'!$H$92,'300'!$H$94:$H$95,'300'!$H$97:$H$98,'300'!$H$100,'300'!$H$102,'300'!$H$104,'300'!$H$106,'300'!$H$108:$H$111,'300'!$H$113:$H$116,'300'!$H$118:$H$120,'300'!$H$122:$H$123,'300'!$H$125:$H$131,'300'!$H$133:$H$134,'300'!$H$136,'300'!$H$138:$H$140,'300'!$H$142</definedName>
    <definedName name="OSRRefH22x_0" localSheetId="49">'300 &amp; 317'!$H$60:$H$69,'300 &amp; 317'!$H$71:$H$80,'300 &amp; 317'!$H$82,'300 &amp; 317'!$H$84,'300 &amp; 317'!$H$86,'300 &amp; 317'!$H$88:$H$89,'300 &amp; 317'!$H$91:$H$92,'300 &amp; 317'!$H$94,'300 &amp; 317'!$H$96,'300 &amp; 317'!$H$98,'300 &amp; 317'!$H$100:$H$101,'300 &amp; 317'!$H$103:$H$104,'300 &amp; 317'!$H$106,'300 &amp; 317'!$H$108,'300 &amp; 317'!$H$110,'300 &amp; 317'!$H$112,'300 &amp; 317'!$H$114:$H$117,'300 &amp; 317'!$H$119:$H$122,'300 &amp; 317'!$H$124:$H$126,'300 &amp; 317'!$H$128:$H$129,'300 &amp; 317'!$H$131:$H$137,'300 &amp; 317'!$H$139:$H$140,'300 &amp; 317'!$H$142,'300 &amp; 317'!$H$144:$H$146,'300 &amp; 317'!$H$148</definedName>
    <definedName name="OSRRefH22x_0" localSheetId="50">'301'!$H$21:$H$30,'301'!$H$32:$H$41,'301'!$H$43,'301'!$H$45,'301'!$H$47,'301'!$H$49:$H$50,'301'!$H$52:$H$53,'301'!$H$55,'301'!$H$57,'301'!$H$59,'301'!$H$61,'301'!$H$63,'301'!$H$65,'301'!$H$67,'301'!$H$69,'301'!$H$71:$H$74,'301'!$H$76:$H$77,'301'!$H$79,'301'!$H$81:$H$86,'301'!$H$88,'301'!$H$90,'301'!$H$92:$H$93,'301'!$H$95</definedName>
    <definedName name="OSRRefH22x_0" localSheetId="55">'307'!$H$34:$H$41,'307'!$H$43:$H$52,'307'!$H$54,'307'!$H$56,'307'!$H$58,'307'!$H$60:$H$61,'307'!$H$63,'307'!$H$65,'307'!$H$67,'307'!$H$69:$H$70,'307'!$H$72:$H$73,'307'!$H$75,'307'!$H$77:$H$80,'307'!$H$82</definedName>
    <definedName name="OSRRefH22x_0" localSheetId="51">'308'!$H$35:$H$44,'308'!$H$46:$H$55,'308'!$H$57,'308'!$H$59,'308'!$H$61,'308'!$H$63,'308'!$H$65:$H$66,'308'!$H$68,'308'!$H$70,'308'!$H$72:$H$74,'308'!$H$76:$H$77,'308'!$H$79:$H$80,'308'!$H$82:$H$83,'308'!$H$85</definedName>
    <definedName name="OSRRefH22x_0" localSheetId="64">'309'!$H$26:$H$27,'309'!$H$29:$H$30,'309'!$H$32,'309'!$H$34,'309'!$H$36,'309'!$H$38,'309'!$H$40,'309'!$H$42,'309'!$H$44:$H$45,'309'!$H$47:$H$48,'309'!$H$50:$H$51,'309'!$H$53,'309'!$H$55</definedName>
    <definedName name="OSRRefH22x_0" localSheetId="63">'310'!$H$29:$H$38,'310'!$H$40:$H$49,'310'!$H$51,'310'!$H$53,'310'!$H$55,'310'!$H$57:$H$58,'310'!$H$60,'310'!$H$62,'310'!$H$64,'310'!$H$66,'310'!$H$68,'310'!$H$70:$H$72,'310'!$H$74,'310'!$H$76:$H$78,'310'!$H$80:$H$85,'310'!$H$87:$H$88,'310'!$H$90,'310'!$H$92</definedName>
    <definedName name="OSRRefH22x_0" localSheetId="69">'310 &amp; 491'!$H$29:$H$38,'310 &amp; 491'!$H$40:$H$49,'310 &amp; 491'!$H$51,'310 &amp; 491'!$H$53,'310 &amp; 491'!$H$55,'310 &amp; 491'!$H$57:$H$58,'310 &amp; 491'!$H$60,'310 &amp; 491'!$H$62,'310 &amp; 491'!$H$64:$H$65,'310 &amp; 491'!$H$67,'310 &amp; 491'!$H$69,'310 &amp; 491'!$H$71,'310 &amp; 491'!$H$73:$H$76,'310 &amp; 491'!$H$78:$H$79,'310 &amp; 491'!$H$81:$H$85,'310 &amp; 491'!$H$87,'310 &amp; 491'!$H$89:$H$98,'310 &amp; 491'!$H$100:$H$101,'310 &amp; 491'!$H$103,'310 &amp; 491'!$H$105:$H$106,'310 &amp; 491'!$H$108</definedName>
    <definedName name="OSRRefH22x_0" localSheetId="52">'311'!$H$35:$H$44,'311'!$H$46:$H$55,'311'!$H$57,'311'!$H$59,'311'!$H$61,'311'!$H$63,'311'!$H$65:$H$66,'311'!$H$68,'311'!$H$70,'311'!$H$72:$H$74,'311'!$H$76:$H$77,'311'!$H$79:$H$80,'311'!$H$82:$H$83,'311'!$H$85</definedName>
    <definedName name="OSRRefH22x_0" localSheetId="58">'315'!$H$44:$H$52,'315'!$H$54:$H$63,'315'!$H$65,'315'!$H$67,'315'!$H$69,'315'!$H$71,'315'!$H$73,'315'!$H$75,'315'!$H$77:$H$78,'315'!$H$80,'315'!$H$82,'315'!$H$84,'315'!$H$86:$H$87,'315'!$H$89:$H$91,'315'!$H$93:$H$94,'315'!$H$96:$H$99,'315'!$H$101,'315'!$H$103,'315'!$H$105</definedName>
    <definedName name="OSRRefH22x_0" localSheetId="60">'316'!$H$27:$H$35,'316'!$H$37:$H$46,'316'!$H$48,'316'!$H$50,'316'!$H$52,'316'!$H$54:$H$55,'316'!$H$57,'316'!$H$59:$H$61,'316'!$H$63,'316'!$H$65,'316'!$H$67:$H$70,'316'!$H$72</definedName>
    <definedName name="OSRRefH22x_0" localSheetId="62">'317'!$H$35:$H$44,'317'!$H$46:$H$55,'317'!$H$57,'317'!$H$59,'317'!$H$61,'317'!$H$63,'317'!$H$65,'317'!$H$67,'317'!$H$69,'317'!$H$71:$H$72,'317'!$H$74</definedName>
    <definedName name="OSRRefH22x_0" localSheetId="65">'321'!$H$24:$H$33,'321'!$H$35:$H$44,'321'!$H$46,'321'!$H$48,'321'!$H$50,'321'!$H$52,'321'!$H$54,'321'!$H$56:$H$57,'321'!$H$59,'321'!$H$61:$H$63,'321'!$H$65:$H$68,'321'!$H$70,'321'!$H$72</definedName>
    <definedName name="OSRRefH22x_0" localSheetId="66">'325'!$H$25:$H$33,'325'!$H$35:$H$44,'325'!$H$46,'325'!$H$48,'325'!$H$50,'325'!$H$52:$H$53,'325'!$H$55,'325'!$H$57,'325'!$H$59,'325'!$H$61,'325'!$H$63,'325'!$H$65:$H$67,'325'!$H$69:$H$71,'325'!$H$73:$H$78,'325'!$H$80:$H$81,'325'!$H$83,'325'!$H$85</definedName>
    <definedName name="OSRRefH22x_0" localSheetId="59">'326'!$H$28:$H$36,'326'!$H$38:$H$47,'326'!$H$49,'326'!$H$51,'326'!$H$53,'326'!$H$55,'326'!$H$57:$H$58,'326'!$H$60,'326'!$H$62,'326'!$H$64,'326'!$H$66,'326'!$H$68:$H$69,'326'!$H$71:$H$72,'326'!$H$74:$H$75,'326'!$H$77:$H$79,'326'!$H$81,'326'!$H$83:$H$84,'326'!$H$86</definedName>
    <definedName name="OSRRefH22x_0" localSheetId="67">'327'!$H$26,'327'!$H$28</definedName>
    <definedName name="OSRRefH22x_0" localSheetId="56">'331'!$H$44:$H$52,'331'!$H$54:$H$63,'331'!$H$65,'331'!$H$67,'331'!$H$69,'331'!$H$71,'331'!$H$73,'331'!$H$75,'331'!$H$77:$H$78,'331'!$H$80:$H$81,'331'!$H$83,'331'!$H$85,'331'!$H$87,'331'!$H$89,'331'!$H$91:$H$92,'331'!$H$94:$H$96,'331'!$H$98:$H$99,'331'!$H$101:$H$102,'331'!$H$104:$H$108,'331'!$H$110,'331'!$H$112,'331'!$H$114:$H$115,'331'!$H$117</definedName>
    <definedName name="OSRRefH22x_0" localSheetId="57">'332'!$H$27:$H$35,'332'!$H$37:$H$46,'332'!$H$48,'332'!$H$50,'332'!$H$52,'332'!$H$54:$H$55,'332'!$H$57,'332'!$H$59:$H$61,'332'!$H$63,'332'!$H$65,'332'!$H$67:$H$70,'332'!$H$72</definedName>
    <definedName name="OSRRefH22x_0" localSheetId="54">'333'!$H$46:$H$54,'333'!$H$56:$H$65,'333'!$H$67,'333'!$H$69,'333'!$H$71,'333'!$H$73:$H$74,'333'!$H$76,'333'!$H$78,'333'!$H$80:$H$81,'333'!$H$83:$H$84,'333'!$H$86,'333'!$H$88,'333'!$H$90,'333'!$H$92,'333'!$H$94:$H$95,'333'!$H$97:$H$99,'333'!$H$101:$H$103,'333'!$H$105:$H$106,'333'!$H$108:$H$113,'333'!$H$115,'333'!$H$117,'333'!$H$119:$H$120,'333'!$H$122</definedName>
    <definedName name="OSRRefH22x_0" localSheetId="71">'405'!$H$27:$H$35,'405'!$H$37:$H$46,'405'!$H$48,'405'!$H$50,'405'!$H$52,'405'!$H$54:$H$55,'405'!$H$57,'405'!$H$59,'405'!$H$61,'405'!$H$63:$H$64,'405'!$H$66:$H$69,'405'!$H$71,'405'!$H$73:$H$81,'405'!$H$83,'405'!$H$85,'405'!$H$87,'405'!$H$89</definedName>
    <definedName name="OSRRefH22x_0" localSheetId="72">'406'!$H$20,'406'!$H$22</definedName>
    <definedName name="OSRRefH22x_0" localSheetId="73">'411'!$H$20:$H$28,'411'!$H$30:$H$39,'411'!$H$41,'411'!$H$43:$H$44,'411'!$H$46,'411'!$H$48,'411'!$H$50,'411'!$H$52,'411'!$H$54:$H$57,'411'!$H$59:$H$61,'411'!$H$63,'411'!$H$65:$H$66,'411'!$H$68,'411'!$H$70,'411'!$H$72:$H$73,'411'!$H$75</definedName>
    <definedName name="OSRRefH22x_0" localSheetId="74">'412'!$H$20,'412'!$H$22,'412'!$H$24,'412'!$H$26</definedName>
    <definedName name="OSRRefH22x_0" localSheetId="75">'413'!$H$20,'413'!$H$22,'413'!$H$24</definedName>
    <definedName name="OSRRefH22x_0" localSheetId="76">'414'!$H$20,'414'!$H$22,'414'!$H$24</definedName>
    <definedName name="OSRRefH22x_0" localSheetId="77">'415'!$H$27:$H$36,'415'!$H$38:$H$47,'415'!$H$49,'415'!$H$51,'415'!$H$53,'415'!$H$55:$H$56,'415'!$H$58,'415'!$H$60,'415'!$H$62,'415'!$H$64,'415'!$H$66,'415'!$H$68:$H$69,'415'!$H$71:$H$74,'415'!$H$76,'415'!$H$78:$H$85,'415'!$H$87:$H$88,'415'!$H$90,'415'!$H$92</definedName>
    <definedName name="OSRRefH22x_0" localSheetId="78">'418'!$H$24:$H$32,'418'!$H$34:$H$43,'418'!$H$45,'418'!$H$47,'418'!$H$49:$H$50,'418'!$H$52,'418'!$H$54,'418'!$H$56:$H$57,'418'!$H$59:$H$60,'418'!$H$62:$H$65,'418'!$H$67,'418'!$H$69:$H$76,'418'!$H$78:$H$79,'418'!$H$81,'418'!$H$83,'418'!$H$85</definedName>
    <definedName name="OSRRefH22x_0" localSheetId="79">'423'!$H$20:$H$27,'423'!$H$29:$H$38,'423'!$H$40,'423'!$H$42,'423'!$H$44,'423'!$H$46</definedName>
    <definedName name="OSRRefH22x_0" localSheetId="80">'424'!$H$20,'424'!$H$22,'424'!$H$24</definedName>
    <definedName name="OSRRefH22x_0" localSheetId="81">'425'!$H$22,'425'!$H$24,'425'!$H$26,'425'!$H$28,'425'!$H$30,'425'!$H$32</definedName>
    <definedName name="OSRRefH22x_0" localSheetId="83">'430'!$H$20:$H$28,'430'!$H$30:$H$39,'430'!$H$41,'430'!$H$43,'430'!$H$45,'430'!$H$47:$H$48,'430'!$H$50:$H$51,'430'!$H$53,'430'!$H$55</definedName>
    <definedName name="OSRRefH22x_0" localSheetId="84">'433'!$H$27:$H$36,'433'!$H$38:$H$47,'433'!$H$49,'433'!$H$51,'433'!$H$53,'433'!$H$55,'433'!$H$57,'433'!$H$59,'433'!$H$61,'433'!$H$63,'433'!$H$65,'433'!$H$67:$H$69,'433'!$H$71:$H$74,'433'!$H$76:$H$83,'433'!$H$85,'433'!$H$87</definedName>
    <definedName name="OSRRefH22x_0" localSheetId="85">'435'!$H$22,'435'!$H$24</definedName>
    <definedName name="OSRRefH22x_0" localSheetId="86">'444'!$H$27:$H$36,'444'!$H$38:$H$47,'444'!$H$49,'444'!$H$51,'444'!$H$53,'444'!$H$55,'444'!$H$57,'444'!$H$59,'444'!$H$61,'444'!$H$63,'444'!$H$65,'444'!$H$67:$H$68,'444'!$H$70:$H$73,'444'!$H$75,'444'!$H$77:$H$85,'444'!$H$87,'444'!$H$89</definedName>
    <definedName name="OSRRefH22x_0" localSheetId="87">'450'!$H$27:$H$36,'450'!$H$38:$H$47,'450'!$H$49,'450'!$H$51,'450'!$H$53,'450'!$H$55,'450'!$H$57,'450'!$H$59,'450'!$H$61,'450'!$H$63,'450'!$H$65,'450'!$H$67:$H$69,'450'!$H$71:$H$74,'450'!$H$76:$H$82,'450'!$H$84,'450'!$H$86,'450'!$H$88</definedName>
    <definedName name="OSRRefH22x_0" localSheetId="70">'491'!$H$28:$H$37,'491'!$H$39:$H$48,'491'!$H$50,'491'!$H$52,'491'!$H$54,'491'!$H$56:$H$57,'491'!$H$59,'491'!$H$61,'491'!$H$63:$H$64,'491'!$H$66,'491'!$H$68,'491'!$H$70,'491'!$H$72:$H$75,'491'!$H$77,'491'!$H$79:$H$83,'491'!$H$85,'491'!$H$87:$H$96,'491'!$H$98:$H$99,'491'!$H$101,'491'!$H$103:$H$104,'491'!$H$106</definedName>
    <definedName name="OSRRefH22x_0" localSheetId="82">'492'!$H$29:$H$38,'492'!$H$40:$H$49,'492'!$H$51,'492'!$H$53,'492'!$H$55,'492'!$H$57,'492'!$H$59,'492'!$H$61,'492'!$H$63,'492'!$H$65,'492'!$H$67,'492'!$H$69,'492'!$H$71:$H$73,'492'!$H$75:$H$78,'492'!$H$80,'492'!$H$82:$H$90,'492'!$H$92:$H$93,'492'!$H$95,'492'!$H$97:$H$98</definedName>
    <definedName name="OSRRefH22x_0" localSheetId="89">'501'!$H$21:$H$30,'501'!$H$32:$H$41,'501'!$H$43,'501'!$H$45,'501'!$H$47,'501'!$H$49:$H$50,'501'!$H$52,'501'!$H$54,'501'!$H$56,'501'!$H$58:$H$60,'501'!$H$62,'501'!$H$64:$H$66,'501'!$H$68,'501'!$H$70</definedName>
    <definedName name="OSRRefH22x_0" localSheetId="39">'Div 2'!$H$20:$H$30,'Div 2'!$H$32:$H$41,'Div 2'!$H$43,'Div 2'!$H$45,'Div 2'!$H$47,'Div 2'!$H$49:$H$50,'Div 2'!$H$52,'Div 2'!$H$54,'Div 2'!$H$56,'Div 2'!$H$58,'Div 2'!$H$60,'Div 2'!$H$62,'Div 2'!$H$64:$H$67,'Div 2'!$H$69:$H$72,'Div 2'!$H$74:$H$75,'Div 2'!$H$77:$H$78,'Div 2'!$H$80:$H$85,'Div 2'!$H$87:$H$88,'Div 2'!$H$90,'Div 2'!$H$92:$H$93</definedName>
    <definedName name="OSRRefH22x_0" localSheetId="47">'Div 3'!$H$60:$H$69,'Div 3'!$H$71:$H$80,'Div 3'!$H$82,'Div 3'!$H$84,'Div 3'!$H$86,'Div 3'!$H$88:$H$89,'Div 3'!$H$91:$H$92,'Div 3'!$H$94,'Div 3'!$H$96,'Div 3'!$H$98,'Div 3'!$H$100:$H$101,'Div 3'!$H$103:$H$104,'Div 3'!$H$106,'Div 3'!$H$108,'Div 3'!$H$110,'Div 3'!$H$112,'Div 3'!$H$114,'Div 3'!$H$116:$H$119,'Div 3'!$H$121:$H$124,'Div 3'!$H$126:$H$129,'Div 3'!$H$131:$H$132,'Div 3'!$H$134:$H$140,'Div 3'!$H$142:$H$143,'Div 3'!$H$145,'Div 3'!$H$147:$H$149,'Div 3'!$H$151</definedName>
    <definedName name="OSRRefH22x_0" localSheetId="68">'Div 4'!$H$31:$H$40,'Div 4'!$H$42:$H$51,'Div 4'!$H$53,'Div 4'!$H$55,'Div 4'!$H$57,'Div 4'!$H$59:$H$60,'Div 4'!$H$62,'Div 4'!$H$64,'Div 4'!$H$66,'Div 4'!$H$68:$H$69,'Div 4'!$H$71,'Div 4'!$H$73,'Div 4'!$H$75,'Div 4'!$H$77,'Div 4'!$H$79:$H$82,'Div 4'!$H$84,'Div 4'!$H$86:$H$90,'Div 4'!$H$92:$H$93,'Div 4'!$H$95:$H$104,'Div 4'!$H$106:$H$107,'Div 4'!$H$109,'Div 4'!$H$111:$H$112,'Div 4'!$H$114</definedName>
    <definedName name="OSRRefH22x_0" localSheetId="88">'Div 5'!$H$21:$H$30,'Div 5'!$H$32:$H$41,'Div 5'!$H$43,'Div 5'!$H$45,'Div 5'!$H$47,'Div 5'!$H$49:$H$50,'Div 5'!$H$52,'Div 5'!$H$54,'Div 5'!$H$56,'Div 5'!$H$58:$H$60,'Div 5'!$H$62,'Div 5'!$H$64:$H$66,'Div 5'!$H$68,'Div 5'!$H$70</definedName>
    <definedName name="OSRRefH22x_0" localSheetId="61">'Div 6'!$H$35:$H$44,'Div 6'!$H$46:$H$55,'Div 6'!$H$57,'Div 6'!$H$59,'Div 6'!$H$61,'Div 6'!$H$63,'Div 6'!$H$65,'Div 6'!$H$67,'Div 6'!$H$69,'Div 6'!$H$71:$H$72,'Div 6'!$H$74</definedName>
    <definedName name="OSRRefH22x_0" localSheetId="2">Summary!$H$68:$H$77,Summary!$H$79:$H$88,Summary!$H$90,Summary!$H$92,Summary!$H$94,Summary!$H$96:$H$97,Summary!$H$99:$H$100,Summary!$H$102,Summary!$H$104,Summary!$H$106,Summary!$H$108:$H$109,Summary!$H$111:$H$113,Summary!$H$115,Summary!$H$117,Summary!$H$119,Summary!$H$121,Summary!$H$123,Summary!$H$125,Summary!$H$127:$H$130,Summary!$H$132:$H$135,Summary!$H$137:$H$141,Summary!$H$143:$H$144,Summary!$H$146:$H$155,Summary!$H$157:$H$158,Summary!$H$160,Summary!$H$162:$H$164,Summary!$H$166</definedName>
    <definedName name="OSRRefH25x_0" localSheetId="48">'300'!$H$145:$H$149</definedName>
    <definedName name="OSRRefH25x_0" localSheetId="49">'300 &amp; 317'!$H$151:$H$157</definedName>
    <definedName name="OSRRefH25x_0" localSheetId="50">'301'!$H$98:$H$99</definedName>
    <definedName name="OSRRefH25x_0" localSheetId="51">'308'!$H$88:$H$91</definedName>
    <definedName name="OSRRefH25x_0" localSheetId="69">'310 &amp; 491'!$H$111:$H$114</definedName>
    <definedName name="OSRRefH25x_0" localSheetId="52">'311'!$H$88:$H$91</definedName>
    <definedName name="OSRRefH25x_0" localSheetId="58">'315'!$H$108:$H$110</definedName>
    <definedName name="OSRRefH25x_0" localSheetId="60">'316'!$H$75</definedName>
    <definedName name="OSRRefH25x_0" localSheetId="62">'317'!$H$77:$H$79</definedName>
    <definedName name="OSRRefH25x_0" localSheetId="56">'331'!$H$120:$H$122</definedName>
    <definedName name="OSRRefH25x_0" localSheetId="57">'332'!$H$75</definedName>
    <definedName name="OSRRefH25x_0" localSheetId="54">'333'!$H$125:$H$127</definedName>
    <definedName name="OSRRefH25x_0" localSheetId="71">'405'!$H$92</definedName>
    <definedName name="OSRRefH25x_0" localSheetId="73">'411'!$H$78</definedName>
    <definedName name="OSRRefH25x_0" localSheetId="77">'415'!$H$95</definedName>
    <definedName name="OSRRefH25x_0" localSheetId="78">'418'!$H$88</definedName>
    <definedName name="OSRRefH25x_0" localSheetId="79">'423'!$H$49:$H$51</definedName>
    <definedName name="OSRRefH25x_0" localSheetId="70">'491'!$H$109:$H$112</definedName>
    <definedName name="OSRRefH25x_0" localSheetId="89">'501'!$H$73</definedName>
    <definedName name="OSRRefH25x_0" localSheetId="47">'Div 3'!$H$154:$H$158</definedName>
    <definedName name="OSRRefH25x_0" localSheetId="68">'Div 4'!$H$117:$H$120</definedName>
    <definedName name="OSRRefH25x_0" localSheetId="88">'Div 5'!$H$73</definedName>
    <definedName name="OSRRefH25x_0" localSheetId="61">'Div 6'!$H$77:$H$79</definedName>
    <definedName name="OSRRefH25x_0" localSheetId="2">Summary!$H$169:$H$176</definedName>
    <definedName name="OSRRefP13x_0" localSheetId="48">'300'!$P$13:$P$19</definedName>
    <definedName name="OSRRefP13x_0" localSheetId="49">'300 &amp; 317'!$P$13:$P$19</definedName>
    <definedName name="OSRRefP13x_0" localSheetId="55">'307'!$P$13:$P$16</definedName>
    <definedName name="OSRRefP13x_0" localSheetId="51">'308'!$P$13:$P$17</definedName>
    <definedName name="OSRRefP13x_0" localSheetId="64">'309'!$P$13:$P$16</definedName>
    <definedName name="OSRRefP13x_0" localSheetId="63">'310'!$P$13:$P$18</definedName>
    <definedName name="OSRRefP13x_0" localSheetId="69">'310 &amp; 491'!$P$13:$P$18</definedName>
    <definedName name="OSRRefP13x_0" localSheetId="52">'311'!$P$13:$P$17</definedName>
    <definedName name="OSRRefP13x_0" localSheetId="58">'315'!$P$13:$P$17</definedName>
    <definedName name="OSRRefP13x_0" localSheetId="60">'316'!$P$13:$P$17</definedName>
    <definedName name="OSRRefP13x_0" localSheetId="62">'317'!$P$13:$P$17</definedName>
    <definedName name="OSRRefP13x_0" localSheetId="65">'321'!$P$13:$P$14</definedName>
    <definedName name="OSRRefP13x_0" localSheetId="53">'324'!$P$13:$P$14</definedName>
    <definedName name="OSRRefP13x_0" localSheetId="66">'325'!$P$13:$P$14</definedName>
    <definedName name="OSRRefP13x_0" localSheetId="59">'326'!$P$13:$P$16</definedName>
    <definedName name="OSRRefP13x_0" localSheetId="67">'327'!$P$13:$P$15</definedName>
    <definedName name="OSRRefP13x_0" localSheetId="56">'331'!$P$13:$P$17</definedName>
    <definedName name="OSRRefP13x_0" localSheetId="57">'332'!$P$13:$P$17</definedName>
    <definedName name="OSRRefP13x_0" localSheetId="54">'333'!$P$13:$P$17</definedName>
    <definedName name="OSRRefP13x_0" localSheetId="71">'405'!$P$13:$P$16</definedName>
    <definedName name="OSRRefP13x_0" localSheetId="77">'415'!$P$13:$P$16</definedName>
    <definedName name="OSRRefP13x_0" localSheetId="78">'418'!$P$13:$P$14</definedName>
    <definedName name="OSRRefP13x_0" localSheetId="81">'425'!$P$13</definedName>
    <definedName name="OSRRefP13x_0" localSheetId="84">'433'!$P$13:$P$16</definedName>
    <definedName name="OSRRefP13x_0" localSheetId="85">'435'!$P$13:$P$14</definedName>
    <definedName name="OSRRefP13x_0" localSheetId="86">'444'!$P$13:$P$16</definedName>
    <definedName name="OSRRefP13x_0" localSheetId="87">'450'!$P$13:$P$16</definedName>
    <definedName name="OSRRefP13x_0" localSheetId="70">'491'!$P$13:$P$17</definedName>
    <definedName name="OSRRefP13x_0" localSheetId="82">'492'!$P$13:$P$18</definedName>
    <definedName name="OSRRefP13x_0" localSheetId="89">'501'!$P$13</definedName>
    <definedName name="OSRRefP13x_0" localSheetId="47">'Div 3'!$P$13:$P$23</definedName>
    <definedName name="OSRRefP13x_0" localSheetId="68">'Div 4'!$P$13:$P$20</definedName>
    <definedName name="OSRRefP13x_0" localSheetId="88">'Div 5'!$P$13</definedName>
    <definedName name="OSRRefP13x_0" localSheetId="61">'Div 6'!$P$13:$P$17</definedName>
    <definedName name="OSRRefP13x_0" localSheetId="2">Summary!$P$13:$P$25</definedName>
    <definedName name="OSRRefP16x_0" localSheetId="48">'300'!$P$22:$P$48</definedName>
    <definedName name="OSRRefP16x_0" localSheetId="49">'300 &amp; 317'!$P$22:$P$54</definedName>
    <definedName name="OSRRefP16x_0" localSheetId="50">'301'!$P$15</definedName>
    <definedName name="OSRRefP16x_0" localSheetId="55">'307'!$P$19:$P$28</definedName>
    <definedName name="OSRRefP16x_0" localSheetId="51">'308'!$P$20:$P$29</definedName>
    <definedName name="OSRRefP16x_0" localSheetId="64">'309'!$P$19:$P$20</definedName>
    <definedName name="OSRRefP16x_0" localSheetId="63">'310'!$P$21:$P$23</definedName>
    <definedName name="OSRRefP16x_0" localSheetId="69">'310 &amp; 491'!$P$21:$P$23</definedName>
    <definedName name="OSRRefP16x_0" localSheetId="52">'311'!$P$20:$P$29</definedName>
    <definedName name="OSRRefP16x_0" localSheetId="58">'315'!$P$20:$P$38</definedName>
    <definedName name="OSRRefP16x_0" localSheetId="60">'316'!$P$20:$P$21</definedName>
    <definedName name="OSRRefP16x_0" localSheetId="62">'317'!$P$20:$P$29</definedName>
    <definedName name="OSRRefP16x_0" localSheetId="65">'321'!$P$17:$P$18</definedName>
    <definedName name="OSRRefP16x_0" localSheetId="53">'324'!$P$17</definedName>
    <definedName name="OSRRefP16x_0" localSheetId="66">'325'!$P$17:$P$19</definedName>
    <definedName name="OSRRefP16x_0" localSheetId="59">'326'!$P$19:$P$22</definedName>
    <definedName name="OSRRefP16x_0" localSheetId="67">'327'!$P$18:$P$20</definedName>
    <definedName name="OSRRefP16x_0" localSheetId="56">'331'!$P$20:$P$38</definedName>
    <definedName name="OSRRefP16x_0" localSheetId="57">'332'!$P$20:$P$21</definedName>
    <definedName name="OSRRefP16x_0" localSheetId="54">'333'!$P$20:$P$40</definedName>
    <definedName name="OSRRefP16x_0" localSheetId="71">'405'!$P$19:$P$21</definedName>
    <definedName name="OSRRefP16x_0" localSheetId="77">'415'!$P$19:$P$21</definedName>
    <definedName name="OSRRefP16x_0" localSheetId="78">'418'!$P$17:$P$18</definedName>
    <definedName name="OSRRefP16x_0" localSheetId="81">'425'!$P$16</definedName>
    <definedName name="OSRRefP16x_0" localSheetId="84">'433'!$P$19:$P$21</definedName>
    <definedName name="OSRRefP16x_0" localSheetId="86">'444'!$P$19:$P$21</definedName>
    <definedName name="OSRRefP16x_0" localSheetId="87">'450'!$P$19:$P$21</definedName>
    <definedName name="OSRRefP16x_0" localSheetId="70">'491'!$P$20:$P$22</definedName>
    <definedName name="OSRRefP16x_0" localSheetId="82">'492'!$P$21:$P$23</definedName>
    <definedName name="OSRRefP16x_0" localSheetId="47">'Div 3'!$P$26:$P$54</definedName>
    <definedName name="OSRRefP16x_0" localSheetId="68">'Div 4'!$P$23:$P$25</definedName>
    <definedName name="OSRRefP16x_0" localSheetId="61">'Div 6'!$P$20:$P$29</definedName>
    <definedName name="OSRRefP16x_0" localSheetId="2">Summary!$P$28:$P$62</definedName>
    <definedName name="OSRRefP22_0x_0" localSheetId="40">'200'!$P$20</definedName>
    <definedName name="OSRRefP22_0x_0" localSheetId="41">'201'!$P$20:$P$28</definedName>
    <definedName name="OSRRefP22_0x_0" localSheetId="42">'202'!$P$20:$P$28</definedName>
    <definedName name="OSRRefP22_0x_0" localSheetId="43">'203'!$P$20:$P$29</definedName>
    <definedName name="OSRRefP22_0x_0" localSheetId="44">'204'!$P$20:$P$28</definedName>
    <definedName name="OSRRefP22_0x_0" localSheetId="45">'205'!$P$20:$P$28</definedName>
    <definedName name="OSRRefP22_0x_0" localSheetId="46">'206'!$P$20:$P$28</definedName>
    <definedName name="OSRRefP22_0x_0" localSheetId="48">'300'!$P$54:$P$63</definedName>
    <definedName name="OSRRefP22_0x_0" localSheetId="49">'300 &amp; 317'!$P$60:$P$69</definedName>
    <definedName name="OSRRefP22_0x_0" localSheetId="50">'301'!$P$21:$P$30</definedName>
    <definedName name="OSRRefP22_0x_0" localSheetId="55">'307'!$P$34:$P$41</definedName>
    <definedName name="OSRRefP22_0x_0" localSheetId="51">'308'!$P$35:$P$44</definedName>
    <definedName name="OSRRefP22_0x_0" localSheetId="64">'309'!$P$26:$P$27</definedName>
    <definedName name="OSRRefP22_0x_0" localSheetId="63">'310'!$P$29:$P$38</definedName>
    <definedName name="OSRRefP22_0x_0" localSheetId="69">'310 &amp; 491'!$P$29:$P$38</definedName>
    <definedName name="OSRRefP22_0x_0" localSheetId="52">'311'!$P$35:$P$44</definedName>
    <definedName name="OSRRefP22_0x_0" localSheetId="58">'315'!$P$44:$P$52</definedName>
    <definedName name="OSRRefP22_0x_0" localSheetId="60">'316'!$P$27:$P$35</definedName>
    <definedName name="OSRRefP22_0x_0" localSheetId="62">'317'!$P$35:$P$44</definedName>
    <definedName name="OSRRefP22_0x_0" localSheetId="65">'321'!$P$24:$P$33</definedName>
    <definedName name="OSRRefP22_0x_0" localSheetId="66">'325'!$P$25:$P$33</definedName>
    <definedName name="OSRRefP22_0x_0" localSheetId="59">'326'!$P$28:$P$36</definedName>
    <definedName name="OSRRefP22_0x_0" localSheetId="67">'327'!$P$26</definedName>
    <definedName name="OSRRefP22_0x_0" localSheetId="56">'331'!$P$44:$P$52</definedName>
    <definedName name="OSRRefP22_0x_0" localSheetId="57">'332'!$P$27:$P$35</definedName>
    <definedName name="OSRRefP22_0x_0" localSheetId="54">'333'!$P$46:$P$54</definedName>
    <definedName name="OSRRefP22_0x_0" localSheetId="71">'405'!$P$27:$P$35</definedName>
    <definedName name="OSRRefP22_0x_0" localSheetId="72">'406'!$P$20</definedName>
    <definedName name="OSRRefP22_0x_0" localSheetId="73">'411'!$P$20:$P$28</definedName>
    <definedName name="OSRRefP22_0x_0" localSheetId="74">'412'!$P$20</definedName>
    <definedName name="OSRRefP22_0x_0" localSheetId="75">'413'!$P$20</definedName>
    <definedName name="OSRRefP22_0x_0" localSheetId="76">'414'!$P$20</definedName>
    <definedName name="OSRRefP22_0x_0" localSheetId="77">'415'!$P$27:$P$36</definedName>
    <definedName name="OSRRefP22_0x_0" localSheetId="78">'418'!$P$24:$P$32</definedName>
    <definedName name="OSRRefP22_0x_0" localSheetId="79">'423'!$P$20:$P$27</definedName>
    <definedName name="OSRRefP22_0x_0" localSheetId="80">'424'!$P$20</definedName>
    <definedName name="OSRRefP22_0x_0" localSheetId="81">'425'!$P$22</definedName>
    <definedName name="OSRRefP22_0x_0" localSheetId="83">'430'!$P$20:$P$28</definedName>
    <definedName name="OSRRefP22_0x_0" localSheetId="84">'433'!$P$27:$P$36</definedName>
    <definedName name="OSRRefP22_0x_0" localSheetId="85">'435'!$P$22</definedName>
    <definedName name="OSRRefP22_0x_0" localSheetId="86">'444'!$P$27:$P$36</definedName>
    <definedName name="OSRRefP22_0x_0" localSheetId="87">'450'!$P$27:$P$36</definedName>
    <definedName name="OSRRefP22_0x_0" localSheetId="70">'491'!$P$28:$P$37</definedName>
    <definedName name="OSRRefP22_0x_0" localSheetId="82">'492'!$P$29:$P$38</definedName>
    <definedName name="OSRRefP22_0x_0" localSheetId="89">'501'!$P$21:$P$30</definedName>
    <definedName name="OSRRefP22_0x_0" localSheetId="39">'Div 2'!$P$20:$P$30</definedName>
    <definedName name="OSRRefP22_0x_0" localSheetId="47">'Div 3'!$P$60:$P$69</definedName>
    <definedName name="OSRRefP22_0x_0" localSheetId="68">'Div 4'!$P$31:$P$40</definedName>
    <definedName name="OSRRefP22_0x_0" localSheetId="88">'Div 5'!$P$21:$P$30</definedName>
    <definedName name="OSRRefP22_0x_0" localSheetId="61">'Div 6'!$P$35:$P$44</definedName>
    <definedName name="OSRRefP22_0x_0" localSheetId="2">Summary!$P$68:$P$77</definedName>
    <definedName name="OSRRefP22_10x_0" localSheetId="41">'201'!$P$59:$P$60</definedName>
    <definedName name="OSRRefP22_10x_0" localSheetId="42">'202'!$P$60</definedName>
    <definedName name="OSRRefP22_10x_0" localSheetId="43">'203'!$P$61:$P$62</definedName>
    <definedName name="OSRRefP22_10x_0" localSheetId="44">'204'!$P$63</definedName>
    <definedName name="OSRRefP22_10x_0" localSheetId="48">'300'!$P$94:$P$95</definedName>
    <definedName name="OSRRefP22_10x_0" localSheetId="49">'300 &amp; 317'!$P$100:$P$101</definedName>
    <definedName name="OSRRefP22_10x_0" localSheetId="50">'301'!$P$61</definedName>
    <definedName name="OSRRefP22_10x_0" localSheetId="55">'307'!$P$72:$P$73</definedName>
    <definedName name="OSRRefP22_10x_0" localSheetId="51">'308'!$P$76:$P$77</definedName>
    <definedName name="OSRRefP22_10x_0" localSheetId="64">'309'!$P$50:$P$51</definedName>
    <definedName name="OSRRefP22_10x_0" localSheetId="63">'310'!$P$68</definedName>
    <definedName name="OSRRefP22_10x_0" localSheetId="69">'310 &amp; 491'!$P$69</definedName>
    <definedName name="OSRRefP22_10x_0" localSheetId="52">'311'!$P$76:$P$77</definedName>
    <definedName name="OSRRefP22_10x_0" localSheetId="58">'315'!$P$82</definedName>
    <definedName name="OSRRefP22_10x_0" localSheetId="60">'316'!$P$67:$P$70</definedName>
    <definedName name="OSRRefP22_10x_0" localSheetId="62">'317'!$P$74</definedName>
    <definedName name="OSRRefP22_10x_0" localSheetId="65">'321'!$P$65:$P$68</definedName>
    <definedName name="OSRRefP22_10x_0" localSheetId="66">'325'!$P$63</definedName>
    <definedName name="OSRRefP22_10x_0" localSheetId="59">'326'!$P$66</definedName>
    <definedName name="OSRRefP22_10x_0" localSheetId="56">'331'!$P$83</definedName>
    <definedName name="OSRRefP22_10x_0" localSheetId="57">'332'!$P$67:$P$70</definedName>
    <definedName name="OSRRefP22_10x_0" localSheetId="54">'333'!$P$86</definedName>
    <definedName name="OSRRefP22_10x_0" localSheetId="71">'405'!$P$66:$P$69</definedName>
    <definedName name="OSRRefP22_10x_0" localSheetId="73">'411'!$P$63</definedName>
    <definedName name="OSRRefP22_10x_0" localSheetId="77">'415'!$P$66</definedName>
    <definedName name="OSRRefP22_10x_0" localSheetId="78">'418'!$P$67</definedName>
    <definedName name="OSRRefP22_10x_0" localSheetId="84">'433'!$P$65</definedName>
    <definedName name="OSRRefP22_10x_0" localSheetId="86">'444'!$P$65</definedName>
    <definedName name="OSRRefP22_10x_0" localSheetId="87">'450'!$P$65</definedName>
    <definedName name="OSRRefP22_10x_0" localSheetId="70">'491'!$P$68</definedName>
    <definedName name="OSRRefP22_10x_0" localSheetId="82">'492'!$P$67</definedName>
    <definedName name="OSRRefP22_10x_0" localSheetId="89">'501'!$P$62</definedName>
    <definedName name="OSRRefP22_10x_0" localSheetId="39">'Div 2'!$P$60</definedName>
    <definedName name="OSRRefP22_10x_0" localSheetId="47">'Div 3'!$P$100:$P$101</definedName>
    <definedName name="OSRRefP22_10x_0" localSheetId="68">'Div 4'!$P$71</definedName>
    <definedName name="OSRRefP22_10x_0" localSheetId="88">'Div 5'!$P$62</definedName>
    <definedName name="OSRRefP22_10x_0" localSheetId="61">'Div 6'!$P$74</definedName>
    <definedName name="OSRRefP22_10x_0" localSheetId="2">Summary!$P$108:$P$109</definedName>
    <definedName name="OSRRefP22_11x_0" localSheetId="41">'201'!$P$62</definedName>
    <definedName name="OSRRefP22_11x_0" localSheetId="42">'202'!$P$62</definedName>
    <definedName name="OSRRefP22_11x_0" localSheetId="43">'203'!$P$64:$P$67</definedName>
    <definedName name="OSRRefP22_11x_0" localSheetId="48">'300'!$P$97:$P$98</definedName>
    <definedName name="OSRRefP22_11x_0" localSheetId="49">'300 &amp; 317'!$P$103:$P$104</definedName>
    <definedName name="OSRRefP22_11x_0" localSheetId="50">'301'!$P$63</definedName>
    <definedName name="OSRRefP22_11x_0" localSheetId="55">'307'!$P$75</definedName>
    <definedName name="OSRRefP22_11x_0" localSheetId="51">'308'!$P$79:$P$80</definedName>
    <definedName name="OSRRefP22_11x_0" localSheetId="64">'309'!$P$53</definedName>
    <definedName name="OSRRefP22_11x_0" localSheetId="63">'310'!$P$70:$P$72</definedName>
    <definedName name="OSRRefP22_11x_0" localSheetId="69">'310 &amp; 491'!$P$71</definedName>
    <definedName name="OSRRefP22_11x_0" localSheetId="52">'311'!$P$79:$P$80</definedName>
    <definedName name="OSRRefP22_11x_0" localSheetId="58">'315'!$P$84</definedName>
    <definedName name="OSRRefP22_11x_0" localSheetId="60">'316'!$P$72</definedName>
    <definedName name="OSRRefP22_11x_0" localSheetId="65">'321'!$P$70</definedName>
    <definedName name="OSRRefP22_11x_0" localSheetId="66">'325'!$P$65:$P$67</definedName>
    <definedName name="OSRRefP22_11x_0" localSheetId="59">'326'!$P$68:$P$69</definedName>
    <definedName name="OSRRefP22_11x_0" localSheetId="56">'331'!$P$85</definedName>
    <definedName name="OSRRefP22_11x_0" localSheetId="57">'332'!$P$72</definedName>
    <definedName name="OSRRefP22_11x_0" localSheetId="54">'333'!$P$88</definedName>
    <definedName name="OSRRefP22_11x_0" localSheetId="71">'405'!$P$71</definedName>
    <definedName name="OSRRefP22_11x_0" localSheetId="73">'411'!$P$65:$P$66</definedName>
    <definedName name="OSRRefP22_11x_0" localSheetId="77">'415'!$P$68:$P$69</definedName>
    <definedName name="OSRRefP22_11x_0" localSheetId="78">'418'!$P$69:$P$76</definedName>
    <definedName name="OSRRefP22_11x_0" localSheetId="84">'433'!$P$67:$P$69</definedName>
    <definedName name="OSRRefP22_11x_0" localSheetId="86">'444'!$P$67:$P$68</definedName>
    <definedName name="OSRRefP22_11x_0" localSheetId="87">'450'!$P$67:$P$69</definedName>
    <definedName name="OSRRefP22_11x_0" localSheetId="70">'491'!$P$70</definedName>
    <definedName name="OSRRefP22_11x_0" localSheetId="82">'492'!$P$69</definedName>
    <definedName name="OSRRefP22_11x_0" localSheetId="89">'501'!$P$64:$P$66</definedName>
    <definedName name="OSRRefP22_11x_0" localSheetId="39">'Div 2'!$P$62</definedName>
    <definedName name="OSRRefP22_11x_0" localSheetId="47">'Div 3'!$P$103:$P$104</definedName>
    <definedName name="OSRRefP22_11x_0" localSheetId="68">'Div 4'!$P$73</definedName>
    <definedName name="OSRRefP22_11x_0" localSheetId="88">'Div 5'!$P$64:$P$66</definedName>
    <definedName name="OSRRefP22_11x_0" localSheetId="2">Summary!$P$111:$P$113</definedName>
    <definedName name="OSRRefP22_12x_0" localSheetId="41">'201'!$P$64:$P$65</definedName>
    <definedName name="OSRRefP22_12x_0" localSheetId="42">'202'!$P$64</definedName>
    <definedName name="OSRRefP22_12x_0" localSheetId="43">'203'!$P$69</definedName>
    <definedName name="OSRRefP22_12x_0" localSheetId="48">'300'!$P$100</definedName>
    <definedName name="OSRRefP22_12x_0" localSheetId="49">'300 &amp; 317'!$P$106</definedName>
    <definedName name="OSRRefP22_12x_0" localSheetId="50">'301'!$P$65</definedName>
    <definedName name="OSRRefP22_12x_0" localSheetId="55">'307'!$P$77:$P$80</definedName>
    <definedName name="OSRRefP22_12x_0" localSheetId="51">'308'!$P$82:$P$83</definedName>
    <definedName name="OSRRefP22_12x_0" localSheetId="64">'309'!$P$55</definedName>
    <definedName name="OSRRefP22_12x_0" localSheetId="63">'310'!$P$74</definedName>
    <definedName name="OSRRefP22_12x_0" localSheetId="69">'310 &amp; 491'!$P$73:$P$76</definedName>
    <definedName name="OSRRefP22_12x_0" localSheetId="52">'311'!$P$82:$P$83</definedName>
    <definedName name="OSRRefP22_12x_0" localSheetId="58">'315'!$P$86:$P$87</definedName>
    <definedName name="OSRRefP22_12x_0" localSheetId="65">'321'!$P$72</definedName>
    <definedName name="OSRRefP22_12x_0" localSheetId="66">'325'!$P$69:$P$71</definedName>
    <definedName name="OSRRefP22_12x_0" localSheetId="59">'326'!$P$71:$P$72</definedName>
    <definedName name="OSRRefP22_12x_0" localSheetId="56">'331'!$P$87</definedName>
    <definedName name="OSRRefP22_12x_0" localSheetId="54">'333'!$P$90</definedName>
    <definedName name="OSRRefP22_12x_0" localSheetId="71">'405'!$P$73:$P$81</definedName>
    <definedName name="OSRRefP22_12x_0" localSheetId="73">'411'!$P$68</definedName>
    <definedName name="OSRRefP22_12x_0" localSheetId="77">'415'!$P$71:$P$74</definedName>
    <definedName name="OSRRefP22_12x_0" localSheetId="78">'418'!$P$78:$P$79</definedName>
    <definedName name="OSRRefP22_12x_0" localSheetId="84">'433'!$P$71:$P$74</definedName>
    <definedName name="OSRRefP22_12x_0" localSheetId="86">'444'!$P$70:$P$73</definedName>
    <definedName name="OSRRefP22_12x_0" localSheetId="87">'450'!$P$71:$P$74</definedName>
    <definedName name="OSRRefP22_12x_0" localSheetId="70">'491'!$P$72:$P$75</definedName>
    <definedName name="OSRRefP22_12x_0" localSheetId="82">'492'!$P$71:$P$73</definedName>
    <definedName name="OSRRefP22_12x_0" localSheetId="89">'501'!$P$68</definedName>
    <definedName name="OSRRefP22_12x_0" localSheetId="39">'Div 2'!$P$64:$P$67</definedName>
    <definedName name="OSRRefP22_12x_0" localSheetId="47">'Div 3'!$P$106</definedName>
    <definedName name="OSRRefP22_12x_0" localSheetId="68">'Div 4'!$P$75</definedName>
    <definedName name="OSRRefP22_12x_0" localSheetId="88">'Div 5'!$P$68</definedName>
    <definedName name="OSRRefP22_12x_0" localSheetId="2">Summary!$P$115</definedName>
    <definedName name="OSRRefP22_13x_0" localSheetId="41">'201'!$P$67</definedName>
    <definedName name="OSRRefP22_13x_0" localSheetId="43">'203'!$P$71</definedName>
    <definedName name="OSRRefP22_13x_0" localSheetId="48">'300'!$P$102</definedName>
    <definedName name="OSRRefP22_13x_0" localSheetId="49">'300 &amp; 317'!$P$108</definedName>
    <definedName name="OSRRefP22_13x_0" localSheetId="50">'301'!$P$67</definedName>
    <definedName name="OSRRefP22_13x_0" localSheetId="55">'307'!$P$82</definedName>
    <definedName name="OSRRefP22_13x_0" localSheetId="51">'308'!$P$85</definedName>
    <definedName name="OSRRefP22_13x_0" localSheetId="63">'310'!$P$76:$P$78</definedName>
    <definedName name="OSRRefP22_13x_0" localSheetId="69">'310 &amp; 491'!$P$78:$P$79</definedName>
    <definedName name="OSRRefP22_13x_0" localSheetId="52">'311'!$P$85</definedName>
    <definedName name="OSRRefP22_13x_0" localSheetId="58">'315'!$P$89:$P$91</definedName>
    <definedName name="OSRRefP22_13x_0" localSheetId="66">'325'!$P$73:$P$78</definedName>
    <definedName name="OSRRefP22_13x_0" localSheetId="59">'326'!$P$74:$P$75</definedName>
    <definedName name="OSRRefP22_13x_0" localSheetId="56">'331'!$P$89</definedName>
    <definedName name="OSRRefP22_13x_0" localSheetId="54">'333'!$P$92</definedName>
    <definedName name="OSRRefP22_13x_0" localSheetId="71">'405'!$P$83</definedName>
    <definedName name="OSRRefP22_13x_0" localSheetId="73">'411'!$P$70</definedName>
    <definedName name="OSRRefP22_13x_0" localSheetId="77">'415'!$P$76</definedName>
    <definedName name="OSRRefP22_13x_0" localSheetId="78">'418'!$P$81</definedName>
    <definedName name="OSRRefP22_13x_0" localSheetId="84">'433'!$P$76:$P$83</definedName>
    <definedName name="OSRRefP22_13x_0" localSheetId="86">'444'!$P$75</definedName>
    <definedName name="OSRRefP22_13x_0" localSheetId="87">'450'!$P$76:$P$82</definedName>
    <definedName name="OSRRefP22_13x_0" localSheetId="70">'491'!$P$77</definedName>
    <definedName name="OSRRefP22_13x_0" localSheetId="82">'492'!$P$75:$P$78</definedName>
    <definedName name="OSRRefP22_13x_0" localSheetId="89">'501'!$P$70</definedName>
    <definedName name="OSRRefP22_13x_0" localSheetId="39">'Div 2'!$P$69:$P$72</definedName>
    <definedName name="OSRRefP22_13x_0" localSheetId="47">'Div 3'!$P$108</definedName>
    <definedName name="OSRRefP22_13x_0" localSheetId="68">'Div 4'!$P$77</definedName>
    <definedName name="OSRRefP22_13x_0" localSheetId="88">'Div 5'!$P$70</definedName>
    <definedName name="OSRRefP22_13x_0" localSheetId="2">Summary!$P$117</definedName>
    <definedName name="OSRRefP22_14x_0" localSheetId="41">'201'!$P$69</definedName>
    <definedName name="OSRRefP22_14x_0" localSheetId="43">'203'!$P$73</definedName>
    <definedName name="OSRRefP22_14x_0" localSheetId="48">'300'!$P$104</definedName>
    <definedName name="OSRRefP22_14x_0" localSheetId="49">'300 &amp; 317'!$P$110</definedName>
    <definedName name="OSRRefP22_14x_0" localSheetId="50">'301'!$P$69</definedName>
    <definedName name="OSRRefP22_14x_0" localSheetId="63">'310'!$P$80:$P$85</definedName>
    <definedName name="OSRRefP22_14x_0" localSheetId="69">'310 &amp; 491'!$P$81:$P$85</definedName>
    <definedName name="OSRRefP22_14x_0" localSheetId="58">'315'!$P$93:$P$94</definedName>
    <definedName name="OSRRefP22_14x_0" localSheetId="66">'325'!$P$80:$P$81</definedName>
    <definedName name="OSRRefP22_14x_0" localSheetId="59">'326'!$P$77:$P$79</definedName>
    <definedName name="OSRRefP22_14x_0" localSheetId="56">'331'!$P$91:$P$92</definedName>
    <definedName name="OSRRefP22_14x_0" localSheetId="54">'333'!$P$94:$P$95</definedName>
    <definedName name="OSRRefP22_14x_0" localSheetId="71">'405'!$P$85</definedName>
    <definedName name="OSRRefP22_14x_0" localSheetId="73">'411'!$P$72:$P$73</definedName>
    <definedName name="OSRRefP22_14x_0" localSheetId="77">'415'!$P$78:$P$85</definedName>
    <definedName name="OSRRefP22_14x_0" localSheetId="78">'418'!$P$83</definedName>
    <definedName name="OSRRefP22_14x_0" localSheetId="84">'433'!$P$85</definedName>
    <definedName name="OSRRefP22_14x_0" localSheetId="86">'444'!$P$77:$P$85</definedName>
    <definedName name="OSRRefP22_14x_0" localSheetId="87">'450'!$P$84</definedName>
    <definedName name="OSRRefP22_14x_0" localSheetId="70">'491'!$P$79:$P$83</definedName>
    <definedName name="OSRRefP22_14x_0" localSheetId="82">'492'!$P$80</definedName>
    <definedName name="OSRRefP22_14x_0" localSheetId="39">'Div 2'!$P$74:$P$75</definedName>
    <definedName name="OSRRefP22_14x_0" localSheetId="47">'Div 3'!$P$110</definedName>
    <definedName name="OSRRefP22_14x_0" localSheetId="68">'Div 4'!$P$79:$P$82</definedName>
    <definedName name="OSRRefP22_14x_0" localSheetId="2">Summary!$P$119</definedName>
    <definedName name="OSRRefP22_15x_0" localSheetId="41">'201'!$P$71</definedName>
    <definedName name="OSRRefP22_15x_0" localSheetId="48">'300'!$P$106</definedName>
    <definedName name="OSRRefP22_15x_0" localSheetId="49">'300 &amp; 317'!$P$112</definedName>
    <definedName name="OSRRefP22_15x_0" localSheetId="50">'301'!$P$71:$P$74</definedName>
    <definedName name="OSRRefP22_15x_0" localSheetId="63">'310'!$P$87:$P$88</definedName>
    <definedName name="OSRRefP22_15x_0" localSheetId="69">'310 &amp; 491'!$P$87</definedName>
    <definedName name="OSRRefP22_15x_0" localSheetId="58">'315'!$P$96:$P$99</definedName>
    <definedName name="OSRRefP22_15x_0" localSheetId="66">'325'!$P$83</definedName>
    <definedName name="OSRRefP22_15x_0" localSheetId="59">'326'!$P$81</definedName>
    <definedName name="OSRRefP22_15x_0" localSheetId="56">'331'!$P$94:$P$96</definedName>
    <definedName name="OSRRefP22_15x_0" localSheetId="54">'333'!$P$97:$P$99</definedName>
    <definedName name="OSRRefP22_15x_0" localSheetId="71">'405'!$P$87</definedName>
    <definedName name="OSRRefP22_15x_0" localSheetId="73">'411'!$P$75</definedName>
    <definedName name="OSRRefP22_15x_0" localSheetId="77">'415'!$P$87:$P$88</definedName>
    <definedName name="OSRRefP22_15x_0" localSheetId="78">'418'!$P$85</definedName>
    <definedName name="OSRRefP22_15x_0" localSheetId="84">'433'!$P$87</definedName>
    <definedName name="OSRRefP22_15x_0" localSheetId="86">'444'!$P$87</definedName>
    <definedName name="OSRRefP22_15x_0" localSheetId="87">'450'!$P$86</definedName>
    <definedName name="OSRRefP22_15x_0" localSheetId="70">'491'!$P$85</definedName>
    <definedName name="OSRRefP22_15x_0" localSheetId="82">'492'!$P$82:$P$90</definedName>
    <definedName name="OSRRefP22_15x_0" localSheetId="39">'Div 2'!$P$77:$P$78</definedName>
    <definedName name="OSRRefP22_15x_0" localSheetId="47">'Div 3'!$P$112</definedName>
    <definedName name="OSRRefP22_15x_0" localSheetId="68">'Div 4'!$P$84</definedName>
    <definedName name="OSRRefP22_15x_0" localSheetId="2">Summary!$P$121</definedName>
    <definedName name="OSRRefP22_16x_0" localSheetId="48">'300'!$P$108:$P$111</definedName>
    <definedName name="OSRRefP22_16x_0" localSheetId="49">'300 &amp; 317'!$P$114:$P$117</definedName>
    <definedName name="OSRRefP22_16x_0" localSheetId="50">'301'!$P$76:$P$77</definedName>
    <definedName name="OSRRefP22_16x_0" localSheetId="63">'310'!$P$90</definedName>
    <definedName name="OSRRefP22_16x_0" localSheetId="69">'310 &amp; 491'!$P$89:$P$98</definedName>
    <definedName name="OSRRefP22_16x_0" localSheetId="58">'315'!$P$101</definedName>
    <definedName name="OSRRefP22_16x_0" localSheetId="66">'325'!$P$85</definedName>
    <definedName name="OSRRefP22_16x_0" localSheetId="59">'326'!$P$83:$P$84</definedName>
    <definedName name="OSRRefP22_16x_0" localSheetId="56">'331'!$P$98:$P$99</definedName>
    <definedName name="OSRRefP22_16x_0" localSheetId="54">'333'!$P$101:$P$103</definedName>
    <definedName name="OSRRefP22_16x_0" localSheetId="71">'405'!$P$89</definedName>
    <definedName name="OSRRefP22_16x_0" localSheetId="77">'415'!$P$90</definedName>
    <definedName name="OSRRefP22_16x_0" localSheetId="86">'444'!$P$89</definedName>
    <definedName name="OSRRefP22_16x_0" localSheetId="87">'450'!$P$88</definedName>
    <definedName name="OSRRefP22_16x_0" localSheetId="70">'491'!$P$87:$P$96</definedName>
    <definedName name="OSRRefP22_16x_0" localSheetId="82">'492'!$P$92:$P$93</definedName>
    <definedName name="OSRRefP22_16x_0" localSheetId="39">'Div 2'!$P$80:$P$85</definedName>
    <definedName name="OSRRefP22_16x_0" localSheetId="47">'Div 3'!$P$114</definedName>
    <definedName name="OSRRefP22_16x_0" localSheetId="68">'Div 4'!$P$86:$P$90</definedName>
    <definedName name="OSRRefP22_16x_0" localSheetId="2">Summary!$P$123</definedName>
    <definedName name="OSRRefP22_17x_0" localSheetId="48">'300'!$P$113:$P$116</definedName>
    <definedName name="OSRRefP22_17x_0" localSheetId="49">'300 &amp; 317'!$P$119:$P$122</definedName>
    <definedName name="OSRRefP22_17x_0" localSheetId="50">'301'!$P$79</definedName>
    <definedName name="OSRRefP22_17x_0" localSheetId="63">'310'!$P$92</definedName>
    <definedName name="OSRRefP22_17x_0" localSheetId="69">'310 &amp; 491'!$P$100:$P$101</definedName>
    <definedName name="OSRRefP22_17x_0" localSheetId="58">'315'!$P$103</definedName>
    <definedName name="OSRRefP22_17x_0" localSheetId="59">'326'!$P$86</definedName>
    <definedName name="OSRRefP22_17x_0" localSheetId="56">'331'!$P$101:$P$102</definedName>
    <definedName name="OSRRefP22_17x_0" localSheetId="54">'333'!$P$105:$P$106</definedName>
    <definedName name="OSRRefP22_17x_0" localSheetId="77">'415'!$P$92</definedName>
    <definedName name="OSRRefP22_17x_0" localSheetId="70">'491'!$P$98:$P$99</definedName>
    <definedName name="OSRRefP22_17x_0" localSheetId="82">'492'!$P$95</definedName>
    <definedName name="OSRRefP22_17x_0" localSheetId="39">'Div 2'!$P$87:$P$88</definedName>
    <definedName name="OSRRefP22_17x_0" localSheetId="47">'Div 3'!$P$116:$P$119</definedName>
    <definedName name="OSRRefP22_17x_0" localSheetId="68">'Div 4'!$P$92:$P$93</definedName>
    <definedName name="OSRRefP22_17x_0" localSheetId="2">Summary!$P$125</definedName>
    <definedName name="OSRRefP22_18x_0" localSheetId="48">'300'!$P$118:$P$120</definedName>
    <definedName name="OSRRefP22_18x_0" localSheetId="49">'300 &amp; 317'!$P$124:$P$126</definedName>
    <definedName name="OSRRefP22_18x_0" localSheetId="50">'301'!$P$81:$P$86</definedName>
    <definedName name="OSRRefP22_18x_0" localSheetId="69">'310 &amp; 491'!$P$103</definedName>
    <definedName name="OSRRefP22_18x_0" localSheetId="58">'315'!$P$105</definedName>
    <definedName name="OSRRefP22_18x_0" localSheetId="56">'331'!$P$104:$P$108</definedName>
    <definedName name="OSRRefP22_18x_0" localSheetId="54">'333'!$P$108:$P$113</definedName>
    <definedName name="OSRRefP22_18x_0" localSheetId="70">'491'!$P$101</definedName>
    <definedName name="OSRRefP22_18x_0" localSheetId="82">'492'!$P$97:$P$98</definedName>
    <definedName name="OSRRefP22_18x_0" localSheetId="39">'Div 2'!$P$90</definedName>
    <definedName name="OSRRefP22_18x_0" localSheetId="47">'Div 3'!$P$121:$P$124</definedName>
    <definedName name="OSRRefP22_18x_0" localSheetId="68">'Div 4'!$P$95:$P$104</definedName>
    <definedName name="OSRRefP22_18x_0" localSheetId="2">Summary!$P$127:$P$130</definedName>
    <definedName name="OSRRefP22_19x_0" localSheetId="48">'300'!$P$122:$P$123</definedName>
    <definedName name="OSRRefP22_19x_0" localSheetId="49">'300 &amp; 317'!$P$128:$P$129</definedName>
    <definedName name="OSRRefP22_19x_0" localSheetId="50">'301'!$P$88</definedName>
    <definedName name="OSRRefP22_19x_0" localSheetId="69">'310 &amp; 491'!$P$105:$P$106</definedName>
    <definedName name="OSRRefP22_19x_0" localSheetId="56">'331'!$P$110</definedName>
    <definedName name="OSRRefP22_19x_0" localSheetId="54">'333'!$P$115</definedName>
    <definedName name="OSRRefP22_19x_0" localSheetId="70">'491'!$P$103:$P$104</definedName>
    <definedName name="OSRRefP22_19x_0" localSheetId="39">'Div 2'!$P$92:$P$93</definedName>
    <definedName name="OSRRefP22_19x_0" localSheetId="47">'Div 3'!$P$126:$P$129</definedName>
    <definedName name="OSRRefP22_19x_0" localSheetId="68">'Div 4'!$P$106:$P$107</definedName>
    <definedName name="OSRRefP22_19x_0" localSheetId="2">Summary!$P$132:$P$135</definedName>
    <definedName name="OSRRefP22_1x_0" localSheetId="40">'200'!$P$22</definedName>
    <definedName name="OSRRefP22_1x_0" localSheetId="41">'201'!$P$30:$P$39</definedName>
    <definedName name="OSRRefP22_1x_0" localSheetId="42">'202'!$P$30:$P$39</definedName>
    <definedName name="OSRRefP22_1x_0" localSheetId="43">'203'!$P$31:$P$40</definedName>
    <definedName name="OSRRefP22_1x_0" localSheetId="44">'204'!$P$30:$P$39</definedName>
    <definedName name="OSRRefP22_1x_0" localSheetId="45">'205'!$P$30:$P$39</definedName>
    <definedName name="OSRRefP22_1x_0" localSheetId="46">'206'!$P$30:$P$39</definedName>
    <definedName name="OSRRefP22_1x_0" localSheetId="48">'300'!$P$65:$P$74</definedName>
    <definedName name="OSRRefP22_1x_0" localSheetId="49">'300 &amp; 317'!$P$71:$P$80</definedName>
    <definedName name="OSRRefP22_1x_0" localSheetId="50">'301'!$P$32:$P$41</definedName>
    <definedName name="OSRRefP22_1x_0" localSheetId="55">'307'!$P$43:$P$52</definedName>
    <definedName name="OSRRefP22_1x_0" localSheetId="51">'308'!$P$46:$P$55</definedName>
    <definedName name="OSRRefP22_1x_0" localSheetId="64">'309'!$P$29:$P$30</definedName>
    <definedName name="OSRRefP22_1x_0" localSheetId="63">'310'!$P$40:$P$49</definedName>
    <definedName name="OSRRefP22_1x_0" localSheetId="69">'310 &amp; 491'!$P$40:$P$49</definedName>
    <definedName name="OSRRefP22_1x_0" localSheetId="52">'311'!$P$46:$P$55</definedName>
    <definedName name="OSRRefP22_1x_0" localSheetId="58">'315'!$P$54:$P$63</definedName>
    <definedName name="OSRRefP22_1x_0" localSheetId="60">'316'!$P$37:$P$46</definedName>
    <definedName name="OSRRefP22_1x_0" localSheetId="62">'317'!$P$46:$P$55</definedName>
    <definedName name="OSRRefP22_1x_0" localSheetId="65">'321'!$P$35:$P$44</definedName>
    <definedName name="OSRRefP22_1x_0" localSheetId="66">'325'!$P$35:$P$44</definedName>
    <definedName name="OSRRefP22_1x_0" localSheetId="59">'326'!$P$38:$P$47</definedName>
    <definedName name="OSRRefP22_1x_0" localSheetId="67">'327'!$P$28</definedName>
    <definedName name="OSRRefP22_1x_0" localSheetId="56">'331'!$P$54:$P$63</definedName>
    <definedName name="OSRRefP22_1x_0" localSheetId="57">'332'!$P$37:$P$46</definedName>
    <definedName name="OSRRefP22_1x_0" localSheetId="54">'333'!$P$56:$P$65</definedName>
    <definedName name="OSRRefP22_1x_0" localSheetId="71">'405'!$P$37:$P$46</definedName>
    <definedName name="OSRRefP22_1x_0" localSheetId="72">'406'!$P$22</definedName>
    <definedName name="OSRRefP22_1x_0" localSheetId="73">'411'!$P$30:$P$39</definedName>
    <definedName name="OSRRefP22_1x_0" localSheetId="74">'412'!$P$22</definedName>
    <definedName name="OSRRefP22_1x_0" localSheetId="75">'413'!$P$22</definedName>
    <definedName name="OSRRefP22_1x_0" localSheetId="76">'414'!$P$22</definedName>
    <definedName name="OSRRefP22_1x_0" localSheetId="77">'415'!$P$38:$P$47</definedName>
    <definedName name="OSRRefP22_1x_0" localSheetId="78">'418'!$P$34:$P$43</definedName>
    <definedName name="OSRRefP22_1x_0" localSheetId="79">'423'!$P$29:$P$38</definedName>
    <definedName name="OSRRefP22_1x_0" localSheetId="80">'424'!$P$22</definedName>
    <definedName name="OSRRefP22_1x_0" localSheetId="81">'425'!$P$24</definedName>
    <definedName name="OSRRefP22_1x_0" localSheetId="83">'430'!$P$30:$P$39</definedName>
    <definedName name="OSRRefP22_1x_0" localSheetId="84">'433'!$P$38:$P$47</definedName>
    <definedName name="OSRRefP22_1x_0" localSheetId="85">'435'!$P$24</definedName>
    <definedName name="OSRRefP22_1x_0" localSheetId="86">'444'!$P$38:$P$47</definedName>
    <definedName name="OSRRefP22_1x_0" localSheetId="87">'450'!$P$38:$P$47</definedName>
    <definedName name="OSRRefP22_1x_0" localSheetId="70">'491'!$P$39:$P$48</definedName>
    <definedName name="OSRRefP22_1x_0" localSheetId="82">'492'!$P$40:$P$49</definedName>
    <definedName name="OSRRefP22_1x_0" localSheetId="89">'501'!$P$32:$P$41</definedName>
    <definedName name="OSRRefP22_1x_0" localSheetId="39">'Div 2'!$P$32:$P$41</definedName>
    <definedName name="OSRRefP22_1x_0" localSheetId="47">'Div 3'!$P$71:$P$80</definedName>
    <definedName name="OSRRefP22_1x_0" localSheetId="68">'Div 4'!$P$42:$P$51</definedName>
    <definedName name="OSRRefP22_1x_0" localSheetId="88">'Div 5'!$P$32:$P$41</definedName>
    <definedName name="OSRRefP22_1x_0" localSheetId="61">'Div 6'!$P$46:$P$55</definedName>
    <definedName name="OSRRefP22_1x_0" localSheetId="2">Summary!$P$79:$P$88</definedName>
    <definedName name="OSRRefP22_20x_0" localSheetId="48">'300'!$P$125:$P$131</definedName>
    <definedName name="OSRRefP22_20x_0" localSheetId="49">'300 &amp; 317'!$P$131:$P$137</definedName>
    <definedName name="OSRRefP22_20x_0" localSheetId="50">'301'!$P$90</definedName>
    <definedName name="OSRRefP22_20x_0" localSheetId="69">'310 &amp; 491'!$P$108</definedName>
    <definedName name="OSRRefP22_20x_0" localSheetId="56">'331'!$P$112</definedName>
    <definedName name="OSRRefP22_20x_0" localSheetId="54">'333'!$P$117</definedName>
    <definedName name="OSRRefP22_20x_0" localSheetId="70">'491'!$P$106</definedName>
    <definedName name="OSRRefP22_20x_0" localSheetId="47">'Div 3'!$P$131:$P$132</definedName>
    <definedName name="OSRRefP22_20x_0" localSheetId="68">'Div 4'!$P$109</definedName>
    <definedName name="OSRRefP22_20x_0" localSheetId="2">Summary!$P$137:$P$141</definedName>
    <definedName name="OSRRefP22_21x_0" localSheetId="48">'300'!$P$133:$P$134</definedName>
    <definedName name="OSRRefP22_21x_0" localSheetId="49">'300 &amp; 317'!$P$139:$P$140</definedName>
    <definedName name="OSRRefP22_21x_0" localSheetId="50">'301'!$P$92:$P$93</definedName>
    <definedName name="OSRRefP22_21x_0" localSheetId="56">'331'!$P$114:$P$115</definedName>
    <definedName name="OSRRefP22_21x_0" localSheetId="54">'333'!$P$119:$P$120</definedName>
    <definedName name="OSRRefP22_21x_0" localSheetId="47">'Div 3'!$P$134:$P$140</definedName>
    <definedName name="OSRRefP22_21x_0" localSheetId="68">'Div 4'!$P$111:$P$112</definedName>
    <definedName name="OSRRefP22_21x_0" localSheetId="2">Summary!$P$143:$P$144</definedName>
    <definedName name="OSRRefP22_22x_0" localSheetId="48">'300'!$P$136</definedName>
    <definedName name="OSRRefP22_22x_0" localSheetId="49">'300 &amp; 317'!$P$142</definedName>
    <definedName name="OSRRefP22_22x_0" localSheetId="50">'301'!$P$95</definedName>
    <definedName name="OSRRefP22_22x_0" localSheetId="56">'331'!$P$117</definedName>
    <definedName name="OSRRefP22_22x_0" localSheetId="54">'333'!$P$122</definedName>
    <definedName name="OSRRefP22_22x_0" localSheetId="47">'Div 3'!$P$142:$P$143</definedName>
    <definedName name="OSRRefP22_22x_0" localSheetId="68">'Div 4'!$P$114</definedName>
    <definedName name="OSRRefP22_22x_0" localSheetId="2">Summary!$P$146:$P$155</definedName>
    <definedName name="OSRRefP22_23x_0" localSheetId="48">'300'!$P$138:$P$140</definedName>
    <definedName name="OSRRefP22_23x_0" localSheetId="49">'300 &amp; 317'!$P$144:$P$146</definedName>
    <definedName name="OSRRefP22_23x_0" localSheetId="47">'Div 3'!$P$145</definedName>
    <definedName name="OSRRefP22_23x_0" localSheetId="2">Summary!$P$157:$P$158</definedName>
    <definedName name="OSRRefP22_24x_0" localSheetId="48">'300'!$P$142</definedName>
    <definedName name="OSRRefP22_24x_0" localSheetId="49">'300 &amp; 317'!$P$148</definedName>
    <definedName name="OSRRefP22_24x_0" localSheetId="47">'Div 3'!$P$147:$P$149</definedName>
    <definedName name="OSRRefP22_24x_0" localSheetId="2">Summary!$P$160</definedName>
    <definedName name="OSRRefP22_25x_0" localSheetId="47">'Div 3'!$P$151</definedName>
    <definedName name="OSRRefP22_25x_0" localSheetId="2">Summary!$P$162:$P$164</definedName>
    <definedName name="OSRRefP22_26x_0" localSheetId="2">Summary!$P$166</definedName>
    <definedName name="OSRRefP22_2x_0" localSheetId="40">'200'!$P$24</definedName>
    <definedName name="OSRRefP22_2x_0" localSheetId="41">'201'!$P$41</definedName>
    <definedName name="OSRRefP22_2x_0" localSheetId="42">'202'!$P$41</definedName>
    <definedName name="OSRRefP22_2x_0" localSheetId="43">'203'!$P$42</definedName>
    <definedName name="OSRRefP22_2x_0" localSheetId="44">'204'!$P$41</definedName>
    <definedName name="OSRRefP22_2x_0" localSheetId="45">'205'!$P$41</definedName>
    <definedName name="OSRRefP22_2x_0" localSheetId="46">'206'!$P$41</definedName>
    <definedName name="OSRRefP22_2x_0" localSheetId="48">'300'!$P$76</definedName>
    <definedName name="OSRRefP22_2x_0" localSheetId="49">'300 &amp; 317'!$P$82</definedName>
    <definedName name="OSRRefP22_2x_0" localSheetId="50">'301'!$P$43</definedName>
    <definedName name="OSRRefP22_2x_0" localSheetId="55">'307'!$P$54</definedName>
    <definedName name="OSRRefP22_2x_0" localSheetId="51">'308'!$P$57</definedName>
    <definedName name="OSRRefP22_2x_0" localSheetId="64">'309'!$P$32</definedName>
    <definedName name="OSRRefP22_2x_0" localSheetId="63">'310'!$P$51</definedName>
    <definedName name="OSRRefP22_2x_0" localSheetId="69">'310 &amp; 491'!$P$51</definedName>
    <definedName name="OSRRefP22_2x_0" localSheetId="52">'311'!$P$57</definedName>
    <definedName name="OSRRefP22_2x_0" localSheetId="58">'315'!$P$65</definedName>
    <definedName name="OSRRefP22_2x_0" localSheetId="60">'316'!$P$48</definedName>
    <definedName name="OSRRefP22_2x_0" localSheetId="62">'317'!$P$57</definedName>
    <definedName name="OSRRefP22_2x_0" localSheetId="65">'321'!$P$46</definedName>
    <definedName name="OSRRefP22_2x_0" localSheetId="66">'325'!$P$46</definedName>
    <definedName name="OSRRefP22_2x_0" localSheetId="59">'326'!$P$49</definedName>
    <definedName name="OSRRefP22_2x_0" localSheetId="56">'331'!$P$65</definedName>
    <definedName name="OSRRefP22_2x_0" localSheetId="57">'332'!$P$48</definedName>
    <definedName name="OSRRefP22_2x_0" localSheetId="54">'333'!$P$67</definedName>
    <definedName name="OSRRefP22_2x_0" localSheetId="71">'405'!$P$48</definedName>
    <definedName name="OSRRefP22_2x_0" localSheetId="73">'411'!$P$41</definedName>
    <definedName name="OSRRefP22_2x_0" localSheetId="74">'412'!$P$24</definedName>
    <definedName name="OSRRefP22_2x_0" localSheetId="75">'413'!$P$24</definedName>
    <definedName name="OSRRefP22_2x_0" localSheetId="76">'414'!$P$24</definedName>
    <definedName name="OSRRefP22_2x_0" localSheetId="77">'415'!$P$49</definedName>
    <definedName name="OSRRefP22_2x_0" localSheetId="78">'418'!$P$45</definedName>
    <definedName name="OSRRefP22_2x_0" localSheetId="79">'423'!$P$40</definedName>
    <definedName name="OSRRefP22_2x_0" localSheetId="80">'424'!$P$24</definedName>
    <definedName name="OSRRefP22_2x_0" localSheetId="81">'425'!$P$26</definedName>
    <definedName name="OSRRefP22_2x_0" localSheetId="83">'430'!$P$41</definedName>
    <definedName name="OSRRefP22_2x_0" localSheetId="84">'433'!$P$49</definedName>
    <definedName name="OSRRefP22_2x_0" localSheetId="86">'444'!$P$49</definedName>
    <definedName name="OSRRefP22_2x_0" localSheetId="87">'450'!$P$49</definedName>
    <definedName name="OSRRefP22_2x_0" localSheetId="70">'491'!$P$50</definedName>
    <definedName name="OSRRefP22_2x_0" localSheetId="82">'492'!$P$51</definedName>
    <definedName name="OSRRefP22_2x_0" localSheetId="89">'501'!$P$43</definedName>
    <definedName name="OSRRefP22_2x_0" localSheetId="39">'Div 2'!$P$43</definedName>
    <definedName name="OSRRefP22_2x_0" localSheetId="47">'Div 3'!$P$82</definedName>
    <definedName name="OSRRefP22_2x_0" localSheetId="68">'Div 4'!$P$53</definedName>
    <definedName name="OSRRefP22_2x_0" localSheetId="88">'Div 5'!$P$43</definedName>
    <definedName name="OSRRefP22_2x_0" localSheetId="61">'Div 6'!$P$57</definedName>
    <definedName name="OSRRefP22_2x_0" localSheetId="2">Summary!$P$90</definedName>
    <definedName name="OSRRefP22_3x_0" localSheetId="40">'200'!$P$26:$P$27</definedName>
    <definedName name="OSRRefP22_3x_0" localSheetId="41">'201'!$P$43</definedName>
    <definedName name="OSRRefP22_3x_0" localSheetId="42">'202'!$P$43</definedName>
    <definedName name="OSRRefP22_3x_0" localSheetId="43">'203'!$P$44</definedName>
    <definedName name="OSRRefP22_3x_0" localSheetId="44">'204'!$P$43:$P$44</definedName>
    <definedName name="OSRRefP22_3x_0" localSheetId="45">'205'!$P$43</definedName>
    <definedName name="OSRRefP22_3x_0" localSheetId="46">'206'!$P$43</definedName>
    <definedName name="OSRRefP22_3x_0" localSheetId="48">'300'!$P$78</definedName>
    <definedName name="OSRRefP22_3x_0" localSheetId="49">'300 &amp; 317'!$P$84</definedName>
    <definedName name="OSRRefP22_3x_0" localSheetId="50">'301'!$P$45</definedName>
    <definedName name="OSRRefP22_3x_0" localSheetId="55">'307'!$P$56</definedName>
    <definedName name="OSRRefP22_3x_0" localSheetId="51">'308'!$P$59</definedName>
    <definedName name="OSRRefP22_3x_0" localSheetId="64">'309'!$P$34</definedName>
    <definedName name="OSRRefP22_3x_0" localSheetId="63">'310'!$P$53</definedName>
    <definedName name="OSRRefP22_3x_0" localSheetId="69">'310 &amp; 491'!$P$53</definedName>
    <definedName name="OSRRefP22_3x_0" localSheetId="52">'311'!$P$59</definedName>
    <definedName name="OSRRefP22_3x_0" localSheetId="58">'315'!$P$67</definedName>
    <definedName name="OSRRefP22_3x_0" localSheetId="60">'316'!$P$50</definedName>
    <definedName name="OSRRefP22_3x_0" localSheetId="62">'317'!$P$59</definedName>
    <definedName name="OSRRefP22_3x_0" localSheetId="65">'321'!$P$48</definedName>
    <definedName name="OSRRefP22_3x_0" localSheetId="66">'325'!$P$48</definedName>
    <definedName name="OSRRefP22_3x_0" localSheetId="59">'326'!$P$51</definedName>
    <definedName name="OSRRefP22_3x_0" localSheetId="56">'331'!$P$67</definedName>
    <definedName name="OSRRefP22_3x_0" localSheetId="57">'332'!$P$50</definedName>
    <definedName name="OSRRefP22_3x_0" localSheetId="54">'333'!$P$69</definedName>
    <definedName name="OSRRefP22_3x_0" localSheetId="71">'405'!$P$50</definedName>
    <definedName name="OSRRefP22_3x_0" localSheetId="73">'411'!$P$43:$P$44</definedName>
    <definedName name="OSRRefP22_3x_0" localSheetId="74">'412'!$P$26</definedName>
    <definedName name="OSRRefP22_3x_0" localSheetId="77">'415'!$P$51</definedName>
    <definedName name="OSRRefP22_3x_0" localSheetId="78">'418'!$P$47</definedName>
    <definedName name="OSRRefP22_3x_0" localSheetId="79">'423'!$P$42</definedName>
    <definedName name="OSRRefP22_3x_0" localSheetId="81">'425'!$P$28</definedName>
    <definedName name="OSRRefP22_3x_0" localSheetId="83">'430'!$P$43</definedName>
    <definedName name="OSRRefP22_3x_0" localSheetId="84">'433'!$P$51</definedName>
    <definedName name="OSRRefP22_3x_0" localSheetId="86">'444'!$P$51</definedName>
    <definedName name="OSRRefP22_3x_0" localSheetId="87">'450'!$P$51</definedName>
    <definedName name="OSRRefP22_3x_0" localSheetId="70">'491'!$P$52</definedName>
    <definedName name="OSRRefP22_3x_0" localSheetId="82">'492'!$P$53</definedName>
    <definedName name="OSRRefP22_3x_0" localSheetId="89">'501'!$P$45</definedName>
    <definedName name="OSRRefP22_3x_0" localSheetId="39">'Div 2'!$P$45</definedName>
    <definedName name="OSRRefP22_3x_0" localSheetId="47">'Div 3'!$P$84</definedName>
    <definedName name="OSRRefP22_3x_0" localSheetId="68">'Div 4'!$P$55</definedName>
    <definedName name="OSRRefP22_3x_0" localSheetId="88">'Div 5'!$P$45</definedName>
    <definedName name="OSRRefP22_3x_0" localSheetId="61">'Div 6'!$P$59</definedName>
    <definedName name="OSRRefP22_3x_0" localSheetId="2">Summary!$P$92</definedName>
    <definedName name="OSRRefP22_4x_0" localSheetId="41">'201'!$P$45</definedName>
    <definedName name="OSRRefP22_4x_0" localSheetId="42">'202'!$P$45</definedName>
    <definedName name="OSRRefP22_4x_0" localSheetId="43">'203'!$P$46</definedName>
    <definedName name="OSRRefP22_4x_0" localSheetId="44">'204'!$P$46</definedName>
    <definedName name="OSRRefP22_4x_0" localSheetId="45">'205'!$P$45:$P$46</definedName>
    <definedName name="OSRRefP22_4x_0" localSheetId="46">'206'!$P$45:$P$46</definedName>
    <definedName name="OSRRefP22_4x_0" localSheetId="48">'300'!$P$80</definedName>
    <definedName name="OSRRefP22_4x_0" localSheetId="49">'300 &amp; 317'!$P$86</definedName>
    <definedName name="OSRRefP22_4x_0" localSheetId="50">'301'!$P$47</definedName>
    <definedName name="OSRRefP22_4x_0" localSheetId="55">'307'!$P$58</definedName>
    <definedName name="OSRRefP22_4x_0" localSheetId="51">'308'!$P$61</definedName>
    <definedName name="OSRRefP22_4x_0" localSheetId="64">'309'!$P$36</definedName>
    <definedName name="OSRRefP22_4x_0" localSheetId="63">'310'!$P$55</definedName>
    <definedName name="OSRRefP22_4x_0" localSheetId="69">'310 &amp; 491'!$P$55</definedName>
    <definedName name="OSRRefP22_4x_0" localSheetId="52">'311'!$P$61</definedName>
    <definedName name="OSRRefP22_4x_0" localSheetId="58">'315'!$P$69</definedName>
    <definedName name="OSRRefP22_4x_0" localSheetId="60">'316'!$P$52</definedName>
    <definedName name="OSRRefP22_4x_0" localSheetId="62">'317'!$P$61</definedName>
    <definedName name="OSRRefP22_4x_0" localSheetId="65">'321'!$P$50</definedName>
    <definedName name="OSRRefP22_4x_0" localSheetId="66">'325'!$P$50</definedName>
    <definedName name="OSRRefP22_4x_0" localSheetId="59">'326'!$P$53</definedName>
    <definedName name="OSRRefP22_4x_0" localSheetId="56">'331'!$P$69</definedName>
    <definedName name="OSRRefP22_4x_0" localSheetId="57">'332'!$P$52</definedName>
    <definedName name="OSRRefP22_4x_0" localSheetId="54">'333'!$P$71</definedName>
    <definedName name="OSRRefP22_4x_0" localSheetId="71">'405'!$P$52</definedName>
    <definedName name="OSRRefP22_4x_0" localSheetId="73">'411'!$P$46</definedName>
    <definedName name="OSRRefP22_4x_0" localSheetId="77">'415'!$P$53</definedName>
    <definedName name="OSRRefP22_4x_0" localSheetId="78">'418'!$P$49:$P$50</definedName>
    <definedName name="OSRRefP22_4x_0" localSheetId="79">'423'!$P$44</definedName>
    <definedName name="OSRRefP22_4x_0" localSheetId="81">'425'!$P$30</definedName>
    <definedName name="OSRRefP22_4x_0" localSheetId="83">'430'!$P$45</definedName>
    <definedName name="OSRRefP22_4x_0" localSheetId="84">'433'!$P$53</definedName>
    <definedName name="OSRRefP22_4x_0" localSheetId="86">'444'!$P$53</definedName>
    <definedName name="OSRRefP22_4x_0" localSheetId="87">'450'!$P$53</definedName>
    <definedName name="OSRRefP22_4x_0" localSheetId="70">'491'!$P$54</definedName>
    <definedName name="OSRRefP22_4x_0" localSheetId="82">'492'!$P$55</definedName>
    <definedName name="OSRRefP22_4x_0" localSheetId="89">'501'!$P$47</definedName>
    <definedName name="OSRRefP22_4x_0" localSheetId="39">'Div 2'!$P$47</definedName>
    <definedName name="OSRRefP22_4x_0" localSheetId="47">'Div 3'!$P$86</definedName>
    <definedName name="OSRRefP22_4x_0" localSheetId="68">'Div 4'!$P$57</definedName>
    <definedName name="OSRRefP22_4x_0" localSheetId="88">'Div 5'!$P$47</definedName>
    <definedName name="OSRRefP22_4x_0" localSheetId="61">'Div 6'!$P$61</definedName>
    <definedName name="OSRRefP22_4x_0" localSheetId="2">Summary!$P$94</definedName>
    <definedName name="OSRRefP22_5x_0" localSheetId="41">'201'!$P$47</definedName>
    <definedName name="OSRRefP22_5x_0" localSheetId="42">'202'!$P$47</definedName>
    <definedName name="OSRRefP22_5x_0" localSheetId="43">'203'!$P$48</definedName>
    <definedName name="OSRRefP22_5x_0" localSheetId="44">'204'!$P$48:$P$51</definedName>
    <definedName name="OSRRefP22_5x_0" localSheetId="45">'205'!$P$48</definedName>
    <definedName name="OSRRefP22_5x_0" localSheetId="46">'206'!$P$48</definedName>
    <definedName name="OSRRefP22_5x_0" localSheetId="48">'300'!$P$82:$P$83</definedName>
    <definedName name="OSRRefP22_5x_0" localSheetId="49">'300 &amp; 317'!$P$88:$P$89</definedName>
    <definedName name="OSRRefP22_5x_0" localSheetId="50">'301'!$P$49:$P$50</definedName>
    <definedName name="OSRRefP22_5x_0" localSheetId="55">'307'!$P$60:$P$61</definedName>
    <definedName name="OSRRefP22_5x_0" localSheetId="51">'308'!$P$63</definedName>
    <definedName name="OSRRefP22_5x_0" localSheetId="64">'309'!$P$38</definedName>
    <definedName name="OSRRefP22_5x_0" localSheetId="63">'310'!$P$57:$P$58</definedName>
    <definedName name="OSRRefP22_5x_0" localSheetId="69">'310 &amp; 491'!$P$57:$P$58</definedName>
    <definedName name="OSRRefP22_5x_0" localSheetId="52">'311'!$P$63</definedName>
    <definedName name="OSRRefP22_5x_0" localSheetId="58">'315'!$P$71</definedName>
    <definedName name="OSRRefP22_5x_0" localSheetId="60">'316'!$P$54:$P$55</definedName>
    <definedName name="OSRRefP22_5x_0" localSheetId="62">'317'!$P$63</definedName>
    <definedName name="OSRRefP22_5x_0" localSheetId="65">'321'!$P$52</definedName>
    <definedName name="OSRRefP22_5x_0" localSheetId="66">'325'!$P$52:$P$53</definedName>
    <definedName name="OSRRefP22_5x_0" localSheetId="59">'326'!$P$55</definedName>
    <definedName name="OSRRefP22_5x_0" localSheetId="56">'331'!$P$71</definedName>
    <definedName name="OSRRefP22_5x_0" localSheetId="57">'332'!$P$54:$P$55</definedName>
    <definedName name="OSRRefP22_5x_0" localSheetId="54">'333'!$P$73:$P$74</definedName>
    <definedName name="OSRRefP22_5x_0" localSheetId="71">'405'!$P$54:$P$55</definedName>
    <definedName name="OSRRefP22_5x_0" localSheetId="73">'411'!$P$48</definedName>
    <definedName name="OSRRefP22_5x_0" localSheetId="77">'415'!$P$55:$P$56</definedName>
    <definedName name="OSRRefP22_5x_0" localSheetId="78">'418'!$P$52</definedName>
    <definedName name="OSRRefP22_5x_0" localSheetId="79">'423'!$P$46</definedName>
    <definedName name="OSRRefP22_5x_0" localSheetId="81">'425'!$P$32</definedName>
    <definedName name="OSRRefP22_5x_0" localSheetId="83">'430'!$P$47:$P$48</definedName>
    <definedName name="OSRRefP22_5x_0" localSheetId="84">'433'!$P$55</definedName>
    <definedName name="OSRRefP22_5x_0" localSheetId="86">'444'!$P$55</definedName>
    <definedName name="OSRRefP22_5x_0" localSheetId="87">'450'!$P$55</definedName>
    <definedName name="OSRRefP22_5x_0" localSheetId="70">'491'!$P$56:$P$57</definedName>
    <definedName name="OSRRefP22_5x_0" localSheetId="82">'492'!$P$57</definedName>
    <definedName name="OSRRefP22_5x_0" localSheetId="89">'501'!$P$49:$P$50</definedName>
    <definedName name="OSRRefP22_5x_0" localSheetId="39">'Div 2'!$P$49:$P$50</definedName>
    <definedName name="OSRRefP22_5x_0" localSheetId="47">'Div 3'!$P$88:$P$89</definedName>
    <definedName name="OSRRefP22_5x_0" localSheetId="68">'Div 4'!$P$59:$P$60</definedName>
    <definedName name="OSRRefP22_5x_0" localSheetId="88">'Div 5'!$P$49:$P$50</definedName>
    <definedName name="OSRRefP22_5x_0" localSheetId="61">'Div 6'!$P$63</definedName>
    <definedName name="OSRRefP22_5x_0" localSheetId="2">Summary!$P$96:$P$97</definedName>
    <definedName name="OSRRefP22_6x_0" localSheetId="41">'201'!$P$49</definedName>
    <definedName name="OSRRefP22_6x_0" localSheetId="42">'202'!$P$49</definedName>
    <definedName name="OSRRefP22_6x_0" localSheetId="43">'203'!$P$50</definedName>
    <definedName name="OSRRefP22_6x_0" localSheetId="44">'204'!$P$53:$P$54</definedName>
    <definedName name="OSRRefP22_6x_0" localSheetId="45">'205'!$P$50:$P$52</definedName>
    <definedName name="OSRRefP22_6x_0" localSheetId="46">'206'!$P$50:$P$51</definedName>
    <definedName name="OSRRefP22_6x_0" localSheetId="48">'300'!$P$85:$P$86</definedName>
    <definedName name="OSRRefP22_6x_0" localSheetId="49">'300 &amp; 317'!$P$91:$P$92</definedName>
    <definedName name="OSRRefP22_6x_0" localSheetId="50">'301'!$P$52:$P$53</definedName>
    <definedName name="OSRRefP22_6x_0" localSheetId="55">'307'!$P$63</definedName>
    <definedName name="OSRRefP22_6x_0" localSheetId="51">'308'!$P$65:$P$66</definedName>
    <definedName name="OSRRefP22_6x_0" localSheetId="64">'309'!$P$40</definedName>
    <definedName name="OSRRefP22_6x_0" localSheetId="63">'310'!$P$60</definedName>
    <definedName name="OSRRefP22_6x_0" localSheetId="69">'310 &amp; 491'!$P$60</definedName>
    <definedName name="OSRRefP22_6x_0" localSheetId="52">'311'!$P$65:$P$66</definedName>
    <definedName name="OSRRefP22_6x_0" localSheetId="58">'315'!$P$73</definedName>
    <definedName name="OSRRefP22_6x_0" localSheetId="60">'316'!$P$57</definedName>
    <definedName name="OSRRefP22_6x_0" localSheetId="62">'317'!$P$65</definedName>
    <definedName name="OSRRefP22_6x_0" localSheetId="65">'321'!$P$54</definedName>
    <definedName name="OSRRefP22_6x_0" localSheetId="66">'325'!$P$55</definedName>
    <definedName name="OSRRefP22_6x_0" localSheetId="59">'326'!$P$57:$P$58</definedName>
    <definedName name="OSRRefP22_6x_0" localSheetId="56">'331'!$P$73</definedName>
    <definedName name="OSRRefP22_6x_0" localSheetId="57">'332'!$P$57</definedName>
    <definedName name="OSRRefP22_6x_0" localSheetId="54">'333'!$P$76</definedName>
    <definedName name="OSRRefP22_6x_0" localSheetId="71">'405'!$P$57</definedName>
    <definedName name="OSRRefP22_6x_0" localSheetId="73">'411'!$P$50</definedName>
    <definedName name="OSRRefP22_6x_0" localSheetId="77">'415'!$P$58</definedName>
    <definedName name="OSRRefP22_6x_0" localSheetId="78">'418'!$P$54</definedName>
    <definedName name="OSRRefP22_6x_0" localSheetId="83">'430'!$P$50:$P$51</definedName>
    <definedName name="OSRRefP22_6x_0" localSheetId="84">'433'!$P$57</definedName>
    <definedName name="OSRRefP22_6x_0" localSheetId="86">'444'!$P$57</definedName>
    <definedName name="OSRRefP22_6x_0" localSheetId="87">'450'!$P$57</definedName>
    <definedName name="OSRRefP22_6x_0" localSheetId="70">'491'!$P$59</definedName>
    <definedName name="OSRRefP22_6x_0" localSheetId="82">'492'!$P$59</definedName>
    <definedName name="OSRRefP22_6x_0" localSheetId="89">'501'!$P$52</definedName>
    <definedName name="OSRRefP22_6x_0" localSheetId="39">'Div 2'!$P$52</definedName>
    <definedName name="OSRRefP22_6x_0" localSheetId="47">'Div 3'!$P$91:$P$92</definedName>
    <definedName name="OSRRefP22_6x_0" localSheetId="68">'Div 4'!$P$62</definedName>
    <definedName name="OSRRefP22_6x_0" localSheetId="88">'Div 5'!$P$52</definedName>
    <definedName name="OSRRefP22_6x_0" localSheetId="61">'Div 6'!$P$65</definedName>
    <definedName name="OSRRefP22_6x_0" localSheetId="2">Summary!$P$99:$P$100</definedName>
    <definedName name="OSRRefP22_7x_0" localSheetId="41">'201'!$P$51</definedName>
    <definedName name="OSRRefP22_7x_0" localSheetId="42">'202'!$P$51:$P$53</definedName>
    <definedName name="OSRRefP22_7x_0" localSheetId="43">'203'!$P$52</definedName>
    <definedName name="OSRRefP22_7x_0" localSheetId="44">'204'!$P$56</definedName>
    <definedName name="OSRRefP22_7x_0" localSheetId="45">'205'!$P$54</definedName>
    <definedName name="OSRRefP22_7x_0" localSheetId="46">'206'!$P$53</definedName>
    <definedName name="OSRRefP22_7x_0" localSheetId="48">'300'!$P$88</definedName>
    <definedName name="OSRRefP22_7x_0" localSheetId="49">'300 &amp; 317'!$P$94</definedName>
    <definedName name="OSRRefP22_7x_0" localSheetId="50">'301'!$P$55</definedName>
    <definedName name="OSRRefP22_7x_0" localSheetId="55">'307'!$P$65</definedName>
    <definedName name="OSRRefP22_7x_0" localSheetId="51">'308'!$P$68</definedName>
    <definedName name="OSRRefP22_7x_0" localSheetId="64">'309'!$P$42</definedName>
    <definedName name="OSRRefP22_7x_0" localSheetId="63">'310'!$P$62</definedName>
    <definedName name="OSRRefP22_7x_0" localSheetId="69">'310 &amp; 491'!$P$62</definedName>
    <definedName name="OSRRefP22_7x_0" localSheetId="52">'311'!$P$68</definedName>
    <definedName name="OSRRefP22_7x_0" localSheetId="58">'315'!$P$75</definedName>
    <definedName name="OSRRefP22_7x_0" localSheetId="60">'316'!$P$59:$P$61</definedName>
    <definedName name="OSRRefP22_7x_0" localSheetId="62">'317'!$P$67</definedName>
    <definedName name="OSRRefP22_7x_0" localSheetId="65">'321'!$P$56:$P$57</definedName>
    <definedName name="OSRRefP22_7x_0" localSheetId="66">'325'!$P$57</definedName>
    <definedName name="OSRRefP22_7x_0" localSheetId="59">'326'!$P$60</definedName>
    <definedName name="OSRRefP22_7x_0" localSheetId="56">'331'!$P$75</definedName>
    <definedName name="OSRRefP22_7x_0" localSheetId="57">'332'!$P$59:$P$61</definedName>
    <definedName name="OSRRefP22_7x_0" localSheetId="54">'333'!$P$78</definedName>
    <definedName name="OSRRefP22_7x_0" localSheetId="71">'405'!$P$59</definedName>
    <definedName name="OSRRefP22_7x_0" localSheetId="73">'411'!$P$52</definedName>
    <definedName name="OSRRefP22_7x_0" localSheetId="77">'415'!$P$60</definedName>
    <definedName name="OSRRefP22_7x_0" localSheetId="78">'418'!$P$56:$P$57</definedName>
    <definedName name="OSRRefP22_7x_0" localSheetId="83">'430'!$P$53</definedName>
    <definedName name="OSRRefP22_7x_0" localSheetId="84">'433'!$P$59</definedName>
    <definedName name="OSRRefP22_7x_0" localSheetId="86">'444'!$P$59</definedName>
    <definedName name="OSRRefP22_7x_0" localSheetId="87">'450'!$P$59</definedName>
    <definedName name="OSRRefP22_7x_0" localSheetId="70">'491'!$P$61</definedName>
    <definedName name="OSRRefP22_7x_0" localSheetId="82">'492'!$P$61</definedName>
    <definedName name="OSRRefP22_7x_0" localSheetId="89">'501'!$P$54</definedName>
    <definedName name="OSRRefP22_7x_0" localSheetId="39">'Div 2'!$P$54</definedName>
    <definedName name="OSRRefP22_7x_0" localSheetId="47">'Div 3'!$P$94</definedName>
    <definedName name="OSRRefP22_7x_0" localSheetId="68">'Div 4'!$P$64</definedName>
    <definedName name="OSRRefP22_7x_0" localSheetId="88">'Div 5'!$P$54</definedName>
    <definedName name="OSRRefP22_7x_0" localSheetId="61">'Div 6'!$P$67</definedName>
    <definedName name="OSRRefP22_7x_0" localSheetId="2">Summary!$P$102</definedName>
    <definedName name="OSRRefP22_8x_0" localSheetId="41">'201'!$P$53</definedName>
    <definedName name="OSRRefP22_8x_0" localSheetId="42">'202'!$P$55</definedName>
    <definedName name="OSRRefP22_8x_0" localSheetId="43">'203'!$P$54:$P$56</definedName>
    <definedName name="OSRRefP22_8x_0" localSheetId="44">'204'!$P$58:$P$59</definedName>
    <definedName name="OSRRefP22_8x_0" localSheetId="48">'300'!$P$90</definedName>
    <definedName name="OSRRefP22_8x_0" localSheetId="49">'300 &amp; 317'!$P$96</definedName>
    <definedName name="OSRRefP22_8x_0" localSheetId="50">'301'!$P$57</definedName>
    <definedName name="OSRRefP22_8x_0" localSheetId="55">'307'!$P$67</definedName>
    <definedName name="OSRRefP22_8x_0" localSheetId="51">'308'!$P$70</definedName>
    <definedName name="OSRRefP22_8x_0" localSheetId="64">'309'!$P$44:$P$45</definedName>
    <definedName name="OSRRefP22_8x_0" localSheetId="63">'310'!$P$64</definedName>
    <definedName name="OSRRefP22_8x_0" localSheetId="69">'310 &amp; 491'!$P$64:$P$65</definedName>
    <definedName name="OSRRefP22_8x_0" localSheetId="52">'311'!$P$70</definedName>
    <definedName name="OSRRefP22_8x_0" localSheetId="58">'315'!$P$77:$P$78</definedName>
    <definedName name="OSRRefP22_8x_0" localSheetId="60">'316'!$P$63</definedName>
    <definedName name="OSRRefP22_8x_0" localSheetId="62">'317'!$P$69</definedName>
    <definedName name="OSRRefP22_8x_0" localSheetId="65">'321'!$P$59</definedName>
    <definedName name="OSRRefP22_8x_0" localSheetId="66">'325'!$P$59</definedName>
    <definedName name="OSRRefP22_8x_0" localSheetId="59">'326'!$P$62</definedName>
    <definedName name="OSRRefP22_8x_0" localSheetId="56">'331'!$P$77:$P$78</definedName>
    <definedName name="OSRRefP22_8x_0" localSheetId="57">'332'!$P$63</definedName>
    <definedName name="OSRRefP22_8x_0" localSheetId="54">'333'!$P$80:$P$81</definedName>
    <definedName name="OSRRefP22_8x_0" localSheetId="71">'405'!$P$61</definedName>
    <definedName name="OSRRefP22_8x_0" localSheetId="73">'411'!$P$54:$P$57</definedName>
    <definedName name="OSRRefP22_8x_0" localSheetId="77">'415'!$P$62</definedName>
    <definedName name="OSRRefP22_8x_0" localSheetId="78">'418'!$P$59:$P$60</definedName>
    <definedName name="OSRRefP22_8x_0" localSheetId="83">'430'!$P$55</definedName>
    <definedName name="OSRRefP22_8x_0" localSheetId="84">'433'!$P$61</definedName>
    <definedName name="OSRRefP22_8x_0" localSheetId="86">'444'!$P$61</definedName>
    <definedName name="OSRRefP22_8x_0" localSheetId="87">'450'!$P$61</definedName>
    <definedName name="OSRRefP22_8x_0" localSheetId="70">'491'!$P$63:$P$64</definedName>
    <definedName name="OSRRefP22_8x_0" localSheetId="82">'492'!$P$63</definedName>
    <definedName name="OSRRefP22_8x_0" localSheetId="89">'501'!$P$56</definedName>
    <definedName name="OSRRefP22_8x_0" localSheetId="39">'Div 2'!$P$56</definedName>
    <definedName name="OSRRefP22_8x_0" localSheetId="47">'Div 3'!$P$96</definedName>
    <definedName name="OSRRefP22_8x_0" localSheetId="68">'Div 4'!$P$66</definedName>
    <definedName name="OSRRefP22_8x_0" localSheetId="88">'Div 5'!$P$56</definedName>
    <definedName name="OSRRefP22_8x_0" localSheetId="61">'Div 6'!$P$69</definedName>
    <definedName name="OSRRefP22_8x_0" localSheetId="2">Summary!$P$104</definedName>
    <definedName name="OSRRefP22_9x_0" localSheetId="41">'201'!$P$55:$P$57</definedName>
    <definedName name="OSRRefP22_9x_0" localSheetId="42">'202'!$P$57:$P$58</definedName>
    <definedName name="OSRRefP22_9x_0" localSheetId="43">'203'!$P$58:$P$59</definedName>
    <definedName name="OSRRefP22_9x_0" localSheetId="44">'204'!$P$61</definedName>
    <definedName name="OSRRefP22_9x_0" localSheetId="48">'300'!$P$92</definedName>
    <definedName name="OSRRefP22_9x_0" localSheetId="49">'300 &amp; 317'!$P$98</definedName>
    <definedName name="OSRRefP22_9x_0" localSheetId="50">'301'!$P$59</definedName>
    <definedName name="OSRRefP22_9x_0" localSheetId="55">'307'!$P$69:$P$70</definedName>
    <definedName name="OSRRefP22_9x_0" localSheetId="51">'308'!$P$72:$P$74</definedName>
    <definedName name="OSRRefP22_9x_0" localSheetId="64">'309'!$P$47:$P$48</definedName>
    <definedName name="OSRRefP22_9x_0" localSheetId="63">'310'!$P$66</definedName>
    <definedName name="OSRRefP22_9x_0" localSheetId="69">'310 &amp; 491'!$P$67</definedName>
    <definedName name="OSRRefP22_9x_0" localSheetId="52">'311'!$P$72:$P$74</definedName>
    <definedName name="OSRRefP22_9x_0" localSheetId="58">'315'!$P$80</definedName>
    <definedName name="OSRRefP22_9x_0" localSheetId="60">'316'!$P$65</definedName>
    <definedName name="OSRRefP22_9x_0" localSheetId="62">'317'!$P$71:$P$72</definedName>
    <definedName name="OSRRefP22_9x_0" localSheetId="65">'321'!$P$61:$P$63</definedName>
    <definedName name="OSRRefP22_9x_0" localSheetId="66">'325'!$P$61</definedName>
    <definedName name="OSRRefP22_9x_0" localSheetId="59">'326'!$P$64</definedName>
    <definedName name="OSRRefP22_9x_0" localSheetId="56">'331'!$P$80:$P$81</definedName>
    <definedName name="OSRRefP22_9x_0" localSheetId="57">'332'!$P$65</definedName>
    <definedName name="OSRRefP22_9x_0" localSheetId="54">'333'!$P$83:$P$84</definedName>
    <definedName name="OSRRefP22_9x_0" localSheetId="71">'405'!$P$63:$P$64</definedName>
    <definedName name="OSRRefP22_9x_0" localSheetId="73">'411'!$P$59:$P$61</definedName>
    <definedName name="OSRRefP22_9x_0" localSheetId="77">'415'!$P$64</definedName>
    <definedName name="OSRRefP22_9x_0" localSheetId="78">'418'!$P$62:$P$65</definedName>
    <definedName name="OSRRefP22_9x_0" localSheetId="84">'433'!$P$63</definedName>
    <definedName name="OSRRefP22_9x_0" localSheetId="86">'444'!$P$63</definedName>
    <definedName name="OSRRefP22_9x_0" localSheetId="87">'450'!$P$63</definedName>
    <definedName name="OSRRefP22_9x_0" localSheetId="70">'491'!$P$66</definedName>
    <definedName name="OSRRefP22_9x_0" localSheetId="82">'492'!$P$65</definedName>
    <definedName name="OSRRefP22_9x_0" localSheetId="89">'501'!$P$58:$P$60</definedName>
    <definedName name="OSRRefP22_9x_0" localSheetId="39">'Div 2'!$P$58</definedName>
    <definedName name="OSRRefP22_9x_0" localSheetId="47">'Div 3'!$P$98</definedName>
    <definedName name="OSRRefP22_9x_0" localSheetId="68">'Div 4'!$P$68:$P$69</definedName>
    <definedName name="OSRRefP22_9x_0" localSheetId="88">'Div 5'!$P$58:$P$60</definedName>
    <definedName name="OSRRefP22_9x_0" localSheetId="61">'Div 6'!$P$71:$P$72</definedName>
    <definedName name="OSRRefP22_9x_0" localSheetId="2">Summary!$P$106</definedName>
    <definedName name="OSRRefP22x_0" localSheetId="40">'200'!$P$20,'200'!$P$22,'200'!$P$24,'200'!$P$26:$P$27</definedName>
    <definedName name="OSRRefP22x_0" localSheetId="41">'201'!$P$20:$P$28,'201'!$P$30:$P$39,'201'!$P$41,'201'!$P$43,'201'!$P$45,'201'!$P$47,'201'!$P$49,'201'!$P$51,'201'!$P$53,'201'!$P$55:$P$57,'201'!$P$59:$P$60,'201'!$P$62,'201'!$P$64:$P$65,'201'!$P$67,'201'!$P$69,'201'!$P$71</definedName>
    <definedName name="OSRRefP22x_0" localSheetId="42">'202'!$P$20:$P$28,'202'!$P$30:$P$39,'202'!$P$41,'202'!$P$43,'202'!$P$45,'202'!$P$47,'202'!$P$49,'202'!$P$51:$P$53,'202'!$P$55,'202'!$P$57:$P$58,'202'!$P$60,'202'!$P$62,'202'!$P$64</definedName>
    <definedName name="OSRRefP22x_0" localSheetId="43">'203'!$P$20:$P$29,'203'!$P$31:$P$40,'203'!$P$42,'203'!$P$44,'203'!$P$46,'203'!$P$48,'203'!$P$50,'203'!$P$52,'203'!$P$54:$P$56,'203'!$P$58:$P$59,'203'!$P$61:$P$62,'203'!$P$64:$P$67,'203'!$P$69,'203'!$P$71,'203'!$P$73</definedName>
    <definedName name="OSRRefP22x_0" localSheetId="44">'204'!$P$20:$P$28,'204'!$P$30:$P$39,'204'!$P$41,'204'!$P$43:$P$44,'204'!$P$46,'204'!$P$48:$P$51,'204'!$P$53:$P$54,'204'!$P$56,'204'!$P$58:$P$59,'204'!$P$61,'204'!$P$63</definedName>
    <definedName name="OSRRefP22x_0" localSheetId="45">'205'!$P$20:$P$28,'205'!$P$30:$P$39,'205'!$P$41,'205'!$P$43,'205'!$P$45:$P$46,'205'!$P$48,'205'!$P$50:$P$52,'205'!$P$54</definedName>
    <definedName name="OSRRefP22x_0" localSheetId="46">'206'!$P$20:$P$28,'206'!$P$30:$P$39,'206'!$P$41,'206'!$P$43,'206'!$P$45:$P$46,'206'!$P$48,'206'!$P$50:$P$51,'206'!$P$53</definedName>
    <definedName name="OSRRefP22x_0" localSheetId="48">'300'!$P$54:$P$63,'300'!$P$65:$P$74,'300'!$P$76,'300'!$P$78,'300'!$P$80,'300'!$P$82:$P$83,'300'!$P$85:$P$86,'300'!$P$88,'300'!$P$90,'300'!$P$92,'300'!$P$94:$P$95,'300'!$P$97:$P$98,'300'!$P$100,'300'!$P$102,'300'!$P$104,'300'!$P$106,'300'!$P$108:$P$111,'300'!$P$113:$P$116,'300'!$P$118:$P$120,'300'!$P$122:$P$123,'300'!$P$125:$P$131,'300'!$P$133:$P$134,'300'!$P$136,'300'!$P$138:$P$140,'300'!$P$142</definedName>
    <definedName name="OSRRefP22x_0" localSheetId="49">'300 &amp; 317'!$P$60:$P$69,'300 &amp; 317'!$P$71:$P$80,'300 &amp; 317'!$P$82,'300 &amp; 317'!$P$84,'300 &amp; 317'!$P$86,'300 &amp; 317'!$P$88:$P$89,'300 &amp; 317'!$P$91:$P$92,'300 &amp; 317'!$P$94,'300 &amp; 317'!$P$96,'300 &amp; 317'!$P$98,'300 &amp; 317'!$P$100:$P$101,'300 &amp; 317'!$P$103:$P$104,'300 &amp; 317'!$P$106,'300 &amp; 317'!$P$108,'300 &amp; 317'!$P$110,'300 &amp; 317'!$P$112,'300 &amp; 317'!$P$114:$P$117,'300 &amp; 317'!$P$119:$P$122,'300 &amp; 317'!$P$124:$P$126,'300 &amp; 317'!$P$128:$P$129,'300 &amp; 317'!$P$131:$P$137,'300 &amp; 317'!$P$139:$P$140,'300 &amp; 317'!$P$142,'300 &amp; 317'!$P$144:$P$146,'300 &amp; 317'!$P$148</definedName>
    <definedName name="OSRRefP22x_0" localSheetId="50">'301'!$P$21:$P$30,'301'!$P$32:$P$41,'301'!$P$43,'301'!$P$45,'301'!$P$47,'301'!$P$49:$P$50,'301'!$P$52:$P$53,'301'!$P$55,'301'!$P$57,'301'!$P$59,'301'!$P$61,'301'!$P$63,'301'!$P$65,'301'!$P$67,'301'!$P$69,'301'!$P$71:$P$74,'301'!$P$76:$P$77,'301'!$P$79,'301'!$P$81:$P$86,'301'!$P$88,'301'!$P$90,'301'!$P$92:$P$93,'301'!$P$95</definedName>
    <definedName name="OSRRefP22x_0" localSheetId="55">'307'!$P$34:$P$41,'307'!$P$43:$P$52,'307'!$P$54,'307'!$P$56,'307'!$P$58,'307'!$P$60:$P$61,'307'!$P$63,'307'!$P$65,'307'!$P$67,'307'!$P$69:$P$70,'307'!$P$72:$P$73,'307'!$P$75,'307'!$P$77:$P$80,'307'!$P$82</definedName>
    <definedName name="OSRRefP22x_0" localSheetId="51">'308'!$P$35:$P$44,'308'!$P$46:$P$55,'308'!$P$57,'308'!$P$59,'308'!$P$61,'308'!$P$63,'308'!$P$65:$P$66,'308'!$P$68,'308'!$P$70,'308'!$P$72:$P$74,'308'!$P$76:$P$77,'308'!$P$79:$P$80,'308'!$P$82:$P$83,'308'!$P$85</definedName>
    <definedName name="OSRRefP22x_0" localSheetId="64">'309'!$P$26:$P$27,'309'!$P$29:$P$30,'309'!$P$32,'309'!$P$34,'309'!$P$36,'309'!$P$38,'309'!$P$40,'309'!$P$42,'309'!$P$44:$P$45,'309'!$P$47:$P$48,'309'!$P$50:$P$51,'309'!$P$53,'309'!$P$55</definedName>
    <definedName name="OSRRefP22x_0" localSheetId="63">'310'!$P$29:$P$38,'310'!$P$40:$P$49,'310'!$P$51,'310'!$P$53,'310'!$P$55,'310'!$P$57:$P$58,'310'!$P$60,'310'!$P$62,'310'!$P$64,'310'!$P$66,'310'!$P$68,'310'!$P$70:$P$72,'310'!$P$74,'310'!$P$76:$P$78,'310'!$P$80:$P$85,'310'!$P$87:$P$88,'310'!$P$90,'310'!$P$92</definedName>
    <definedName name="OSRRefP22x_0" localSheetId="69">'310 &amp; 491'!$P$29:$P$38,'310 &amp; 491'!$P$40:$P$49,'310 &amp; 491'!$P$51,'310 &amp; 491'!$P$53,'310 &amp; 491'!$P$55,'310 &amp; 491'!$P$57:$P$58,'310 &amp; 491'!$P$60,'310 &amp; 491'!$P$62,'310 &amp; 491'!$P$64:$P$65,'310 &amp; 491'!$P$67,'310 &amp; 491'!$P$69,'310 &amp; 491'!$P$71,'310 &amp; 491'!$P$73:$P$76,'310 &amp; 491'!$P$78:$P$79,'310 &amp; 491'!$P$81:$P$85,'310 &amp; 491'!$P$87,'310 &amp; 491'!$P$89:$P$98,'310 &amp; 491'!$P$100:$P$101,'310 &amp; 491'!$P$103,'310 &amp; 491'!$P$105:$P$106,'310 &amp; 491'!$P$108</definedName>
    <definedName name="OSRRefP22x_0" localSheetId="52">'311'!$P$35:$P$44,'311'!$P$46:$P$55,'311'!$P$57,'311'!$P$59,'311'!$P$61,'311'!$P$63,'311'!$P$65:$P$66,'311'!$P$68,'311'!$P$70,'311'!$P$72:$P$74,'311'!$P$76:$P$77,'311'!$P$79:$P$80,'311'!$P$82:$P$83,'311'!$P$85</definedName>
    <definedName name="OSRRefP22x_0" localSheetId="58">'315'!$P$44:$P$52,'315'!$P$54:$P$63,'315'!$P$65,'315'!$P$67,'315'!$P$69,'315'!$P$71,'315'!$P$73,'315'!$P$75,'315'!$P$77:$P$78,'315'!$P$80,'315'!$P$82,'315'!$P$84,'315'!$P$86:$P$87,'315'!$P$89:$P$91,'315'!$P$93:$P$94,'315'!$P$96:$P$99,'315'!$P$101,'315'!$P$103,'315'!$P$105</definedName>
    <definedName name="OSRRefP22x_0" localSheetId="60">'316'!$P$27:$P$35,'316'!$P$37:$P$46,'316'!$P$48,'316'!$P$50,'316'!$P$52,'316'!$P$54:$P$55,'316'!$P$57,'316'!$P$59:$P$61,'316'!$P$63,'316'!$P$65,'316'!$P$67:$P$70,'316'!$P$72</definedName>
    <definedName name="OSRRefP22x_0" localSheetId="62">'317'!$P$35:$P$44,'317'!$P$46:$P$55,'317'!$P$57,'317'!$P$59,'317'!$P$61,'317'!$P$63,'317'!$P$65,'317'!$P$67,'317'!$P$69,'317'!$P$71:$P$72,'317'!$P$74</definedName>
    <definedName name="OSRRefP22x_0" localSheetId="65">'321'!$P$24:$P$33,'321'!$P$35:$P$44,'321'!$P$46,'321'!$P$48,'321'!$P$50,'321'!$P$52,'321'!$P$54,'321'!$P$56:$P$57,'321'!$P$59,'321'!$P$61:$P$63,'321'!$P$65:$P$68,'321'!$P$70,'321'!$P$72</definedName>
    <definedName name="OSRRefP22x_0" localSheetId="66">'325'!$P$25:$P$33,'325'!$P$35:$P$44,'325'!$P$46,'325'!$P$48,'325'!$P$50,'325'!$P$52:$P$53,'325'!$P$55,'325'!$P$57,'325'!$P$59,'325'!$P$61,'325'!$P$63,'325'!$P$65:$P$67,'325'!$P$69:$P$71,'325'!$P$73:$P$78,'325'!$P$80:$P$81,'325'!$P$83,'325'!$P$85</definedName>
    <definedName name="OSRRefP22x_0" localSheetId="59">'326'!$P$28:$P$36,'326'!$P$38:$P$47,'326'!$P$49,'326'!$P$51,'326'!$P$53,'326'!$P$55,'326'!$P$57:$P$58,'326'!$P$60,'326'!$P$62,'326'!$P$64,'326'!$P$66,'326'!$P$68:$P$69,'326'!$P$71:$P$72,'326'!$P$74:$P$75,'326'!$P$77:$P$79,'326'!$P$81,'326'!$P$83:$P$84,'326'!$P$86</definedName>
    <definedName name="OSRRefP22x_0" localSheetId="67">'327'!$P$26,'327'!$P$28</definedName>
    <definedName name="OSRRefP22x_0" localSheetId="56">'331'!$P$44:$P$52,'331'!$P$54:$P$63,'331'!$P$65,'331'!$P$67,'331'!$P$69,'331'!$P$71,'331'!$P$73,'331'!$P$75,'331'!$P$77:$P$78,'331'!$P$80:$P$81,'331'!$P$83,'331'!$P$85,'331'!$P$87,'331'!$P$89,'331'!$P$91:$P$92,'331'!$P$94:$P$96,'331'!$P$98:$P$99,'331'!$P$101:$P$102,'331'!$P$104:$P$108,'331'!$P$110,'331'!$P$112,'331'!$P$114:$P$115,'331'!$P$117</definedName>
    <definedName name="OSRRefP22x_0" localSheetId="57">'332'!$P$27:$P$35,'332'!$P$37:$P$46,'332'!$P$48,'332'!$P$50,'332'!$P$52,'332'!$P$54:$P$55,'332'!$P$57,'332'!$P$59:$P$61,'332'!$P$63,'332'!$P$65,'332'!$P$67:$P$70,'332'!$P$72</definedName>
    <definedName name="OSRRefP22x_0" localSheetId="54">'333'!$P$46:$P$54,'333'!$P$56:$P$65,'333'!$P$67,'333'!$P$69,'333'!$P$71,'333'!$P$73:$P$74,'333'!$P$76,'333'!$P$78,'333'!$P$80:$P$81,'333'!$P$83:$P$84,'333'!$P$86,'333'!$P$88,'333'!$P$90,'333'!$P$92,'333'!$P$94:$P$95,'333'!$P$97:$P$99,'333'!$P$101:$P$103,'333'!$P$105:$P$106,'333'!$P$108:$P$113,'333'!$P$115,'333'!$P$117,'333'!$P$119:$P$120,'333'!$P$122</definedName>
    <definedName name="OSRRefP22x_0" localSheetId="71">'405'!$P$27:$P$35,'405'!$P$37:$P$46,'405'!$P$48,'405'!$P$50,'405'!$P$52,'405'!$P$54:$P$55,'405'!$P$57,'405'!$P$59,'405'!$P$61,'405'!$P$63:$P$64,'405'!$P$66:$P$69,'405'!$P$71,'405'!$P$73:$P$81,'405'!$P$83,'405'!$P$85,'405'!$P$87,'405'!$P$89</definedName>
    <definedName name="OSRRefP22x_0" localSheetId="72">'406'!$P$20,'406'!$P$22</definedName>
    <definedName name="OSRRefP22x_0" localSheetId="73">'411'!$P$20:$P$28,'411'!$P$30:$P$39,'411'!$P$41,'411'!$P$43:$P$44,'411'!$P$46,'411'!$P$48,'411'!$P$50,'411'!$P$52,'411'!$P$54:$P$57,'411'!$P$59:$P$61,'411'!$P$63,'411'!$P$65:$P$66,'411'!$P$68,'411'!$P$70,'411'!$P$72:$P$73,'411'!$P$75</definedName>
    <definedName name="OSRRefP22x_0" localSheetId="74">'412'!$P$20,'412'!$P$22,'412'!$P$24,'412'!$P$26</definedName>
    <definedName name="OSRRefP22x_0" localSheetId="75">'413'!$P$20,'413'!$P$22,'413'!$P$24</definedName>
    <definedName name="OSRRefP22x_0" localSheetId="76">'414'!$P$20,'414'!$P$22,'414'!$P$24</definedName>
    <definedName name="OSRRefP22x_0" localSheetId="77">'415'!$P$27:$P$36,'415'!$P$38:$P$47,'415'!$P$49,'415'!$P$51,'415'!$P$53,'415'!$P$55:$P$56,'415'!$P$58,'415'!$P$60,'415'!$P$62,'415'!$P$64,'415'!$P$66,'415'!$P$68:$P$69,'415'!$P$71:$P$74,'415'!$P$76,'415'!$P$78:$P$85,'415'!$P$87:$P$88,'415'!$P$90,'415'!$P$92</definedName>
    <definedName name="OSRRefP22x_0" localSheetId="78">'418'!$P$24:$P$32,'418'!$P$34:$P$43,'418'!$P$45,'418'!$P$47,'418'!$P$49:$P$50,'418'!$P$52,'418'!$P$54,'418'!$P$56:$P$57,'418'!$P$59:$P$60,'418'!$P$62:$P$65,'418'!$P$67,'418'!$P$69:$P$76,'418'!$P$78:$P$79,'418'!$P$81,'418'!$P$83,'418'!$P$85</definedName>
    <definedName name="OSRRefP22x_0" localSheetId="79">'423'!$P$20:$P$27,'423'!$P$29:$P$38,'423'!$P$40,'423'!$P$42,'423'!$P$44,'423'!$P$46</definedName>
    <definedName name="OSRRefP22x_0" localSheetId="80">'424'!$P$20,'424'!$P$22,'424'!$P$24</definedName>
    <definedName name="OSRRefP22x_0" localSheetId="81">'425'!$P$22,'425'!$P$24,'425'!$P$26,'425'!$P$28,'425'!$P$30,'425'!$P$32</definedName>
    <definedName name="OSRRefP22x_0" localSheetId="83">'430'!$P$20:$P$28,'430'!$P$30:$P$39,'430'!$P$41,'430'!$P$43,'430'!$P$45,'430'!$P$47:$P$48,'430'!$P$50:$P$51,'430'!$P$53,'430'!$P$55</definedName>
    <definedName name="OSRRefP22x_0" localSheetId="84">'433'!$P$27:$P$36,'433'!$P$38:$P$47,'433'!$P$49,'433'!$P$51,'433'!$P$53,'433'!$P$55,'433'!$P$57,'433'!$P$59,'433'!$P$61,'433'!$P$63,'433'!$P$65,'433'!$P$67:$P$69,'433'!$P$71:$P$74,'433'!$P$76:$P$83,'433'!$P$85,'433'!$P$87</definedName>
    <definedName name="OSRRefP22x_0" localSheetId="85">'435'!$P$22,'435'!$P$24</definedName>
    <definedName name="OSRRefP22x_0" localSheetId="86">'444'!$P$27:$P$36,'444'!$P$38:$P$47,'444'!$P$49,'444'!$P$51,'444'!$P$53,'444'!$P$55,'444'!$P$57,'444'!$P$59,'444'!$P$61,'444'!$P$63,'444'!$P$65,'444'!$P$67:$P$68,'444'!$P$70:$P$73,'444'!$P$75,'444'!$P$77:$P$85,'444'!$P$87,'444'!$P$89</definedName>
    <definedName name="OSRRefP22x_0" localSheetId="87">'450'!$P$27:$P$36,'450'!$P$38:$P$47,'450'!$P$49,'450'!$P$51,'450'!$P$53,'450'!$P$55,'450'!$P$57,'450'!$P$59,'450'!$P$61,'450'!$P$63,'450'!$P$65,'450'!$P$67:$P$69,'450'!$P$71:$P$74,'450'!$P$76:$P$82,'450'!$P$84,'450'!$P$86,'450'!$P$88</definedName>
    <definedName name="OSRRefP22x_0" localSheetId="70">'491'!$P$28:$P$37,'491'!$P$39:$P$48,'491'!$P$50,'491'!$P$52,'491'!$P$54,'491'!$P$56:$P$57,'491'!$P$59,'491'!$P$61,'491'!$P$63:$P$64,'491'!$P$66,'491'!$P$68,'491'!$P$70,'491'!$P$72:$P$75,'491'!$P$77,'491'!$P$79:$P$83,'491'!$P$85,'491'!$P$87:$P$96,'491'!$P$98:$P$99,'491'!$P$101,'491'!$P$103:$P$104,'491'!$P$106</definedName>
    <definedName name="OSRRefP22x_0" localSheetId="82">'492'!$P$29:$P$38,'492'!$P$40:$P$49,'492'!$P$51,'492'!$P$53,'492'!$P$55,'492'!$P$57,'492'!$P$59,'492'!$P$61,'492'!$P$63,'492'!$P$65,'492'!$P$67,'492'!$P$69,'492'!$P$71:$P$73,'492'!$P$75:$P$78,'492'!$P$80,'492'!$P$82:$P$90,'492'!$P$92:$P$93,'492'!$P$95,'492'!$P$97:$P$98</definedName>
    <definedName name="OSRRefP22x_0" localSheetId="89">'501'!$P$21:$P$30,'501'!$P$32:$P$41,'501'!$P$43,'501'!$P$45,'501'!$P$47,'501'!$P$49:$P$50,'501'!$P$52,'501'!$P$54,'501'!$P$56,'501'!$P$58:$P$60,'501'!$P$62,'501'!$P$64:$P$66,'501'!$P$68,'501'!$P$70</definedName>
    <definedName name="OSRRefP22x_0" localSheetId="39">'Div 2'!$P$20:$P$30,'Div 2'!$P$32:$P$41,'Div 2'!$P$43,'Div 2'!$P$45,'Div 2'!$P$47,'Div 2'!$P$49:$P$50,'Div 2'!$P$52,'Div 2'!$P$54,'Div 2'!$P$56,'Div 2'!$P$58,'Div 2'!$P$60,'Div 2'!$P$62,'Div 2'!$P$64:$P$67,'Div 2'!$P$69:$P$72,'Div 2'!$P$74:$P$75,'Div 2'!$P$77:$P$78,'Div 2'!$P$80:$P$85,'Div 2'!$P$87:$P$88,'Div 2'!$P$90,'Div 2'!$P$92:$P$93</definedName>
    <definedName name="OSRRefP22x_0" localSheetId="47">'Div 3'!$P$60:$P$69,'Div 3'!$P$71:$P$80,'Div 3'!$P$82,'Div 3'!$P$84,'Div 3'!$P$86,'Div 3'!$P$88:$P$89,'Div 3'!$P$91:$P$92,'Div 3'!$P$94,'Div 3'!$P$96,'Div 3'!$P$98,'Div 3'!$P$100:$P$101,'Div 3'!$P$103:$P$104,'Div 3'!$P$106,'Div 3'!$P$108,'Div 3'!$P$110,'Div 3'!$P$112,'Div 3'!$P$114,'Div 3'!$P$116:$P$119,'Div 3'!$P$121:$P$124,'Div 3'!$P$126:$P$129,'Div 3'!$P$131:$P$132,'Div 3'!$P$134:$P$140,'Div 3'!$P$142:$P$143,'Div 3'!$P$145,'Div 3'!$P$147:$P$149,'Div 3'!$P$151</definedName>
    <definedName name="OSRRefP22x_0" localSheetId="68">'Div 4'!$P$31:$P$40,'Div 4'!$P$42:$P$51,'Div 4'!$P$53,'Div 4'!$P$55,'Div 4'!$P$57,'Div 4'!$P$59:$P$60,'Div 4'!$P$62,'Div 4'!$P$64,'Div 4'!$P$66,'Div 4'!$P$68:$P$69,'Div 4'!$P$71,'Div 4'!$P$73,'Div 4'!$P$75,'Div 4'!$P$77,'Div 4'!$P$79:$P$82,'Div 4'!$P$84,'Div 4'!$P$86:$P$90,'Div 4'!$P$92:$P$93,'Div 4'!$P$95:$P$104,'Div 4'!$P$106:$P$107,'Div 4'!$P$109,'Div 4'!$P$111:$P$112,'Div 4'!$P$114</definedName>
    <definedName name="OSRRefP22x_0" localSheetId="88">'Div 5'!$P$21:$P$30,'Div 5'!$P$32:$P$41,'Div 5'!$P$43,'Div 5'!$P$45,'Div 5'!$P$47,'Div 5'!$P$49:$P$50,'Div 5'!$P$52,'Div 5'!$P$54,'Div 5'!$P$56,'Div 5'!$P$58:$P$60,'Div 5'!$P$62,'Div 5'!$P$64:$P$66,'Div 5'!$P$68,'Div 5'!$P$70</definedName>
    <definedName name="OSRRefP22x_0" localSheetId="61">'Div 6'!$P$35:$P$44,'Div 6'!$P$46:$P$55,'Div 6'!$P$57,'Div 6'!$P$59,'Div 6'!$P$61,'Div 6'!$P$63,'Div 6'!$P$65,'Div 6'!$P$67,'Div 6'!$P$69,'Div 6'!$P$71:$P$72,'Div 6'!$P$74</definedName>
    <definedName name="OSRRefP22x_0" localSheetId="2">Summary!$P$68:$P$77,Summary!$P$79:$P$88,Summary!$P$90,Summary!$P$92,Summary!$P$94,Summary!$P$96:$P$97,Summary!$P$99:$P$100,Summary!$P$102,Summary!$P$104,Summary!$P$106,Summary!$P$108:$P$109,Summary!$P$111:$P$113,Summary!$P$115,Summary!$P$117,Summary!$P$119,Summary!$P$121,Summary!$P$123,Summary!$P$125,Summary!$P$127:$P$130,Summary!$P$132:$P$135,Summary!$P$137:$P$141,Summary!$P$143:$P$144,Summary!$P$146:$P$155,Summary!$P$157:$P$158,Summary!$P$160,Summary!$P$162:$P$164,Summary!$P$166</definedName>
    <definedName name="OSRRefP25x_0" localSheetId="48">'300'!$P$145:$P$149</definedName>
    <definedName name="OSRRefP25x_0" localSheetId="49">'300 &amp; 317'!$P$151:$P$157</definedName>
    <definedName name="OSRRefP25x_0" localSheetId="50">'301'!$P$98:$P$99</definedName>
    <definedName name="OSRRefP25x_0" localSheetId="51">'308'!$P$88:$P$91</definedName>
    <definedName name="OSRRefP25x_0" localSheetId="69">'310 &amp; 491'!$P$111:$P$114</definedName>
    <definedName name="OSRRefP25x_0" localSheetId="52">'311'!$P$88:$P$91</definedName>
    <definedName name="OSRRefP25x_0" localSheetId="58">'315'!$P$108:$P$110</definedName>
    <definedName name="OSRRefP25x_0" localSheetId="60">'316'!$P$75</definedName>
    <definedName name="OSRRefP25x_0" localSheetId="62">'317'!$P$77:$P$79</definedName>
    <definedName name="OSRRefP25x_0" localSheetId="56">'331'!$P$120:$P$122</definedName>
    <definedName name="OSRRefP25x_0" localSheetId="57">'332'!$P$75</definedName>
    <definedName name="OSRRefP25x_0" localSheetId="54">'333'!$P$125:$P$127</definedName>
    <definedName name="OSRRefP25x_0" localSheetId="71">'405'!$P$92</definedName>
    <definedName name="OSRRefP25x_0" localSheetId="73">'411'!$P$78</definedName>
    <definedName name="OSRRefP25x_0" localSheetId="77">'415'!$P$95</definedName>
    <definedName name="OSRRefP25x_0" localSheetId="78">'418'!$P$88</definedName>
    <definedName name="OSRRefP25x_0" localSheetId="79">'423'!$P$49:$P$51</definedName>
    <definedName name="OSRRefP25x_0" localSheetId="70">'491'!$P$109:$P$112</definedName>
    <definedName name="OSRRefP25x_0" localSheetId="89">'501'!$P$73</definedName>
    <definedName name="OSRRefP25x_0" localSheetId="47">'Div 3'!$P$154:$P$158</definedName>
    <definedName name="OSRRefP25x_0" localSheetId="68">'Div 4'!$P$117:$P$120</definedName>
    <definedName name="OSRRefP25x_0" localSheetId="88">'Div 5'!$P$73</definedName>
    <definedName name="OSRRefP25x_0" localSheetId="61">'Div 6'!$P$77:$P$79</definedName>
    <definedName name="OSRRefP25x_0" localSheetId="2">Summary!$P$169:$P$176</definedName>
    <definedName name="OSRRefT13x_0" localSheetId="48">'300'!$T$13:$T$19</definedName>
    <definedName name="OSRRefT13x_0" localSheetId="49">'300 &amp; 317'!$T$13:$T$19</definedName>
    <definedName name="OSRRefT13x_0" localSheetId="55">'307'!$T$13:$T$16</definedName>
    <definedName name="OSRRefT13x_0" localSheetId="51">'308'!$T$13:$T$17</definedName>
    <definedName name="OSRRefT13x_0" localSheetId="64">'309'!$T$13:$T$16</definedName>
    <definedName name="OSRRefT13x_0" localSheetId="63">'310'!$T$13:$T$18</definedName>
    <definedName name="OSRRefT13x_0" localSheetId="69">'310 &amp; 491'!$T$13:$T$18</definedName>
    <definedName name="OSRRefT13x_0" localSheetId="52">'311'!$T$13:$T$17</definedName>
    <definedName name="OSRRefT13x_0" localSheetId="58">'315'!$T$13:$T$17</definedName>
    <definedName name="OSRRefT13x_0" localSheetId="60">'316'!$T$13:$T$17</definedName>
    <definedName name="OSRRefT13x_0" localSheetId="62">'317'!$T$13:$T$17</definedName>
    <definedName name="OSRRefT13x_0" localSheetId="65">'321'!$T$13:$T$14</definedName>
    <definedName name="OSRRefT13x_0" localSheetId="53">'324'!$T$13:$T$14</definedName>
    <definedName name="OSRRefT13x_0" localSheetId="66">'325'!$T$13:$T$14</definedName>
    <definedName name="OSRRefT13x_0" localSheetId="59">'326'!$T$13:$T$16</definedName>
    <definedName name="OSRRefT13x_0" localSheetId="67">'327'!$T$13:$T$15</definedName>
    <definedName name="OSRRefT13x_0" localSheetId="56">'331'!$T$13:$T$17</definedName>
    <definedName name="OSRRefT13x_0" localSheetId="57">'332'!$T$13:$T$17</definedName>
    <definedName name="OSRRefT13x_0" localSheetId="54">'333'!$T$13:$T$17</definedName>
    <definedName name="OSRRefT13x_0" localSheetId="71">'405'!$T$13:$T$16</definedName>
    <definedName name="OSRRefT13x_0" localSheetId="77">'415'!$T$13:$T$16</definedName>
    <definedName name="OSRRefT13x_0" localSheetId="78">'418'!$T$13:$T$14</definedName>
    <definedName name="OSRRefT13x_0" localSheetId="81">'425'!$T$13</definedName>
    <definedName name="OSRRefT13x_0" localSheetId="84">'433'!$T$13:$T$16</definedName>
    <definedName name="OSRRefT13x_0" localSheetId="85">'435'!$T$13:$T$14</definedName>
    <definedName name="OSRRefT13x_0" localSheetId="86">'444'!$T$13:$T$16</definedName>
    <definedName name="OSRRefT13x_0" localSheetId="87">'450'!$T$13:$T$16</definedName>
    <definedName name="OSRRefT13x_0" localSheetId="70">'491'!$T$13:$T$17</definedName>
    <definedName name="OSRRefT13x_0" localSheetId="82">'492'!$T$13:$T$18</definedName>
    <definedName name="OSRRefT13x_0" localSheetId="89">'501'!$T$13</definedName>
    <definedName name="OSRRefT13x_0" localSheetId="47">'Div 3'!$T$13:$T$23</definedName>
    <definedName name="OSRRefT13x_0" localSheetId="68">'Div 4'!$T$13:$T$20</definedName>
    <definedName name="OSRRefT13x_0" localSheetId="88">'Div 5'!$T$13</definedName>
    <definedName name="OSRRefT13x_0" localSheetId="61">'Div 6'!$T$13:$T$17</definedName>
    <definedName name="OSRRefT13x_0" localSheetId="2">Summary!$T$13:$T$25</definedName>
    <definedName name="OSRRefT16x_0" localSheetId="48">'300'!$T$22:$T$48</definedName>
    <definedName name="OSRRefT16x_0" localSheetId="49">'300 &amp; 317'!$T$22:$T$54</definedName>
    <definedName name="OSRRefT16x_0" localSheetId="50">'301'!$T$15</definedName>
    <definedName name="OSRRefT16x_0" localSheetId="55">'307'!$T$19:$T$28</definedName>
    <definedName name="OSRRefT16x_0" localSheetId="51">'308'!$T$20:$T$29</definedName>
    <definedName name="OSRRefT16x_0" localSheetId="64">'309'!$T$19:$T$20</definedName>
    <definedName name="OSRRefT16x_0" localSheetId="63">'310'!$T$21:$T$23</definedName>
    <definedName name="OSRRefT16x_0" localSheetId="69">'310 &amp; 491'!$T$21:$T$23</definedName>
    <definedName name="OSRRefT16x_0" localSheetId="52">'311'!$T$20:$T$29</definedName>
    <definedName name="OSRRefT16x_0" localSheetId="58">'315'!$T$20:$T$38</definedName>
    <definedName name="OSRRefT16x_0" localSheetId="60">'316'!$T$20:$T$21</definedName>
    <definedName name="OSRRefT16x_0" localSheetId="62">'317'!$T$20:$T$29</definedName>
    <definedName name="OSRRefT16x_0" localSheetId="65">'321'!$T$17:$T$18</definedName>
    <definedName name="OSRRefT16x_0" localSheetId="53">'324'!$T$17</definedName>
    <definedName name="OSRRefT16x_0" localSheetId="66">'325'!$T$17:$T$19</definedName>
    <definedName name="OSRRefT16x_0" localSheetId="59">'326'!$T$19:$T$22</definedName>
    <definedName name="OSRRefT16x_0" localSheetId="67">'327'!$T$18:$T$20</definedName>
    <definedName name="OSRRefT16x_0" localSheetId="56">'331'!$T$20:$T$38</definedName>
    <definedName name="OSRRefT16x_0" localSheetId="57">'332'!$T$20:$T$21</definedName>
    <definedName name="OSRRefT16x_0" localSheetId="54">'333'!$T$20:$T$40</definedName>
    <definedName name="OSRRefT16x_0" localSheetId="71">'405'!$T$19:$T$21</definedName>
    <definedName name="OSRRefT16x_0" localSheetId="77">'415'!$T$19:$T$21</definedName>
    <definedName name="OSRRefT16x_0" localSheetId="78">'418'!$T$17:$T$18</definedName>
    <definedName name="OSRRefT16x_0" localSheetId="81">'425'!$T$16</definedName>
    <definedName name="OSRRefT16x_0" localSheetId="84">'433'!$T$19:$T$21</definedName>
    <definedName name="OSRRefT16x_0" localSheetId="86">'444'!$T$19:$T$21</definedName>
    <definedName name="OSRRefT16x_0" localSheetId="87">'450'!$T$19:$T$21</definedName>
    <definedName name="OSRRefT16x_0" localSheetId="70">'491'!$T$20:$T$22</definedName>
    <definedName name="OSRRefT16x_0" localSheetId="82">'492'!$T$21:$T$23</definedName>
    <definedName name="OSRRefT16x_0" localSheetId="47">'Div 3'!$T$26:$T$54</definedName>
    <definedName name="OSRRefT16x_0" localSheetId="68">'Div 4'!$T$23:$T$25</definedName>
    <definedName name="OSRRefT16x_0" localSheetId="61">'Div 6'!$T$20:$T$29</definedName>
    <definedName name="OSRRefT16x_0" localSheetId="2">Summary!$T$28:$T$62</definedName>
    <definedName name="OSRRefT22_0x_0" localSheetId="40">'200'!$T$20</definedName>
    <definedName name="OSRRefT22_0x_0" localSheetId="41">'201'!$T$20:$T$28</definedName>
    <definedName name="OSRRefT22_0x_0" localSheetId="42">'202'!$T$20:$T$28</definedName>
    <definedName name="OSRRefT22_0x_0" localSheetId="43">'203'!$T$20:$T$29</definedName>
    <definedName name="OSRRefT22_0x_0" localSheetId="44">'204'!$T$20:$T$28</definedName>
    <definedName name="OSRRefT22_0x_0" localSheetId="45">'205'!$T$20:$T$28</definedName>
    <definedName name="OSRRefT22_0x_0" localSheetId="46">'206'!$T$20:$T$28</definedName>
    <definedName name="OSRRefT22_0x_0" localSheetId="48">'300'!$T$54:$T$63</definedName>
    <definedName name="OSRRefT22_0x_0" localSheetId="49">'300 &amp; 317'!$T$60:$T$69</definedName>
    <definedName name="OSRRefT22_0x_0" localSheetId="50">'301'!$T$21:$T$30</definedName>
    <definedName name="OSRRefT22_0x_0" localSheetId="55">'307'!$T$34:$T$41</definedName>
    <definedName name="OSRRefT22_0x_0" localSheetId="51">'308'!$T$35:$T$44</definedName>
    <definedName name="OSRRefT22_0x_0" localSheetId="64">'309'!$T$26:$T$27</definedName>
    <definedName name="OSRRefT22_0x_0" localSheetId="63">'310'!$T$29:$T$38</definedName>
    <definedName name="OSRRefT22_0x_0" localSheetId="69">'310 &amp; 491'!$T$29:$T$38</definedName>
    <definedName name="OSRRefT22_0x_0" localSheetId="52">'311'!$T$35:$T$44</definedName>
    <definedName name="OSRRefT22_0x_0" localSheetId="58">'315'!$T$44:$T$52</definedName>
    <definedName name="OSRRefT22_0x_0" localSheetId="60">'316'!$T$27:$T$35</definedName>
    <definedName name="OSRRefT22_0x_0" localSheetId="62">'317'!$T$35:$T$44</definedName>
    <definedName name="OSRRefT22_0x_0" localSheetId="65">'321'!$T$24:$T$33</definedName>
    <definedName name="OSRRefT22_0x_0" localSheetId="66">'325'!$T$25:$T$33</definedName>
    <definedName name="OSRRefT22_0x_0" localSheetId="59">'326'!$T$28:$T$36</definedName>
    <definedName name="OSRRefT22_0x_0" localSheetId="67">'327'!$T$26</definedName>
    <definedName name="OSRRefT22_0x_0" localSheetId="56">'331'!$T$44:$T$52</definedName>
    <definedName name="OSRRefT22_0x_0" localSheetId="57">'332'!$T$27:$T$35</definedName>
    <definedName name="OSRRefT22_0x_0" localSheetId="54">'333'!$T$46:$T$54</definedName>
    <definedName name="OSRRefT22_0x_0" localSheetId="71">'405'!$T$27:$T$35</definedName>
    <definedName name="OSRRefT22_0x_0" localSheetId="72">'406'!$T$20</definedName>
    <definedName name="OSRRefT22_0x_0" localSheetId="73">'411'!$T$20:$T$28</definedName>
    <definedName name="OSRRefT22_0x_0" localSheetId="74">'412'!$T$20</definedName>
    <definedName name="OSRRefT22_0x_0" localSheetId="75">'413'!$T$20</definedName>
    <definedName name="OSRRefT22_0x_0" localSheetId="76">'414'!$T$20</definedName>
    <definedName name="OSRRefT22_0x_0" localSheetId="77">'415'!$T$27:$T$36</definedName>
    <definedName name="OSRRefT22_0x_0" localSheetId="78">'418'!$T$24:$T$32</definedName>
    <definedName name="OSRRefT22_0x_0" localSheetId="79">'423'!$T$20:$T$27</definedName>
    <definedName name="OSRRefT22_0x_0" localSheetId="80">'424'!$T$20</definedName>
    <definedName name="OSRRefT22_0x_0" localSheetId="81">'425'!$T$22</definedName>
    <definedName name="OSRRefT22_0x_0" localSheetId="83">'430'!$T$20:$T$28</definedName>
    <definedName name="OSRRefT22_0x_0" localSheetId="84">'433'!$T$27:$T$36</definedName>
    <definedName name="OSRRefT22_0x_0" localSheetId="85">'435'!$T$22</definedName>
    <definedName name="OSRRefT22_0x_0" localSheetId="86">'444'!$T$27:$T$36</definedName>
    <definedName name="OSRRefT22_0x_0" localSheetId="87">'450'!$T$27:$T$36</definedName>
    <definedName name="OSRRefT22_0x_0" localSheetId="70">'491'!$T$28:$T$37</definedName>
    <definedName name="OSRRefT22_0x_0" localSheetId="82">'492'!$T$29:$T$38</definedName>
    <definedName name="OSRRefT22_0x_0" localSheetId="89">'501'!$T$21:$T$30</definedName>
    <definedName name="OSRRefT22_0x_0" localSheetId="39">'Div 2'!$T$20:$T$30</definedName>
    <definedName name="OSRRefT22_0x_0" localSheetId="47">'Div 3'!$T$60:$T$69</definedName>
    <definedName name="OSRRefT22_0x_0" localSheetId="68">'Div 4'!$T$31:$T$40</definedName>
    <definedName name="OSRRefT22_0x_0" localSheetId="88">'Div 5'!$T$21:$T$30</definedName>
    <definedName name="OSRRefT22_0x_0" localSheetId="61">'Div 6'!$T$35:$T$44</definedName>
    <definedName name="OSRRefT22_0x_0" localSheetId="2">Summary!$T$68:$T$77</definedName>
    <definedName name="OSRRefT22_10x_0" localSheetId="41">'201'!$T$59:$T$60</definedName>
    <definedName name="OSRRefT22_10x_0" localSheetId="42">'202'!$T$60</definedName>
    <definedName name="OSRRefT22_10x_0" localSheetId="43">'203'!$T$61:$T$62</definedName>
    <definedName name="OSRRefT22_10x_0" localSheetId="44">'204'!$T$63</definedName>
    <definedName name="OSRRefT22_10x_0" localSheetId="48">'300'!$T$94:$T$95</definedName>
    <definedName name="OSRRefT22_10x_0" localSheetId="49">'300 &amp; 317'!$T$100:$T$101</definedName>
    <definedName name="OSRRefT22_10x_0" localSheetId="50">'301'!$T$61</definedName>
    <definedName name="OSRRefT22_10x_0" localSheetId="55">'307'!$T$72:$T$73</definedName>
    <definedName name="OSRRefT22_10x_0" localSheetId="51">'308'!$T$76:$T$77</definedName>
    <definedName name="OSRRefT22_10x_0" localSheetId="64">'309'!$T$50:$T$51</definedName>
    <definedName name="OSRRefT22_10x_0" localSheetId="63">'310'!$T$68</definedName>
    <definedName name="OSRRefT22_10x_0" localSheetId="69">'310 &amp; 491'!$T$69</definedName>
    <definedName name="OSRRefT22_10x_0" localSheetId="52">'311'!$T$76:$T$77</definedName>
    <definedName name="OSRRefT22_10x_0" localSheetId="58">'315'!$T$82</definedName>
    <definedName name="OSRRefT22_10x_0" localSheetId="60">'316'!$T$67:$T$70</definedName>
    <definedName name="OSRRefT22_10x_0" localSheetId="62">'317'!$T$74</definedName>
    <definedName name="OSRRefT22_10x_0" localSheetId="65">'321'!$T$65:$T$68</definedName>
    <definedName name="OSRRefT22_10x_0" localSheetId="66">'325'!$T$63</definedName>
    <definedName name="OSRRefT22_10x_0" localSheetId="59">'326'!$T$66</definedName>
    <definedName name="OSRRefT22_10x_0" localSheetId="56">'331'!$T$83</definedName>
    <definedName name="OSRRefT22_10x_0" localSheetId="57">'332'!$T$67:$T$70</definedName>
    <definedName name="OSRRefT22_10x_0" localSheetId="54">'333'!$T$86</definedName>
    <definedName name="OSRRefT22_10x_0" localSheetId="71">'405'!$T$66:$T$69</definedName>
    <definedName name="OSRRefT22_10x_0" localSheetId="73">'411'!$T$63</definedName>
    <definedName name="OSRRefT22_10x_0" localSheetId="77">'415'!$T$66</definedName>
    <definedName name="OSRRefT22_10x_0" localSheetId="78">'418'!$T$67</definedName>
    <definedName name="OSRRefT22_10x_0" localSheetId="84">'433'!$T$65</definedName>
    <definedName name="OSRRefT22_10x_0" localSheetId="86">'444'!$T$65</definedName>
    <definedName name="OSRRefT22_10x_0" localSheetId="87">'450'!$T$65</definedName>
    <definedName name="OSRRefT22_10x_0" localSheetId="70">'491'!$T$68</definedName>
    <definedName name="OSRRefT22_10x_0" localSheetId="82">'492'!$T$67</definedName>
    <definedName name="OSRRefT22_10x_0" localSheetId="89">'501'!$T$62</definedName>
    <definedName name="OSRRefT22_10x_0" localSheetId="39">'Div 2'!$T$60</definedName>
    <definedName name="OSRRefT22_10x_0" localSheetId="47">'Div 3'!$T$100:$T$101</definedName>
    <definedName name="OSRRefT22_10x_0" localSheetId="68">'Div 4'!$T$71</definedName>
    <definedName name="OSRRefT22_10x_0" localSheetId="88">'Div 5'!$T$62</definedName>
    <definedName name="OSRRefT22_10x_0" localSheetId="61">'Div 6'!$T$74</definedName>
    <definedName name="OSRRefT22_10x_0" localSheetId="2">Summary!$T$108:$T$109</definedName>
    <definedName name="OSRRefT22_11x_0" localSheetId="41">'201'!$T$62</definedName>
    <definedName name="OSRRefT22_11x_0" localSheetId="42">'202'!$T$62</definedName>
    <definedName name="OSRRefT22_11x_0" localSheetId="43">'203'!$T$64:$T$67</definedName>
    <definedName name="OSRRefT22_11x_0" localSheetId="48">'300'!$T$97:$T$98</definedName>
    <definedName name="OSRRefT22_11x_0" localSheetId="49">'300 &amp; 317'!$T$103:$T$104</definedName>
    <definedName name="OSRRefT22_11x_0" localSheetId="50">'301'!$T$63</definedName>
    <definedName name="OSRRefT22_11x_0" localSheetId="55">'307'!$T$75</definedName>
    <definedName name="OSRRefT22_11x_0" localSheetId="51">'308'!$T$79:$T$80</definedName>
    <definedName name="OSRRefT22_11x_0" localSheetId="64">'309'!$T$53</definedName>
    <definedName name="OSRRefT22_11x_0" localSheetId="63">'310'!$T$70:$T$72</definedName>
    <definedName name="OSRRefT22_11x_0" localSheetId="69">'310 &amp; 491'!$T$71</definedName>
    <definedName name="OSRRefT22_11x_0" localSheetId="52">'311'!$T$79:$T$80</definedName>
    <definedName name="OSRRefT22_11x_0" localSheetId="58">'315'!$T$84</definedName>
    <definedName name="OSRRefT22_11x_0" localSheetId="60">'316'!$T$72</definedName>
    <definedName name="OSRRefT22_11x_0" localSheetId="65">'321'!$T$70</definedName>
    <definedName name="OSRRefT22_11x_0" localSheetId="66">'325'!$T$65:$T$67</definedName>
    <definedName name="OSRRefT22_11x_0" localSheetId="59">'326'!$T$68:$T$69</definedName>
    <definedName name="OSRRefT22_11x_0" localSheetId="56">'331'!$T$85</definedName>
    <definedName name="OSRRefT22_11x_0" localSheetId="57">'332'!$T$72</definedName>
    <definedName name="OSRRefT22_11x_0" localSheetId="54">'333'!$T$88</definedName>
    <definedName name="OSRRefT22_11x_0" localSheetId="71">'405'!$T$71</definedName>
    <definedName name="OSRRefT22_11x_0" localSheetId="73">'411'!$T$65:$T$66</definedName>
    <definedName name="OSRRefT22_11x_0" localSheetId="77">'415'!$T$68:$T$69</definedName>
    <definedName name="OSRRefT22_11x_0" localSheetId="78">'418'!$T$69:$T$76</definedName>
    <definedName name="OSRRefT22_11x_0" localSheetId="84">'433'!$T$67:$T$69</definedName>
    <definedName name="OSRRefT22_11x_0" localSheetId="86">'444'!$T$67:$T$68</definedName>
    <definedName name="OSRRefT22_11x_0" localSheetId="87">'450'!$T$67:$T$69</definedName>
    <definedName name="OSRRefT22_11x_0" localSheetId="70">'491'!$T$70</definedName>
    <definedName name="OSRRefT22_11x_0" localSheetId="82">'492'!$T$69</definedName>
    <definedName name="OSRRefT22_11x_0" localSheetId="89">'501'!$T$64:$T$66</definedName>
    <definedName name="OSRRefT22_11x_0" localSheetId="39">'Div 2'!$T$62</definedName>
    <definedName name="OSRRefT22_11x_0" localSheetId="47">'Div 3'!$T$103:$T$104</definedName>
    <definedName name="OSRRefT22_11x_0" localSheetId="68">'Div 4'!$T$73</definedName>
    <definedName name="OSRRefT22_11x_0" localSheetId="88">'Div 5'!$T$64:$T$66</definedName>
    <definedName name="OSRRefT22_11x_0" localSheetId="2">Summary!$T$111:$T$113</definedName>
    <definedName name="OSRRefT22_12x_0" localSheetId="41">'201'!$T$64:$T$65</definedName>
    <definedName name="OSRRefT22_12x_0" localSheetId="42">'202'!$T$64</definedName>
    <definedName name="OSRRefT22_12x_0" localSheetId="43">'203'!$T$69</definedName>
    <definedName name="OSRRefT22_12x_0" localSheetId="48">'300'!$T$100</definedName>
    <definedName name="OSRRefT22_12x_0" localSheetId="49">'300 &amp; 317'!$T$106</definedName>
    <definedName name="OSRRefT22_12x_0" localSheetId="50">'301'!$T$65</definedName>
    <definedName name="OSRRefT22_12x_0" localSheetId="55">'307'!$T$77:$T$80</definedName>
    <definedName name="OSRRefT22_12x_0" localSheetId="51">'308'!$T$82:$T$83</definedName>
    <definedName name="OSRRefT22_12x_0" localSheetId="64">'309'!$T$55</definedName>
    <definedName name="OSRRefT22_12x_0" localSheetId="63">'310'!$T$74</definedName>
    <definedName name="OSRRefT22_12x_0" localSheetId="69">'310 &amp; 491'!$T$73:$T$76</definedName>
    <definedName name="OSRRefT22_12x_0" localSheetId="52">'311'!$T$82:$T$83</definedName>
    <definedName name="OSRRefT22_12x_0" localSheetId="58">'315'!$T$86:$T$87</definedName>
    <definedName name="OSRRefT22_12x_0" localSheetId="65">'321'!$T$72</definedName>
    <definedName name="OSRRefT22_12x_0" localSheetId="66">'325'!$T$69:$T$71</definedName>
    <definedName name="OSRRefT22_12x_0" localSheetId="59">'326'!$T$71:$T$72</definedName>
    <definedName name="OSRRefT22_12x_0" localSheetId="56">'331'!$T$87</definedName>
    <definedName name="OSRRefT22_12x_0" localSheetId="54">'333'!$T$90</definedName>
    <definedName name="OSRRefT22_12x_0" localSheetId="71">'405'!$T$73:$T$81</definedName>
    <definedName name="OSRRefT22_12x_0" localSheetId="73">'411'!$T$68</definedName>
    <definedName name="OSRRefT22_12x_0" localSheetId="77">'415'!$T$71:$T$74</definedName>
    <definedName name="OSRRefT22_12x_0" localSheetId="78">'418'!$T$78:$T$79</definedName>
    <definedName name="OSRRefT22_12x_0" localSheetId="84">'433'!$T$71:$T$74</definedName>
    <definedName name="OSRRefT22_12x_0" localSheetId="86">'444'!$T$70:$T$73</definedName>
    <definedName name="OSRRefT22_12x_0" localSheetId="87">'450'!$T$71:$T$74</definedName>
    <definedName name="OSRRefT22_12x_0" localSheetId="70">'491'!$T$72:$T$75</definedName>
    <definedName name="OSRRefT22_12x_0" localSheetId="82">'492'!$T$71:$T$73</definedName>
    <definedName name="OSRRefT22_12x_0" localSheetId="89">'501'!$T$68</definedName>
    <definedName name="OSRRefT22_12x_0" localSheetId="39">'Div 2'!$T$64:$T$67</definedName>
    <definedName name="OSRRefT22_12x_0" localSheetId="47">'Div 3'!$T$106</definedName>
    <definedName name="OSRRefT22_12x_0" localSheetId="68">'Div 4'!$T$75</definedName>
    <definedName name="OSRRefT22_12x_0" localSheetId="88">'Div 5'!$T$68</definedName>
    <definedName name="OSRRefT22_12x_0" localSheetId="2">Summary!$T$115</definedName>
    <definedName name="OSRRefT22_13x_0" localSheetId="41">'201'!$T$67</definedName>
    <definedName name="OSRRefT22_13x_0" localSheetId="43">'203'!$T$71</definedName>
    <definedName name="OSRRefT22_13x_0" localSheetId="48">'300'!$T$102</definedName>
    <definedName name="OSRRefT22_13x_0" localSheetId="49">'300 &amp; 317'!$T$108</definedName>
    <definedName name="OSRRefT22_13x_0" localSheetId="50">'301'!$T$67</definedName>
    <definedName name="OSRRefT22_13x_0" localSheetId="55">'307'!$T$82</definedName>
    <definedName name="OSRRefT22_13x_0" localSheetId="51">'308'!$T$85</definedName>
    <definedName name="OSRRefT22_13x_0" localSheetId="63">'310'!$T$76:$T$78</definedName>
    <definedName name="OSRRefT22_13x_0" localSheetId="69">'310 &amp; 491'!$T$78:$T$79</definedName>
    <definedName name="OSRRefT22_13x_0" localSheetId="52">'311'!$T$85</definedName>
    <definedName name="OSRRefT22_13x_0" localSheetId="58">'315'!$T$89:$T$91</definedName>
    <definedName name="OSRRefT22_13x_0" localSheetId="66">'325'!$T$73:$T$78</definedName>
    <definedName name="OSRRefT22_13x_0" localSheetId="59">'326'!$T$74:$T$75</definedName>
    <definedName name="OSRRefT22_13x_0" localSheetId="56">'331'!$T$89</definedName>
    <definedName name="OSRRefT22_13x_0" localSheetId="54">'333'!$T$92</definedName>
    <definedName name="OSRRefT22_13x_0" localSheetId="71">'405'!$T$83</definedName>
    <definedName name="OSRRefT22_13x_0" localSheetId="73">'411'!$T$70</definedName>
    <definedName name="OSRRefT22_13x_0" localSheetId="77">'415'!$T$76</definedName>
    <definedName name="OSRRefT22_13x_0" localSheetId="78">'418'!$T$81</definedName>
    <definedName name="OSRRefT22_13x_0" localSheetId="84">'433'!$T$76:$T$83</definedName>
    <definedName name="OSRRefT22_13x_0" localSheetId="86">'444'!$T$75</definedName>
    <definedName name="OSRRefT22_13x_0" localSheetId="87">'450'!$T$76:$T$82</definedName>
    <definedName name="OSRRefT22_13x_0" localSheetId="70">'491'!$T$77</definedName>
    <definedName name="OSRRefT22_13x_0" localSheetId="82">'492'!$T$75:$T$78</definedName>
    <definedName name="OSRRefT22_13x_0" localSheetId="89">'501'!$T$70</definedName>
    <definedName name="OSRRefT22_13x_0" localSheetId="39">'Div 2'!$T$69:$T$72</definedName>
    <definedName name="OSRRefT22_13x_0" localSheetId="47">'Div 3'!$T$108</definedName>
    <definedName name="OSRRefT22_13x_0" localSheetId="68">'Div 4'!$T$77</definedName>
    <definedName name="OSRRefT22_13x_0" localSheetId="88">'Div 5'!$T$70</definedName>
    <definedName name="OSRRefT22_13x_0" localSheetId="2">Summary!$T$117</definedName>
    <definedName name="OSRRefT22_14x_0" localSheetId="41">'201'!$T$69</definedName>
    <definedName name="OSRRefT22_14x_0" localSheetId="43">'203'!$T$73</definedName>
    <definedName name="OSRRefT22_14x_0" localSheetId="48">'300'!$T$104</definedName>
    <definedName name="OSRRefT22_14x_0" localSheetId="49">'300 &amp; 317'!$T$110</definedName>
    <definedName name="OSRRefT22_14x_0" localSheetId="50">'301'!$T$69</definedName>
    <definedName name="OSRRefT22_14x_0" localSheetId="63">'310'!$T$80:$T$85</definedName>
    <definedName name="OSRRefT22_14x_0" localSheetId="69">'310 &amp; 491'!$T$81:$T$85</definedName>
    <definedName name="OSRRefT22_14x_0" localSheetId="58">'315'!$T$93:$T$94</definedName>
    <definedName name="OSRRefT22_14x_0" localSheetId="66">'325'!$T$80:$T$81</definedName>
    <definedName name="OSRRefT22_14x_0" localSheetId="59">'326'!$T$77:$T$79</definedName>
    <definedName name="OSRRefT22_14x_0" localSheetId="56">'331'!$T$91:$T$92</definedName>
    <definedName name="OSRRefT22_14x_0" localSheetId="54">'333'!$T$94:$T$95</definedName>
    <definedName name="OSRRefT22_14x_0" localSheetId="71">'405'!$T$85</definedName>
    <definedName name="OSRRefT22_14x_0" localSheetId="73">'411'!$T$72:$T$73</definedName>
    <definedName name="OSRRefT22_14x_0" localSheetId="77">'415'!$T$78:$T$85</definedName>
    <definedName name="OSRRefT22_14x_0" localSheetId="78">'418'!$T$83</definedName>
    <definedName name="OSRRefT22_14x_0" localSheetId="84">'433'!$T$85</definedName>
    <definedName name="OSRRefT22_14x_0" localSheetId="86">'444'!$T$77:$T$85</definedName>
    <definedName name="OSRRefT22_14x_0" localSheetId="87">'450'!$T$84</definedName>
    <definedName name="OSRRefT22_14x_0" localSheetId="70">'491'!$T$79:$T$83</definedName>
    <definedName name="OSRRefT22_14x_0" localSheetId="82">'492'!$T$80</definedName>
    <definedName name="OSRRefT22_14x_0" localSheetId="39">'Div 2'!$T$74:$T$75</definedName>
    <definedName name="OSRRefT22_14x_0" localSheetId="47">'Div 3'!$T$110</definedName>
    <definedName name="OSRRefT22_14x_0" localSheetId="68">'Div 4'!$T$79:$T$82</definedName>
    <definedName name="OSRRefT22_14x_0" localSheetId="2">Summary!$T$119</definedName>
    <definedName name="OSRRefT22_15x_0" localSheetId="41">'201'!$T$71</definedName>
    <definedName name="OSRRefT22_15x_0" localSheetId="48">'300'!$T$106</definedName>
    <definedName name="OSRRefT22_15x_0" localSheetId="49">'300 &amp; 317'!$T$112</definedName>
    <definedName name="OSRRefT22_15x_0" localSheetId="50">'301'!$T$71:$T$74</definedName>
    <definedName name="OSRRefT22_15x_0" localSheetId="63">'310'!$T$87:$T$88</definedName>
    <definedName name="OSRRefT22_15x_0" localSheetId="69">'310 &amp; 491'!$T$87</definedName>
    <definedName name="OSRRefT22_15x_0" localSheetId="58">'315'!$T$96:$T$99</definedName>
    <definedName name="OSRRefT22_15x_0" localSheetId="66">'325'!$T$83</definedName>
    <definedName name="OSRRefT22_15x_0" localSheetId="59">'326'!$T$81</definedName>
    <definedName name="OSRRefT22_15x_0" localSheetId="56">'331'!$T$94:$T$96</definedName>
    <definedName name="OSRRefT22_15x_0" localSheetId="54">'333'!$T$97:$T$99</definedName>
    <definedName name="OSRRefT22_15x_0" localSheetId="71">'405'!$T$87</definedName>
    <definedName name="OSRRefT22_15x_0" localSheetId="73">'411'!$T$75</definedName>
    <definedName name="OSRRefT22_15x_0" localSheetId="77">'415'!$T$87:$T$88</definedName>
    <definedName name="OSRRefT22_15x_0" localSheetId="78">'418'!$T$85</definedName>
    <definedName name="OSRRefT22_15x_0" localSheetId="84">'433'!$T$87</definedName>
    <definedName name="OSRRefT22_15x_0" localSheetId="86">'444'!$T$87</definedName>
    <definedName name="OSRRefT22_15x_0" localSheetId="87">'450'!$T$86</definedName>
    <definedName name="OSRRefT22_15x_0" localSheetId="70">'491'!$T$85</definedName>
    <definedName name="OSRRefT22_15x_0" localSheetId="82">'492'!$T$82:$T$90</definedName>
    <definedName name="OSRRefT22_15x_0" localSheetId="39">'Div 2'!$T$77:$T$78</definedName>
    <definedName name="OSRRefT22_15x_0" localSheetId="47">'Div 3'!$T$112</definedName>
    <definedName name="OSRRefT22_15x_0" localSheetId="68">'Div 4'!$T$84</definedName>
    <definedName name="OSRRefT22_15x_0" localSheetId="2">Summary!$T$121</definedName>
    <definedName name="OSRRefT22_16x_0" localSheetId="48">'300'!$T$108:$T$111</definedName>
    <definedName name="OSRRefT22_16x_0" localSheetId="49">'300 &amp; 317'!$T$114:$T$117</definedName>
    <definedName name="OSRRefT22_16x_0" localSheetId="50">'301'!$T$76:$T$77</definedName>
    <definedName name="OSRRefT22_16x_0" localSheetId="63">'310'!$T$90</definedName>
    <definedName name="OSRRefT22_16x_0" localSheetId="69">'310 &amp; 491'!$T$89:$T$98</definedName>
    <definedName name="OSRRefT22_16x_0" localSheetId="58">'315'!$T$101</definedName>
    <definedName name="OSRRefT22_16x_0" localSheetId="66">'325'!$T$85</definedName>
    <definedName name="OSRRefT22_16x_0" localSheetId="59">'326'!$T$83:$T$84</definedName>
    <definedName name="OSRRefT22_16x_0" localSheetId="56">'331'!$T$98:$T$99</definedName>
    <definedName name="OSRRefT22_16x_0" localSheetId="54">'333'!$T$101:$T$103</definedName>
    <definedName name="OSRRefT22_16x_0" localSheetId="71">'405'!$T$89</definedName>
    <definedName name="OSRRefT22_16x_0" localSheetId="77">'415'!$T$90</definedName>
    <definedName name="OSRRefT22_16x_0" localSheetId="86">'444'!$T$89</definedName>
    <definedName name="OSRRefT22_16x_0" localSheetId="87">'450'!$T$88</definedName>
    <definedName name="OSRRefT22_16x_0" localSheetId="70">'491'!$T$87:$T$96</definedName>
    <definedName name="OSRRefT22_16x_0" localSheetId="82">'492'!$T$92:$T$93</definedName>
    <definedName name="OSRRefT22_16x_0" localSheetId="39">'Div 2'!$T$80:$T$85</definedName>
    <definedName name="OSRRefT22_16x_0" localSheetId="47">'Div 3'!$T$114</definedName>
    <definedName name="OSRRefT22_16x_0" localSheetId="68">'Div 4'!$T$86:$T$90</definedName>
    <definedName name="OSRRefT22_16x_0" localSheetId="2">Summary!$T$123</definedName>
    <definedName name="OSRRefT22_17x_0" localSheetId="48">'300'!$T$113:$T$116</definedName>
    <definedName name="OSRRefT22_17x_0" localSheetId="49">'300 &amp; 317'!$T$119:$T$122</definedName>
    <definedName name="OSRRefT22_17x_0" localSheetId="50">'301'!$T$79</definedName>
    <definedName name="OSRRefT22_17x_0" localSheetId="63">'310'!$T$92</definedName>
    <definedName name="OSRRefT22_17x_0" localSheetId="69">'310 &amp; 491'!$T$100:$T$101</definedName>
    <definedName name="OSRRefT22_17x_0" localSheetId="58">'315'!$T$103</definedName>
    <definedName name="OSRRefT22_17x_0" localSheetId="59">'326'!$T$86</definedName>
    <definedName name="OSRRefT22_17x_0" localSheetId="56">'331'!$T$101:$T$102</definedName>
    <definedName name="OSRRefT22_17x_0" localSheetId="54">'333'!$T$105:$T$106</definedName>
    <definedName name="OSRRefT22_17x_0" localSheetId="77">'415'!$T$92</definedName>
    <definedName name="OSRRefT22_17x_0" localSheetId="70">'491'!$T$98:$T$99</definedName>
    <definedName name="OSRRefT22_17x_0" localSheetId="82">'492'!$T$95</definedName>
    <definedName name="OSRRefT22_17x_0" localSheetId="39">'Div 2'!$T$87:$T$88</definedName>
    <definedName name="OSRRefT22_17x_0" localSheetId="47">'Div 3'!$T$116:$T$119</definedName>
    <definedName name="OSRRefT22_17x_0" localSheetId="68">'Div 4'!$T$92:$T$93</definedName>
    <definedName name="OSRRefT22_17x_0" localSheetId="2">Summary!$T$125</definedName>
    <definedName name="OSRRefT22_18x_0" localSheetId="48">'300'!$T$118:$T$120</definedName>
    <definedName name="OSRRefT22_18x_0" localSheetId="49">'300 &amp; 317'!$T$124:$T$126</definedName>
    <definedName name="OSRRefT22_18x_0" localSheetId="50">'301'!$T$81:$T$86</definedName>
    <definedName name="OSRRefT22_18x_0" localSheetId="69">'310 &amp; 491'!$T$103</definedName>
    <definedName name="OSRRefT22_18x_0" localSheetId="58">'315'!$T$105</definedName>
    <definedName name="OSRRefT22_18x_0" localSheetId="56">'331'!$T$104:$T$108</definedName>
    <definedName name="OSRRefT22_18x_0" localSheetId="54">'333'!$T$108:$T$113</definedName>
    <definedName name="OSRRefT22_18x_0" localSheetId="70">'491'!$T$101</definedName>
    <definedName name="OSRRefT22_18x_0" localSheetId="82">'492'!$T$97:$T$98</definedName>
    <definedName name="OSRRefT22_18x_0" localSheetId="39">'Div 2'!$T$90</definedName>
    <definedName name="OSRRefT22_18x_0" localSheetId="47">'Div 3'!$T$121:$T$124</definedName>
    <definedName name="OSRRefT22_18x_0" localSheetId="68">'Div 4'!$T$95:$T$104</definedName>
    <definedName name="OSRRefT22_18x_0" localSheetId="2">Summary!$T$127:$T$130</definedName>
    <definedName name="OSRRefT22_19x_0" localSheetId="48">'300'!$T$122:$T$123</definedName>
    <definedName name="OSRRefT22_19x_0" localSheetId="49">'300 &amp; 317'!$T$128:$T$129</definedName>
    <definedName name="OSRRefT22_19x_0" localSheetId="50">'301'!$T$88</definedName>
    <definedName name="OSRRefT22_19x_0" localSheetId="69">'310 &amp; 491'!$T$105:$T$106</definedName>
    <definedName name="OSRRefT22_19x_0" localSheetId="56">'331'!$T$110</definedName>
    <definedName name="OSRRefT22_19x_0" localSheetId="54">'333'!$T$115</definedName>
    <definedName name="OSRRefT22_19x_0" localSheetId="70">'491'!$T$103:$T$104</definedName>
    <definedName name="OSRRefT22_19x_0" localSheetId="39">'Div 2'!$T$92:$T$93</definedName>
    <definedName name="OSRRefT22_19x_0" localSheetId="47">'Div 3'!$T$126:$T$129</definedName>
    <definedName name="OSRRefT22_19x_0" localSheetId="68">'Div 4'!$T$106:$T$107</definedName>
    <definedName name="OSRRefT22_19x_0" localSheetId="2">Summary!$T$132:$T$135</definedName>
    <definedName name="OSRRefT22_1x_0" localSheetId="40">'200'!$T$22</definedName>
    <definedName name="OSRRefT22_1x_0" localSheetId="41">'201'!$T$30:$T$39</definedName>
    <definedName name="OSRRefT22_1x_0" localSheetId="42">'202'!$T$30:$T$39</definedName>
    <definedName name="OSRRefT22_1x_0" localSheetId="43">'203'!$T$31:$T$40</definedName>
    <definedName name="OSRRefT22_1x_0" localSheetId="44">'204'!$T$30:$T$39</definedName>
    <definedName name="OSRRefT22_1x_0" localSheetId="45">'205'!$T$30:$T$39</definedName>
    <definedName name="OSRRefT22_1x_0" localSheetId="46">'206'!$T$30:$T$39</definedName>
    <definedName name="OSRRefT22_1x_0" localSheetId="48">'300'!$T$65:$T$74</definedName>
    <definedName name="OSRRefT22_1x_0" localSheetId="49">'300 &amp; 317'!$T$71:$T$80</definedName>
    <definedName name="OSRRefT22_1x_0" localSheetId="50">'301'!$T$32:$T$41</definedName>
    <definedName name="OSRRefT22_1x_0" localSheetId="55">'307'!$T$43:$T$52</definedName>
    <definedName name="OSRRefT22_1x_0" localSheetId="51">'308'!$T$46:$T$55</definedName>
    <definedName name="OSRRefT22_1x_0" localSheetId="64">'309'!$T$29:$T$30</definedName>
    <definedName name="OSRRefT22_1x_0" localSheetId="63">'310'!$T$40:$T$49</definedName>
    <definedName name="OSRRefT22_1x_0" localSheetId="69">'310 &amp; 491'!$T$40:$T$49</definedName>
    <definedName name="OSRRefT22_1x_0" localSheetId="52">'311'!$T$46:$T$55</definedName>
    <definedName name="OSRRefT22_1x_0" localSheetId="58">'315'!$T$54:$T$63</definedName>
    <definedName name="OSRRefT22_1x_0" localSheetId="60">'316'!$T$37:$T$46</definedName>
    <definedName name="OSRRefT22_1x_0" localSheetId="62">'317'!$T$46:$T$55</definedName>
    <definedName name="OSRRefT22_1x_0" localSheetId="65">'321'!$T$35:$T$44</definedName>
    <definedName name="OSRRefT22_1x_0" localSheetId="66">'325'!$T$35:$T$44</definedName>
    <definedName name="OSRRefT22_1x_0" localSheetId="59">'326'!$T$38:$T$47</definedName>
    <definedName name="OSRRefT22_1x_0" localSheetId="67">'327'!$T$28</definedName>
    <definedName name="OSRRefT22_1x_0" localSheetId="56">'331'!$T$54:$T$63</definedName>
    <definedName name="OSRRefT22_1x_0" localSheetId="57">'332'!$T$37:$T$46</definedName>
    <definedName name="OSRRefT22_1x_0" localSheetId="54">'333'!$T$56:$T$65</definedName>
    <definedName name="OSRRefT22_1x_0" localSheetId="71">'405'!$T$37:$T$46</definedName>
    <definedName name="OSRRefT22_1x_0" localSheetId="72">'406'!$T$22</definedName>
    <definedName name="OSRRefT22_1x_0" localSheetId="73">'411'!$T$30:$T$39</definedName>
    <definedName name="OSRRefT22_1x_0" localSheetId="74">'412'!$T$22</definedName>
    <definedName name="OSRRefT22_1x_0" localSheetId="75">'413'!$T$22</definedName>
    <definedName name="OSRRefT22_1x_0" localSheetId="76">'414'!$T$22</definedName>
    <definedName name="OSRRefT22_1x_0" localSheetId="77">'415'!$T$38:$T$47</definedName>
    <definedName name="OSRRefT22_1x_0" localSheetId="78">'418'!$T$34:$T$43</definedName>
    <definedName name="OSRRefT22_1x_0" localSheetId="79">'423'!$T$29:$T$38</definedName>
    <definedName name="OSRRefT22_1x_0" localSheetId="80">'424'!$T$22</definedName>
    <definedName name="OSRRefT22_1x_0" localSheetId="81">'425'!$T$24</definedName>
    <definedName name="OSRRefT22_1x_0" localSheetId="83">'430'!$T$30:$T$39</definedName>
    <definedName name="OSRRefT22_1x_0" localSheetId="84">'433'!$T$38:$T$47</definedName>
    <definedName name="OSRRefT22_1x_0" localSheetId="85">'435'!$T$24</definedName>
    <definedName name="OSRRefT22_1x_0" localSheetId="86">'444'!$T$38:$T$47</definedName>
    <definedName name="OSRRefT22_1x_0" localSheetId="87">'450'!$T$38:$T$47</definedName>
    <definedName name="OSRRefT22_1x_0" localSheetId="70">'491'!$T$39:$T$48</definedName>
    <definedName name="OSRRefT22_1x_0" localSheetId="82">'492'!$T$40:$T$49</definedName>
    <definedName name="OSRRefT22_1x_0" localSheetId="89">'501'!$T$32:$T$41</definedName>
    <definedName name="OSRRefT22_1x_0" localSheetId="39">'Div 2'!$T$32:$T$41</definedName>
    <definedName name="OSRRefT22_1x_0" localSheetId="47">'Div 3'!$T$71:$T$80</definedName>
    <definedName name="OSRRefT22_1x_0" localSheetId="68">'Div 4'!$T$42:$T$51</definedName>
    <definedName name="OSRRefT22_1x_0" localSheetId="88">'Div 5'!$T$32:$T$41</definedName>
    <definedName name="OSRRefT22_1x_0" localSheetId="61">'Div 6'!$T$46:$T$55</definedName>
    <definedName name="OSRRefT22_1x_0" localSheetId="2">Summary!$T$79:$T$88</definedName>
    <definedName name="OSRRefT22_20x_0" localSheetId="48">'300'!$T$125:$T$131</definedName>
    <definedName name="OSRRefT22_20x_0" localSheetId="49">'300 &amp; 317'!$T$131:$T$137</definedName>
    <definedName name="OSRRefT22_20x_0" localSheetId="50">'301'!$T$90</definedName>
    <definedName name="OSRRefT22_20x_0" localSheetId="69">'310 &amp; 491'!$T$108</definedName>
    <definedName name="OSRRefT22_20x_0" localSheetId="56">'331'!$T$112</definedName>
    <definedName name="OSRRefT22_20x_0" localSheetId="54">'333'!$T$117</definedName>
    <definedName name="OSRRefT22_20x_0" localSheetId="70">'491'!$T$106</definedName>
    <definedName name="OSRRefT22_20x_0" localSheetId="47">'Div 3'!$T$131:$T$132</definedName>
    <definedName name="OSRRefT22_20x_0" localSheetId="68">'Div 4'!$T$109</definedName>
    <definedName name="OSRRefT22_20x_0" localSheetId="2">Summary!$T$137:$T$141</definedName>
    <definedName name="OSRRefT22_21x_0" localSheetId="48">'300'!$T$133:$T$134</definedName>
    <definedName name="OSRRefT22_21x_0" localSheetId="49">'300 &amp; 317'!$T$139:$T$140</definedName>
    <definedName name="OSRRefT22_21x_0" localSheetId="50">'301'!$T$92:$T$93</definedName>
    <definedName name="OSRRefT22_21x_0" localSheetId="56">'331'!$T$114:$T$115</definedName>
    <definedName name="OSRRefT22_21x_0" localSheetId="54">'333'!$T$119:$T$120</definedName>
    <definedName name="OSRRefT22_21x_0" localSheetId="47">'Div 3'!$T$134:$T$140</definedName>
    <definedName name="OSRRefT22_21x_0" localSheetId="68">'Div 4'!$T$111:$T$112</definedName>
    <definedName name="OSRRefT22_21x_0" localSheetId="2">Summary!$T$143:$T$144</definedName>
    <definedName name="OSRRefT22_22x_0" localSheetId="48">'300'!$T$136</definedName>
    <definedName name="OSRRefT22_22x_0" localSheetId="49">'300 &amp; 317'!$T$142</definedName>
    <definedName name="OSRRefT22_22x_0" localSheetId="50">'301'!$T$95</definedName>
    <definedName name="OSRRefT22_22x_0" localSheetId="56">'331'!$T$117</definedName>
    <definedName name="OSRRefT22_22x_0" localSheetId="54">'333'!$T$122</definedName>
    <definedName name="OSRRefT22_22x_0" localSheetId="47">'Div 3'!$T$142:$T$143</definedName>
    <definedName name="OSRRefT22_22x_0" localSheetId="68">'Div 4'!$T$114</definedName>
    <definedName name="OSRRefT22_22x_0" localSheetId="2">Summary!$T$146:$T$155</definedName>
    <definedName name="OSRRefT22_23x_0" localSheetId="48">'300'!$T$138:$T$140</definedName>
    <definedName name="OSRRefT22_23x_0" localSheetId="49">'300 &amp; 317'!$T$144:$T$146</definedName>
    <definedName name="OSRRefT22_23x_0" localSheetId="47">'Div 3'!$T$145</definedName>
    <definedName name="OSRRefT22_23x_0" localSheetId="2">Summary!$T$157:$T$158</definedName>
    <definedName name="OSRRefT22_24x_0" localSheetId="48">'300'!$T$142</definedName>
    <definedName name="OSRRefT22_24x_0" localSheetId="49">'300 &amp; 317'!$T$148</definedName>
    <definedName name="OSRRefT22_24x_0" localSheetId="47">'Div 3'!$T$147:$T$149</definedName>
    <definedName name="OSRRefT22_24x_0" localSheetId="2">Summary!$T$160</definedName>
    <definedName name="OSRRefT22_25x_0" localSheetId="47">'Div 3'!$T$151</definedName>
    <definedName name="OSRRefT22_25x_0" localSheetId="2">Summary!$T$162:$T$164</definedName>
    <definedName name="OSRRefT22_26x_0" localSheetId="2">Summary!$T$166</definedName>
    <definedName name="OSRRefT22_2x_0" localSheetId="40">'200'!$T$24</definedName>
    <definedName name="OSRRefT22_2x_0" localSheetId="41">'201'!$T$41</definedName>
    <definedName name="OSRRefT22_2x_0" localSheetId="42">'202'!$T$41</definedName>
    <definedName name="OSRRefT22_2x_0" localSheetId="43">'203'!$T$42</definedName>
    <definedName name="OSRRefT22_2x_0" localSheetId="44">'204'!$T$41</definedName>
    <definedName name="OSRRefT22_2x_0" localSheetId="45">'205'!$T$41</definedName>
    <definedName name="OSRRefT22_2x_0" localSheetId="46">'206'!$T$41</definedName>
    <definedName name="OSRRefT22_2x_0" localSheetId="48">'300'!$T$76</definedName>
    <definedName name="OSRRefT22_2x_0" localSheetId="49">'300 &amp; 317'!$T$82</definedName>
    <definedName name="OSRRefT22_2x_0" localSheetId="50">'301'!$T$43</definedName>
    <definedName name="OSRRefT22_2x_0" localSheetId="55">'307'!$T$54</definedName>
    <definedName name="OSRRefT22_2x_0" localSheetId="51">'308'!$T$57</definedName>
    <definedName name="OSRRefT22_2x_0" localSheetId="64">'309'!$T$32</definedName>
    <definedName name="OSRRefT22_2x_0" localSheetId="63">'310'!$T$51</definedName>
    <definedName name="OSRRefT22_2x_0" localSheetId="69">'310 &amp; 491'!$T$51</definedName>
    <definedName name="OSRRefT22_2x_0" localSheetId="52">'311'!$T$57</definedName>
    <definedName name="OSRRefT22_2x_0" localSheetId="58">'315'!$T$65</definedName>
    <definedName name="OSRRefT22_2x_0" localSheetId="60">'316'!$T$48</definedName>
    <definedName name="OSRRefT22_2x_0" localSheetId="62">'317'!$T$57</definedName>
    <definedName name="OSRRefT22_2x_0" localSheetId="65">'321'!$T$46</definedName>
    <definedName name="OSRRefT22_2x_0" localSheetId="66">'325'!$T$46</definedName>
    <definedName name="OSRRefT22_2x_0" localSheetId="59">'326'!$T$49</definedName>
    <definedName name="OSRRefT22_2x_0" localSheetId="56">'331'!$T$65</definedName>
    <definedName name="OSRRefT22_2x_0" localSheetId="57">'332'!$T$48</definedName>
    <definedName name="OSRRefT22_2x_0" localSheetId="54">'333'!$T$67</definedName>
    <definedName name="OSRRefT22_2x_0" localSheetId="71">'405'!$T$48</definedName>
    <definedName name="OSRRefT22_2x_0" localSheetId="73">'411'!$T$41</definedName>
    <definedName name="OSRRefT22_2x_0" localSheetId="74">'412'!$T$24</definedName>
    <definedName name="OSRRefT22_2x_0" localSheetId="75">'413'!$T$24</definedName>
    <definedName name="OSRRefT22_2x_0" localSheetId="76">'414'!$T$24</definedName>
    <definedName name="OSRRefT22_2x_0" localSheetId="77">'415'!$T$49</definedName>
    <definedName name="OSRRefT22_2x_0" localSheetId="78">'418'!$T$45</definedName>
    <definedName name="OSRRefT22_2x_0" localSheetId="79">'423'!$T$40</definedName>
    <definedName name="OSRRefT22_2x_0" localSheetId="80">'424'!$T$24</definedName>
    <definedName name="OSRRefT22_2x_0" localSheetId="81">'425'!$T$26</definedName>
    <definedName name="OSRRefT22_2x_0" localSheetId="83">'430'!$T$41</definedName>
    <definedName name="OSRRefT22_2x_0" localSheetId="84">'433'!$T$49</definedName>
    <definedName name="OSRRefT22_2x_0" localSheetId="86">'444'!$T$49</definedName>
    <definedName name="OSRRefT22_2x_0" localSheetId="87">'450'!$T$49</definedName>
    <definedName name="OSRRefT22_2x_0" localSheetId="70">'491'!$T$50</definedName>
    <definedName name="OSRRefT22_2x_0" localSheetId="82">'492'!$T$51</definedName>
    <definedName name="OSRRefT22_2x_0" localSheetId="89">'501'!$T$43</definedName>
    <definedName name="OSRRefT22_2x_0" localSheetId="39">'Div 2'!$T$43</definedName>
    <definedName name="OSRRefT22_2x_0" localSheetId="47">'Div 3'!$T$82</definedName>
    <definedName name="OSRRefT22_2x_0" localSheetId="68">'Div 4'!$T$53</definedName>
    <definedName name="OSRRefT22_2x_0" localSheetId="88">'Div 5'!$T$43</definedName>
    <definedName name="OSRRefT22_2x_0" localSheetId="61">'Div 6'!$T$57</definedName>
    <definedName name="OSRRefT22_2x_0" localSheetId="2">Summary!$T$90</definedName>
    <definedName name="OSRRefT22_3x_0" localSheetId="40">'200'!$T$26:$T$27</definedName>
    <definedName name="OSRRefT22_3x_0" localSheetId="41">'201'!$T$43</definedName>
    <definedName name="OSRRefT22_3x_0" localSheetId="42">'202'!$T$43</definedName>
    <definedName name="OSRRefT22_3x_0" localSheetId="43">'203'!$T$44</definedName>
    <definedName name="OSRRefT22_3x_0" localSheetId="44">'204'!$T$43:$T$44</definedName>
    <definedName name="OSRRefT22_3x_0" localSheetId="45">'205'!$T$43</definedName>
    <definedName name="OSRRefT22_3x_0" localSheetId="46">'206'!$T$43</definedName>
    <definedName name="OSRRefT22_3x_0" localSheetId="48">'300'!$T$78</definedName>
    <definedName name="OSRRefT22_3x_0" localSheetId="49">'300 &amp; 317'!$T$84</definedName>
    <definedName name="OSRRefT22_3x_0" localSheetId="50">'301'!$T$45</definedName>
    <definedName name="OSRRefT22_3x_0" localSheetId="55">'307'!$T$56</definedName>
    <definedName name="OSRRefT22_3x_0" localSheetId="51">'308'!$T$59</definedName>
    <definedName name="OSRRefT22_3x_0" localSheetId="64">'309'!$T$34</definedName>
    <definedName name="OSRRefT22_3x_0" localSheetId="63">'310'!$T$53</definedName>
    <definedName name="OSRRefT22_3x_0" localSheetId="69">'310 &amp; 491'!$T$53</definedName>
    <definedName name="OSRRefT22_3x_0" localSheetId="52">'311'!$T$59</definedName>
    <definedName name="OSRRefT22_3x_0" localSheetId="58">'315'!$T$67</definedName>
    <definedName name="OSRRefT22_3x_0" localSheetId="60">'316'!$T$50</definedName>
    <definedName name="OSRRefT22_3x_0" localSheetId="62">'317'!$T$59</definedName>
    <definedName name="OSRRefT22_3x_0" localSheetId="65">'321'!$T$48</definedName>
    <definedName name="OSRRefT22_3x_0" localSheetId="66">'325'!$T$48</definedName>
    <definedName name="OSRRefT22_3x_0" localSheetId="59">'326'!$T$51</definedName>
    <definedName name="OSRRefT22_3x_0" localSheetId="56">'331'!$T$67</definedName>
    <definedName name="OSRRefT22_3x_0" localSheetId="57">'332'!$T$50</definedName>
    <definedName name="OSRRefT22_3x_0" localSheetId="54">'333'!$T$69</definedName>
    <definedName name="OSRRefT22_3x_0" localSheetId="71">'405'!$T$50</definedName>
    <definedName name="OSRRefT22_3x_0" localSheetId="73">'411'!$T$43:$T$44</definedName>
    <definedName name="OSRRefT22_3x_0" localSheetId="74">'412'!$T$26</definedName>
    <definedName name="OSRRefT22_3x_0" localSheetId="77">'415'!$T$51</definedName>
    <definedName name="OSRRefT22_3x_0" localSheetId="78">'418'!$T$47</definedName>
    <definedName name="OSRRefT22_3x_0" localSheetId="79">'423'!$T$42</definedName>
    <definedName name="OSRRefT22_3x_0" localSheetId="81">'425'!$T$28</definedName>
    <definedName name="OSRRefT22_3x_0" localSheetId="83">'430'!$T$43</definedName>
    <definedName name="OSRRefT22_3x_0" localSheetId="84">'433'!$T$51</definedName>
    <definedName name="OSRRefT22_3x_0" localSheetId="86">'444'!$T$51</definedName>
    <definedName name="OSRRefT22_3x_0" localSheetId="87">'450'!$T$51</definedName>
    <definedName name="OSRRefT22_3x_0" localSheetId="70">'491'!$T$52</definedName>
    <definedName name="OSRRefT22_3x_0" localSheetId="82">'492'!$T$53</definedName>
    <definedName name="OSRRefT22_3x_0" localSheetId="89">'501'!$T$45</definedName>
    <definedName name="OSRRefT22_3x_0" localSheetId="39">'Div 2'!$T$45</definedName>
    <definedName name="OSRRefT22_3x_0" localSheetId="47">'Div 3'!$T$84</definedName>
    <definedName name="OSRRefT22_3x_0" localSheetId="68">'Div 4'!$T$55</definedName>
    <definedName name="OSRRefT22_3x_0" localSheetId="88">'Div 5'!$T$45</definedName>
    <definedName name="OSRRefT22_3x_0" localSheetId="61">'Div 6'!$T$59</definedName>
    <definedName name="OSRRefT22_3x_0" localSheetId="2">Summary!$T$92</definedName>
    <definedName name="OSRRefT22_4x_0" localSheetId="41">'201'!$T$45</definedName>
    <definedName name="OSRRefT22_4x_0" localSheetId="42">'202'!$T$45</definedName>
    <definedName name="OSRRefT22_4x_0" localSheetId="43">'203'!$T$46</definedName>
    <definedName name="OSRRefT22_4x_0" localSheetId="44">'204'!$T$46</definedName>
    <definedName name="OSRRefT22_4x_0" localSheetId="45">'205'!$T$45:$T$46</definedName>
    <definedName name="OSRRefT22_4x_0" localSheetId="46">'206'!$T$45:$T$46</definedName>
    <definedName name="OSRRefT22_4x_0" localSheetId="48">'300'!$T$80</definedName>
    <definedName name="OSRRefT22_4x_0" localSheetId="49">'300 &amp; 317'!$T$86</definedName>
    <definedName name="OSRRefT22_4x_0" localSheetId="50">'301'!$T$47</definedName>
    <definedName name="OSRRefT22_4x_0" localSheetId="55">'307'!$T$58</definedName>
    <definedName name="OSRRefT22_4x_0" localSheetId="51">'308'!$T$61</definedName>
    <definedName name="OSRRefT22_4x_0" localSheetId="64">'309'!$T$36</definedName>
    <definedName name="OSRRefT22_4x_0" localSheetId="63">'310'!$T$55</definedName>
    <definedName name="OSRRefT22_4x_0" localSheetId="69">'310 &amp; 491'!$T$55</definedName>
    <definedName name="OSRRefT22_4x_0" localSheetId="52">'311'!$T$61</definedName>
    <definedName name="OSRRefT22_4x_0" localSheetId="58">'315'!$T$69</definedName>
    <definedName name="OSRRefT22_4x_0" localSheetId="60">'316'!$T$52</definedName>
    <definedName name="OSRRefT22_4x_0" localSheetId="62">'317'!$T$61</definedName>
    <definedName name="OSRRefT22_4x_0" localSheetId="65">'321'!$T$50</definedName>
    <definedName name="OSRRefT22_4x_0" localSheetId="66">'325'!$T$50</definedName>
    <definedName name="OSRRefT22_4x_0" localSheetId="59">'326'!$T$53</definedName>
    <definedName name="OSRRefT22_4x_0" localSheetId="56">'331'!$T$69</definedName>
    <definedName name="OSRRefT22_4x_0" localSheetId="57">'332'!$T$52</definedName>
    <definedName name="OSRRefT22_4x_0" localSheetId="54">'333'!$T$71</definedName>
    <definedName name="OSRRefT22_4x_0" localSheetId="71">'405'!$T$52</definedName>
    <definedName name="OSRRefT22_4x_0" localSheetId="73">'411'!$T$46</definedName>
    <definedName name="OSRRefT22_4x_0" localSheetId="77">'415'!$T$53</definedName>
    <definedName name="OSRRefT22_4x_0" localSheetId="78">'418'!$T$49:$T$50</definedName>
    <definedName name="OSRRefT22_4x_0" localSheetId="79">'423'!$T$44</definedName>
    <definedName name="OSRRefT22_4x_0" localSheetId="81">'425'!$T$30</definedName>
    <definedName name="OSRRefT22_4x_0" localSheetId="83">'430'!$T$45</definedName>
    <definedName name="OSRRefT22_4x_0" localSheetId="84">'433'!$T$53</definedName>
    <definedName name="OSRRefT22_4x_0" localSheetId="86">'444'!$T$53</definedName>
    <definedName name="OSRRefT22_4x_0" localSheetId="87">'450'!$T$53</definedName>
    <definedName name="OSRRefT22_4x_0" localSheetId="70">'491'!$T$54</definedName>
    <definedName name="OSRRefT22_4x_0" localSheetId="82">'492'!$T$55</definedName>
    <definedName name="OSRRefT22_4x_0" localSheetId="89">'501'!$T$47</definedName>
    <definedName name="OSRRefT22_4x_0" localSheetId="39">'Div 2'!$T$47</definedName>
    <definedName name="OSRRefT22_4x_0" localSheetId="47">'Div 3'!$T$86</definedName>
    <definedName name="OSRRefT22_4x_0" localSheetId="68">'Div 4'!$T$57</definedName>
    <definedName name="OSRRefT22_4x_0" localSheetId="88">'Div 5'!$T$47</definedName>
    <definedName name="OSRRefT22_4x_0" localSheetId="61">'Div 6'!$T$61</definedName>
    <definedName name="OSRRefT22_4x_0" localSheetId="2">Summary!$T$94</definedName>
    <definedName name="OSRRefT22_5x_0" localSheetId="41">'201'!$T$47</definedName>
    <definedName name="OSRRefT22_5x_0" localSheetId="42">'202'!$T$47</definedName>
    <definedName name="OSRRefT22_5x_0" localSheetId="43">'203'!$T$48</definedName>
    <definedName name="OSRRefT22_5x_0" localSheetId="44">'204'!$T$48:$T$51</definedName>
    <definedName name="OSRRefT22_5x_0" localSheetId="45">'205'!$T$48</definedName>
    <definedName name="OSRRefT22_5x_0" localSheetId="46">'206'!$T$48</definedName>
    <definedName name="OSRRefT22_5x_0" localSheetId="48">'300'!$T$82:$T$83</definedName>
    <definedName name="OSRRefT22_5x_0" localSheetId="49">'300 &amp; 317'!$T$88:$T$89</definedName>
    <definedName name="OSRRefT22_5x_0" localSheetId="50">'301'!$T$49:$T$50</definedName>
    <definedName name="OSRRefT22_5x_0" localSheetId="55">'307'!$T$60:$T$61</definedName>
    <definedName name="OSRRefT22_5x_0" localSheetId="51">'308'!$T$63</definedName>
    <definedName name="OSRRefT22_5x_0" localSheetId="64">'309'!$T$38</definedName>
    <definedName name="OSRRefT22_5x_0" localSheetId="63">'310'!$T$57:$T$58</definedName>
    <definedName name="OSRRefT22_5x_0" localSheetId="69">'310 &amp; 491'!$T$57:$T$58</definedName>
    <definedName name="OSRRefT22_5x_0" localSheetId="52">'311'!$T$63</definedName>
    <definedName name="OSRRefT22_5x_0" localSheetId="58">'315'!$T$71</definedName>
    <definedName name="OSRRefT22_5x_0" localSheetId="60">'316'!$T$54:$T$55</definedName>
    <definedName name="OSRRefT22_5x_0" localSheetId="62">'317'!$T$63</definedName>
    <definedName name="OSRRefT22_5x_0" localSheetId="65">'321'!$T$52</definedName>
    <definedName name="OSRRefT22_5x_0" localSheetId="66">'325'!$T$52:$T$53</definedName>
    <definedName name="OSRRefT22_5x_0" localSheetId="59">'326'!$T$55</definedName>
    <definedName name="OSRRefT22_5x_0" localSheetId="56">'331'!$T$71</definedName>
    <definedName name="OSRRefT22_5x_0" localSheetId="57">'332'!$T$54:$T$55</definedName>
    <definedName name="OSRRefT22_5x_0" localSheetId="54">'333'!$T$73:$T$74</definedName>
    <definedName name="OSRRefT22_5x_0" localSheetId="71">'405'!$T$54:$T$55</definedName>
    <definedName name="OSRRefT22_5x_0" localSheetId="73">'411'!$T$48</definedName>
    <definedName name="OSRRefT22_5x_0" localSheetId="77">'415'!$T$55:$T$56</definedName>
    <definedName name="OSRRefT22_5x_0" localSheetId="78">'418'!$T$52</definedName>
    <definedName name="OSRRefT22_5x_0" localSheetId="79">'423'!$T$46</definedName>
    <definedName name="OSRRefT22_5x_0" localSheetId="81">'425'!$T$32</definedName>
    <definedName name="OSRRefT22_5x_0" localSheetId="83">'430'!$T$47:$T$48</definedName>
    <definedName name="OSRRefT22_5x_0" localSheetId="84">'433'!$T$55</definedName>
    <definedName name="OSRRefT22_5x_0" localSheetId="86">'444'!$T$55</definedName>
    <definedName name="OSRRefT22_5x_0" localSheetId="87">'450'!$T$55</definedName>
    <definedName name="OSRRefT22_5x_0" localSheetId="70">'491'!$T$56:$T$57</definedName>
    <definedName name="OSRRefT22_5x_0" localSheetId="82">'492'!$T$57</definedName>
    <definedName name="OSRRefT22_5x_0" localSheetId="89">'501'!$T$49:$T$50</definedName>
    <definedName name="OSRRefT22_5x_0" localSheetId="39">'Div 2'!$T$49:$T$50</definedName>
    <definedName name="OSRRefT22_5x_0" localSheetId="47">'Div 3'!$T$88:$T$89</definedName>
    <definedName name="OSRRefT22_5x_0" localSheetId="68">'Div 4'!$T$59:$T$60</definedName>
    <definedName name="OSRRefT22_5x_0" localSheetId="88">'Div 5'!$T$49:$T$50</definedName>
    <definedName name="OSRRefT22_5x_0" localSheetId="61">'Div 6'!$T$63</definedName>
    <definedName name="OSRRefT22_5x_0" localSheetId="2">Summary!$T$96:$T$97</definedName>
    <definedName name="OSRRefT22_6x_0" localSheetId="41">'201'!$T$49</definedName>
    <definedName name="OSRRefT22_6x_0" localSheetId="42">'202'!$T$49</definedName>
    <definedName name="OSRRefT22_6x_0" localSheetId="43">'203'!$T$50</definedName>
    <definedName name="OSRRefT22_6x_0" localSheetId="44">'204'!$T$53:$T$54</definedName>
    <definedName name="OSRRefT22_6x_0" localSheetId="45">'205'!$T$50:$T$52</definedName>
    <definedName name="OSRRefT22_6x_0" localSheetId="46">'206'!$T$50:$T$51</definedName>
    <definedName name="OSRRefT22_6x_0" localSheetId="48">'300'!$T$85:$T$86</definedName>
    <definedName name="OSRRefT22_6x_0" localSheetId="49">'300 &amp; 317'!$T$91:$T$92</definedName>
    <definedName name="OSRRefT22_6x_0" localSheetId="50">'301'!$T$52:$T$53</definedName>
    <definedName name="OSRRefT22_6x_0" localSheetId="55">'307'!$T$63</definedName>
    <definedName name="OSRRefT22_6x_0" localSheetId="51">'308'!$T$65:$T$66</definedName>
    <definedName name="OSRRefT22_6x_0" localSheetId="64">'309'!$T$40</definedName>
    <definedName name="OSRRefT22_6x_0" localSheetId="63">'310'!$T$60</definedName>
    <definedName name="OSRRefT22_6x_0" localSheetId="69">'310 &amp; 491'!$T$60</definedName>
    <definedName name="OSRRefT22_6x_0" localSheetId="52">'311'!$T$65:$T$66</definedName>
    <definedName name="OSRRefT22_6x_0" localSheetId="58">'315'!$T$73</definedName>
    <definedName name="OSRRefT22_6x_0" localSheetId="60">'316'!$T$57</definedName>
    <definedName name="OSRRefT22_6x_0" localSheetId="62">'317'!$T$65</definedName>
    <definedName name="OSRRefT22_6x_0" localSheetId="65">'321'!$T$54</definedName>
    <definedName name="OSRRefT22_6x_0" localSheetId="66">'325'!$T$55</definedName>
    <definedName name="OSRRefT22_6x_0" localSheetId="59">'326'!$T$57:$T$58</definedName>
    <definedName name="OSRRefT22_6x_0" localSheetId="56">'331'!$T$73</definedName>
    <definedName name="OSRRefT22_6x_0" localSheetId="57">'332'!$T$57</definedName>
    <definedName name="OSRRefT22_6x_0" localSheetId="54">'333'!$T$76</definedName>
    <definedName name="OSRRefT22_6x_0" localSheetId="71">'405'!$T$57</definedName>
    <definedName name="OSRRefT22_6x_0" localSheetId="73">'411'!$T$50</definedName>
    <definedName name="OSRRefT22_6x_0" localSheetId="77">'415'!$T$58</definedName>
    <definedName name="OSRRefT22_6x_0" localSheetId="78">'418'!$T$54</definedName>
    <definedName name="OSRRefT22_6x_0" localSheetId="83">'430'!$T$50:$T$51</definedName>
    <definedName name="OSRRefT22_6x_0" localSheetId="84">'433'!$T$57</definedName>
    <definedName name="OSRRefT22_6x_0" localSheetId="86">'444'!$T$57</definedName>
    <definedName name="OSRRefT22_6x_0" localSheetId="87">'450'!$T$57</definedName>
    <definedName name="OSRRefT22_6x_0" localSheetId="70">'491'!$T$59</definedName>
    <definedName name="OSRRefT22_6x_0" localSheetId="82">'492'!$T$59</definedName>
    <definedName name="OSRRefT22_6x_0" localSheetId="89">'501'!$T$52</definedName>
    <definedName name="OSRRefT22_6x_0" localSheetId="39">'Div 2'!$T$52</definedName>
    <definedName name="OSRRefT22_6x_0" localSheetId="47">'Div 3'!$T$91:$T$92</definedName>
    <definedName name="OSRRefT22_6x_0" localSheetId="68">'Div 4'!$T$62</definedName>
    <definedName name="OSRRefT22_6x_0" localSheetId="88">'Div 5'!$T$52</definedName>
    <definedName name="OSRRefT22_6x_0" localSheetId="61">'Div 6'!$T$65</definedName>
    <definedName name="OSRRefT22_6x_0" localSheetId="2">Summary!$T$99:$T$100</definedName>
    <definedName name="OSRRefT22_7x_0" localSheetId="41">'201'!$T$51</definedName>
    <definedName name="OSRRefT22_7x_0" localSheetId="42">'202'!$T$51:$T$53</definedName>
    <definedName name="OSRRefT22_7x_0" localSheetId="43">'203'!$T$52</definedName>
    <definedName name="OSRRefT22_7x_0" localSheetId="44">'204'!$T$56</definedName>
    <definedName name="OSRRefT22_7x_0" localSheetId="45">'205'!$T$54</definedName>
    <definedName name="OSRRefT22_7x_0" localSheetId="46">'206'!$T$53</definedName>
    <definedName name="OSRRefT22_7x_0" localSheetId="48">'300'!$T$88</definedName>
    <definedName name="OSRRefT22_7x_0" localSheetId="49">'300 &amp; 317'!$T$94</definedName>
    <definedName name="OSRRefT22_7x_0" localSheetId="50">'301'!$T$55</definedName>
    <definedName name="OSRRefT22_7x_0" localSheetId="55">'307'!$T$65</definedName>
    <definedName name="OSRRefT22_7x_0" localSheetId="51">'308'!$T$68</definedName>
    <definedName name="OSRRefT22_7x_0" localSheetId="64">'309'!$T$42</definedName>
    <definedName name="OSRRefT22_7x_0" localSheetId="63">'310'!$T$62</definedName>
    <definedName name="OSRRefT22_7x_0" localSheetId="69">'310 &amp; 491'!$T$62</definedName>
    <definedName name="OSRRefT22_7x_0" localSheetId="52">'311'!$T$68</definedName>
    <definedName name="OSRRefT22_7x_0" localSheetId="58">'315'!$T$75</definedName>
    <definedName name="OSRRefT22_7x_0" localSheetId="60">'316'!$T$59:$T$61</definedName>
    <definedName name="OSRRefT22_7x_0" localSheetId="62">'317'!$T$67</definedName>
    <definedName name="OSRRefT22_7x_0" localSheetId="65">'321'!$T$56:$T$57</definedName>
    <definedName name="OSRRefT22_7x_0" localSheetId="66">'325'!$T$57</definedName>
    <definedName name="OSRRefT22_7x_0" localSheetId="59">'326'!$T$60</definedName>
    <definedName name="OSRRefT22_7x_0" localSheetId="56">'331'!$T$75</definedName>
    <definedName name="OSRRefT22_7x_0" localSheetId="57">'332'!$T$59:$T$61</definedName>
    <definedName name="OSRRefT22_7x_0" localSheetId="54">'333'!$T$78</definedName>
    <definedName name="OSRRefT22_7x_0" localSheetId="71">'405'!$T$59</definedName>
    <definedName name="OSRRefT22_7x_0" localSheetId="73">'411'!$T$52</definedName>
    <definedName name="OSRRefT22_7x_0" localSheetId="77">'415'!$T$60</definedName>
    <definedName name="OSRRefT22_7x_0" localSheetId="78">'418'!$T$56:$T$57</definedName>
    <definedName name="OSRRefT22_7x_0" localSheetId="83">'430'!$T$53</definedName>
    <definedName name="OSRRefT22_7x_0" localSheetId="84">'433'!$T$59</definedName>
    <definedName name="OSRRefT22_7x_0" localSheetId="86">'444'!$T$59</definedName>
    <definedName name="OSRRefT22_7x_0" localSheetId="87">'450'!$T$59</definedName>
    <definedName name="OSRRefT22_7x_0" localSheetId="70">'491'!$T$61</definedName>
    <definedName name="OSRRefT22_7x_0" localSheetId="82">'492'!$T$61</definedName>
    <definedName name="OSRRefT22_7x_0" localSheetId="89">'501'!$T$54</definedName>
    <definedName name="OSRRefT22_7x_0" localSheetId="39">'Div 2'!$T$54</definedName>
    <definedName name="OSRRefT22_7x_0" localSheetId="47">'Div 3'!$T$94</definedName>
    <definedName name="OSRRefT22_7x_0" localSheetId="68">'Div 4'!$T$64</definedName>
    <definedName name="OSRRefT22_7x_0" localSheetId="88">'Div 5'!$T$54</definedName>
    <definedName name="OSRRefT22_7x_0" localSheetId="61">'Div 6'!$T$67</definedName>
    <definedName name="OSRRefT22_7x_0" localSheetId="2">Summary!$T$102</definedName>
    <definedName name="OSRRefT22_8x_0" localSheetId="41">'201'!$T$53</definedName>
    <definedName name="OSRRefT22_8x_0" localSheetId="42">'202'!$T$55</definedName>
    <definedName name="OSRRefT22_8x_0" localSheetId="43">'203'!$T$54:$T$56</definedName>
    <definedName name="OSRRefT22_8x_0" localSheetId="44">'204'!$T$58:$T$59</definedName>
    <definedName name="OSRRefT22_8x_0" localSheetId="48">'300'!$T$90</definedName>
    <definedName name="OSRRefT22_8x_0" localSheetId="49">'300 &amp; 317'!$T$96</definedName>
    <definedName name="OSRRefT22_8x_0" localSheetId="50">'301'!$T$57</definedName>
    <definedName name="OSRRefT22_8x_0" localSheetId="55">'307'!$T$67</definedName>
    <definedName name="OSRRefT22_8x_0" localSheetId="51">'308'!$T$70</definedName>
    <definedName name="OSRRefT22_8x_0" localSheetId="64">'309'!$T$44:$T$45</definedName>
    <definedName name="OSRRefT22_8x_0" localSheetId="63">'310'!$T$64</definedName>
    <definedName name="OSRRefT22_8x_0" localSheetId="69">'310 &amp; 491'!$T$64:$T$65</definedName>
    <definedName name="OSRRefT22_8x_0" localSheetId="52">'311'!$T$70</definedName>
    <definedName name="OSRRefT22_8x_0" localSheetId="58">'315'!$T$77:$T$78</definedName>
    <definedName name="OSRRefT22_8x_0" localSheetId="60">'316'!$T$63</definedName>
    <definedName name="OSRRefT22_8x_0" localSheetId="62">'317'!$T$69</definedName>
    <definedName name="OSRRefT22_8x_0" localSheetId="65">'321'!$T$59</definedName>
    <definedName name="OSRRefT22_8x_0" localSheetId="66">'325'!$T$59</definedName>
    <definedName name="OSRRefT22_8x_0" localSheetId="59">'326'!$T$62</definedName>
    <definedName name="OSRRefT22_8x_0" localSheetId="56">'331'!$T$77:$T$78</definedName>
    <definedName name="OSRRefT22_8x_0" localSheetId="57">'332'!$T$63</definedName>
    <definedName name="OSRRefT22_8x_0" localSheetId="54">'333'!$T$80:$T$81</definedName>
    <definedName name="OSRRefT22_8x_0" localSheetId="71">'405'!$T$61</definedName>
    <definedName name="OSRRefT22_8x_0" localSheetId="73">'411'!$T$54:$T$57</definedName>
    <definedName name="OSRRefT22_8x_0" localSheetId="77">'415'!$T$62</definedName>
    <definedName name="OSRRefT22_8x_0" localSheetId="78">'418'!$T$59:$T$60</definedName>
    <definedName name="OSRRefT22_8x_0" localSheetId="83">'430'!$T$55</definedName>
    <definedName name="OSRRefT22_8x_0" localSheetId="84">'433'!$T$61</definedName>
    <definedName name="OSRRefT22_8x_0" localSheetId="86">'444'!$T$61</definedName>
    <definedName name="OSRRefT22_8x_0" localSheetId="87">'450'!$T$61</definedName>
    <definedName name="OSRRefT22_8x_0" localSheetId="70">'491'!$T$63:$T$64</definedName>
    <definedName name="OSRRefT22_8x_0" localSheetId="82">'492'!$T$63</definedName>
    <definedName name="OSRRefT22_8x_0" localSheetId="89">'501'!$T$56</definedName>
    <definedName name="OSRRefT22_8x_0" localSheetId="39">'Div 2'!$T$56</definedName>
    <definedName name="OSRRefT22_8x_0" localSheetId="47">'Div 3'!$T$96</definedName>
    <definedName name="OSRRefT22_8x_0" localSheetId="68">'Div 4'!$T$66</definedName>
    <definedName name="OSRRefT22_8x_0" localSheetId="88">'Div 5'!$T$56</definedName>
    <definedName name="OSRRefT22_8x_0" localSheetId="61">'Div 6'!$T$69</definedName>
    <definedName name="OSRRefT22_8x_0" localSheetId="2">Summary!$T$104</definedName>
    <definedName name="OSRRefT22_9x_0" localSheetId="41">'201'!$T$55:$T$57</definedName>
    <definedName name="OSRRefT22_9x_0" localSheetId="42">'202'!$T$57:$T$58</definedName>
    <definedName name="OSRRefT22_9x_0" localSheetId="43">'203'!$T$58:$T$59</definedName>
    <definedName name="OSRRefT22_9x_0" localSheetId="44">'204'!$T$61</definedName>
    <definedName name="OSRRefT22_9x_0" localSheetId="48">'300'!$T$92</definedName>
    <definedName name="OSRRefT22_9x_0" localSheetId="49">'300 &amp; 317'!$T$98</definedName>
    <definedName name="OSRRefT22_9x_0" localSheetId="50">'301'!$T$59</definedName>
    <definedName name="OSRRefT22_9x_0" localSheetId="55">'307'!$T$69:$T$70</definedName>
    <definedName name="OSRRefT22_9x_0" localSheetId="51">'308'!$T$72:$T$74</definedName>
    <definedName name="OSRRefT22_9x_0" localSheetId="64">'309'!$T$47:$T$48</definedName>
    <definedName name="OSRRefT22_9x_0" localSheetId="63">'310'!$T$66</definedName>
    <definedName name="OSRRefT22_9x_0" localSheetId="69">'310 &amp; 491'!$T$67</definedName>
    <definedName name="OSRRefT22_9x_0" localSheetId="52">'311'!$T$72:$T$74</definedName>
    <definedName name="OSRRefT22_9x_0" localSheetId="58">'315'!$T$80</definedName>
    <definedName name="OSRRefT22_9x_0" localSheetId="60">'316'!$T$65</definedName>
    <definedName name="OSRRefT22_9x_0" localSheetId="62">'317'!$T$71:$T$72</definedName>
    <definedName name="OSRRefT22_9x_0" localSheetId="65">'321'!$T$61:$T$63</definedName>
    <definedName name="OSRRefT22_9x_0" localSheetId="66">'325'!$T$61</definedName>
    <definedName name="OSRRefT22_9x_0" localSheetId="59">'326'!$T$64</definedName>
    <definedName name="OSRRefT22_9x_0" localSheetId="56">'331'!$T$80:$T$81</definedName>
    <definedName name="OSRRefT22_9x_0" localSheetId="57">'332'!$T$65</definedName>
    <definedName name="OSRRefT22_9x_0" localSheetId="54">'333'!$T$83:$T$84</definedName>
    <definedName name="OSRRefT22_9x_0" localSheetId="71">'405'!$T$63:$T$64</definedName>
    <definedName name="OSRRefT22_9x_0" localSheetId="73">'411'!$T$59:$T$61</definedName>
    <definedName name="OSRRefT22_9x_0" localSheetId="77">'415'!$T$64</definedName>
    <definedName name="OSRRefT22_9x_0" localSheetId="78">'418'!$T$62:$T$65</definedName>
    <definedName name="OSRRefT22_9x_0" localSheetId="84">'433'!$T$63</definedName>
    <definedName name="OSRRefT22_9x_0" localSheetId="86">'444'!$T$63</definedName>
    <definedName name="OSRRefT22_9x_0" localSheetId="87">'450'!$T$63</definedName>
    <definedName name="OSRRefT22_9x_0" localSheetId="70">'491'!$T$66</definedName>
    <definedName name="OSRRefT22_9x_0" localSheetId="82">'492'!$T$65</definedName>
    <definedName name="OSRRefT22_9x_0" localSheetId="89">'501'!$T$58:$T$60</definedName>
    <definedName name="OSRRefT22_9x_0" localSheetId="39">'Div 2'!$T$58</definedName>
    <definedName name="OSRRefT22_9x_0" localSheetId="47">'Div 3'!$T$98</definedName>
    <definedName name="OSRRefT22_9x_0" localSheetId="68">'Div 4'!$T$68:$T$69</definedName>
    <definedName name="OSRRefT22_9x_0" localSheetId="88">'Div 5'!$T$58:$T$60</definedName>
    <definedName name="OSRRefT22_9x_0" localSheetId="61">'Div 6'!$T$71:$T$72</definedName>
    <definedName name="OSRRefT22_9x_0" localSheetId="2">Summary!$T$106</definedName>
    <definedName name="OSRRefT22x_0" localSheetId="40">'200'!$T$20,'200'!$T$22,'200'!$T$24,'200'!$T$26:$T$27</definedName>
    <definedName name="OSRRefT22x_0" localSheetId="41">'201'!$T$20:$T$28,'201'!$T$30:$T$39,'201'!$T$41,'201'!$T$43,'201'!$T$45,'201'!$T$47,'201'!$T$49,'201'!$T$51,'201'!$T$53,'201'!$T$55:$T$57,'201'!$T$59:$T$60,'201'!$T$62,'201'!$T$64:$T$65,'201'!$T$67,'201'!$T$69,'201'!$T$71</definedName>
    <definedName name="OSRRefT22x_0" localSheetId="42">'202'!$T$20:$T$28,'202'!$T$30:$T$39,'202'!$T$41,'202'!$T$43,'202'!$T$45,'202'!$T$47,'202'!$T$49,'202'!$T$51:$T$53,'202'!$T$55,'202'!$T$57:$T$58,'202'!$T$60,'202'!$T$62,'202'!$T$64</definedName>
    <definedName name="OSRRefT22x_0" localSheetId="43">'203'!$T$20:$T$29,'203'!$T$31:$T$40,'203'!$T$42,'203'!$T$44,'203'!$T$46,'203'!$T$48,'203'!$T$50,'203'!$T$52,'203'!$T$54:$T$56,'203'!$T$58:$T$59,'203'!$T$61:$T$62,'203'!$T$64:$T$67,'203'!$T$69,'203'!$T$71,'203'!$T$73</definedName>
    <definedName name="OSRRefT22x_0" localSheetId="44">'204'!$T$20:$T$28,'204'!$T$30:$T$39,'204'!$T$41,'204'!$T$43:$T$44,'204'!$T$46,'204'!$T$48:$T$51,'204'!$T$53:$T$54,'204'!$T$56,'204'!$T$58:$T$59,'204'!$T$61,'204'!$T$63</definedName>
    <definedName name="OSRRefT22x_0" localSheetId="45">'205'!$T$20:$T$28,'205'!$T$30:$T$39,'205'!$T$41,'205'!$T$43,'205'!$T$45:$T$46,'205'!$T$48,'205'!$T$50:$T$52,'205'!$T$54</definedName>
    <definedName name="OSRRefT22x_0" localSheetId="46">'206'!$T$20:$T$28,'206'!$T$30:$T$39,'206'!$T$41,'206'!$T$43,'206'!$T$45:$T$46,'206'!$T$48,'206'!$T$50:$T$51,'206'!$T$53</definedName>
    <definedName name="OSRRefT22x_0" localSheetId="48">'300'!$T$54:$T$63,'300'!$T$65:$T$74,'300'!$T$76,'300'!$T$78,'300'!$T$80,'300'!$T$82:$T$83,'300'!$T$85:$T$86,'300'!$T$88,'300'!$T$90,'300'!$T$92,'300'!$T$94:$T$95,'300'!$T$97:$T$98,'300'!$T$100,'300'!$T$102,'300'!$T$104,'300'!$T$106,'300'!$T$108:$T$111,'300'!$T$113:$T$116,'300'!$T$118:$T$120,'300'!$T$122:$T$123,'300'!$T$125:$T$131,'300'!$T$133:$T$134,'300'!$T$136,'300'!$T$138:$T$140,'300'!$T$142</definedName>
    <definedName name="OSRRefT22x_0" localSheetId="49">'300 &amp; 317'!$T$60:$T$69,'300 &amp; 317'!$T$71:$T$80,'300 &amp; 317'!$T$82,'300 &amp; 317'!$T$84,'300 &amp; 317'!$T$86,'300 &amp; 317'!$T$88:$T$89,'300 &amp; 317'!$T$91:$T$92,'300 &amp; 317'!$T$94,'300 &amp; 317'!$T$96,'300 &amp; 317'!$T$98,'300 &amp; 317'!$T$100:$T$101,'300 &amp; 317'!$T$103:$T$104,'300 &amp; 317'!$T$106,'300 &amp; 317'!$T$108,'300 &amp; 317'!$T$110,'300 &amp; 317'!$T$112,'300 &amp; 317'!$T$114:$T$117,'300 &amp; 317'!$T$119:$T$122,'300 &amp; 317'!$T$124:$T$126,'300 &amp; 317'!$T$128:$T$129,'300 &amp; 317'!$T$131:$T$137,'300 &amp; 317'!$T$139:$T$140,'300 &amp; 317'!$T$142,'300 &amp; 317'!$T$144:$T$146,'300 &amp; 317'!$T$148</definedName>
    <definedName name="OSRRefT22x_0" localSheetId="50">'301'!$T$21:$T$30,'301'!$T$32:$T$41,'301'!$T$43,'301'!$T$45,'301'!$T$47,'301'!$T$49:$T$50,'301'!$T$52:$T$53,'301'!$T$55,'301'!$T$57,'301'!$T$59,'301'!$T$61,'301'!$T$63,'301'!$T$65,'301'!$T$67,'301'!$T$69,'301'!$T$71:$T$74,'301'!$T$76:$T$77,'301'!$T$79,'301'!$T$81:$T$86,'301'!$T$88,'301'!$T$90,'301'!$T$92:$T$93,'301'!$T$95</definedName>
    <definedName name="OSRRefT22x_0" localSheetId="55">'307'!$T$34:$T$41,'307'!$T$43:$T$52,'307'!$T$54,'307'!$T$56,'307'!$T$58,'307'!$T$60:$T$61,'307'!$T$63,'307'!$T$65,'307'!$T$67,'307'!$T$69:$T$70,'307'!$T$72:$T$73,'307'!$T$75,'307'!$T$77:$T$80,'307'!$T$82</definedName>
    <definedName name="OSRRefT22x_0" localSheetId="51">'308'!$T$35:$T$44,'308'!$T$46:$T$55,'308'!$T$57,'308'!$T$59,'308'!$T$61,'308'!$T$63,'308'!$T$65:$T$66,'308'!$T$68,'308'!$T$70,'308'!$T$72:$T$74,'308'!$T$76:$T$77,'308'!$T$79:$T$80,'308'!$T$82:$T$83,'308'!$T$85</definedName>
    <definedName name="OSRRefT22x_0" localSheetId="64">'309'!$T$26:$T$27,'309'!$T$29:$T$30,'309'!$T$32,'309'!$T$34,'309'!$T$36,'309'!$T$38,'309'!$T$40,'309'!$T$42,'309'!$T$44:$T$45,'309'!$T$47:$T$48,'309'!$T$50:$T$51,'309'!$T$53,'309'!$T$55</definedName>
    <definedName name="OSRRefT22x_0" localSheetId="63">'310'!$T$29:$T$38,'310'!$T$40:$T$49,'310'!$T$51,'310'!$T$53,'310'!$T$55,'310'!$T$57:$T$58,'310'!$T$60,'310'!$T$62,'310'!$T$64,'310'!$T$66,'310'!$T$68,'310'!$T$70:$T$72,'310'!$T$74,'310'!$T$76:$T$78,'310'!$T$80:$T$85,'310'!$T$87:$T$88,'310'!$T$90,'310'!$T$92</definedName>
    <definedName name="OSRRefT22x_0" localSheetId="69">'310 &amp; 491'!$T$29:$T$38,'310 &amp; 491'!$T$40:$T$49,'310 &amp; 491'!$T$51,'310 &amp; 491'!$T$53,'310 &amp; 491'!$T$55,'310 &amp; 491'!$T$57:$T$58,'310 &amp; 491'!$T$60,'310 &amp; 491'!$T$62,'310 &amp; 491'!$T$64:$T$65,'310 &amp; 491'!$T$67,'310 &amp; 491'!$T$69,'310 &amp; 491'!$T$71,'310 &amp; 491'!$T$73:$T$76,'310 &amp; 491'!$T$78:$T$79,'310 &amp; 491'!$T$81:$T$85,'310 &amp; 491'!$T$87,'310 &amp; 491'!$T$89:$T$98,'310 &amp; 491'!$T$100:$T$101,'310 &amp; 491'!$T$103,'310 &amp; 491'!$T$105:$T$106,'310 &amp; 491'!$T$108</definedName>
    <definedName name="OSRRefT22x_0" localSheetId="52">'311'!$T$35:$T$44,'311'!$T$46:$T$55,'311'!$T$57,'311'!$T$59,'311'!$T$61,'311'!$T$63,'311'!$T$65:$T$66,'311'!$T$68,'311'!$T$70,'311'!$T$72:$T$74,'311'!$T$76:$T$77,'311'!$T$79:$T$80,'311'!$T$82:$T$83,'311'!$T$85</definedName>
    <definedName name="OSRRefT22x_0" localSheetId="58">'315'!$T$44:$T$52,'315'!$T$54:$T$63,'315'!$T$65,'315'!$T$67,'315'!$T$69,'315'!$T$71,'315'!$T$73,'315'!$T$75,'315'!$T$77:$T$78,'315'!$T$80,'315'!$T$82,'315'!$T$84,'315'!$T$86:$T$87,'315'!$T$89:$T$91,'315'!$T$93:$T$94,'315'!$T$96:$T$99,'315'!$T$101,'315'!$T$103,'315'!$T$105</definedName>
    <definedName name="OSRRefT22x_0" localSheetId="60">'316'!$T$27:$T$35,'316'!$T$37:$T$46,'316'!$T$48,'316'!$T$50,'316'!$T$52,'316'!$T$54:$T$55,'316'!$T$57,'316'!$T$59:$T$61,'316'!$T$63,'316'!$T$65,'316'!$T$67:$T$70,'316'!$T$72</definedName>
    <definedName name="OSRRefT22x_0" localSheetId="62">'317'!$T$35:$T$44,'317'!$T$46:$T$55,'317'!$T$57,'317'!$T$59,'317'!$T$61,'317'!$T$63,'317'!$T$65,'317'!$T$67,'317'!$T$69,'317'!$T$71:$T$72,'317'!$T$74</definedName>
    <definedName name="OSRRefT22x_0" localSheetId="65">'321'!$T$24:$T$33,'321'!$T$35:$T$44,'321'!$T$46,'321'!$T$48,'321'!$T$50,'321'!$T$52,'321'!$T$54,'321'!$T$56:$T$57,'321'!$T$59,'321'!$T$61:$T$63,'321'!$T$65:$T$68,'321'!$T$70,'321'!$T$72</definedName>
    <definedName name="OSRRefT22x_0" localSheetId="66">'325'!$T$25:$T$33,'325'!$T$35:$T$44,'325'!$T$46,'325'!$T$48,'325'!$T$50,'325'!$T$52:$T$53,'325'!$T$55,'325'!$T$57,'325'!$T$59,'325'!$T$61,'325'!$T$63,'325'!$T$65:$T$67,'325'!$T$69:$T$71,'325'!$T$73:$T$78,'325'!$T$80:$T$81,'325'!$T$83,'325'!$T$85</definedName>
    <definedName name="OSRRefT22x_0" localSheetId="59">'326'!$T$28:$T$36,'326'!$T$38:$T$47,'326'!$T$49,'326'!$T$51,'326'!$T$53,'326'!$T$55,'326'!$T$57:$T$58,'326'!$T$60,'326'!$T$62,'326'!$T$64,'326'!$T$66,'326'!$T$68:$T$69,'326'!$T$71:$T$72,'326'!$T$74:$T$75,'326'!$T$77:$T$79,'326'!$T$81,'326'!$T$83:$T$84,'326'!$T$86</definedName>
    <definedName name="OSRRefT22x_0" localSheetId="67">'327'!$T$26,'327'!$T$28</definedName>
    <definedName name="OSRRefT22x_0" localSheetId="56">'331'!$T$44:$T$52,'331'!$T$54:$T$63,'331'!$T$65,'331'!$T$67,'331'!$T$69,'331'!$T$71,'331'!$T$73,'331'!$T$75,'331'!$T$77:$T$78,'331'!$T$80:$T$81,'331'!$T$83,'331'!$T$85,'331'!$T$87,'331'!$T$89,'331'!$T$91:$T$92,'331'!$T$94:$T$96,'331'!$T$98:$T$99,'331'!$T$101:$T$102,'331'!$T$104:$T$108,'331'!$T$110,'331'!$T$112,'331'!$T$114:$T$115,'331'!$T$117</definedName>
    <definedName name="OSRRefT22x_0" localSheetId="57">'332'!$T$27:$T$35,'332'!$T$37:$T$46,'332'!$T$48,'332'!$T$50,'332'!$T$52,'332'!$T$54:$T$55,'332'!$T$57,'332'!$T$59:$T$61,'332'!$T$63,'332'!$T$65,'332'!$T$67:$T$70,'332'!$T$72</definedName>
    <definedName name="OSRRefT22x_0" localSheetId="54">'333'!$T$46:$T$54,'333'!$T$56:$T$65,'333'!$T$67,'333'!$T$69,'333'!$T$71,'333'!$T$73:$T$74,'333'!$T$76,'333'!$T$78,'333'!$T$80:$T$81,'333'!$T$83:$T$84,'333'!$T$86,'333'!$T$88,'333'!$T$90,'333'!$T$92,'333'!$T$94:$T$95,'333'!$T$97:$T$99,'333'!$T$101:$T$103,'333'!$T$105:$T$106,'333'!$T$108:$T$113,'333'!$T$115,'333'!$T$117,'333'!$T$119:$T$120,'333'!$T$122</definedName>
    <definedName name="OSRRefT22x_0" localSheetId="71">'405'!$T$27:$T$35,'405'!$T$37:$T$46,'405'!$T$48,'405'!$T$50,'405'!$T$52,'405'!$T$54:$T$55,'405'!$T$57,'405'!$T$59,'405'!$T$61,'405'!$T$63:$T$64,'405'!$T$66:$T$69,'405'!$T$71,'405'!$T$73:$T$81,'405'!$T$83,'405'!$T$85,'405'!$T$87,'405'!$T$89</definedName>
    <definedName name="OSRRefT22x_0" localSheetId="72">'406'!$T$20,'406'!$T$22</definedName>
    <definedName name="OSRRefT22x_0" localSheetId="73">'411'!$T$20:$T$28,'411'!$T$30:$T$39,'411'!$T$41,'411'!$T$43:$T$44,'411'!$T$46,'411'!$T$48,'411'!$T$50,'411'!$T$52,'411'!$T$54:$T$57,'411'!$T$59:$T$61,'411'!$T$63,'411'!$T$65:$T$66,'411'!$T$68,'411'!$T$70,'411'!$T$72:$T$73,'411'!$T$75</definedName>
    <definedName name="OSRRefT22x_0" localSheetId="74">'412'!$T$20,'412'!$T$22,'412'!$T$24,'412'!$T$26</definedName>
    <definedName name="OSRRefT22x_0" localSheetId="75">'413'!$T$20,'413'!$T$22,'413'!$T$24</definedName>
    <definedName name="OSRRefT22x_0" localSheetId="76">'414'!$T$20,'414'!$T$22,'414'!$T$24</definedName>
    <definedName name="OSRRefT22x_0" localSheetId="77">'415'!$T$27:$T$36,'415'!$T$38:$T$47,'415'!$T$49,'415'!$T$51,'415'!$T$53,'415'!$T$55:$T$56,'415'!$T$58,'415'!$T$60,'415'!$T$62,'415'!$T$64,'415'!$T$66,'415'!$T$68:$T$69,'415'!$T$71:$T$74,'415'!$T$76,'415'!$T$78:$T$85,'415'!$T$87:$T$88,'415'!$T$90,'415'!$T$92</definedName>
    <definedName name="OSRRefT22x_0" localSheetId="78">'418'!$T$24:$T$32,'418'!$T$34:$T$43,'418'!$T$45,'418'!$T$47,'418'!$T$49:$T$50,'418'!$T$52,'418'!$T$54,'418'!$T$56:$T$57,'418'!$T$59:$T$60,'418'!$T$62:$T$65,'418'!$T$67,'418'!$T$69:$T$76,'418'!$T$78:$T$79,'418'!$T$81,'418'!$T$83,'418'!$T$85</definedName>
    <definedName name="OSRRefT22x_0" localSheetId="79">'423'!$T$20:$T$27,'423'!$T$29:$T$38,'423'!$T$40,'423'!$T$42,'423'!$T$44,'423'!$T$46</definedName>
    <definedName name="OSRRefT22x_0" localSheetId="80">'424'!$T$20,'424'!$T$22,'424'!$T$24</definedName>
    <definedName name="OSRRefT22x_0" localSheetId="81">'425'!$T$22,'425'!$T$24,'425'!$T$26,'425'!$T$28,'425'!$T$30,'425'!$T$32</definedName>
    <definedName name="OSRRefT22x_0" localSheetId="83">'430'!$T$20:$T$28,'430'!$T$30:$T$39,'430'!$T$41,'430'!$T$43,'430'!$T$45,'430'!$T$47:$T$48,'430'!$T$50:$T$51,'430'!$T$53,'430'!$T$55</definedName>
    <definedName name="OSRRefT22x_0" localSheetId="84">'433'!$T$27:$T$36,'433'!$T$38:$T$47,'433'!$T$49,'433'!$T$51,'433'!$T$53,'433'!$T$55,'433'!$T$57,'433'!$T$59,'433'!$T$61,'433'!$T$63,'433'!$T$65,'433'!$T$67:$T$69,'433'!$T$71:$T$74,'433'!$T$76:$T$83,'433'!$T$85,'433'!$T$87</definedName>
    <definedName name="OSRRefT22x_0" localSheetId="85">'435'!$T$22,'435'!$T$24</definedName>
    <definedName name="OSRRefT22x_0" localSheetId="86">'444'!$T$27:$T$36,'444'!$T$38:$T$47,'444'!$T$49,'444'!$T$51,'444'!$T$53,'444'!$T$55,'444'!$T$57,'444'!$T$59,'444'!$T$61,'444'!$T$63,'444'!$T$65,'444'!$T$67:$T$68,'444'!$T$70:$T$73,'444'!$T$75,'444'!$T$77:$T$85,'444'!$T$87,'444'!$T$89</definedName>
    <definedName name="OSRRefT22x_0" localSheetId="87">'450'!$T$27:$T$36,'450'!$T$38:$T$47,'450'!$T$49,'450'!$T$51,'450'!$T$53,'450'!$T$55,'450'!$T$57,'450'!$T$59,'450'!$T$61,'450'!$T$63,'450'!$T$65,'450'!$T$67:$T$69,'450'!$T$71:$T$74,'450'!$T$76:$T$82,'450'!$T$84,'450'!$T$86,'450'!$T$88</definedName>
    <definedName name="OSRRefT22x_0" localSheetId="70">'491'!$T$28:$T$37,'491'!$T$39:$T$48,'491'!$T$50,'491'!$T$52,'491'!$T$54,'491'!$T$56:$T$57,'491'!$T$59,'491'!$T$61,'491'!$T$63:$T$64,'491'!$T$66,'491'!$T$68,'491'!$T$70,'491'!$T$72:$T$75,'491'!$T$77,'491'!$T$79:$T$83,'491'!$T$85,'491'!$T$87:$T$96,'491'!$T$98:$T$99,'491'!$T$101,'491'!$T$103:$T$104,'491'!$T$106</definedName>
    <definedName name="OSRRefT22x_0" localSheetId="82">'492'!$T$29:$T$38,'492'!$T$40:$T$49,'492'!$T$51,'492'!$T$53,'492'!$T$55,'492'!$T$57,'492'!$T$59,'492'!$T$61,'492'!$T$63,'492'!$T$65,'492'!$T$67,'492'!$T$69,'492'!$T$71:$T$73,'492'!$T$75:$T$78,'492'!$T$80,'492'!$T$82:$T$90,'492'!$T$92:$T$93,'492'!$T$95,'492'!$T$97:$T$98</definedName>
    <definedName name="OSRRefT22x_0" localSheetId="89">'501'!$T$21:$T$30,'501'!$T$32:$T$41,'501'!$T$43,'501'!$T$45,'501'!$T$47,'501'!$T$49:$T$50,'501'!$T$52,'501'!$T$54,'501'!$T$56,'501'!$T$58:$T$60,'501'!$T$62,'501'!$T$64:$T$66,'501'!$T$68,'501'!$T$70</definedName>
    <definedName name="OSRRefT22x_0" localSheetId="39">'Div 2'!$T$20:$T$30,'Div 2'!$T$32:$T$41,'Div 2'!$T$43,'Div 2'!$T$45,'Div 2'!$T$47,'Div 2'!$T$49:$T$50,'Div 2'!$T$52,'Div 2'!$T$54,'Div 2'!$T$56,'Div 2'!$T$58,'Div 2'!$T$60,'Div 2'!$T$62,'Div 2'!$T$64:$T$67,'Div 2'!$T$69:$T$72,'Div 2'!$T$74:$T$75,'Div 2'!$T$77:$T$78,'Div 2'!$T$80:$T$85,'Div 2'!$T$87:$T$88,'Div 2'!$T$90,'Div 2'!$T$92:$T$93</definedName>
    <definedName name="OSRRefT22x_0" localSheetId="47">'Div 3'!$T$60:$T$69,'Div 3'!$T$71:$T$80,'Div 3'!$T$82,'Div 3'!$T$84,'Div 3'!$T$86,'Div 3'!$T$88:$T$89,'Div 3'!$T$91:$T$92,'Div 3'!$T$94,'Div 3'!$T$96,'Div 3'!$T$98,'Div 3'!$T$100:$T$101,'Div 3'!$T$103:$T$104,'Div 3'!$T$106,'Div 3'!$T$108,'Div 3'!$T$110,'Div 3'!$T$112,'Div 3'!$T$114,'Div 3'!$T$116:$T$119,'Div 3'!$T$121:$T$124,'Div 3'!$T$126:$T$129,'Div 3'!$T$131:$T$132,'Div 3'!$T$134:$T$140,'Div 3'!$T$142:$T$143,'Div 3'!$T$145,'Div 3'!$T$147:$T$149,'Div 3'!$T$151</definedName>
    <definedName name="OSRRefT22x_0" localSheetId="68">'Div 4'!$T$31:$T$40,'Div 4'!$T$42:$T$51,'Div 4'!$T$53,'Div 4'!$T$55,'Div 4'!$T$57,'Div 4'!$T$59:$T$60,'Div 4'!$T$62,'Div 4'!$T$64,'Div 4'!$T$66,'Div 4'!$T$68:$T$69,'Div 4'!$T$71,'Div 4'!$T$73,'Div 4'!$T$75,'Div 4'!$T$77,'Div 4'!$T$79:$T$82,'Div 4'!$T$84,'Div 4'!$T$86:$T$90,'Div 4'!$T$92:$T$93,'Div 4'!$T$95:$T$104,'Div 4'!$T$106:$T$107,'Div 4'!$T$109,'Div 4'!$T$111:$T$112,'Div 4'!$T$114</definedName>
    <definedName name="OSRRefT22x_0" localSheetId="88">'Div 5'!$T$21:$T$30,'Div 5'!$T$32:$T$41,'Div 5'!$T$43,'Div 5'!$T$45,'Div 5'!$T$47,'Div 5'!$T$49:$T$50,'Div 5'!$T$52,'Div 5'!$T$54,'Div 5'!$T$56,'Div 5'!$T$58:$T$60,'Div 5'!$T$62,'Div 5'!$T$64:$T$66,'Div 5'!$T$68,'Div 5'!$T$70</definedName>
    <definedName name="OSRRefT22x_0" localSheetId="61">'Div 6'!$T$35:$T$44,'Div 6'!$T$46:$T$55,'Div 6'!$T$57,'Div 6'!$T$59,'Div 6'!$T$61,'Div 6'!$T$63,'Div 6'!$T$65,'Div 6'!$T$67,'Div 6'!$T$69,'Div 6'!$T$71:$T$72,'Div 6'!$T$74</definedName>
    <definedName name="OSRRefT22x_0" localSheetId="2">Summary!$T$68:$T$77,Summary!$T$79:$T$88,Summary!$T$90,Summary!$T$92,Summary!$T$94,Summary!$T$96:$T$97,Summary!$T$99:$T$100,Summary!$T$102,Summary!$T$104,Summary!$T$106,Summary!$T$108:$T$109,Summary!$T$111:$T$113,Summary!$T$115,Summary!$T$117,Summary!$T$119,Summary!$T$121,Summary!$T$123,Summary!$T$125,Summary!$T$127:$T$130,Summary!$T$132:$T$135,Summary!$T$137:$T$141,Summary!$T$143:$T$144,Summary!$T$146:$T$155,Summary!$T$157:$T$158,Summary!$T$160,Summary!$T$162:$T$164,Summary!$T$166</definedName>
    <definedName name="OSRRefT25x_0" localSheetId="48">'300'!$T$145:$T$149</definedName>
    <definedName name="OSRRefT25x_0" localSheetId="49">'300 &amp; 317'!$T$151:$T$157</definedName>
    <definedName name="OSRRefT25x_0" localSheetId="50">'301'!$T$98:$T$99</definedName>
    <definedName name="OSRRefT25x_0" localSheetId="51">'308'!$T$88:$T$91</definedName>
    <definedName name="OSRRefT25x_0" localSheetId="69">'310 &amp; 491'!$T$111:$T$114</definedName>
    <definedName name="OSRRefT25x_0" localSheetId="52">'311'!$T$88:$T$91</definedName>
    <definedName name="OSRRefT25x_0" localSheetId="58">'315'!$T$108:$T$110</definedName>
    <definedName name="OSRRefT25x_0" localSheetId="60">'316'!$T$75</definedName>
    <definedName name="OSRRefT25x_0" localSheetId="62">'317'!$T$77:$T$79</definedName>
    <definedName name="OSRRefT25x_0" localSheetId="56">'331'!$T$120:$T$122</definedName>
    <definedName name="OSRRefT25x_0" localSheetId="57">'332'!$T$75</definedName>
    <definedName name="OSRRefT25x_0" localSheetId="54">'333'!$T$125:$T$127</definedName>
    <definedName name="OSRRefT25x_0" localSheetId="71">'405'!$T$92</definedName>
    <definedName name="OSRRefT25x_0" localSheetId="73">'411'!$T$78</definedName>
    <definedName name="OSRRefT25x_0" localSheetId="77">'415'!$T$95</definedName>
    <definedName name="OSRRefT25x_0" localSheetId="78">'418'!$T$88</definedName>
    <definedName name="OSRRefT25x_0" localSheetId="79">'423'!$T$49:$T$51</definedName>
    <definedName name="OSRRefT25x_0" localSheetId="70">'491'!$T$109:$T$112</definedName>
    <definedName name="OSRRefT25x_0" localSheetId="89">'501'!$T$73</definedName>
    <definedName name="OSRRefT25x_0" localSheetId="47">'Div 3'!$T$154:$T$158</definedName>
    <definedName name="OSRRefT25x_0" localSheetId="68">'Div 4'!$T$117:$T$120</definedName>
    <definedName name="OSRRefT25x_0" localSheetId="88">'Div 5'!$T$73</definedName>
    <definedName name="OSRRefT25x_0" localSheetId="61">'Div 6'!$T$77:$T$79</definedName>
    <definedName name="OSRRefT25x_0" localSheetId="2">Summary!$T$169:$T$176</definedName>
    <definedName name="_xlnm.Print_Area" localSheetId="38">'100'!$A$1:$Z$34</definedName>
    <definedName name="_xlnm.Print_Area" localSheetId="40">'200'!$A$1:$Z$41</definedName>
    <definedName name="_xlnm.Print_Area" localSheetId="41">'201'!$A$1:$Z$85</definedName>
    <definedName name="_xlnm.Print_Area" localSheetId="42">'202'!$A$1:$Z$78</definedName>
    <definedName name="_xlnm.Print_Area" localSheetId="43">'203'!$A$1:$Z$87</definedName>
    <definedName name="_xlnm.Print_Area" localSheetId="44">'204'!$A$1:$Z$77</definedName>
    <definedName name="_xlnm.Print_Area" localSheetId="45">'205'!$A$1:$Z$68</definedName>
    <definedName name="_xlnm.Print_Area" localSheetId="46">'206'!$A$1:$Z$67</definedName>
    <definedName name="_xlnm.Print_Area" localSheetId="48">'300'!$A$1:$Z$161</definedName>
    <definedName name="_xlnm.Print_Area" localSheetId="49">'300 &amp; 317'!$A$1:$Z$169</definedName>
    <definedName name="_xlnm.Print_Area" localSheetId="50">'301'!$A$1:$Z$111</definedName>
    <definedName name="_xlnm.Print_Area" localSheetId="55">'307'!$A$1:$Z$96</definedName>
    <definedName name="_xlnm.Print_Area" localSheetId="51">'308'!$A$1:$Z$103</definedName>
    <definedName name="_xlnm.Print_Area" localSheetId="64">'309'!$A$1:$Z$69</definedName>
    <definedName name="_xlnm.Print_Area" localSheetId="63">'310'!$A$1:$Z$106</definedName>
    <definedName name="_xlnm.Print_Area" localSheetId="69">'310 &amp; 491'!$A$1:$Z$126</definedName>
    <definedName name="_xlnm.Print_Area" localSheetId="52">'311'!$A$1:$Z$103</definedName>
    <definedName name="_xlnm.Print_Area" localSheetId="58">'315'!$A$1:$Z$122</definedName>
    <definedName name="_xlnm.Print_Area" localSheetId="60">'316'!$A$1:$Z$87</definedName>
    <definedName name="_xlnm.Print_Area" localSheetId="62">'317'!$A$1:$Z$91</definedName>
    <definedName name="_xlnm.Print_Area" localSheetId="65">'321'!$A$1:$Z$86</definedName>
    <definedName name="_xlnm.Print_Area" localSheetId="53">'324'!$A$1:$Z$35</definedName>
    <definedName name="_xlnm.Print_Area" localSheetId="66">'325'!$A$1:$Z$99</definedName>
    <definedName name="_xlnm.Print_Area" localSheetId="59">'326'!$A$1:$Z$100</definedName>
    <definedName name="_xlnm.Print_Area" localSheetId="67">'327'!$A$1:$Z$42</definedName>
    <definedName name="_xlnm.Print_Area" localSheetId="56">'331'!$A$1:$Z$134</definedName>
    <definedName name="_xlnm.Print_Area" localSheetId="57">'332'!$A$1:$Z$87</definedName>
    <definedName name="_xlnm.Print_Area" localSheetId="54">'333'!$A$1:$Z$139</definedName>
    <definedName name="_xlnm.Print_Area" localSheetId="71">'405'!$A$1:$Z$104</definedName>
    <definedName name="_xlnm.Print_Area" localSheetId="72">'406'!$A$1:$Z$36</definedName>
    <definedName name="_xlnm.Print_Area" localSheetId="73">'411'!$A$1:$Z$90</definedName>
    <definedName name="_xlnm.Print_Area" localSheetId="74">'412'!$A$1:$Z$40</definedName>
    <definedName name="_xlnm.Print_Area" localSheetId="75">'413'!$A$1:$Z$38</definedName>
    <definedName name="_xlnm.Print_Area" localSheetId="76">'414'!$A$1:$Z$38</definedName>
    <definedName name="_xlnm.Print_Area" localSheetId="77">'415'!$A$1:$Z$107</definedName>
    <definedName name="_xlnm.Print_Area" localSheetId="78">'418'!$A$1:$Z$100</definedName>
    <definedName name="_xlnm.Print_Area" localSheetId="79">'423'!$A$1:$Z$63</definedName>
    <definedName name="_xlnm.Print_Area" localSheetId="80">'424'!$A$1:$Z$38</definedName>
    <definedName name="_xlnm.Print_Area" localSheetId="81">'425'!$A$1:$Z$46</definedName>
    <definedName name="_xlnm.Print_Area" localSheetId="83">'430'!$A$1:$Z$69</definedName>
    <definedName name="_xlnm.Print_Area" localSheetId="84">'433'!$A$1:$Z$101</definedName>
    <definedName name="_xlnm.Print_Area" localSheetId="85">'435'!$A$1:$Z$38</definedName>
    <definedName name="_xlnm.Print_Area" localSheetId="86">'444'!$A$1:$Z$103</definedName>
    <definedName name="_xlnm.Print_Area" localSheetId="87">'450'!$A$1:$Z$102</definedName>
    <definedName name="_xlnm.Print_Area" localSheetId="70">'491'!$A$1:$Z$124</definedName>
    <definedName name="_xlnm.Print_Area" localSheetId="82">'492'!$A$1:$Z$112</definedName>
    <definedName name="_xlnm.Print_Area" localSheetId="89">'501'!$A$1:$Z$85</definedName>
    <definedName name="_xlnm.Print_Area" localSheetId="90">Dept!$A$1:$Z$39</definedName>
    <definedName name="_xlnm.Print_Area" localSheetId="5">'Div 1'!$A$1:$Z$34</definedName>
    <definedName name="_xlnm.Print_Area" localSheetId="39">'Div 2'!$A$1:$Z$107</definedName>
    <definedName name="_xlnm.Print_Area" localSheetId="47">'Div 3'!$A$1:$Z$170</definedName>
    <definedName name="_xlnm.Print_Area" localSheetId="68">'Div 4'!$A$1:$Z$132</definedName>
    <definedName name="_xlnm.Print_Area" localSheetId="88">'Div 5'!$A$1:$Z$85</definedName>
    <definedName name="_xlnm.Print_Area" localSheetId="61">'Div 6'!$A$1:$Z$91</definedName>
    <definedName name="_xlnm.Print_Area" localSheetId="14">'OSR_300 &amp; 317_1C00ID4'!$A$1:$Z$39</definedName>
    <definedName name="_xlnm.Print_Area" localSheetId="15">'OSR_300 (2)_...6aa5a22d_14M6XO4'!$A$1:$Z$39</definedName>
    <definedName name="_xlnm.Print_Area" localSheetId="11">'OSR_300 (2)_7...54cb56fc_UFX0O2'!$A$1:$Z$39</definedName>
    <definedName name="_xlnm.Print_Area" localSheetId="17">'OSR_300 (2)_e...5d0da5bf_6BPGAO'!$A$1:$Z$39</definedName>
    <definedName name="_xlnm.Print_Area" localSheetId="12">OSR_300_IYZXI6!$A$1:$Z$39</definedName>
    <definedName name="_xlnm.Print_Area" localSheetId="22">'OSR_308 (2)_...47685838_1YQW4QY'!$A$1:$Z$39</definedName>
    <definedName name="_xlnm.Print_Area" localSheetId="19">OSR_308_UAWDAG!$A$1:$Z$39</definedName>
    <definedName name="_xlnm.Print_Area" localSheetId="28">'OSR_310 &amp; 491_1NGRCS9'!$A$1:$Z$39</definedName>
    <definedName name="_xlnm.Print_Area" localSheetId="18">'OSR_310 (2)_...6e684f08_1FLCNJG'!$A$1:$Z$39</definedName>
    <definedName name="_xlnm.Print_Area" localSheetId="27">'OSR_310 (2)_...8cac1423_1JTU33X'!$A$1:$Z$39</definedName>
    <definedName name="_xlnm.Print_Area" localSheetId="13">'OSR_310 (2)_5...3d931dee_QNK8R2'!$A$1:$Z$39</definedName>
    <definedName name="_xlnm.Print_Area" localSheetId="16">OSR_310_1CMTOSB!$A$1:$Z$39</definedName>
    <definedName name="_xlnm.Print_Area" localSheetId="20">'OSR_330 (2)_...8a14c83e_1NSH7XI'!$A$1:$Z$39</definedName>
    <definedName name="_xlnm.Print_Area" localSheetId="24">'OSR_331 (2)_...7280af70_1P5SPLT'!$A$1:$Z$39</definedName>
    <definedName name="_xlnm.Print_Area" localSheetId="21">OSR_331_10VKQAJ!$A$1:$Z$39</definedName>
    <definedName name="_xlnm.Print_Area" localSheetId="23">OSR_332_6NDVBW!$A$1:$Z$39</definedName>
    <definedName name="_xlnm.Print_Area" localSheetId="25">OSR_333_69UF5U!$A$1:$Z$39</definedName>
    <definedName name="_xlnm.Print_Area" localSheetId="29">'OSR_491 (2)_...853a34aa_1UNC34K'!$A$1:$Z$39</definedName>
    <definedName name="_xlnm.Print_Area" localSheetId="30">OSR_491_9Z9JH5!$A$1:$Z$39</definedName>
    <definedName name="_xlnm.Print_Area" localSheetId="35">'OSR_492 (2)_...cd97c6a6_13HYXEV'!$A$1:$Z$39</definedName>
    <definedName name="_xlnm.Print_Area" localSheetId="32">OSR_492_943FP1!$A$1:$Z$39</definedName>
    <definedName name="_xlnm.Print_Area" localSheetId="4">'OSR_Current ...69b7dd8c_1IEQKFK'!$A$1:$Z$39</definedName>
    <definedName name="_xlnm.Print_Area" localSheetId="91">OSR_Dept_Y0WUKY!$A$1:$Z$39</definedName>
    <definedName name="_xlnm.Print_Area" localSheetId="9">'OSR_Div 1 (2)...789fe994_2NV3KA'!$A$1:$Z$39</definedName>
    <definedName name="_xlnm.Print_Area" localSheetId="6">'OSR_Div 1_7H47HR'!$A$1:$Z$39</definedName>
    <definedName name="_xlnm.Print_Area" localSheetId="8">'OSR_Div 2_1PQ800A'!$A$1:$Z$39</definedName>
    <definedName name="_xlnm.Print_Area" localSheetId="7">'OSR_Div 3 (2)...4cb81c06_PBSMLS'!$A$1:$Z$39</definedName>
    <definedName name="_xlnm.Print_Area" localSheetId="10">'OSR_Div 3_18723PH'!$A$1:$Z$39</definedName>
    <definedName name="_xlnm.Print_Area" localSheetId="33">'OSR_Div 4 (2)...1a9a4454_CQFRNE'!$A$1:$Z$39</definedName>
    <definedName name="_xlnm.Print_Area" localSheetId="31">'OSR_Div 4 (2...2533da42_174R6QX'!$A$1:$Z$39</definedName>
    <definedName name="_xlnm.Print_Area" localSheetId="26">'OSR_Div 4_1740TMT'!$A$1:$Z$39</definedName>
    <definedName name="_xlnm.Print_Area" localSheetId="37">'OSR_Div 5 (2)...32d16c57_IVJ1QO'!$A$1:$Z$39</definedName>
    <definedName name="_xlnm.Print_Area" localSheetId="34">'OSR_Div 5_16NAZO2'!$A$1:$Z$39</definedName>
    <definedName name="_xlnm.Print_Area" localSheetId="36">'OSR_Div 6_P37YY7'!$A$1:$Z$39</definedName>
    <definedName name="_xlnm.Print_Area" localSheetId="92">'OSR_Summary (...56e5d78f_5JEYZH'!$A$1:$Z$39</definedName>
    <definedName name="_xlnm.Print_Area" localSheetId="3">OSR_Summary_18VAVWG!$A$1:$Z$39</definedName>
    <definedName name="_xlnm.Print_Area" localSheetId="2">Summary!$A$1:$Z$190</definedName>
    <definedName name="_xlnm.Print_Titles" localSheetId="38">'100'!$1:$10</definedName>
    <definedName name="_xlnm.Print_Titles" localSheetId="40">'200'!$1:$10</definedName>
    <definedName name="_xlnm.Print_Titles" localSheetId="41">'201'!$1:$10</definedName>
    <definedName name="_xlnm.Print_Titles" localSheetId="42">'202'!$1:$10</definedName>
    <definedName name="_xlnm.Print_Titles" localSheetId="43">'203'!$1:$10</definedName>
    <definedName name="_xlnm.Print_Titles" localSheetId="44">'204'!$1:$10</definedName>
    <definedName name="_xlnm.Print_Titles" localSheetId="45">'205'!$1:$10</definedName>
    <definedName name="_xlnm.Print_Titles" localSheetId="46">'206'!$1:$10</definedName>
    <definedName name="_xlnm.Print_Titles" localSheetId="48">'300'!$1:$10</definedName>
    <definedName name="_xlnm.Print_Titles" localSheetId="49">'300 &amp; 317'!$1:$10</definedName>
    <definedName name="_xlnm.Print_Titles" localSheetId="50">'301'!$1:$10</definedName>
    <definedName name="_xlnm.Print_Titles" localSheetId="55">'307'!$1:$10</definedName>
    <definedName name="_xlnm.Print_Titles" localSheetId="51">'308'!$1:$10</definedName>
    <definedName name="_xlnm.Print_Titles" localSheetId="64">'309'!$1:$10</definedName>
    <definedName name="_xlnm.Print_Titles" localSheetId="63">'310'!$1:$10</definedName>
    <definedName name="_xlnm.Print_Titles" localSheetId="69">'310 &amp; 491'!$1:$10</definedName>
    <definedName name="_xlnm.Print_Titles" localSheetId="52">'311'!$1:$10</definedName>
    <definedName name="_xlnm.Print_Titles" localSheetId="58">'315'!$1:$10</definedName>
    <definedName name="_xlnm.Print_Titles" localSheetId="60">'316'!$1:$10</definedName>
    <definedName name="_xlnm.Print_Titles" localSheetId="62">'317'!$1:$10</definedName>
    <definedName name="_xlnm.Print_Titles" localSheetId="65">'321'!$1:$10</definedName>
    <definedName name="_xlnm.Print_Titles" localSheetId="53">'324'!$1:$10</definedName>
    <definedName name="_xlnm.Print_Titles" localSheetId="66">'325'!$1:$10</definedName>
    <definedName name="_xlnm.Print_Titles" localSheetId="59">'326'!$1:$10</definedName>
    <definedName name="_xlnm.Print_Titles" localSheetId="67">'327'!$1:$10</definedName>
    <definedName name="_xlnm.Print_Titles" localSheetId="56">'331'!$1:$10</definedName>
    <definedName name="_xlnm.Print_Titles" localSheetId="57">'332'!$1:$10</definedName>
    <definedName name="_xlnm.Print_Titles" localSheetId="54">'333'!$1:$10</definedName>
    <definedName name="_xlnm.Print_Titles" localSheetId="71">'405'!$1:$10</definedName>
    <definedName name="_xlnm.Print_Titles" localSheetId="72">'406'!$1:$10</definedName>
    <definedName name="_xlnm.Print_Titles" localSheetId="73">'411'!$1:$10</definedName>
    <definedName name="_xlnm.Print_Titles" localSheetId="74">'412'!$1:$10</definedName>
    <definedName name="_xlnm.Print_Titles" localSheetId="75">'413'!$1:$10</definedName>
    <definedName name="_xlnm.Print_Titles" localSheetId="76">'414'!$1:$10</definedName>
    <definedName name="_xlnm.Print_Titles" localSheetId="77">'415'!$1:$10</definedName>
    <definedName name="_xlnm.Print_Titles" localSheetId="78">'418'!$1:$10</definedName>
    <definedName name="_xlnm.Print_Titles" localSheetId="79">'423'!$1:$10</definedName>
    <definedName name="_xlnm.Print_Titles" localSheetId="80">'424'!$1:$10</definedName>
    <definedName name="_xlnm.Print_Titles" localSheetId="81">'425'!$1:$10</definedName>
    <definedName name="_xlnm.Print_Titles" localSheetId="83">'430'!$1:$10</definedName>
    <definedName name="_xlnm.Print_Titles" localSheetId="84">'433'!$1:$10</definedName>
    <definedName name="_xlnm.Print_Titles" localSheetId="85">'435'!$1:$10</definedName>
    <definedName name="_xlnm.Print_Titles" localSheetId="86">'444'!$1:$10</definedName>
    <definedName name="_xlnm.Print_Titles" localSheetId="87">'450'!$1:$10</definedName>
    <definedName name="_xlnm.Print_Titles" localSheetId="70">'491'!$1:$10</definedName>
    <definedName name="_xlnm.Print_Titles" localSheetId="82">'492'!$1:$10</definedName>
    <definedName name="_xlnm.Print_Titles" localSheetId="89">'501'!$1:$10</definedName>
    <definedName name="_xlnm.Print_Titles" localSheetId="90">Dept!$A:$C,Dept!$1:$10</definedName>
    <definedName name="_xlnm.Print_Titles" localSheetId="5">'Div 1'!$1:$10</definedName>
    <definedName name="_xlnm.Print_Titles" localSheetId="39">'Div 2'!$1:$10</definedName>
    <definedName name="_xlnm.Print_Titles" localSheetId="47">'Div 3'!$1:$10</definedName>
    <definedName name="_xlnm.Print_Titles" localSheetId="68">'Div 4'!$1:$10</definedName>
    <definedName name="_xlnm.Print_Titles" localSheetId="88">'Div 5'!$1:$10</definedName>
    <definedName name="_xlnm.Print_Titles" localSheetId="61">'Div 6'!$1:$10</definedName>
    <definedName name="_xlnm.Print_Titles" localSheetId="14">'OSR_300 &amp; 317_1C00ID4'!$1:$10</definedName>
    <definedName name="_xlnm.Print_Titles" localSheetId="15">'OSR_300 (2)_...6aa5a22d_14M6XO4'!$1:$10</definedName>
    <definedName name="_xlnm.Print_Titles" localSheetId="11">'OSR_300 (2)_7...54cb56fc_UFX0O2'!$1:$10</definedName>
    <definedName name="_xlnm.Print_Titles" localSheetId="17">'OSR_300 (2)_e...5d0da5bf_6BPGAO'!$1:$10</definedName>
    <definedName name="_xlnm.Print_Titles" localSheetId="12">OSR_300_IYZXI6!$A:$C,OSR_300_IYZXI6!$1:$10</definedName>
    <definedName name="_xlnm.Print_Titles" localSheetId="22">'OSR_308 (2)_...47685838_1YQW4QY'!$1:$10</definedName>
    <definedName name="_xlnm.Print_Titles" localSheetId="19">OSR_308_UAWDAG!$A:$C,OSR_308_UAWDAG!$1:$10</definedName>
    <definedName name="_xlnm.Print_Titles" localSheetId="28">'OSR_310 &amp; 491_1NGRCS9'!$1:$10</definedName>
    <definedName name="_xlnm.Print_Titles" localSheetId="18">'OSR_310 (2)_...6e684f08_1FLCNJG'!$1:$10</definedName>
    <definedName name="_xlnm.Print_Titles" localSheetId="27">'OSR_310 (2)_...8cac1423_1JTU33X'!$1:$10</definedName>
    <definedName name="_xlnm.Print_Titles" localSheetId="13">'OSR_310 (2)_5...3d931dee_QNK8R2'!$1:$10</definedName>
    <definedName name="_xlnm.Print_Titles" localSheetId="16">OSR_310_1CMTOSB!$A:$C,OSR_310_1CMTOSB!$1:$10</definedName>
    <definedName name="_xlnm.Print_Titles" localSheetId="20">'OSR_330 (2)_...8a14c83e_1NSH7XI'!$1:$10</definedName>
    <definedName name="_xlnm.Print_Titles" localSheetId="24">'OSR_331 (2)_...7280af70_1P5SPLT'!$1:$10</definedName>
    <definedName name="_xlnm.Print_Titles" localSheetId="21">OSR_331_10VKQAJ!$A:$C,OSR_331_10VKQAJ!$1:$10</definedName>
    <definedName name="_xlnm.Print_Titles" localSheetId="23">OSR_332_6NDVBW!$A:$C,OSR_332_6NDVBW!$1:$10</definedName>
    <definedName name="_xlnm.Print_Titles" localSheetId="25">OSR_333_69UF5U!$A:$C,OSR_333_69UF5U!$1:$10</definedName>
    <definedName name="_xlnm.Print_Titles" localSheetId="29">'OSR_491 (2)_...853a34aa_1UNC34K'!$1:$10</definedName>
    <definedName name="_xlnm.Print_Titles" localSheetId="30">OSR_491_9Z9JH5!$A:$C,OSR_491_9Z9JH5!$1:$10</definedName>
    <definedName name="_xlnm.Print_Titles" localSheetId="35">'OSR_492 (2)_...cd97c6a6_13HYXEV'!$1:$10</definedName>
    <definedName name="_xlnm.Print_Titles" localSheetId="32">OSR_492_943FP1!$A:$C,OSR_492_943FP1!$1:$10</definedName>
    <definedName name="_xlnm.Print_Titles" localSheetId="4">'OSR_Current ...69b7dd8c_1IEQKFK'!$1:$10</definedName>
    <definedName name="_xlnm.Print_Titles" localSheetId="91">OSR_Dept_Y0WUKY!$A:$C,OSR_Dept_Y0WUKY!$1:$10</definedName>
    <definedName name="_xlnm.Print_Titles" localSheetId="9">'OSR_Div 1 (2)...789fe994_2NV3KA'!$1:$10</definedName>
    <definedName name="_xlnm.Print_Titles" localSheetId="6">'OSR_Div 1_7H47HR'!$1:$10</definedName>
    <definedName name="_xlnm.Print_Titles" localSheetId="8">'OSR_Div 2_1PQ800A'!$1:$10</definedName>
    <definedName name="_xlnm.Print_Titles" localSheetId="7">'OSR_Div 3 (2)...4cb81c06_PBSMLS'!$1:$10</definedName>
    <definedName name="_xlnm.Print_Titles" localSheetId="10">'OSR_Div 3_18723PH'!$1:$10</definedName>
    <definedName name="_xlnm.Print_Titles" localSheetId="33">'OSR_Div 4 (2)...1a9a4454_CQFRNE'!$1:$10</definedName>
    <definedName name="_xlnm.Print_Titles" localSheetId="31">'OSR_Div 4 (2...2533da42_174R6QX'!$1:$10</definedName>
    <definedName name="_xlnm.Print_Titles" localSheetId="26">'OSR_Div 4_1740TMT'!$1:$10</definedName>
    <definedName name="_xlnm.Print_Titles" localSheetId="37">'OSR_Div 5 (2)...32d16c57_IVJ1QO'!$1:$10</definedName>
    <definedName name="_xlnm.Print_Titles" localSheetId="34">'OSR_Div 5_16NAZO2'!$1:$10</definedName>
    <definedName name="_xlnm.Print_Titles" localSheetId="36">'OSR_Div 6_P37YY7'!$1:$10</definedName>
    <definedName name="_xlnm.Print_Titles" localSheetId="92">'OSR_Summary (...56e5d78f_5JEYZH'!$1:$10</definedName>
    <definedName name="_xlnm.Print_Titles" localSheetId="3">OSR_Summary_18VAVWG!$A:$C,OSR_Summary_18VAVWG!$1:$10</definedName>
    <definedName name="_xlnm.Print_Titles" localSheetId="2">Summary!$A:$C,Summary!$1:$10</definedName>
  </definedNames>
  <calcPr calcId="191029" iterate="1" iterateCount="1000" iterateDelta="0.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39" i="95" l="1"/>
  <c r="B38" i="95"/>
  <c r="T34" i="95"/>
  <c r="Z34" i="95" s="1"/>
  <c r="P34" i="95"/>
  <c r="H34" i="95"/>
  <c r="N34" i="95" s="1"/>
  <c r="D34" i="95"/>
  <c r="T33" i="95"/>
  <c r="Z33" i="95" s="1"/>
  <c r="P33" i="95"/>
  <c r="H33" i="95"/>
  <c r="N33" i="95" s="1"/>
  <c r="D33" i="95"/>
  <c r="T29" i="95"/>
  <c r="Z29" i="95" s="1"/>
  <c r="P29" i="95"/>
  <c r="H29" i="95"/>
  <c r="N29" i="95" s="1"/>
  <c r="D29" i="95"/>
  <c r="T25" i="95"/>
  <c r="Z25" i="95" s="1"/>
  <c r="P25" i="95"/>
  <c r="X25" i="95" s="1"/>
  <c r="H25" i="95"/>
  <c r="N25" i="95" s="1"/>
  <c r="D25" i="95"/>
  <c r="B25" i="95"/>
  <c r="T24" i="95"/>
  <c r="P24" i="95"/>
  <c r="H24" i="95"/>
  <c r="N24" i="95" s="1"/>
  <c r="D24" i="95"/>
  <c r="T22" i="95"/>
  <c r="Z22" i="95" s="1"/>
  <c r="P22" i="95"/>
  <c r="H22" i="95"/>
  <c r="N22" i="95" s="1"/>
  <c r="D22" i="95"/>
  <c r="B22" i="95"/>
  <c r="T21" i="95"/>
  <c r="Z21" i="95" s="1"/>
  <c r="P21" i="95"/>
  <c r="H21" i="95"/>
  <c r="N21" i="95" s="1"/>
  <c r="D21" i="95"/>
  <c r="B21" i="95"/>
  <c r="T20" i="95"/>
  <c r="Z20" i="95" s="1"/>
  <c r="P20" i="95"/>
  <c r="H20" i="95"/>
  <c r="N20" i="95" s="1"/>
  <c r="D20" i="95"/>
  <c r="T16" i="95"/>
  <c r="Z16" i="95" s="1"/>
  <c r="P16" i="95"/>
  <c r="H16" i="95"/>
  <c r="N16" i="95" s="1"/>
  <c r="D16" i="95"/>
  <c r="B16" i="95"/>
  <c r="T15" i="95"/>
  <c r="Z15" i="95" s="1"/>
  <c r="P15" i="95"/>
  <c r="H15" i="95"/>
  <c r="N15" i="95" s="1"/>
  <c r="D15" i="95"/>
  <c r="T13" i="95"/>
  <c r="Z13" i="95" s="1"/>
  <c r="P13" i="95"/>
  <c r="H13" i="95"/>
  <c r="N13" i="95" s="1"/>
  <c r="D13" i="95"/>
  <c r="B13" i="95"/>
  <c r="T12" i="95"/>
  <c r="V34" i="95" s="1"/>
  <c r="P12" i="95"/>
  <c r="R22" i="95" s="1"/>
  <c r="H12" i="95"/>
  <c r="D12" i="95"/>
  <c r="F34" i="95" s="1"/>
  <c r="D6" i="95"/>
  <c r="D5" i="95"/>
  <c r="D4" i="95"/>
  <c r="B39" i="94"/>
  <c r="B38" i="94"/>
  <c r="T34" i="94"/>
  <c r="Z34" i="94" s="1"/>
  <c r="P34" i="94"/>
  <c r="H34" i="94"/>
  <c r="N34" i="94" s="1"/>
  <c r="D34" i="94"/>
  <c r="L34" i="94" s="1"/>
  <c r="T33" i="94"/>
  <c r="Z33" i="94" s="1"/>
  <c r="P33" i="94"/>
  <c r="H33" i="94"/>
  <c r="N33" i="94" s="1"/>
  <c r="D33" i="94"/>
  <c r="T29" i="94"/>
  <c r="P29" i="94"/>
  <c r="H29" i="94"/>
  <c r="N29" i="94" s="1"/>
  <c r="D29" i="94"/>
  <c r="T25" i="94"/>
  <c r="Z25" i="94" s="1"/>
  <c r="P25" i="94"/>
  <c r="H25" i="94"/>
  <c r="N25" i="94" s="1"/>
  <c r="D25" i="94"/>
  <c r="B25" i="94"/>
  <c r="T24" i="94"/>
  <c r="Z24" i="94" s="1"/>
  <c r="P24" i="94"/>
  <c r="H24" i="94"/>
  <c r="D24" i="94"/>
  <c r="T22" i="94"/>
  <c r="Z22" i="94" s="1"/>
  <c r="P22" i="94"/>
  <c r="H22" i="94"/>
  <c r="N22" i="94" s="1"/>
  <c r="D22" i="94"/>
  <c r="B22" i="94"/>
  <c r="T21" i="94"/>
  <c r="Z21" i="94" s="1"/>
  <c r="P21" i="94"/>
  <c r="H21" i="94"/>
  <c r="N21" i="94" s="1"/>
  <c r="D21" i="94"/>
  <c r="B21" i="94"/>
  <c r="T20" i="94"/>
  <c r="P20" i="94"/>
  <c r="H20" i="94"/>
  <c r="N20" i="94" s="1"/>
  <c r="D20" i="94"/>
  <c r="T16" i="94"/>
  <c r="Z16" i="94" s="1"/>
  <c r="P16" i="94"/>
  <c r="H16" i="94"/>
  <c r="N16" i="94" s="1"/>
  <c r="D16" i="94"/>
  <c r="B16" i="94"/>
  <c r="T15" i="94"/>
  <c r="Z15" i="94" s="1"/>
  <c r="P15" i="94"/>
  <c r="H15" i="94"/>
  <c r="N15" i="94" s="1"/>
  <c r="D15" i="94"/>
  <c r="T13" i="94"/>
  <c r="P13" i="94"/>
  <c r="H13" i="94"/>
  <c r="N13" i="94" s="1"/>
  <c r="D13" i="94"/>
  <c r="B13" i="94"/>
  <c r="T12" i="94"/>
  <c r="V20" i="94" s="1"/>
  <c r="P12" i="94"/>
  <c r="R36" i="94" s="1"/>
  <c r="H12" i="94"/>
  <c r="J22" i="94" s="1"/>
  <c r="D12" i="94"/>
  <c r="F24" i="94" s="1"/>
  <c r="D6" i="94"/>
  <c r="D5" i="94"/>
  <c r="D4" i="94"/>
  <c r="B39" i="93"/>
  <c r="B38" i="93"/>
  <c r="T34" i="93"/>
  <c r="Z34" i="93" s="1"/>
  <c r="P34" i="93"/>
  <c r="H34" i="93"/>
  <c r="N34" i="93" s="1"/>
  <c r="D34" i="93"/>
  <c r="T33" i="93"/>
  <c r="Z33" i="93" s="1"/>
  <c r="P33" i="93"/>
  <c r="H33" i="93"/>
  <c r="N33" i="93" s="1"/>
  <c r="D33" i="93"/>
  <c r="T29" i="93"/>
  <c r="Z29" i="93" s="1"/>
  <c r="P29" i="93"/>
  <c r="H29" i="93"/>
  <c r="N29" i="93" s="1"/>
  <c r="D29" i="93"/>
  <c r="T25" i="93"/>
  <c r="Z25" i="93" s="1"/>
  <c r="P25" i="93"/>
  <c r="H25" i="93"/>
  <c r="N25" i="93" s="1"/>
  <c r="D25" i="93"/>
  <c r="B25" i="93"/>
  <c r="T24" i="93"/>
  <c r="Z24" i="93" s="1"/>
  <c r="P24" i="93"/>
  <c r="H24" i="93"/>
  <c r="N24" i="93" s="1"/>
  <c r="D24" i="93"/>
  <c r="T22" i="93"/>
  <c r="P22" i="93"/>
  <c r="H22" i="93"/>
  <c r="N22" i="93" s="1"/>
  <c r="D22" i="93"/>
  <c r="B22" i="93"/>
  <c r="T21" i="93"/>
  <c r="Z21" i="93" s="1"/>
  <c r="P21" i="93"/>
  <c r="H21" i="93"/>
  <c r="N21" i="93" s="1"/>
  <c r="D21" i="93"/>
  <c r="B21" i="93"/>
  <c r="T20" i="93"/>
  <c r="Z20" i="93" s="1"/>
  <c r="P20" i="93"/>
  <c r="H20" i="93"/>
  <c r="D20" i="93"/>
  <c r="T16" i="93"/>
  <c r="Z16" i="93" s="1"/>
  <c r="P16" i="93"/>
  <c r="H16" i="93"/>
  <c r="N16" i="93" s="1"/>
  <c r="D16" i="93"/>
  <c r="B16" i="93"/>
  <c r="T15" i="93"/>
  <c r="Z15" i="93" s="1"/>
  <c r="P15" i="93"/>
  <c r="H15" i="93"/>
  <c r="N15" i="93" s="1"/>
  <c r="D15" i="93"/>
  <c r="T13" i="93"/>
  <c r="Z13" i="93" s="1"/>
  <c r="P13" i="93"/>
  <c r="H13" i="93"/>
  <c r="N13" i="93" s="1"/>
  <c r="D13" i="93"/>
  <c r="B13" i="93"/>
  <c r="T12" i="93"/>
  <c r="V24" i="93" s="1"/>
  <c r="P12" i="93"/>
  <c r="R20" i="93" s="1"/>
  <c r="H12" i="93"/>
  <c r="J20" i="93" s="1"/>
  <c r="D12" i="93"/>
  <c r="D6" i="93"/>
  <c r="D5" i="93"/>
  <c r="D4" i="93"/>
  <c r="X77" i="92"/>
  <c r="Z77" i="92" s="1"/>
  <c r="N77" i="92"/>
  <c r="L77" i="92"/>
  <c r="Z73" i="92"/>
  <c r="X73" i="92"/>
  <c r="P73" i="92"/>
  <c r="N73" i="92"/>
  <c r="D73" i="92"/>
  <c r="L73" i="92" s="1"/>
  <c r="B73" i="92"/>
  <c r="T72" i="92"/>
  <c r="P72" i="92"/>
  <c r="X72" i="92" s="1"/>
  <c r="Z72" i="92" s="1"/>
  <c r="H72" i="92"/>
  <c r="X70" i="92"/>
  <c r="Z70" i="92" s="1"/>
  <c r="N70" i="92"/>
  <c r="L70" i="92"/>
  <c r="B70" i="92"/>
  <c r="T69" i="92"/>
  <c r="P69" i="92"/>
  <c r="H69" i="92"/>
  <c r="N69" i="92" s="1"/>
  <c r="D69" i="92"/>
  <c r="L69" i="92" s="1"/>
  <c r="B69" i="92"/>
  <c r="Z68" i="92"/>
  <c r="X68" i="92"/>
  <c r="R68" i="92"/>
  <c r="N68" i="92"/>
  <c r="L68" i="92"/>
  <c r="B68" i="92"/>
  <c r="T67" i="92"/>
  <c r="Z67" i="92" s="1"/>
  <c r="P67" i="92"/>
  <c r="X67" i="92" s="1"/>
  <c r="L67" i="92"/>
  <c r="H67" i="92"/>
  <c r="D67" i="92"/>
  <c r="B67" i="92"/>
  <c r="Z66" i="92"/>
  <c r="X66" i="92"/>
  <c r="V66" i="92"/>
  <c r="N66" i="92"/>
  <c r="L66" i="92"/>
  <c r="B66" i="92"/>
  <c r="Z65" i="92"/>
  <c r="X65" i="92"/>
  <c r="N65" i="92"/>
  <c r="L65" i="92"/>
  <c r="B65" i="92"/>
  <c r="Z64" i="92"/>
  <c r="X64" i="92"/>
  <c r="R64" i="92"/>
  <c r="N64" i="92"/>
  <c r="L64" i="92"/>
  <c r="B64" i="92"/>
  <c r="V63" i="92"/>
  <c r="T63" i="92"/>
  <c r="P63" i="92"/>
  <c r="X63" i="92" s="1"/>
  <c r="L63" i="92"/>
  <c r="H63" i="92"/>
  <c r="D63" i="92"/>
  <c r="B63" i="92"/>
  <c r="Z62" i="92"/>
  <c r="X62" i="92"/>
  <c r="L62" i="92"/>
  <c r="N62" i="92" s="1"/>
  <c r="B62" i="92"/>
  <c r="X61" i="92"/>
  <c r="T61" i="92"/>
  <c r="Z61" i="92" s="1"/>
  <c r="R61" i="92"/>
  <c r="P61" i="92"/>
  <c r="H61" i="92"/>
  <c r="D61" i="92"/>
  <c r="B61" i="92"/>
  <c r="Z60" i="92"/>
  <c r="X60" i="92"/>
  <c r="V60" i="92"/>
  <c r="N60" i="92"/>
  <c r="L60" i="92"/>
  <c r="B60" i="92"/>
  <c r="X59" i="92"/>
  <c r="Z59" i="92" s="1"/>
  <c r="L59" i="92"/>
  <c r="N59" i="92" s="1"/>
  <c r="B59" i="92"/>
  <c r="Z58" i="92"/>
  <c r="X58" i="92"/>
  <c r="V58" i="92"/>
  <c r="N58" i="92"/>
  <c r="L58" i="92"/>
  <c r="B58" i="92"/>
  <c r="X57" i="92"/>
  <c r="T57" i="92"/>
  <c r="Z57" i="92" s="1"/>
  <c r="P57" i="92"/>
  <c r="L57" i="92"/>
  <c r="H57" i="92"/>
  <c r="D57" i="92"/>
  <c r="B57" i="92"/>
  <c r="Z56" i="92"/>
  <c r="X56" i="92"/>
  <c r="N56" i="92"/>
  <c r="L56" i="92"/>
  <c r="B56" i="92"/>
  <c r="T55" i="92"/>
  <c r="P55" i="92"/>
  <c r="H55" i="92"/>
  <c r="N55" i="92" s="1"/>
  <c r="D55" i="92"/>
  <c r="L55" i="92" s="1"/>
  <c r="B55" i="92"/>
  <c r="X54" i="92"/>
  <c r="Z54" i="92" s="1"/>
  <c r="N54" i="92"/>
  <c r="L54" i="92"/>
  <c r="B54" i="92"/>
  <c r="T53" i="92"/>
  <c r="P53" i="92"/>
  <c r="H53" i="92"/>
  <c r="N53" i="92" s="1"/>
  <c r="D53" i="92"/>
  <c r="L53" i="92" s="1"/>
  <c r="B53" i="92"/>
  <c r="Z52" i="92"/>
  <c r="X52" i="92"/>
  <c r="R52" i="92"/>
  <c r="N52" i="92"/>
  <c r="L52" i="92"/>
  <c r="B52" i="92"/>
  <c r="V51" i="92"/>
  <c r="T51" i="92"/>
  <c r="P51" i="92"/>
  <c r="X51" i="92" s="1"/>
  <c r="H51" i="92"/>
  <c r="D51" i="92"/>
  <c r="L51" i="92" s="1"/>
  <c r="B51" i="92"/>
  <c r="Z50" i="92"/>
  <c r="X50" i="92"/>
  <c r="N50" i="92"/>
  <c r="L50" i="92"/>
  <c r="B50" i="92"/>
  <c r="Z49" i="92"/>
  <c r="X49" i="92"/>
  <c r="N49" i="92"/>
  <c r="L49" i="92"/>
  <c r="B49" i="92"/>
  <c r="V48" i="92"/>
  <c r="T48" i="92"/>
  <c r="P48" i="92"/>
  <c r="H48" i="92"/>
  <c r="D48" i="92"/>
  <c r="L48" i="92" s="1"/>
  <c r="N48" i="92" s="1"/>
  <c r="B48" i="92"/>
  <c r="X47" i="92"/>
  <c r="Z47" i="92" s="1"/>
  <c r="L47" i="92"/>
  <c r="N47" i="92" s="1"/>
  <c r="B47" i="92"/>
  <c r="V46" i="92"/>
  <c r="T46" i="92"/>
  <c r="P46" i="92"/>
  <c r="X46" i="92" s="1"/>
  <c r="Z46" i="92" s="1"/>
  <c r="N46" i="92"/>
  <c r="L46" i="92"/>
  <c r="H46" i="92"/>
  <c r="D46" i="92"/>
  <c r="B46" i="92"/>
  <c r="Z45" i="92"/>
  <c r="X45" i="92"/>
  <c r="R45" i="92"/>
  <c r="L45" i="92"/>
  <c r="N45" i="92" s="1"/>
  <c r="B45" i="92"/>
  <c r="Z44" i="92"/>
  <c r="T44" i="92"/>
  <c r="R44" i="92"/>
  <c r="P44" i="92"/>
  <c r="X44" i="92" s="1"/>
  <c r="H44" i="92"/>
  <c r="D44" i="92"/>
  <c r="B44" i="92"/>
  <c r="Z43" i="92"/>
  <c r="X43" i="92"/>
  <c r="R43" i="92"/>
  <c r="N43" i="92"/>
  <c r="L43" i="92"/>
  <c r="B43" i="92"/>
  <c r="T42" i="92"/>
  <c r="P42" i="92"/>
  <c r="N42" i="92"/>
  <c r="H42" i="92"/>
  <c r="D42" i="92"/>
  <c r="L42" i="92" s="1"/>
  <c r="B42" i="92"/>
  <c r="Z41" i="92"/>
  <c r="X41" i="92"/>
  <c r="V41" i="92"/>
  <c r="R41" i="92"/>
  <c r="N41" i="92"/>
  <c r="L41" i="92"/>
  <c r="B41" i="92"/>
  <c r="Z40" i="92"/>
  <c r="X40" i="92"/>
  <c r="V40" i="92"/>
  <c r="N40" i="92"/>
  <c r="L40" i="92"/>
  <c r="B40" i="92"/>
  <c r="Z39" i="92"/>
  <c r="X39" i="92"/>
  <c r="N39" i="92"/>
  <c r="L39" i="92"/>
  <c r="F39" i="92"/>
  <c r="B39" i="92"/>
  <c r="Z38" i="92"/>
  <c r="X38" i="92"/>
  <c r="R38" i="92"/>
  <c r="N38" i="92"/>
  <c r="L38" i="92"/>
  <c r="F38" i="92"/>
  <c r="B38" i="92"/>
  <c r="Z37" i="92"/>
  <c r="X37" i="92"/>
  <c r="V37" i="92"/>
  <c r="N37" i="92"/>
  <c r="L37" i="92"/>
  <c r="F37" i="92"/>
  <c r="B37" i="92"/>
  <c r="Z36" i="92"/>
  <c r="X36" i="92"/>
  <c r="N36" i="92"/>
  <c r="L36" i="92"/>
  <c r="B36" i="92"/>
  <c r="Z35" i="92"/>
  <c r="X35" i="92"/>
  <c r="R35" i="92"/>
  <c r="L35" i="92"/>
  <c r="N35" i="92" s="1"/>
  <c r="B35" i="92"/>
  <c r="Z34" i="92"/>
  <c r="X34" i="92"/>
  <c r="V34" i="92"/>
  <c r="R34" i="92"/>
  <c r="N34" i="92"/>
  <c r="L34" i="92"/>
  <c r="B34" i="92"/>
  <c r="X33" i="92"/>
  <c r="Z33" i="92" s="1"/>
  <c r="V33" i="92"/>
  <c r="R33" i="92"/>
  <c r="L33" i="92"/>
  <c r="N33" i="92" s="1"/>
  <c r="B33" i="92"/>
  <c r="Z32" i="92"/>
  <c r="X32" i="92"/>
  <c r="V32" i="92"/>
  <c r="L32" i="92"/>
  <c r="N32" i="92" s="1"/>
  <c r="B32" i="92"/>
  <c r="X31" i="92"/>
  <c r="Z31" i="92" s="1"/>
  <c r="T31" i="92"/>
  <c r="R31" i="92"/>
  <c r="P31" i="92"/>
  <c r="L31" i="92"/>
  <c r="H31" i="92"/>
  <c r="D31" i="92"/>
  <c r="B31" i="92"/>
  <c r="Z30" i="92"/>
  <c r="X30" i="92"/>
  <c r="V30" i="92"/>
  <c r="R30" i="92"/>
  <c r="N30" i="92"/>
  <c r="L30" i="92"/>
  <c r="B30" i="92"/>
  <c r="X29" i="92"/>
  <c r="Z29" i="92" s="1"/>
  <c r="V29" i="92"/>
  <c r="R29" i="92"/>
  <c r="L29" i="92"/>
  <c r="N29" i="92" s="1"/>
  <c r="B29" i="92"/>
  <c r="X28" i="92"/>
  <c r="Z28" i="92" s="1"/>
  <c r="V28" i="92"/>
  <c r="L28" i="92"/>
  <c r="N28" i="92" s="1"/>
  <c r="B28" i="92"/>
  <c r="Z27" i="92"/>
  <c r="X27" i="92"/>
  <c r="N27" i="92"/>
  <c r="L27" i="92"/>
  <c r="B27" i="92"/>
  <c r="Z26" i="92"/>
  <c r="X26" i="92"/>
  <c r="R26" i="92"/>
  <c r="N26" i="92"/>
  <c r="L26" i="92"/>
  <c r="B26" i="92"/>
  <c r="X25" i="92"/>
  <c r="Z25" i="92" s="1"/>
  <c r="V25" i="92"/>
  <c r="R25" i="92"/>
  <c r="L25" i="92"/>
  <c r="N25" i="92" s="1"/>
  <c r="B25" i="92"/>
  <c r="X24" i="92"/>
  <c r="Z24" i="92" s="1"/>
  <c r="N24" i="92"/>
  <c r="L24" i="92"/>
  <c r="B24" i="92"/>
  <c r="Z23" i="92"/>
  <c r="X23" i="92"/>
  <c r="R23" i="92"/>
  <c r="L23" i="92"/>
  <c r="N23" i="92" s="1"/>
  <c r="B23" i="92"/>
  <c r="Z22" i="92"/>
  <c r="X22" i="92"/>
  <c r="V22" i="92"/>
  <c r="R22" i="92"/>
  <c r="N22" i="92"/>
  <c r="L22" i="92"/>
  <c r="B22" i="92"/>
  <c r="X21" i="92"/>
  <c r="Z21" i="92" s="1"/>
  <c r="V21" i="92"/>
  <c r="R21" i="92"/>
  <c r="L21" i="92"/>
  <c r="N21" i="92" s="1"/>
  <c r="B21" i="92"/>
  <c r="V20" i="92"/>
  <c r="T20" i="92"/>
  <c r="P20" i="92"/>
  <c r="H20" i="92"/>
  <c r="D20" i="92"/>
  <c r="L20" i="92" s="1"/>
  <c r="B20" i="92"/>
  <c r="T19" i="92" a="1"/>
  <c r="T19" i="92"/>
  <c r="P19" i="92" a="1"/>
  <c r="P19" i="92" s="1"/>
  <c r="H19" i="92" a="1"/>
  <c r="H19" i="92" s="1"/>
  <c r="F19" i="92"/>
  <c r="D19" i="92" a="1"/>
  <c r="D19" i="92" s="1"/>
  <c r="T17" i="92"/>
  <c r="R17" i="92"/>
  <c r="P17" i="92"/>
  <c r="D17" i="92"/>
  <c r="Z15" i="92"/>
  <c r="X15" i="92"/>
  <c r="V15" i="92"/>
  <c r="T15" i="92"/>
  <c r="R15" i="92"/>
  <c r="P15" i="92"/>
  <c r="H15" i="92"/>
  <c r="N15" i="92" s="1"/>
  <c r="F15" i="92"/>
  <c r="D15" i="92"/>
  <c r="Z13" i="92"/>
  <c r="X13" i="92"/>
  <c r="P13" i="92"/>
  <c r="L13" i="92"/>
  <c r="N13" i="92" s="1"/>
  <c r="D13" i="92"/>
  <c r="B13" i="92"/>
  <c r="X12" i="92"/>
  <c r="T12" i="92"/>
  <c r="V67" i="92" s="1"/>
  <c r="P12" i="92"/>
  <c r="H12" i="92"/>
  <c r="D12" i="92"/>
  <c r="D6" i="92"/>
  <c r="D4" i="92"/>
  <c r="Z94" i="91"/>
  <c r="X94" i="91"/>
  <c r="L94" i="91"/>
  <c r="N94" i="91" s="1"/>
  <c r="Z90" i="91"/>
  <c r="X90" i="91"/>
  <c r="T90" i="91"/>
  <c r="P90" i="91"/>
  <c r="H90" i="91"/>
  <c r="D90" i="91"/>
  <c r="Z88" i="91"/>
  <c r="X88" i="91"/>
  <c r="N88" i="91"/>
  <c r="L88" i="91"/>
  <c r="B88" i="91"/>
  <c r="X87" i="91"/>
  <c r="T87" i="91"/>
  <c r="Z87" i="91" s="1"/>
  <c r="P87" i="91"/>
  <c r="H87" i="91"/>
  <c r="N87" i="91" s="1"/>
  <c r="D87" i="91"/>
  <c r="L87" i="91" s="1"/>
  <c r="B87" i="91"/>
  <c r="X86" i="91"/>
  <c r="Z86" i="91" s="1"/>
  <c r="L86" i="91"/>
  <c r="N86" i="91" s="1"/>
  <c r="B86" i="91"/>
  <c r="T85" i="91"/>
  <c r="P85" i="91"/>
  <c r="N85" i="91"/>
  <c r="H85" i="91"/>
  <c r="D85" i="91"/>
  <c r="L85" i="91" s="1"/>
  <c r="B85" i="91"/>
  <c r="Z84" i="91"/>
  <c r="X84" i="91"/>
  <c r="N84" i="91"/>
  <c r="L84" i="91"/>
  <c r="J84" i="91"/>
  <c r="B84" i="91"/>
  <c r="T83" i="91"/>
  <c r="P83" i="91"/>
  <c r="X83" i="91" s="1"/>
  <c r="Z83" i="91" s="1"/>
  <c r="L83" i="91"/>
  <c r="N83" i="91" s="1"/>
  <c r="H83" i="91"/>
  <c r="D83" i="91"/>
  <c r="B83" i="91"/>
  <c r="Z82" i="91"/>
  <c r="X82" i="91"/>
  <c r="V82" i="91"/>
  <c r="L82" i="91"/>
  <c r="N82" i="91" s="1"/>
  <c r="B82" i="91"/>
  <c r="Z81" i="91"/>
  <c r="X81" i="91"/>
  <c r="N81" i="91"/>
  <c r="L81" i="91"/>
  <c r="B81" i="91"/>
  <c r="Z80" i="91"/>
  <c r="X80" i="91"/>
  <c r="N80" i="91"/>
  <c r="L80" i="91"/>
  <c r="J80" i="91"/>
  <c r="B80" i="91"/>
  <c r="Z79" i="91"/>
  <c r="X79" i="91"/>
  <c r="L79" i="91"/>
  <c r="N79" i="91" s="1"/>
  <c r="B79" i="91"/>
  <c r="X78" i="91"/>
  <c r="Z78" i="91" s="1"/>
  <c r="N78" i="91"/>
  <c r="L78" i="91"/>
  <c r="B78" i="91"/>
  <c r="Z77" i="91"/>
  <c r="X77" i="91"/>
  <c r="N77" i="91"/>
  <c r="L77" i="91"/>
  <c r="B77" i="91"/>
  <c r="Z76" i="91"/>
  <c r="X76" i="91"/>
  <c r="N76" i="91"/>
  <c r="L76" i="91"/>
  <c r="B76" i="91"/>
  <c r="V75" i="91"/>
  <c r="T75" i="91"/>
  <c r="P75" i="91"/>
  <c r="N75" i="91"/>
  <c r="H75" i="91"/>
  <c r="D75" i="91"/>
  <c r="L75" i="91" s="1"/>
  <c r="B75" i="91"/>
  <c r="X74" i="91"/>
  <c r="Z74" i="91" s="1"/>
  <c r="N74" i="91"/>
  <c r="L74" i="91"/>
  <c r="B74" i="91"/>
  <c r="Z73" i="91"/>
  <c r="X73" i="91"/>
  <c r="N73" i="91"/>
  <c r="L73" i="91"/>
  <c r="B73" i="91"/>
  <c r="Z72" i="91"/>
  <c r="X72" i="91"/>
  <c r="V72" i="91"/>
  <c r="N72" i="91"/>
  <c r="L72" i="91"/>
  <c r="B72" i="91"/>
  <c r="X71" i="91"/>
  <c r="Z71" i="91" s="1"/>
  <c r="N71" i="91"/>
  <c r="L71" i="91"/>
  <c r="B71" i="91"/>
  <c r="T70" i="91"/>
  <c r="P70" i="91"/>
  <c r="J70" i="91"/>
  <c r="H70" i="91"/>
  <c r="D70" i="91"/>
  <c r="B70" i="91"/>
  <c r="Z69" i="91"/>
  <c r="X69" i="91"/>
  <c r="N69" i="91"/>
  <c r="L69" i="91"/>
  <c r="B69" i="91"/>
  <c r="Z68" i="91"/>
  <c r="X68" i="91"/>
  <c r="V68" i="91"/>
  <c r="N68" i="91"/>
  <c r="L68" i="91"/>
  <c r="B68" i="91"/>
  <c r="Z67" i="91"/>
  <c r="X67" i="91"/>
  <c r="V67" i="91"/>
  <c r="N67" i="91"/>
  <c r="L67" i="91"/>
  <c r="B67" i="91"/>
  <c r="V66" i="91"/>
  <c r="T66" i="91"/>
  <c r="P66" i="91"/>
  <c r="X66" i="91" s="1"/>
  <c r="Z66" i="91" s="1"/>
  <c r="H66" i="91"/>
  <c r="D66" i="91"/>
  <c r="L66" i="91" s="1"/>
  <c r="B66" i="91"/>
  <c r="Z65" i="91"/>
  <c r="X65" i="91"/>
  <c r="N65" i="91"/>
  <c r="L65" i="91"/>
  <c r="B65" i="91"/>
  <c r="T64" i="91"/>
  <c r="P64" i="91"/>
  <c r="X64" i="91" s="1"/>
  <c r="N64" i="91"/>
  <c r="L64" i="91"/>
  <c r="H64" i="91"/>
  <c r="D64" i="91"/>
  <c r="B64" i="91"/>
  <c r="X63" i="91"/>
  <c r="Z63" i="91" s="1"/>
  <c r="L63" i="91"/>
  <c r="N63" i="91" s="1"/>
  <c r="B63" i="91"/>
  <c r="Z62" i="91"/>
  <c r="X62" i="91"/>
  <c r="T62" i="91"/>
  <c r="P62" i="91"/>
  <c r="H62" i="91"/>
  <c r="D62" i="91"/>
  <c r="B62" i="91"/>
  <c r="Z61" i="91"/>
  <c r="X61" i="91"/>
  <c r="N61" i="91"/>
  <c r="L61" i="91"/>
  <c r="B61" i="91"/>
  <c r="T60" i="91"/>
  <c r="P60" i="91"/>
  <c r="N60" i="91"/>
  <c r="L60" i="91"/>
  <c r="J60" i="91"/>
  <c r="H60" i="91"/>
  <c r="D60" i="91"/>
  <c r="B60" i="91"/>
  <c r="X59" i="91"/>
  <c r="Z59" i="91" s="1"/>
  <c r="V59" i="91"/>
  <c r="N59" i="91"/>
  <c r="L59" i="91"/>
  <c r="B59" i="91"/>
  <c r="V58" i="91"/>
  <c r="T58" i="91"/>
  <c r="P58" i="91"/>
  <c r="X58" i="91" s="1"/>
  <c r="Z58" i="91" s="1"/>
  <c r="H58" i="91"/>
  <c r="D58" i="91"/>
  <c r="L58" i="91" s="1"/>
  <c r="B58" i="91"/>
  <c r="Z57" i="91"/>
  <c r="X57" i="91"/>
  <c r="N57" i="91"/>
  <c r="L57" i="91"/>
  <c r="B57" i="91"/>
  <c r="T56" i="91"/>
  <c r="P56" i="91"/>
  <c r="L56" i="91"/>
  <c r="N56" i="91" s="1"/>
  <c r="H56" i="91"/>
  <c r="D56" i="91"/>
  <c r="B56" i="91"/>
  <c r="Z55" i="91"/>
  <c r="X55" i="91"/>
  <c r="L55" i="91"/>
  <c r="N55" i="91" s="1"/>
  <c r="B55" i="91"/>
  <c r="T54" i="91"/>
  <c r="P54" i="91"/>
  <c r="X54" i="91" s="1"/>
  <c r="Z54" i="91" s="1"/>
  <c r="L54" i="91"/>
  <c r="H54" i="91"/>
  <c r="D54" i="91"/>
  <c r="B54" i="91"/>
  <c r="X53" i="91"/>
  <c r="Z53" i="91" s="1"/>
  <c r="N53" i="91"/>
  <c r="L53" i="91"/>
  <c r="B53" i="91"/>
  <c r="T52" i="91"/>
  <c r="P52" i="91"/>
  <c r="N52" i="91"/>
  <c r="L52" i="91"/>
  <c r="H52" i="91"/>
  <c r="D52" i="91"/>
  <c r="B52" i="91"/>
  <c r="X51" i="91"/>
  <c r="Z51" i="91" s="1"/>
  <c r="V51" i="91"/>
  <c r="N51" i="91"/>
  <c r="L51" i="91"/>
  <c r="B51" i="91"/>
  <c r="Z50" i="91"/>
  <c r="X50" i="91"/>
  <c r="V50" i="91"/>
  <c r="T50" i="91"/>
  <c r="P50" i="91"/>
  <c r="H50" i="91"/>
  <c r="D50" i="91"/>
  <c r="L50" i="91" s="1"/>
  <c r="B50" i="91"/>
  <c r="Z49" i="91"/>
  <c r="X49" i="91"/>
  <c r="N49" i="91"/>
  <c r="L49" i="91"/>
  <c r="J49" i="91"/>
  <c r="B49" i="91"/>
  <c r="T48" i="91"/>
  <c r="P48" i="91"/>
  <c r="X48" i="91" s="1"/>
  <c r="L48" i="91"/>
  <c r="N48" i="91" s="1"/>
  <c r="H48" i="91"/>
  <c r="D48" i="91"/>
  <c r="B48" i="91"/>
  <c r="Z47" i="91"/>
  <c r="X47" i="91"/>
  <c r="N47" i="91"/>
  <c r="L47" i="91"/>
  <c r="J47" i="91"/>
  <c r="B47" i="91"/>
  <c r="Z46" i="91"/>
  <c r="X46" i="91"/>
  <c r="N46" i="91"/>
  <c r="L46" i="91"/>
  <c r="B46" i="91"/>
  <c r="Z45" i="91"/>
  <c r="X45" i="91"/>
  <c r="L45" i="91"/>
  <c r="N45" i="91" s="1"/>
  <c r="B45" i="91"/>
  <c r="X44" i="91"/>
  <c r="Z44" i="91" s="1"/>
  <c r="N44" i="91"/>
  <c r="L44" i="91"/>
  <c r="B44" i="91"/>
  <c r="Z43" i="91"/>
  <c r="X43" i="91"/>
  <c r="V43" i="91"/>
  <c r="N43" i="91"/>
  <c r="L43" i="91"/>
  <c r="J43" i="91"/>
  <c r="B43" i="91"/>
  <c r="Z42" i="91"/>
  <c r="X42" i="91"/>
  <c r="V42" i="91"/>
  <c r="N42" i="91"/>
  <c r="L42" i="91"/>
  <c r="B42" i="91"/>
  <c r="Z41" i="91"/>
  <c r="X41" i="91"/>
  <c r="V41" i="91"/>
  <c r="N41" i="91"/>
  <c r="L41" i="91"/>
  <c r="J41" i="91"/>
  <c r="B41" i="91"/>
  <c r="Z40" i="91"/>
  <c r="X40" i="91"/>
  <c r="N40" i="91"/>
  <c r="L40" i="91"/>
  <c r="B40" i="91"/>
  <c r="Z39" i="91"/>
  <c r="X39" i="91"/>
  <c r="V39" i="91"/>
  <c r="N39" i="91"/>
  <c r="L39" i="91"/>
  <c r="B39" i="91"/>
  <c r="Z38" i="91"/>
  <c r="X38" i="91"/>
  <c r="N38" i="91"/>
  <c r="L38" i="91"/>
  <c r="B38" i="91"/>
  <c r="Z37" i="91"/>
  <c r="V37" i="91"/>
  <c r="T37" i="91"/>
  <c r="X37" i="91" s="1"/>
  <c r="P37" i="91"/>
  <c r="J37" i="91"/>
  <c r="H37" i="91"/>
  <c r="D37" i="91"/>
  <c r="L37" i="91" s="1"/>
  <c r="N37" i="91" s="1"/>
  <c r="B37" i="91"/>
  <c r="X36" i="91"/>
  <c r="Z36" i="91" s="1"/>
  <c r="L36" i="91"/>
  <c r="N36" i="91" s="1"/>
  <c r="B36" i="91"/>
  <c r="Z35" i="91"/>
  <c r="X35" i="91"/>
  <c r="V35" i="91"/>
  <c r="N35" i="91"/>
  <c r="L35" i="91"/>
  <c r="B35" i="91"/>
  <c r="X34" i="91"/>
  <c r="Z34" i="91" s="1"/>
  <c r="N34" i="91"/>
  <c r="L34" i="91"/>
  <c r="B34" i="91"/>
  <c r="Z33" i="91"/>
  <c r="X33" i="91"/>
  <c r="V33" i="91"/>
  <c r="N33" i="91"/>
  <c r="L33" i="91"/>
  <c r="J33" i="91"/>
  <c r="B33" i="91"/>
  <c r="Z32" i="91"/>
  <c r="X32" i="91"/>
  <c r="N32" i="91"/>
  <c r="L32" i="91"/>
  <c r="B32" i="91"/>
  <c r="Z31" i="91"/>
  <c r="X31" i="91"/>
  <c r="N31" i="91"/>
  <c r="L31" i="91"/>
  <c r="J31" i="91"/>
  <c r="B31" i="91"/>
  <c r="Z30" i="91"/>
  <c r="X30" i="91"/>
  <c r="L30" i="91"/>
  <c r="N30" i="91" s="1"/>
  <c r="B30" i="91"/>
  <c r="Z29" i="91"/>
  <c r="X29" i="91"/>
  <c r="V29" i="91"/>
  <c r="N29" i="91"/>
  <c r="L29" i="91"/>
  <c r="J29" i="91"/>
  <c r="B29" i="91"/>
  <c r="X28" i="91"/>
  <c r="Z28" i="91" s="1"/>
  <c r="L28" i="91"/>
  <c r="N28" i="91" s="1"/>
  <c r="B28" i="91"/>
  <c r="Z27" i="91"/>
  <c r="X27" i="91"/>
  <c r="V27" i="91"/>
  <c r="N27" i="91"/>
  <c r="L27" i="91"/>
  <c r="B27" i="91"/>
  <c r="X26" i="91"/>
  <c r="T26" i="91"/>
  <c r="P26" i="91"/>
  <c r="H26" i="91"/>
  <c r="D26" i="91"/>
  <c r="L26" i="91" s="1"/>
  <c r="B26" i="91"/>
  <c r="T25" i="91" a="1"/>
  <c r="T25" i="91"/>
  <c r="P25" i="91" a="1"/>
  <c r="P25" i="91" s="1"/>
  <c r="H25" i="91" a="1"/>
  <c r="H25" i="91"/>
  <c r="D25" i="91" a="1"/>
  <c r="D25" i="91" s="1"/>
  <c r="Z21" i="91"/>
  <c r="X21" i="91"/>
  <c r="V21" i="91"/>
  <c r="N21" i="91"/>
  <c r="L21" i="91"/>
  <c r="J21" i="91"/>
  <c r="B21" i="91"/>
  <c r="Z20" i="91"/>
  <c r="X20" i="91"/>
  <c r="N20" i="91"/>
  <c r="L20" i="91"/>
  <c r="J20" i="91"/>
  <c r="B20" i="91"/>
  <c r="Z19" i="91"/>
  <c r="X19" i="91"/>
  <c r="N19" i="91"/>
  <c r="L19" i="91"/>
  <c r="J19" i="91"/>
  <c r="B19" i="91"/>
  <c r="T18" i="91"/>
  <c r="Z18" i="91" s="1"/>
  <c r="P18" i="91"/>
  <c r="X18" i="91" s="1"/>
  <c r="L18" i="91"/>
  <c r="N18" i="91" s="1"/>
  <c r="H18" i="91"/>
  <c r="D18" i="91"/>
  <c r="Z16" i="91"/>
  <c r="X16" i="91"/>
  <c r="P16" i="91"/>
  <c r="N16" i="91"/>
  <c r="L16" i="91"/>
  <c r="D16" i="91"/>
  <c r="B16" i="91"/>
  <c r="Z15" i="91"/>
  <c r="P15" i="91"/>
  <c r="N15" i="91"/>
  <c r="L15" i="91"/>
  <c r="D15" i="91"/>
  <c r="B15" i="91"/>
  <c r="X14" i="91"/>
  <c r="Z14" i="91" s="1"/>
  <c r="P14" i="91"/>
  <c r="D14" i="91"/>
  <c r="B14" i="91"/>
  <c r="Z13" i="91"/>
  <c r="P13" i="91"/>
  <c r="X13" i="91" s="1"/>
  <c r="N13" i="91"/>
  <c r="L13" i="91"/>
  <c r="D13" i="91"/>
  <c r="B13" i="91"/>
  <c r="T12" i="91"/>
  <c r="V81" i="91" s="1"/>
  <c r="H12" i="91"/>
  <c r="D6" i="91"/>
  <c r="D4" i="91"/>
  <c r="X95" i="90"/>
  <c r="Z95" i="90" s="1"/>
  <c r="L95" i="90"/>
  <c r="N95" i="90" s="1"/>
  <c r="T91" i="90"/>
  <c r="Z91" i="90" s="1"/>
  <c r="P91" i="90"/>
  <c r="X91" i="90" s="1"/>
  <c r="L91" i="90"/>
  <c r="H91" i="90"/>
  <c r="N91" i="90" s="1"/>
  <c r="D91" i="90"/>
  <c r="X89" i="90"/>
  <c r="Z89" i="90" s="1"/>
  <c r="L89" i="90"/>
  <c r="N89" i="90" s="1"/>
  <c r="B89" i="90"/>
  <c r="Z88" i="90"/>
  <c r="X88" i="90"/>
  <c r="T88" i="90"/>
  <c r="P88" i="90"/>
  <c r="H88" i="90"/>
  <c r="N88" i="90" s="1"/>
  <c r="F88" i="90"/>
  <c r="D88" i="90"/>
  <c r="L88" i="90" s="1"/>
  <c r="B88" i="90"/>
  <c r="X87" i="90"/>
  <c r="Z87" i="90" s="1"/>
  <c r="L87" i="90"/>
  <c r="N87" i="90" s="1"/>
  <c r="B87" i="90"/>
  <c r="V86" i="90"/>
  <c r="T86" i="90"/>
  <c r="Z86" i="90" s="1"/>
  <c r="P86" i="90"/>
  <c r="X86" i="90" s="1"/>
  <c r="H86" i="90"/>
  <c r="D86" i="90"/>
  <c r="L86" i="90" s="1"/>
  <c r="N86" i="90" s="1"/>
  <c r="B86" i="90"/>
  <c r="X85" i="90"/>
  <c r="Z85" i="90" s="1"/>
  <c r="L85" i="90"/>
  <c r="N85" i="90" s="1"/>
  <c r="B85" i="90"/>
  <c r="Z84" i="90"/>
  <c r="X84" i="90"/>
  <c r="N84" i="90"/>
  <c r="L84" i="90"/>
  <c r="B84" i="90"/>
  <c r="Z83" i="90"/>
  <c r="X83" i="90"/>
  <c r="L83" i="90"/>
  <c r="N83" i="90" s="1"/>
  <c r="F83" i="90"/>
  <c r="B83" i="90"/>
  <c r="X82" i="90"/>
  <c r="Z82" i="90" s="1"/>
  <c r="N82" i="90"/>
  <c r="L82" i="90"/>
  <c r="B82" i="90"/>
  <c r="X81" i="90"/>
  <c r="Z81" i="90" s="1"/>
  <c r="L81" i="90"/>
  <c r="N81" i="90" s="1"/>
  <c r="B81" i="90"/>
  <c r="Z80" i="90"/>
  <c r="X80" i="90"/>
  <c r="N80" i="90"/>
  <c r="L80" i="90"/>
  <c r="B80" i="90"/>
  <c r="X79" i="90"/>
  <c r="Z79" i="90" s="1"/>
  <c r="N79" i="90"/>
  <c r="L79" i="90"/>
  <c r="B79" i="90"/>
  <c r="Z78" i="90"/>
  <c r="X78" i="90"/>
  <c r="N78" i="90"/>
  <c r="L78" i="90"/>
  <c r="B78" i="90"/>
  <c r="Z77" i="90"/>
  <c r="X77" i="90"/>
  <c r="N77" i="90"/>
  <c r="L77" i="90"/>
  <c r="B77" i="90"/>
  <c r="T76" i="90"/>
  <c r="P76" i="90"/>
  <c r="X76" i="90" s="1"/>
  <c r="Z76" i="90" s="1"/>
  <c r="N76" i="90"/>
  <c r="H76" i="90"/>
  <c r="D76" i="90"/>
  <c r="L76" i="90" s="1"/>
  <c r="B76" i="90"/>
  <c r="X75" i="90"/>
  <c r="Z75" i="90" s="1"/>
  <c r="N75" i="90"/>
  <c r="L75" i="90"/>
  <c r="B75" i="90"/>
  <c r="Z74" i="90"/>
  <c r="T74" i="90"/>
  <c r="P74" i="90"/>
  <c r="X74" i="90" s="1"/>
  <c r="N74" i="90"/>
  <c r="L74" i="90"/>
  <c r="H74" i="90"/>
  <c r="D74" i="90"/>
  <c r="B74" i="90"/>
  <c r="X73" i="90"/>
  <c r="Z73" i="90" s="1"/>
  <c r="V73" i="90"/>
  <c r="L73" i="90"/>
  <c r="N73" i="90" s="1"/>
  <c r="B73" i="90"/>
  <c r="Z72" i="90"/>
  <c r="X72" i="90"/>
  <c r="N72" i="90"/>
  <c r="L72" i="90"/>
  <c r="B72" i="90"/>
  <c r="Z71" i="90"/>
  <c r="X71" i="90"/>
  <c r="N71" i="90"/>
  <c r="L71" i="90"/>
  <c r="B71" i="90"/>
  <c r="Z70" i="90"/>
  <c r="X70" i="90"/>
  <c r="L70" i="90"/>
  <c r="N70" i="90" s="1"/>
  <c r="B70" i="90"/>
  <c r="X69" i="90"/>
  <c r="T69" i="90"/>
  <c r="P69" i="90"/>
  <c r="H69" i="90"/>
  <c r="F69" i="90"/>
  <c r="D69" i="90"/>
  <c r="L69" i="90" s="1"/>
  <c r="N69" i="90" s="1"/>
  <c r="B69" i="90"/>
  <c r="X68" i="90"/>
  <c r="Z68" i="90" s="1"/>
  <c r="L68" i="90"/>
  <c r="N68" i="90" s="1"/>
  <c r="J68" i="90"/>
  <c r="B68" i="90"/>
  <c r="Z67" i="90"/>
  <c r="X67" i="90"/>
  <c r="N67" i="90"/>
  <c r="L67" i="90"/>
  <c r="B67" i="90"/>
  <c r="T66" i="90"/>
  <c r="P66" i="90"/>
  <c r="X66" i="90" s="1"/>
  <c r="H66" i="90"/>
  <c r="D66" i="90"/>
  <c r="L66" i="90" s="1"/>
  <c r="B66" i="90"/>
  <c r="Z65" i="90"/>
  <c r="X65" i="90"/>
  <c r="N65" i="90"/>
  <c r="L65" i="90"/>
  <c r="J65" i="90"/>
  <c r="F65" i="90"/>
  <c r="B65" i="90"/>
  <c r="T64" i="90"/>
  <c r="P64" i="90"/>
  <c r="X64" i="90" s="1"/>
  <c r="N64" i="90"/>
  <c r="L64" i="90"/>
  <c r="H64" i="90"/>
  <c r="D64" i="90"/>
  <c r="B64" i="90"/>
  <c r="X63" i="90"/>
  <c r="Z63" i="90" s="1"/>
  <c r="N63" i="90"/>
  <c r="L63" i="90"/>
  <c r="B63" i="90"/>
  <c r="Z62" i="90"/>
  <c r="X62" i="90"/>
  <c r="T62" i="90"/>
  <c r="P62" i="90"/>
  <c r="L62" i="90"/>
  <c r="J62" i="90"/>
  <c r="H62" i="90"/>
  <c r="N62" i="90" s="1"/>
  <c r="D62" i="90"/>
  <c r="B62" i="90"/>
  <c r="Z61" i="90"/>
  <c r="X61" i="90"/>
  <c r="V61" i="90"/>
  <c r="N61" i="90"/>
  <c r="L61" i="90"/>
  <c r="B61" i="90"/>
  <c r="X60" i="90"/>
  <c r="V60" i="90"/>
  <c r="T60" i="90"/>
  <c r="P60" i="90"/>
  <c r="H60" i="90"/>
  <c r="F60" i="90"/>
  <c r="D60" i="90"/>
  <c r="L60" i="90" s="1"/>
  <c r="B60" i="90"/>
  <c r="Z59" i="90"/>
  <c r="X59" i="90"/>
  <c r="L59" i="90"/>
  <c r="N59" i="90" s="1"/>
  <c r="B59" i="90"/>
  <c r="T58" i="90"/>
  <c r="P58" i="90"/>
  <c r="H58" i="90"/>
  <c r="D58" i="90"/>
  <c r="L58" i="90" s="1"/>
  <c r="B58" i="90"/>
  <c r="Z57" i="90"/>
  <c r="X57" i="90"/>
  <c r="N57" i="90"/>
  <c r="L57" i="90"/>
  <c r="J57" i="90"/>
  <c r="F57" i="90"/>
  <c r="B57" i="90"/>
  <c r="T56" i="90"/>
  <c r="P56" i="90"/>
  <c r="X56" i="90" s="1"/>
  <c r="N56" i="90"/>
  <c r="L56" i="90"/>
  <c r="H56" i="90"/>
  <c r="D56" i="90"/>
  <c r="B56" i="90"/>
  <c r="Z55" i="90"/>
  <c r="X55" i="90"/>
  <c r="N55" i="90"/>
  <c r="L55" i="90"/>
  <c r="B55" i="90"/>
  <c r="Z54" i="90"/>
  <c r="X54" i="90"/>
  <c r="T54" i="90"/>
  <c r="P54" i="90"/>
  <c r="L54" i="90"/>
  <c r="J54" i="90"/>
  <c r="H54" i="90"/>
  <c r="N54" i="90" s="1"/>
  <c r="D54" i="90"/>
  <c r="B54" i="90"/>
  <c r="Z53" i="90"/>
  <c r="X53" i="90"/>
  <c r="V53" i="90"/>
  <c r="N53" i="90"/>
  <c r="L53" i="90"/>
  <c r="B53" i="90"/>
  <c r="X52" i="90"/>
  <c r="V52" i="90"/>
  <c r="T52" i="90"/>
  <c r="P52" i="90"/>
  <c r="H52" i="90"/>
  <c r="F52" i="90"/>
  <c r="D52" i="90"/>
  <c r="L52" i="90" s="1"/>
  <c r="B52" i="90"/>
  <c r="Z51" i="90"/>
  <c r="X51" i="90"/>
  <c r="L51" i="90"/>
  <c r="N51" i="90" s="1"/>
  <c r="B51" i="90"/>
  <c r="T50" i="90"/>
  <c r="P50" i="90"/>
  <c r="X50" i="90" s="1"/>
  <c r="H50" i="90"/>
  <c r="N50" i="90" s="1"/>
  <c r="D50" i="90"/>
  <c r="L50" i="90" s="1"/>
  <c r="B50" i="90"/>
  <c r="Z49" i="90"/>
  <c r="X49" i="90"/>
  <c r="N49" i="90"/>
  <c r="L49" i="90"/>
  <c r="J49" i="90"/>
  <c r="F49" i="90"/>
  <c r="B49" i="90"/>
  <c r="T48" i="90"/>
  <c r="P48" i="90"/>
  <c r="X48" i="90" s="1"/>
  <c r="N48" i="90"/>
  <c r="L48" i="90"/>
  <c r="H48" i="90"/>
  <c r="D48" i="90"/>
  <c r="B48" i="90"/>
  <c r="Z47" i="90"/>
  <c r="X47" i="90"/>
  <c r="N47" i="90"/>
  <c r="L47" i="90"/>
  <c r="B47" i="90"/>
  <c r="Z46" i="90"/>
  <c r="X46" i="90"/>
  <c r="N46" i="90"/>
  <c r="L46" i="90"/>
  <c r="F46" i="90"/>
  <c r="B46" i="90"/>
  <c r="Z45" i="90"/>
  <c r="X45" i="90"/>
  <c r="N45" i="90"/>
  <c r="L45" i="90"/>
  <c r="J45" i="90"/>
  <c r="F45" i="90"/>
  <c r="B45" i="90"/>
  <c r="X44" i="90"/>
  <c r="Z44" i="90" s="1"/>
  <c r="N44" i="90"/>
  <c r="L44" i="90"/>
  <c r="J44" i="90"/>
  <c r="B44" i="90"/>
  <c r="Z43" i="90"/>
  <c r="X43" i="90"/>
  <c r="N43" i="90"/>
  <c r="L43" i="90"/>
  <c r="B43" i="90"/>
  <c r="X42" i="90"/>
  <c r="Z42" i="90" s="1"/>
  <c r="N42" i="90"/>
  <c r="L42" i="90"/>
  <c r="B42" i="90"/>
  <c r="Z41" i="90"/>
  <c r="X41" i="90"/>
  <c r="V41" i="90"/>
  <c r="N41" i="90"/>
  <c r="L41" i="90"/>
  <c r="B41" i="90"/>
  <c r="Z40" i="90"/>
  <c r="X40" i="90"/>
  <c r="V40" i="90"/>
  <c r="N40" i="90"/>
  <c r="L40" i="90"/>
  <c r="B40" i="90"/>
  <c r="Z39" i="90"/>
  <c r="X39" i="90"/>
  <c r="N39" i="90"/>
  <c r="L39" i="90"/>
  <c r="B39" i="90"/>
  <c r="Z38" i="90"/>
  <c r="X38" i="90"/>
  <c r="N38" i="90"/>
  <c r="L38" i="90"/>
  <c r="F38" i="90"/>
  <c r="B38" i="90"/>
  <c r="T37" i="90"/>
  <c r="P37" i="90"/>
  <c r="X37" i="90" s="1"/>
  <c r="Z37" i="90" s="1"/>
  <c r="L37" i="90"/>
  <c r="N37" i="90" s="1"/>
  <c r="H37" i="90"/>
  <c r="D37" i="90"/>
  <c r="B37" i="90"/>
  <c r="X36" i="90"/>
  <c r="Z36" i="90" s="1"/>
  <c r="V36" i="90"/>
  <c r="L36" i="90"/>
  <c r="N36" i="90" s="1"/>
  <c r="B36" i="90"/>
  <c r="Z35" i="90"/>
  <c r="X35" i="90"/>
  <c r="N35" i="90"/>
  <c r="L35" i="90"/>
  <c r="B35" i="90"/>
  <c r="Z34" i="90"/>
  <c r="X34" i="90"/>
  <c r="L34" i="90"/>
  <c r="N34" i="90" s="1"/>
  <c r="F34" i="90"/>
  <c r="B34" i="90"/>
  <c r="Z33" i="90"/>
  <c r="X33" i="90"/>
  <c r="N33" i="90"/>
  <c r="L33" i="90"/>
  <c r="J33" i="90"/>
  <c r="F33" i="90"/>
  <c r="B33" i="90"/>
  <c r="Z32" i="90"/>
  <c r="X32" i="90"/>
  <c r="N32" i="90"/>
  <c r="L32" i="90"/>
  <c r="J32" i="90"/>
  <c r="B32" i="90"/>
  <c r="Z31" i="90"/>
  <c r="X31" i="90"/>
  <c r="L31" i="90"/>
  <c r="N31" i="90" s="1"/>
  <c r="B31" i="90"/>
  <c r="X30" i="90"/>
  <c r="Z30" i="90" s="1"/>
  <c r="N30" i="90"/>
  <c r="L30" i="90"/>
  <c r="B30" i="90"/>
  <c r="Z29" i="90"/>
  <c r="X29" i="90"/>
  <c r="V29" i="90"/>
  <c r="N29" i="90"/>
  <c r="L29" i="90"/>
  <c r="B29" i="90"/>
  <c r="X28" i="90"/>
  <c r="Z28" i="90" s="1"/>
  <c r="V28" i="90"/>
  <c r="N28" i="90"/>
  <c r="L28" i="90"/>
  <c r="B28" i="90"/>
  <c r="X27" i="90"/>
  <c r="Z27" i="90" s="1"/>
  <c r="N27" i="90"/>
  <c r="L27" i="90"/>
  <c r="B27" i="90"/>
  <c r="Z26" i="90"/>
  <c r="X26" i="90"/>
  <c r="T26" i="90"/>
  <c r="P26" i="90"/>
  <c r="L26" i="90"/>
  <c r="J26" i="90"/>
  <c r="H26" i="90"/>
  <c r="D26" i="90"/>
  <c r="B26" i="90"/>
  <c r="V25" i="90"/>
  <c r="T25" i="90" a="1"/>
  <c r="T25" i="90" s="1"/>
  <c r="P25" i="90" a="1"/>
  <c r="P25" i="90" s="1"/>
  <c r="J25" i="90"/>
  <c r="H25" i="90" a="1"/>
  <c r="H25" i="90" s="1"/>
  <c r="D25" i="90" a="1"/>
  <c r="D25" i="90" s="1"/>
  <c r="L25" i="90" s="1"/>
  <c r="T23" i="90"/>
  <c r="Z21" i="90"/>
  <c r="X21" i="90"/>
  <c r="V21" i="90"/>
  <c r="N21" i="90"/>
  <c r="L21" i="90"/>
  <c r="J21" i="90"/>
  <c r="F21" i="90"/>
  <c r="B21" i="90"/>
  <c r="Z20" i="90"/>
  <c r="X20" i="90"/>
  <c r="N20" i="90"/>
  <c r="L20" i="90"/>
  <c r="J20" i="90"/>
  <c r="B20" i="90"/>
  <c r="Z19" i="90"/>
  <c r="X19" i="90"/>
  <c r="L19" i="90"/>
  <c r="N19" i="90" s="1"/>
  <c r="B19" i="90"/>
  <c r="T18" i="90"/>
  <c r="P18" i="90"/>
  <c r="X18" i="90" s="1"/>
  <c r="H18" i="90"/>
  <c r="D18" i="90"/>
  <c r="L18" i="90" s="1"/>
  <c r="N18" i="90" s="1"/>
  <c r="Z16" i="90"/>
  <c r="P16" i="90"/>
  <c r="X16" i="90" s="1"/>
  <c r="N16" i="90"/>
  <c r="D16" i="90"/>
  <c r="L16" i="90" s="1"/>
  <c r="B16" i="90"/>
  <c r="Z15" i="90"/>
  <c r="X15" i="90"/>
  <c r="P15" i="90"/>
  <c r="N15" i="90"/>
  <c r="L15" i="90"/>
  <c r="D15" i="90"/>
  <c r="B15" i="90"/>
  <c r="P14" i="90"/>
  <c r="X14" i="90" s="1"/>
  <c r="Z14" i="90" s="1"/>
  <c r="D14" i="90"/>
  <c r="L14" i="90" s="1"/>
  <c r="N14" i="90" s="1"/>
  <c r="B14" i="90"/>
  <c r="Z13" i="90"/>
  <c r="P13" i="90"/>
  <c r="X13" i="90" s="1"/>
  <c r="N13" i="90"/>
  <c r="D13" i="90"/>
  <c r="L13" i="90" s="1"/>
  <c r="B13" i="90"/>
  <c r="T12" i="90"/>
  <c r="P12" i="90"/>
  <c r="H12" i="90"/>
  <c r="J61" i="90" s="1"/>
  <c r="D12" i="90"/>
  <c r="F64" i="90" s="1"/>
  <c r="D6" i="90"/>
  <c r="D4" i="90"/>
  <c r="V35" i="89"/>
  <c r="Z30" i="89"/>
  <c r="X30" i="89"/>
  <c r="V30" i="89"/>
  <c r="N30" i="89"/>
  <c r="L30" i="89"/>
  <c r="V28" i="89"/>
  <c r="T26" i="89"/>
  <c r="Z26" i="89" s="1"/>
  <c r="P26" i="89"/>
  <c r="X26" i="89" s="1"/>
  <c r="N26" i="89"/>
  <c r="H26" i="89"/>
  <c r="D26" i="89"/>
  <c r="Z24" i="89"/>
  <c r="X24" i="89"/>
  <c r="V24" i="89"/>
  <c r="N24" i="89"/>
  <c r="L24" i="89"/>
  <c r="B24" i="89"/>
  <c r="Z23" i="89"/>
  <c r="X23" i="89"/>
  <c r="T23" i="89"/>
  <c r="P23" i="89"/>
  <c r="J23" i="89"/>
  <c r="H23" i="89"/>
  <c r="D23" i="89"/>
  <c r="B23" i="89"/>
  <c r="Z22" i="89"/>
  <c r="X22" i="89"/>
  <c r="N22" i="89"/>
  <c r="L22" i="89"/>
  <c r="F22" i="89"/>
  <c r="B22" i="89"/>
  <c r="V21" i="89"/>
  <c r="T21" i="89"/>
  <c r="P21" i="89"/>
  <c r="N21" i="89"/>
  <c r="H21" i="89"/>
  <c r="D21" i="89"/>
  <c r="L21" i="89" s="1"/>
  <c r="B21" i="89"/>
  <c r="X20" i="89"/>
  <c r="T20" i="89" a="1"/>
  <c r="T20" i="89" s="1"/>
  <c r="Z20" i="89" s="1"/>
  <c r="P20" i="89" a="1"/>
  <c r="P20" i="89" s="1"/>
  <c r="H20" i="89" a="1"/>
  <c r="H20" i="89" s="1"/>
  <c r="N20" i="89" s="1"/>
  <c r="F20" i="89"/>
  <c r="D20" i="89" a="1"/>
  <c r="D20" i="89" s="1"/>
  <c r="L20" i="89" s="1"/>
  <c r="T18" i="89"/>
  <c r="T28" i="89" s="1"/>
  <c r="Z16" i="89"/>
  <c r="X16" i="89"/>
  <c r="V16" i="89"/>
  <c r="T16" i="89"/>
  <c r="P16" i="89"/>
  <c r="H16" i="89"/>
  <c r="H18" i="89" s="1"/>
  <c r="D16" i="89"/>
  <c r="Z14" i="89"/>
  <c r="X14" i="89"/>
  <c r="P14" i="89"/>
  <c r="N14" i="89"/>
  <c r="D14" i="89"/>
  <c r="L14" i="89" s="1"/>
  <c r="B14" i="89"/>
  <c r="Z13" i="89"/>
  <c r="P13" i="89"/>
  <c r="X13" i="89" s="1"/>
  <c r="N13" i="89"/>
  <c r="L13" i="89"/>
  <c r="D13" i="89"/>
  <c r="B13" i="89"/>
  <c r="Z12" i="89"/>
  <c r="T12" i="89"/>
  <c r="V23" i="89" s="1"/>
  <c r="H12" i="89"/>
  <c r="J32" i="89" s="1"/>
  <c r="D12" i="89"/>
  <c r="D6" i="89"/>
  <c r="D4" i="89"/>
  <c r="X93" i="88"/>
  <c r="Z93" i="88" s="1"/>
  <c r="L93" i="88"/>
  <c r="N93" i="88" s="1"/>
  <c r="J93" i="88"/>
  <c r="T89" i="88"/>
  <c r="Z89" i="88" s="1"/>
  <c r="P89" i="88"/>
  <c r="H89" i="88"/>
  <c r="N89" i="88" s="1"/>
  <c r="D89" i="88"/>
  <c r="L89" i="88" s="1"/>
  <c r="Z87" i="88"/>
  <c r="X87" i="88"/>
  <c r="N87" i="88"/>
  <c r="L87" i="88"/>
  <c r="J87" i="88"/>
  <c r="B87" i="88"/>
  <c r="X86" i="88"/>
  <c r="T86" i="88"/>
  <c r="P86" i="88"/>
  <c r="H86" i="88"/>
  <c r="L86" i="88" s="1"/>
  <c r="D86" i="88"/>
  <c r="B86" i="88"/>
  <c r="X85" i="88"/>
  <c r="Z85" i="88" s="1"/>
  <c r="N85" i="88"/>
  <c r="L85" i="88"/>
  <c r="B85" i="88"/>
  <c r="Z84" i="88"/>
  <c r="T84" i="88"/>
  <c r="X84" i="88" s="1"/>
  <c r="P84" i="88"/>
  <c r="L84" i="88"/>
  <c r="J84" i="88"/>
  <c r="H84" i="88"/>
  <c r="D84" i="88"/>
  <c r="B84" i="88"/>
  <c r="Z83" i="88"/>
  <c r="X83" i="88"/>
  <c r="N83" i="88"/>
  <c r="L83" i="88"/>
  <c r="J83" i="88"/>
  <c r="B83" i="88"/>
  <c r="Z82" i="88"/>
  <c r="X82" i="88"/>
  <c r="N82" i="88"/>
  <c r="L82" i="88"/>
  <c r="B82" i="88"/>
  <c r="Z81" i="88"/>
  <c r="X81" i="88"/>
  <c r="N81" i="88"/>
  <c r="L81" i="88"/>
  <c r="B81" i="88"/>
  <c r="Z80" i="88"/>
  <c r="X80" i="88"/>
  <c r="L80" i="88"/>
  <c r="N80" i="88" s="1"/>
  <c r="B80" i="88"/>
  <c r="Z79" i="88"/>
  <c r="X79" i="88"/>
  <c r="L79" i="88"/>
  <c r="N79" i="88" s="1"/>
  <c r="J79" i="88"/>
  <c r="B79" i="88"/>
  <c r="X78" i="88"/>
  <c r="Z78" i="88" s="1"/>
  <c r="L78" i="88"/>
  <c r="N78" i="88" s="1"/>
  <c r="J78" i="88"/>
  <c r="B78" i="88"/>
  <c r="Z77" i="88"/>
  <c r="X77" i="88"/>
  <c r="N77" i="88"/>
  <c r="L77" i="88"/>
  <c r="B77" i="88"/>
  <c r="Z76" i="88"/>
  <c r="X76" i="88"/>
  <c r="N76" i="88"/>
  <c r="L76" i="88"/>
  <c r="B76" i="88"/>
  <c r="T75" i="88"/>
  <c r="P75" i="88"/>
  <c r="H75" i="88"/>
  <c r="D75" i="88"/>
  <c r="L75" i="88" s="1"/>
  <c r="N75" i="88" s="1"/>
  <c r="B75" i="88"/>
  <c r="X74" i="88"/>
  <c r="Z74" i="88" s="1"/>
  <c r="L74" i="88"/>
  <c r="N74" i="88" s="1"/>
  <c r="J74" i="88"/>
  <c r="B74" i="88"/>
  <c r="Z73" i="88"/>
  <c r="X73" i="88"/>
  <c r="N73" i="88"/>
  <c r="L73" i="88"/>
  <c r="B73" i="88"/>
  <c r="X72" i="88"/>
  <c r="Z72" i="88" s="1"/>
  <c r="N72" i="88"/>
  <c r="L72" i="88"/>
  <c r="B72" i="88"/>
  <c r="X71" i="88"/>
  <c r="Z71" i="88" s="1"/>
  <c r="N71" i="88"/>
  <c r="L71" i="88"/>
  <c r="J71" i="88"/>
  <c r="B71" i="88"/>
  <c r="X70" i="88"/>
  <c r="T70" i="88"/>
  <c r="Z70" i="88" s="1"/>
  <c r="P70" i="88"/>
  <c r="H70" i="88"/>
  <c r="D70" i="88"/>
  <c r="L70" i="88" s="1"/>
  <c r="B70" i="88"/>
  <c r="Z69" i="88"/>
  <c r="X69" i="88"/>
  <c r="N69" i="88"/>
  <c r="L69" i="88"/>
  <c r="B69" i="88"/>
  <c r="X68" i="88"/>
  <c r="Z68" i="88" s="1"/>
  <c r="N68" i="88"/>
  <c r="L68" i="88"/>
  <c r="B68" i="88"/>
  <c r="Z67" i="88"/>
  <c r="X67" i="88"/>
  <c r="N67" i="88"/>
  <c r="L67" i="88"/>
  <c r="J67" i="88"/>
  <c r="B67" i="88"/>
  <c r="T66" i="88"/>
  <c r="P66" i="88"/>
  <c r="X66" i="88" s="1"/>
  <c r="H66" i="88"/>
  <c r="D66" i="88"/>
  <c r="B66" i="88"/>
  <c r="Z65" i="88"/>
  <c r="X65" i="88"/>
  <c r="L65" i="88"/>
  <c r="N65" i="88" s="1"/>
  <c r="B65" i="88"/>
  <c r="T64" i="88"/>
  <c r="P64" i="88"/>
  <c r="X64" i="88" s="1"/>
  <c r="H64" i="88"/>
  <c r="D64" i="88"/>
  <c r="L64" i="88" s="1"/>
  <c r="B64" i="88"/>
  <c r="Z63" i="88"/>
  <c r="X63" i="88"/>
  <c r="N63" i="88"/>
  <c r="L63" i="88"/>
  <c r="J63" i="88"/>
  <c r="B63" i="88"/>
  <c r="X62" i="88"/>
  <c r="T62" i="88"/>
  <c r="Z62" i="88" s="1"/>
  <c r="P62" i="88"/>
  <c r="N62" i="88"/>
  <c r="H62" i="88"/>
  <c r="L62" i="88" s="1"/>
  <c r="D62" i="88"/>
  <c r="B62" i="88"/>
  <c r="Z61" i="88"/>
  <c r="X61" i="88"/>
  <c r="N61" i="88"/>
  <c r="L61" i="88"/>
  <c r="B61" i="88"/>
  <c r="T60" i="88"/>
  <c r="X60" i="88" s="1"/>
  <c r="P60" i="88"/>
  <c r="L60" i="88"/>
  <c r="J60" i="88"/>
  <c r="H60" i="88"/>
  <c r="D60" i="88"/>
  <c r="B60" i="88"/>
  <c r="Z59" i="88"/>
  <c r="X59" i="88"/>
  <c r="N59" i="88"/>
  <c r="L59" i="88"/>
  <c r="J59" i="88"/>
  <c r="B59" i="88"/>
  <c r="T58" i="88"/>
  <c r="P58" i="88"/>
  <c r="X58" i="88" s="1"/>
  <c r="H58" i="88"/>
  <c r="N58" i="88" s="1"/>
  <c r="D58" i="88"/>
  <c r="B58" i="88"/>
  <c r="Z57" i="88"/>
  <c r="X57" i="88"/>
  <c r="L57" i="88"/>
  <c r="N57" i="88" s="1"/>
  <c r="B57" i="88"/>
  <c r="T56" i="88"/>
  <c r="P56" i="88"/>
  <c r="X56" i="88" s="1"/>
  <c r="H56" i="88"/>
  <c r="D56" i="88"/>
  <c r="L56" i="88" s="1"/>
  <c r="B56" i="88"/>
  <c r="Z55" i="88"/>
  <c r="X55" i="88"/>
  <c r="N55" i="88"/>
  <c r="L55" i="88"/>
  <c r="J55" i="88"/>
  <c r="B55" i="88"/>
  <c r="X54" i="88"/>
  <c r="T54" i="88"/>
  <c r="Z54" i="88" s="1"/>
  <c r="P54" i="88"/>
  <c r="N54" i="88"/>
  <c r="H54" i="88"/>
  <c r="L54" i="88" s="1"/>
  <c r="D54" i="88"/>
  <c r="B54" i="88"/>
  <c r="Z53" i="88"/>
  <c r="X53" i="88"/>
  <c r="N53" i="88"/>
  <c r="L53" i="88"/>
  <c r="B53" i="88"/>
  <c r="T52" i="88"/>
  <c r="X52" i="88" s="1"/>
  <c r="P52" i="88"/>
  <c r="L52" i="88"/>
  <c r="J52" i="88"/>
  <c r="H52" i="88"/>
  <c r="D52" i="88"/>
  <c r="B52" i="88"/>
  <c r="Z51" i="88"/>
  <c r="X51" i="88"/>
  <c r="N51" i="88"/>
  <c r="L51" i="88"/>
  <c r="J51" i="88"/>
  <c r="B51" i="88"/>
  <c r="T50" i="88"/>
  <c r="P50" i="88"/>
  <c r="X50" i="88" s="1"/>
  <c r="H50" i="88"/>
  <c r="D50" i="88"/>
  <c r="B50" i="88"/>
  <c r="Z49" i="88"/>
  <c r="X49" i="88"/>
  <c r="L49" i="88"/>
  <c r="N49" i="88" s="1"/>
  <c r="B49" i="88"/>
  <c r="T48" i="88"/>
  <c r="P48" i="88"/>
  <c r="X48" i="88" s="1"/>
  <c r="H48" i="88"/>
  <c r="D48" i="88"/>
  <c r="L48" i="88" s="1"/>
  <c r="B48" i="88"/>
  <c r="Z47" i="88"/>
  <c r="X47" i="88"/>
  <c r="N47" i="88"/>
  <c r="L47" i="88"/>
  <c r="J47" i="88"/>
  <c r="B47" i="88"/>
  <c r="Z46" i="88"/>
  <c r="X46" i="88"/>
  <c r="N46" i="88"/>
  <c r="L46" i="88"/>
  <c r="J46" i="88"/>
  <c r="B46" i="88"/>
  <c r="Z45" i="88"/>
  <c r="X45" i="88"/>
  <c r="L45" i="88"/>
  <c r="N45" i="88" s="1"/>
  <c r="B45" i="88"/>
  <c r="Z44" i="88"/>
  <c r="X44" i="88"/>
  <c r="N44" i="88"/>
  <c r="L44" i="88"/>
  <c r="B44" i="88"/>
  <c r="Z43" i="88"/>
  <c r="X43" i="88"/>
  <c r="N43" i="88"/>
  <c r="L43" i="88"/>
  <c r="J43" i="88"/>
  <c r="B43" i="88"/>
  <c r="Z42" i="88"/>
  <c r="X42" i="88"/>
  <c r="N42" i="88"/>
  <c r="L42" i="88"/>
  <c r="B42" i="88"/>
  <c r="X41" i="88"/>
  <c r="Z41" i="88" s="1"/>
  <c r="N41" i="88"/>
  <c r="L41" i="88"/>
  <c r="B41" i="88"/>
  <c r="Z40" i="88"/>
  <c r="X40" i="88"/>
  <c r="N40" i="88"/>
  <c r="L40" i="88"/>
  <c r="B40" i="88"/>
  <c r="Z39" i="88"/>
  <c r="X39" i="88"/>
  <c r="L39" i="88"/>
  <c r="N39" i="88" s="1"/>
  <c r="J39" i="88"/>
  <c r="B39" i="88"/>
  <c r="Z38" i="88"/>
  <c r="X38" i="88"/>
  <c r="N38" i="88"/>
  <c r="L38" i="88"/>
  <c r="J38" i="88"/>
  <c r="B38" i="88"/>
  <c r="Z37" i="88"/>
  <c r="T37" i="88"/>
  <c r="P37" i="88"/>
  <c r="X37" i="88" s="1"/>
  <c r="J37" i="88"/>
  <c r="H37" i="88"/>
  <c r="D37" i="88"/>
  <c r="L37" i="88" s="1"/>
  <c r="N37" i="88" s="1"/>
  <c r="B37" i="88"/>
  <c r="Z36" i="88"/>
  <c r="X36" i="88"/>
  <c r="N36" i="88"/>
  <c r="L36" i="88"/>
  <c r="B36" i="88"/>
  <c r="Z35" i="88"/>
  <c r="X35" i="88"/>
  <c r="L35" i="88"/>
  <c r="N35" i="88" s="1"/>
  <c r="J35" i="88"/>
  <c r="B35" i="88"/>
  <c r="X34" i="88"/>
  <c r="Z34" i="88" s="1"/>
  <c r="L34" i="88"/>
  <c r="N34" i="88" s="1"/>
  <c r="J34" i="88"/>
  <c r="B34" i="88"/>
  <c r="Z33" i="88"/>
  <c r="X33" i="88"/>
  <c r="N33" i="88"/>
  <c r="L33" i="88"/>
  <c r="B33" i="88"/>
  <c r="Z32" i="88"/>
  <c r="X32" i="88"/>
  <c r="N32" i="88"/>
  <c r="L32" i="88"/>
  <c r="B32" i="88"/>
  <c r="X31" i="88"/>
  <c r="Z31" i="88" s="1"/>
  <c r="N31" i="88"/>
  <c r="L31" i="88"/>
  <c r="J31" i="88"/>
  <c r="B31" i="88"/>
  <c r="X30" i="88"/>
  <c r="Z30" i="88" s="1"/>
  <c r="L30" i="88"/>
  <c r="N30" i="88" s="1"/>
  <c r="B30" i="88"/>
  <c r="X29" i="88"/>
  <c r="Z29" i="88" s="1"/>
  <c r="N29" i="88"/>
  <c r="L29" i="88"/>
  <c r="B29" i="88"/>
  <c r="Z28" i="88"/>
  <c r="X28" i="88"/>
  <c r="N28" i="88"/>
  <c r="L28" i="88"/>
  <c r="B28" i="88"/>
  <c r="Z27" i="88"/>
  <c r="X27" i="88"/>
  <c r="L27" i="88"/>
  <c r="N27" i="88" s="1"/>
  <c r="J27" i="88"/>
  <c r="B27" i="88"/>
  <c r="T26" i="88"/>
  <c r="P26" i="88"/>
  <c r="X26" i="88" s="1"/>
  <c r="H26" i="88"/>
  <c r="D26" i="88"/>
  <c r="B26" i="88"/>
  <c r="T25" i="88" a="1"/>
  <c r="T25" i="88"/>
  <c r="P25" i="88" a="1"/>
  <c r="P25" i="88" s="1"/>
  <c r="H25" i="88" a="1"/>
  <c r="H25" i="88"/>
  <c r="D25" i="88" a="1"/>
  <c r="D25" i="88" s="1"/>
  <c r="L25" i="88" s="1"/>
  <c r="N25" i="88" s="1"/>
  <c r="Z21" i="88"/>
  <c r="X21" i="88"/>
  <c r="N21" i="88"/>
  <c r="L21" i="88"/>
  <c r="B21" i="88"/>
  <c r="Z20" i="88"/>
  <c r="X20" i="88"/>
  <c r="N20" i="88"/>
  <c r="L20" i="88"/>
  <c r="J20" i="88"/>
  <c r="B20" i="88"/>
  <c r="Z19" i="88"/>
  <c r="X19" i="88"/>
  <c r="L19" i="88"/>
  <c r="N19" i="88" s="1"/>
  <c r="J19" i="88"/>
  <c r="B19" i="88"/>
  <c r="X18" i="88"/>
  <c r="T18" i="88"/>
  <c r="P18" i="88"/>
  <c r="H18" i="88"/>
  <c r="D18" i="88"/>
  <c r="Z16" i="88"/>
  <c r="X16" i="88"/>
  <c r="P16" i="88"/>
  <c r="N16" i="88"/>
  <c r="D16" i="88"/>
  <c r="B16" i="88"/>
  <c r="Z15" i="88"/>
  <c r="P15" i="88"/>
  <c r="X15" i="88" s="1"/>
  <c r="N15" i="88"/>
  <c r="L15" i="88"/>
  <c r="D15" i="88"/>
  <c r="B15" i="88"/>
  <c r="P14" i="88"/>
  <c r="X14" i="88" s="1"/>
  <c r="Z14" i="88" s="1"/>
  <c r="D14" i="88"/>
  <c r="L14" i="88" s="1"/>
  <c r="N14" i="88" s="1"/>
  <c r="B14" i="88"/>
  <c r="Z13" i="88"/>
  <c r="X13" i="88"/>
  <c r="P13" i="88"/>
  <c r="N13" i="88"/>
  <c r="L13" i="88"/>
  <c r="D13" i="88"/>
  <c r="B13" i="88"/>
  <c r="T12" i="88"/>
  <c r="H12" i="88"/>
  <c r="J85" i="88" s="1"/>
  <c r="D6" i="88"/>
  <c r="D4" i="88"/>
  <c r="J66" i="87"/>
  <c r="Z61" i="87"/>
  <c r="X61" i="87"/>
  <c r="N61" i="87"/>
  <c r="L61" i="87"/>
  <c r="X57" i="87"/>
  <c r="T57" i="87"/>
  <c r="Z57" i="87" s="1"/>
  <c r="P57" i="87"/>
  <c r="L57" i="87"/>
  <c r="H57" i="87"/>
  <c r="N57" i="87" s="1"/>
  <c r="D57" i="87"/>
  <c r="Z55" i="87"/>
  <c r="X55" i="87"/>
  <c r="N55" i="87"/>
  <c r="L55" i="87"/>
  <c r="B55" i="87"/>
  <c r="X54" i="87"/>
  <c r="T54" i="87"/>
  <c r="Z54" i="87" s="1"/>
  <c r="P54" i="87"/>
  <c r="N54" i="87"/>
  <c r="L54" i="87"/>
  <c r="H54" i="87"/>
  <c r="D54" i="87"/>
  <c r="B54" i="87"/>
  <c r="X53" i="87"/>
  <c r="Z53" i="87" s="1"/>
  <c r="L53" i="87"/>
  <c r="N53" i="87" s="1"/>
  <c r="B53" i="87"/>
  <c r="X52" i="87"/>
  <c r="T52" i="87"/>
  <c r="Z52" i="87" s="1"/>
  <c r="P52" i="87"/>
  <c r="H52" i="87"/>
  <c r="D52" i="87"/>
  <c r="B52" i="87"/>
  <c r="X51" i="87"/>
  <c r="Z51" i="87" s="1"/>
  <c r="N51" i="87"/>
  <c r="L51" i="87"/>
  <c r="B51" i="87"/>
  <c r="X50" i="87"/>
  <c r="Z50" i="87" s="1"/>
  <c r="R50" i="87"/>
  <c r="L50" i="87"/>
  <c r="N50" i="87" s="1"/>
  <c r="B50" i="87"/>
  <c r="X49" i="87"/>
  <c r="V49" i="87"/>
  <c r="T49" i="87"/>
  <c r="Z49" i="87" s="1"/>
  <c r="P49" i="87"/>
  <c r="H49" i="87"/>
  <c r="D49" i="87"/>
  <c r="L49" i="87" s="1"/>
  <c r="N49" i="87" s="1"/>
  <c r="B49" i="87"/>
  <c r="Z48" i="87"/>
  <c r="X48" i="87"/>
  <c r="N48" i="87"/>
  <c r="L48" i="87"/>
  <c r="B48" i="87"/>
  <c r="Z47" i="87"/>
  <c r="X47" i="87"/>
  <c r="N47" i="87"/>
  <c r="L47" i="87"/>
  <c r="B47" i="87"/>
  <c r="T46" i="87"/>
  <c r="P46" i="87"/>
  <c r="H46" i="87"/>
  <c r="D46" i="87"/>
  <c r="L46" i="87" s="1"/>
  <c r="B46" i="87"/>
  <c r="Z45" i="87"/>
  <c r="X45" i="87"/>
  <c r="V45" i="87"/>
  <c r="L45" i="87"/>
  <c r="N45" i="87" s="1"/>
  <c r="J45" i="87"/>
  <c r="B45" i="87"/>
  <c r="T44" i="87"/>
  <c r="P44" i="87"/>
  <c r="X44" i="87" s="1"/>
  <c r="H44" i="87"/>
  <c r="D44" i="87"/>
  <c r="B44" i="87"/>
  <c r="Z43" i="87"/>
  <c r="X43" i="87"/>
  <c r="N43" i="87"/>
  <c r="L43" i="87"/>
  <c r="B43" i="87"/>
  <c r="T42" i="87"/>
  <c r="P42" i="87"/>
  <c r="L42" i="87"/>
  <c r="H42" i="87"/>
  <c r="N42" i="87" s="1"/>
  <c r="D42" i="87"/>
  <c r="B42" i="87"/>
  <c r="Z41" i="87"/>
  <c r="X41" i="87"/>
  <c r="V41" i="87"/>
  <c r="N41" i="87"/>
  <c r="L41" i="87"/>
  <c r="B41" i="87"/>
  <c r="X40" i="87"/>
  <c r="T40" i="87"/>
  <c r="Z40" i="87" s="1"/>
  <c r="P40" i="87"/>
  <c r="H40" i="87"/>
  <c r="N40" i="87" s="1"/>
  <c r="D40" i="87"/>
  <c r="B40" i="87"/>
  <c r="Z39" i="87"/>
  <c r="X39" i="87"/>
  <c r="N39" i="87"/>
  <c r="L39" i="87"/>
  <c r="B39" i="87"/>
  <c r="Z38" i="87"/>
  <c r="X38" i="87"/>
  <c r="R38" i="87"/>
  <c r="N38" i="87"/>
  <c r="L38" i="87"/>
  <c r="B38" i="87"/>
  <c r="Z37" i="87"/>
  <c r="X37" i="87"/>
  <c r="V37" i="87"/>
  <c r="N37" i="87"/>
  <c r="L37" i="87"/>
  <c r="B37" i="87"/>
  <c r="Z36" i="87"/>
  <c r="X36" i="87"/>
  <c r="N36" i="87"/>
  <c r="L36" i="87"/>
  <c r="B36" i="87"/>
  <c r="Z35" i="87"/>
  <c r="X35" i="87"/>
  <c r="N35" i="87"/>
  <c r="L35" i="87"/>
  <c r="B35" i="87"/>
  <c r="Z34" i="87"/>
  <c r="X34" i="87"/>
  <c r="N34" i="87"/>
  <c r="L34" i="87"/>
  <c r="B34" i="87"/>
  <c r="Z33" i="87"/>
  <c r="X33" i="87"/>
  <c r="V33" i="87"/>
  <c r="N33" i="87"/>
  <c r="L33" i="87"/>
  <c r="J33" i="87"/>
  <c r="B33" i="87"/>
  <c r="Z32" i="87"/>
  <c r="X32" i="87"/>
  <c r="N32" i="87"/>
  <c r="L32" i="87"/>
  <c r="B32" i="87"/>
  <c r="Z31" i="87"/>
  <c r="X31" i="87"/>
  <c r="N31" i="87"/>
  <c r="L31" i="87"/>
  <c r="B31" i="87"/>
  <c r="Z30" i="87"/>
  <c r="X30" i="87"/>
  <c r="R30" i="87"/>
  <c r="N30" i="87"/>
  <c r="L30" i="87"/>
  <c r="B30" i="87"/>
  <c r="V29" i="87"/>
  <c r="T29" i="87"/>
  <c r="Z29" i="87" s="1"/>
  <c r="P29" i="87"/>
  <c r="X29" i="87" s="1"/>
  <c r="H29" i="87"/>
  <c r="D29" i="87"/>
  <c r="L29" i="87" s="1"/>
  <c r="N29" i="87" s="1"/>
  <c r="B29" i="87"/>
  <c r="Z28" i="87"/>
  <c r="X28" i="87"/>
  <c r="N28" i="87"/>
  <c r="L28" i="87"/>
  <c r="B28" i="87"/>
  <c r="Z27" i="87"/>
  <c r="X27" i="87"/>
  <c r="N27" i="87"/>
  <c r="L27" i="87"/>
  <c r="B27" i="87"/>
  <c r="Z26" i="87"/>
  <c r="X26" i="87"/>
  <c r="R26" i="87"/>
  <c r="L26" i="87"/>
  <c r="N26" i="87" s="1"/>
  <c r="B26" i="87"/>
  <c r="Z25" i="87"/>
  <c r="X25" i="87"/>
  <c r="V25" i="87"/>
  <c r="N25" i="87"/>
  <c r="L25" i="87"/>
  <c r="J25" i="87"/>
  <c r="B25" i="87"/>
  <c r="X24" i="87"/>
  <c r="Z24" i="87" s="1"/>
  <c r="L24" i="87"/>
  <c r="N24" i="87" s="1"/>
  <c r="B24" i="87"/>
  <c r="Z23" i="87"/>
  <c r="X23" i="87"/>
  <c r="N23" i="87"/>
  <c r="L23" i="87"/>
  <c r="B23" i="87"/>
  <c r="X22" i="87"/>
  <c r="Z22" i="87" s="1"/>
  <c r="L22" i="87"/>
  <c r="N22" i="87" s="1"/>
  <c r="B22" i="87"/>
  <c r="Z21" i="87"/>
  <c r="X21" i="87"/>
  <c r="V21" i="87"/>
  <c r="L21" i="87"/>
  <c r="N21" i="87" s="1"/>
  <c r="J21" i="87"/>
  <c r="B21" i="87"/>
  <c r="X20" i="87"/>
  <c r="Z20" i="87" s="1"/>
  <c r="L20" i="87"/>
  <c r="N20" i="87" s="1"/>
  <c r="B20" i="87"/>
  <c r="T19" i="87"/>
  <c r="R19" i="87"/>
  <c r="P19" i="87"/>
  <c r="X19" i="87" s="1"/>
  <c r="Z19" i="87" s="1"/>
  <c r="J19" i="87"/>
  <c r="H19" i="87"/>
  <c r="D19" i="87"/>
  <c r="L19" i="87" s="1"/>
  <c r="N19" i="87" s="1"/>
  <c r="B19" i="87"/>
  <c r="T18" i="87" a="1"/>
  <c r="T18" i="87" s="1"/>
  <c r="P18" i="87" a="1"/>
  <c r="P18" i="87"/>
  <c r="H18" i="87" a="1"/>
  <c r="H18" i="87" s="1"/>
  <c r="D18" i="87" a="1"/>
  <c r="D18" i="87"/>
  <c r="V14" i="87"/>
  <c r="T14" i="87"/>
  <c r="P14" i="87"/>
  <c r="H14" i="87"/>
  <c r="N14" i="87" s="1"/>
  <c r="D14" i="87"/>
  <c r="L14" i="87" s="1"/>
  <c r="T12" i="87"/>
  <c r="V48" i="87" s="1"/>
  <c r="P12" i="87"/>
  <c r="R55" i="87" s="1"/>
  <c r="H12" i="87"/>
  <c r="D12" i="87"/>
  <c r="D6" i="87"/>
  <c r="D4" i="87"/>
  <c r="Z38" i="86"/>
  <c r="X38" i="86"/>
  <c r="N38" i="86"/>
  <c r="L38" i="86"/>
  <c r="Z34" i="86"/>
  <c r="X34" i="86"/>
  <c r="T34" i="86"/>
  <c r="P34" i="86"/>
  <c r="H34" i="86"/>
  <c r="D34" i="86"/>
  <c r="Z32" i="86"/>
  <c r="X32" i="86"/>
  <c r="N32" i="86"/>
  <c r="L32" i="86"/>
  <c r="B32" i="86"/>
  <c r="Z31" i="86"/>
  <c r="T31" i="86"/>
  <c r="R31" i="86"/>
  <c r="P31" i="86"/>
  <c r="X31" i="86" s="1"/>
  <c r="H31" i="86"/>
  <c r="N31" i="86" s="1"/>
  <c r="D31" i="86"/>
  <c r="L31" i="86" s="1"/>
  <c r="B31" i="86"/>
  <c r="Z30" i="86"/>
  <c r="X30" i="86"/>
  <c r="N30" i="86"/>
  <c r="L30" i="86"/>
  <c r="F30" i="86"/>
  <c r="B30" i="86"/>
  <c r="T29" i="86"/>
  <c r="Z29" i="86" s="1"/>
  <c r="P29" i="86"/>
  <c r="X29" i="86" s="1"/>
  <c r="N29" i="86"/>
  <c r="H29" i="86"/>
  <c r="D29" i="86"/>
  <c r="L29" i="86" s="1"/>
  <c r="B29" i="86"/>
  <c r="Z28" i="86"/>
  <c r="X28" i="86"/>
  <c r="N28" i="86"/>
  <c r="L28" i="86"/>
  <c r="B28" i="86"/>
  <c r="Z27" i="86"/>
  <c r="T27" i="86"/>
  <c r="P27" i="86"/>
  <c r="X27" i="86" s="1"/>
  <c r="L27" i="86"/>
  <c r="J27" i="86"/>
  <c r="H27" i="86"/>
  <c r="N27" i="86" s="1"/>
  <c r="D27" i="86"/>
  <c r="B27" i="86"/>
  <c r="Z26" i="86"/>
  <c r="X26" i="86"/>
  <c r="R26" i="86"/>
  <c r="N26" i="86"/>
  <c r="L26" i="86"/>
  <c r="B26" i="86"/>
  <c r="X25" i="86"/>
  <c r="V25" i="86"/>
  <c r="T25" i="86"/>
  <c r="Z25" i="86" s="1"/>
  <c r="P25" i="86"/>
  <c r="N25" i="86"/>
  <c r="H25" i="86"/>
  <c r="L25" i="86" s="1"/>
  <c r="D25" i="86"/>
  <c r="B25" i="86"/>
  <c r="X24" i="86"/>
  <c r="Z24" i="86" s="1"/>
  <c r="L24" i="86"/>
  <c r="N24" i="86" s="1"/>
  <c r="B24" i="86"/>
  <c r="T23" i="86"/>
  <c r="X23" i="86" s="1"/>
  <c r="Z23" i="86" s="1"/>
  <c r="R23" i="86"/>
  <c r="P23" i="86"/>
  <c r="H23" i="86"/>
  <c r="D23" i="86"/>
  <c r="L23" i="86" s="1"/>
  <c r="B23" i="86"/>
  <c r="Z22" i="86"/>
  <c r="X22" i="86"/>
  <c r="N22" i="86"/>
  <c r="L22" i="86"/>
  <c r="B22" i="86"/>
  <c r="V21" i="86"/>
  <c r="T21" i="86"/>
  <c r="Z21" i="86" s="1"/>
  <c r="P21" i="86"/>
  <c r="X21" i="86" s="1"/>
  <c r="N21" i="86"/>
  <c r="H21" i="86"/>
  <c r="D21" i="86"/>
  <c r="L21" i="86" s="1"/>
  <c r="B21" i="86"/>
  <c r="T20" i="86" a="1"/>
  <c r="T20" i="86" s="1"/>
  <c r="P20" i="86" a="1"/>
  <c r="P20" i="86" s="1"/>
  <c r="X20" i="86" s="1"/>
  <c r="H20" i="86" a="1"/>
  <c r="H20" i="86" s="1"/>
  <c r="D20" i="86" a="1"/>
  <c r="D20" i="86" s="1"/>
  <c r="L20" i="86" s="1"/>
  <c r="T18" i="86"/>
  <c r="H18" i="86"/>
  <c r="Z16" i="86"/>
  <c r="X16" i="86"/>
  <c r="V16" i="86"/>
  <c r="N16" i="86"/>
  <c r="L16" i="86"/>
  <c r="B16" i="86"/>
  <c r="Z15" i="86"/>
  <c r="X15" i="86"/>
  <c r="T15" i="86"/>
  <c r="R15" i="86"/>
  <c r="P15" i="86"/>
  <c r="H15" i="86"/>
  <c r="N15" i="86" s="1"/>
  <c r="D15" i="86"/>
  <c r="L15" i="86" s="1"/>
  <c r="Z13" i="86"/>
  <c r="P13" i="86"/>
  <c r="X13" i="86" s="1"/>
  <c r="N13" i="86"/>
  <c r="L13" i="86"/>
  <c r="D13" i="86"/>
  <c r="D12" i="86" s="1"/>
  <c r="B13" i="86"/>
  <c r="X12" i="86"/>
  <c r="T12" i="86"/>
  <c r="V40" i="86" s="1"/>
  <c r="P12" i="86"/>
  <c r="R28" i="86" s="1"/>
  <c r="H12" i="86"/>
  <c r="J38" i="86" s="1"/>
  <c r="D6" i="86"/>
  <c r="D4" i="86"/>
  <c r="Z30" i="85"/>
  <c r="X30" i="85"/>
  <c r="N30" i="85"/>
  <c r="L30" i="85"/>
  <c r="F30" i="85"/>
  <c r="T26" i="85"/>
  <c r="Z26" i="85" s="1"/>
  <c r="P26" i="85"/>
  <c r="H26" i="85"/>
  <c r="N26" i="85" s="1"/>
  <c r="D26" i="85"/>
  <c r="L26" i="85" s="1"/>
  <c r="Z24" i="85"/>
  <c r="X24" i="85"/>
  <c r="N24" i="85"/>
  <c r="L24" i="85"/>
  <c r="F24" i="85"/>
  <c r="B24" i="85"/>
  <c r="Z23" i="85"/>
  <c r="T23" i="85"/>
  <c r="X23" i="85" s="1"/>
  <c r="P23" i="85"/>
  <c r="N23" i="85"/>
  <c r="H23" i="85"/>
  <c r="D23" i="85"/>
  <c r="L23" i="85" s="1"/>
  <c r="B23" i="85"/>
  <c r="Z22" i="85"/>
  <c r="X22" i="85"/>
  <c r="N22" i="85"/>
  <c r="L22" i="85"/>
  <c r="B22" i="85"/>
  <c r="Z21" i="85"/>
  <c r="T21" i="85"/>
  <c r="P21" i="85"/>
  <c r="X21" i="85" s="1"/>
  <c r="N21" i="85"/>
  <c r="J21" i="85"/>
  <c r="H21" i="85"/>
  <c r="D21" i="85"/>
  <c r="L21" i="85" s="1"/>
  <c r="B21" i="85"/>
  <c r="Z20" i="85"/>
  <c r="X20" i="85"/>
  <c r="R20" i="85"/>
  <c r="L20" i="85"/>
  <c r="N20" i="85" s="1"/>
  <c r="B20" i="85"/>
  <c r="V19" i="85"/>
  <c r="T19" i="85"/>
  <c r="P19" i="85"/>
  <c r="X19" i="85" s="1"/>
  <c r="L19" i="85"/>
  <c r="N19" i="85" s="1"/>
  <c r="H19" i="85"/>
  <c r="F19" i="85"/>
  <c r="D19" i="85"/>
  <c r="B19" i="85"/>
  <c r="T18" i="85" a="1"/>
  <c r="T18" i="85" s="1"/>
  <c r="R18" i="85"/>
  <c r="P18" i="85" a="1"/>
  <c r="P18" i="85" s="1"/>
  <c r="H18" i="85" a="1"/>
  <c r="H18" i="85" s="1"/>
  <c r="F18" i="85"/>
  <c r="D18" i="85" a="1"/>
  <c r="D18" i="85" s="1"/>
  <c r="T16" i="85"/>
  <c r="Z16" i="85" s="1"/>
  <c r="P16" i="85"/>
  <c r="D16" i="85"/>
  <c r="X14" i="85"/>
  <c r="V14" i="85"/>
  <c r="T14" i="85"/>
  <c r="Z14" i="85" s="1"/>
  <c r="P14" i="85"/>
  <c r="H14" i="85"/>
  <c r="F14" i="85"/>
  <c r="D14" i="85"/>
  <c r="T12" i="85"/>
  <c r="V22" i="85" s="1"/>
  <c r="P12" i="85"/>
  <c r="R32" i="85" s="1"/>
  <c r="L12" i="85"/>
  <c r="H12" i="85"/>
  <c r="J35" i="85" s="1"/>
  <c r="D12" i="85"/>
  <c r="F21" i="85" s="1"/>
  <c r="D6" i="85"/>
  <c r="D4" i="85"/>
  <c r="Z55" i="84"/>
  <c r="X55" i="84"/>
  <c r="N55" i="84"/>
  <c r="L55" i="84"/>
  <c r="X51" i="84"/>
  <c r="Z51" i="84" s="1"/>
  <c r="P51" i="84"/>
  <c r="D51" i="84"/>
  <c r="L51" i="84" s="1"/>
  <c r="N51" i="84" s="1"/>
  <c r="B51" i="84"/>
  <c r="P50" i="84"/>
  <c r="X50" i="84" s="1"/>
  <c r="Z50" i="84" s="1"/>
  <c r="L50" i="84"/>
  <c r="N50" i="84" s="1"/>
  <c r="D50" i="84"/>
  <c r="B50" i="84"/>
  <c r="P49" i="84"/>
  <c r="P48" i="84" s="1"/>
  <c r="X48" i="84" s="1"/>
  <c r="N49" i="84"/>
  <c r="L49" i="84"/>
  <c r="J49" i="84"/>
  <c r="D49" i="84"/>
  <c r="B49" i="84"/>
  <c r="T48" i="84"/>
  <c r="Z48" i="84" s="1"/>
  <c r="H48" i="84"/>
  <c r="D48" i="84"/>
  <c r="L48" i="84" s="1"/>
  <c r="Z46" i="84"/>
  <c r="X46" i="84"/>
  <c r="N46" i="84"/>
  <c r="L46" i="84"/>
  <c r="F46" i="84"/>
  <c r="B46" i="84"/>
  <c r="T45" i="84"/>
  <c r="Z45" i="84" s="1"/>
  <c r="P45" i="84"/>
  <c r="N45" i="84"/>
  <c r="L45" i="84"/>
  <c r="H45" i="84"/>
  <c r="D45" i="84"/>
  <c r="B45" i="84"/>
  <c r="Z44" i="84"/>
  <c r="X44" i="84"/>
  <c r="V44" i="84"/>
  <c r="N44" i="84"/>
  <c r="L44" i="84"/>
  <c r="B44" i="84"/>
  <c r="Z43" i="84"/>
  <c r="X43" i="84"/>
  <c r="T43" i="84"/>
  <c r="P43" i="84"/>
  <c r="J43" i="84"/>
  <c r="H43" i="84"/>
  <c r="N43" i="84" s="1"/>
  <c r="D43" i="84"/>
  <c r="B43" i="84"/>
  <c r="Z42" i="84"/>
  <c r="X42" i="84"/>
  <c r="N42" i="84"/>
  <c r="L42" i="84"/>
  <c r="B42" i="84"/>
  <c r="V41" i="84"/>
  <c r="T41" i="84"/>
  <c r="Z41" i="84" s="1"/>
  <c r="P41" i="84"/>
  <c r="N41" i="84"/>
  <c r="H41" i="84"/>
  <c r="F41" i="84"/>
  <c r="D41" i="84"/>
  <c r="L41" i="84" s="1"/>
  <c r="B41" i="84"/>
  <c r="Z40" i="84"/>
  <c r="X40" i="84"/>
  <c r="N40" i="84"/>
  <c r="L40" i="84"/>
  <c r="J40" i="84"/>
  <c r="B40" i="84"/>
  <c r="Z39" i="84"/>
  <c r="T39" i="84"/>
  <c r="P39" i="84"/>
  <c r="X39" i="84" s="1"/>
  <c r="H39" i="84"/>
  <c r="N39" i="84" s="1"/>
  <c r="D39" i="84"/>
  <c r="B39" i="84"/>
  <c r="Z38" i="84"/>
  <c r="X38" i="84"/>
  <c r="N38" i="84"/>
  <c r="L38" i="84"/>
  <c r="F38" i="84"/>
  <c r="B38" i="84"/>
  <c r="Z37" i="84"/>
  <c r="X37" i="84"/>
  <c r="V37" i="84"/>
  <c r="N37" i="84"/>
  <c r="L37" i="84"/>
  <c r="J37" i="84"/>
  <c r="F37" i="84"/>
  <c r="B37" i="84"/>
  <c r="Z36" i="84"/>
  <c r="X36" i="84"/>
  <c r="N36" i="84"/>
  <c r="L36" i="84"/>
  <c r="J36" i="84"/>
  <c r="B36" i="84"/>
  <c r="Z35" i="84"/>
  <c r="X35" i="84"/>
  <c r="N35" i="84"/>
  <c r="L35" i="84"/>
  <c r="B35" i="84"/>
  <c r="Z34" i="84"/>
  <c r="X34" i="84"/>
  <c r="N34" i="84"/>
  <c r="L34" i="84"/>
  <c r="B34" i="84"/>
  <c r="Z33" i="84"/>
  <c r="X33" i="84"/>
  <c r="V33" i="84"/>
  <c r="N33" i="84"/>
  <c r="L33" i="84"/>
  <c r="B33" i="84"/>
  <c r="Z32" i="84"/>
  <c r="X32" i="84"/>
  <c r="V32" i="84"/>
  <c r="N32" i="84"/>
  <c r="L32" i="84"/>
  <c r="B32" i="84"/>
  <c r="Z31" i="84"/>
  <c r="X31" i="84"/>
  <c r="N31" i="84"/>
  <c r="L31" i="84"/>
  <c r="B31" i="84"/>
  <c r="Z30" i="84"/>
  <c r="X30" i="84"/>
  <c r="N30" i="84"/>
  <c r="L30" i="84"/>
  <c r="F30" i="84"/>
  <c r="B30" i="84"/>
  <c r="Z29" i="84"/>
  <c r="X29" i="84"/>
  <c r="V29" i="84"/>
  <c r="N29" i="84"/>
  <c r="L29" i="84"/>
  <c r="J29" i="84"/>
  <c r="F29" i="84"/>
  <c r="B29" i="84"/>
  <c r="V28" i="84"/>
  <c r="T28" i="84"/>
  <c r="Z28" i="84" s="1"/>
  <c r="P28" i="84"/>
  <c r="X28" i="84" s="1"/>
  <c r="N28" i="84"/>
  <c r="H28" i="84"/>
  <c r="D28" i="84"/>
  <c r="L28" i="84" s="1"/>
  <c r="B28" i="84"/>
  <c r="Z27" i="84"/>
  <c r="X27" i="84"/>
  <c r="N27" i="84"/>
  <c r="L27" i="84"/>
  <c r="B27" i="84"/>
  <c r="Z26" i="84"/>
  <c r="X26" i="84"/>
  <c r="N26" i="84"/>
  <c r="L26" i="84"/>
  <c r="F26" i="84"/>
  <c r="B26" i="84"/>
  <c r="Z25" i="84"/>
  <c r="X25" i="84"/>
  <c r="V25" i="84"/>
  <c r="N25" i="84"/>
  <c r="L25" i="84"/>
  <c r="J25" i="84"/>
  <c r="F25" i="84"/>
  <c r="B25" i="84"/>
  <c r="Z24" i="84"/>
  <c r="X24" i="84"/>
  <c r="V24" i="84"/>
  <c r="N24" i="84"/>
  <c r="L24" i="84"/>
  <c r="J24" i="84"/>
  <c r="B24" i="84"/>
  <c r="Z23" i="84"/>
  <c r="X23" i="84"/>
  <c r="N23" i="84"/>
  <c r="L23" i="84"/>
  <c r="B23" i="84"/>
  <c r="Z22" i="84"/>
  <c r="X22" i="84"/>
  <c r="N22" i="84"/>
  <c r="L22" i="84"/>
  <c r="B22" i="84"/>
  <c r="Z21" i="84"/>
  <c r="X21" i="84"/>
  <c r="V21" i="84"/>
  <c r="N21" i="84"/>
  <c r="L21" i="84"/>
  <c r="B21" i="84"/>
  <c r="Z20" i="84"/>
  <c r="X20" i="84"/>
  <c r="V20" i="84"/>
  <c r="N20" i="84"/>
  <c r="L20" i="84"/>
  <c r="B20" i="84"/>
  <c r="Z19" i="84"/>
  <c r="X19" i="84"/>
  <c r="T19" i="84"/>
  <c r="P19" i="84"/>
  <c r="J19" i="84"/>
  <c r="H19" i="84"/>
  <c r="N19" i="84" s="1"/>
  <c r="D19" i="84"/>
  <c r="B19" i="84"/>
  <c r="T18" i="84" a="1"/>
  <c r="T18" i="84"/>
  <c r="Z18" i="84" s="1"/>
  <c r="P18" i="84" a="1"/>
  <c r="P18" i="84"/>
  <c r="H18" i="84" a="1"/>
  <c r="H18" i="84"/>
  <c r="N18" i="84" s="1"/>
  <c r="D18" i="84" a="1"/>
  <c r="D18" i="84"/>
  <c r="T16" i="84"/>
  <c r="D16" i="84"/>
  <c r="Z14" i="84"/>
  <c r="V14" i="84"/>
  <c r="T14" i="84"/>
  <c r="P14" i="84"/>
  <c r="X14" i="84" s="1"/>
  <c r="L14" i="84"/>
  <c r="J14" i="84"/>
  <c r="H14" i="84"/>
  <c r="N14" i="84" s="1"/>
  <c r="D14" i="84"/>
  <c r="Z12" i="84"/>
  <c r="T12" i="84"/>
  <c r="P12" i="84"/>
  <c r="N12" i="84"/>
  <c r="H12" i="84"/>
  <c r="J51" i="84" s="1"/>
  <c r="D12" i="84"/>
  <c r="F33" i="84" s="1"/>
  <c r="D6" i="84"/>
  <c r="D4" i="84"/>
  <c r="X92" i="83"/>
  <c r="Z92" i="83" s="1"/>
  <c r="V92" i="83"/>
  <c r="L92" i="83"/>
  <c r="N92" i="83" s="1"/>
  <c r="Z88" i="83"/>
  <c r="X88" i="83"/>
  <c r="P88" i="83"/>
  <c r="N88" i="83"/>
  <c r="L88" i="83"/>
  <c r="D88" i="83"/>
  <c r="B88" i="83"/>
  <c r="T87" i="83"/>
  <c r="Z87" i="83" s="1"/>
  <c r="P87" i="83"/>
  <c r="X87" i="83" s="1"/>
  <c r="N87" i="83"/>
  <c r="H87" i="83"/>
  <c r="D87" i="83"/>
  <c r="L87" i="83" s="1"/>
  <c r="X85" i="83"/>
  <c r="Z85" i="83" s="1"/>
  <c r="N85" i="83"/>
  <c r="L85" i="83"/>
  <c r="J85" i="83"/>
  <c r="B85" i="83"/>
  <c r="T84" i="83"/>
  <c r="P84" i="83"/>
  <c r="X84" i="83" s="1"/>
  <c r="Z84" i="83" s="1"/>
  <c r="H84" i="83"/>
  <c r="D84" i="83"/>
  <c r="L84" i="83" s="1"/>
  <c r="N84" i="83" s="1"/>
  <c r="B84" i="83"/>
  <c r="Z83" i="83"/>
  <c r="X83" i="83"/>
  <c r="N83" i="83"/>
  <c r="L83" i="83"/>
  <c r="B83" i="83"/>
  <c r="T82" i="83"/>
  <c r="P82" i="83"/>
  <c r="X82" i="83" s="1"/>
  <c r="Z82" i="83" s="1"/>
  <c r="L82" i="83"/>
  <c r="H82" i="83"/>
  <c r="N82" i="83" s="1"/>
  <c r="D82" i="83"/>
  <c r="B82" i="83"/>
  <c r="Z81" i="83"/>
  <c r="X81" i="83"/>
  <c r="V81" i="83"/>
  <c r="N81" i="83"/>
  <c r="L81" i="83"/>
  <c r="B81" i="83"/>
  <c r="X80" i="83"/>
  <c r="T80" i="83"/>
  <c r="Z80" i="83" s="1"/>
  <c r="P80" i="83"/>
  <c r="H80" i="83"/>
  <c r="D80" i="83"/>
  <c r="B80" i="83"/>
  <c r="Z79" i="83"/>
  <c r="X79" i="83"/>
  <c r="N79" i="83"/>
  <c r="L79" i="83"/>
  <c r="B79" i="83"/>
  <c r="Z78" i="83"/>
  <c r="X78" i="83"/>
  <c r="N78" i="83"/>
  <c r="L78" i="83"/>
  <c r="B78" i="83"/>
  <c r="V77" i="83"/>
  <c r="T77" i="83"/>
  <c r="P77" i="83"/>
  <c r="H77" i="83"/>
  <c r="D77" i="83"/>
  <c r="L77" i="83" s="1"/>
  <c r="N77" i="83" s="1"/>
  <c r="B77" i="83"/>
  <c r="X76" i="83"/>
  <c r="Z76" i="83" s="1"/>
  <c r="N76" i="83"/>
  <c r="L76" i="83"/>
  <c r="B76" i="83"/>
  <c r="Z75" i="83"/>
  <c r="X75" i="83"/>
  <c r="L75" i="83"/>
  <c r="N75" i="83" s="1"/>
  <c r="B75" i="83"/>
  <c r="Z74" i="83"/>
  <c r="X74" i="83"/>
  <c r="N74" i="83"/>
  <c r="L74" i="83"/>
  <c r="B74" i="83"/>
  <c r="Z73" i="83"/>
  <c r="X73" i="83"/>
  <c r="V73" i="83"/>
  <c r="L73" i="83"/>
  <c r="N73" i="83" s="1"/>
  <c r="B73" i="83"/>
  <c r="X72" i="83"/>
  <c r="Z72" i="83" s="1"/>
  <c r="N72" i="83"/>
  <c r="L72" i="83"/>
  <c r="B72" i="83"/>
  <c r="X71" i="83"/>
  <c r="Z71" i="83" s="1"/>
  <c r="N71" i="83"/>
  <c r="L71" i="83"/>
  <c r="B71" i="83"/>
  <c r="Z70" i="83"/>
  <c r="X70" i="83"/>
  <c r="N70" i="83"/>
  <c r="L70" i="83"/>
  <c r="B70" i="83"/>
  <c r="X69" i="83"/>
  <c r="Z69" i="83" s="1"/>
  <c r="N69" i="83"/>
  <c r="L69" i="83"/>
  <c r="J69" i="83"/>
  <c r="B69" i="83"/>
  <c r="T68" i="83"/>
  <c r="P68" i="83"/>
  <c r="X68" i="83" s="1"/>
  <c r="Z68" i="83" s="1"/>
  <c r="H68" i="83"/>
  <c r="D68" i="83"/>
  <c r="L68" i="83" s="1"/>
  <c r="N68" i="83" s="1"/>
  <c r="B68" i="83"/>
  <c r="Z67" i="83"/>
  <c r="X67" i="83"/>
  <c r="N67" i="83"/>
  <c r="L67" i="83"/>
  <c r="B67" i="83"/>
  <c r="T66" i="83"/>
  <c r="P66" i="83"/>
  <c r="X66" i="83" s="1"/>
  <c r="Z66" i="83" s="1"/>
  <c r="L66" i="83"/>
  <c r="H66" i="83"/>
  <c r="N66" i="83" s="1"/>
  <c r="D66" i="83"/>
  <c r="B66" i="83"/>
  <c r="Z65" i="83"/>
  <c r="X65" i="83"/>
  <c r="V65" i="83"/>
  <c r="L65" i="83"/>
  <c r="N65" i="83" s="1"/>
  <c r="B65" i="83"/>
  <c r="X64" i="83"/>
  <c r="Z64" i="83" s="1"/>
  <c r="L64" i="83"/>
  <c r="N64" i="83" s="1"/>
  <c r="B64" i="83"/>
  <c r="Z63" i="83"/>
  <c r="X63" i="83"/>
  <c r="N63" i="83"/>
  <c r="L63" i="83"/>
  <c r="B63" i="83"/>
  <c r="Z62" i="83"/>
  <c r="X62" i="83"/>
  <c r="N62" i="83"/>
  <c r="L62" i="83"/>
  <c r="B62" i="83"/>
  <c r="T61" i="83"/>
  <c r="P61" i="83"/>
  <c r="N61" i="83"/>
  <c r="L61" i="83"/>
  <c r="H61" i="83"/>
  <c r="D61" i="83"/>
  <c r="B61" i="83"/>
  <c r="X60" i="83"/>
  <c r="Z60" i="83" s="1"/>
  <c r="V60" i="83"/>
  <c r="L60" i="83"/>
  <c r="N60" i="83" s="1"/>
  <c r="B60" i="83"/>
  <c r="X59" i="83"/>
  <c r="Z59" i="83" s="1"/>
  <c r="N59" i="83"/>
  <c r="L59" i="83"/>
  <c r="B59" i="83"/>
  <c r="Z58" i="83"/>
  <c r="T58" i="83"/>
  <c r="P58" i="83"/>
  <c r="X58" i="83" s="1"/>
  <c r="L58" i="83"/>
  <c r="N58" i="83" s="1"/>
  <c r="J58" i="83"/>
  <c r="H58" i="83"/>
  <c r="D58" i="83"/>
  <c r="B58" i="83"/>
  <c r="Z57" i="83"/>
  <c r="X57" i="83"/>
  <c r="N57" i="83"/>
  <c r="L57" i="83"/>
  <c r="B57" i="83"/>
  <c r="X56" i="83"/>
  <c r="Z56" i="83" s="1"/>
  <c r="V56" i="83"/>
  <c r="L56" i="83"/>
  <c r="N56" i="83" s="1"/>
  <c r="B56" i="83"/>
  <c r="X55" i="83"/>
  <c r="Z55" i="83" s="1"/>
  <c r="T55" i="83"/>
  <c r="P55" i="83"/>
  <c r="H55" i="83"/>
  <c r="D55" i="83"/>
  <c r="L55" i="83" s="1"/>
  <c r="B55" i="83"/>
  <c r="Z54" i="83"/>
  <c r="X54" i="83"/>
  <c r="N54" i="83"/>
  <c r="L54" i="83"/>
  <c r="B54" i="83"/>
  <c r="V53" i="83"/>
  <c r="T53" i="83"/>
  <c r="P53" i="83"/>
  <c r="H53" i="83"/>
  <c r="D53" i="83"/>
  <c r="L53" i="83" s="1"/>
  <c r="N53" i="83" s="1"/>
  <c r="B53" i="83"/>
  <c r="X52" i="83"/>
  <c r="Z52" i="83" s="1"/>
  <c r="L52" i="83"/>
  <c r="N52" i="83" s="1"/>
  <c r="B52" i="83"/>
  <c r="T51" i="83"/>
  <c r="P51" i="83"/>
  <c r="X51" i="83" s="1"/>
  <c r="Z51" i="83" s="1"/>
  <c r="H51" i="83"/>
  <c r="D51" i="83"/>
  <c r="B51" i="83"/>
  <c r="Z50" i="83"/>
  <c r="X50" i="83"/>
  <c r="N50" i="83"/>
  <c r="L50" i="83"/>
  <c r="B50" i="83"/>
  <c r="Z49" i="83"/>
  <c r="X49" i="83"/>
  <c r="N49" i="83"/>
  <c r="L49" i="83"/>
  <c r="J49" i="83"/>
  <c r="B49" i="83"/>
  <c r="T48" i="83"/>
  <c r="P48" i="83"/>
  <c r="X48" i="83" s="1"/>
  <c r="Z48" i="83" s="1"/>
  <c r="N48" i="83"/>
  <c r="H48" i="83"/>
  <c r="D48" i="83"/>
  <c r="L48" i="83" s="1"/>
  <c r="B48" i="83"/>
  <c r="Z47" i="83"/>
  <c r="X47" i="83"/>
  <c r="N47" i="83"/>
  <c r="L47" i="83"/>
  <c r="B47" i="83"/>
  <c r="T46" i="83"/>
  <c r="P46" i="83"/>
  <c r="X46" i="83" s="1"/>
  <c r="Z46" i="83" s="1"/>
  <c r="L46" i="83"/>
  <c r="H46" i="83"/>
  <c r="D46" i="83"/>
  <c r="B46" i="83"/>
  <c r="Z45" i="83"/>
  <c r="X45" i="83"/>
  <c r="V45" i="83"/>
  <c r="N45" i="83"/>
  <c r="L45" i="83"/>
  <c r="B45" i="83"/>
  <c r="X44" i="83"/>
  <c r="T44" i="83"/>
  <c r="Z44" i="83" s="1"/>
  <c r="P44" i="83"/>
  <c r="H44" i="83"/>
  <c r="D44" i="83"/>
  <c r="B44" i="83"/>
  <c r="Z43" i="83"/>
  <c r="X43" i="83"/>
  <c r="N43" i="83"/>
  <c r="L43" i="83"/>
  <c r="B43" i="83"/>
  <c r="Z42" i="83"/>
  <c r="X42" i="83"/>
  <c r="N42" i="83"/>
  <c r="L42" i="83"/>
  <c r="B42" i="83"/>
  <c r="Z41" i="83"/>
  <c r="X41" i="83"/>
  <c r="V41" i="83"/>
  <c r="L41" i="83"/>
  <c r="N41" i="83" s="1"/>
  <c r="B41" i="83"/>
  <c r="X40" i="83"/>
  <c r="Z40" i="83" s="1"/>
  <c r="L40" i="83"/>
  <c r="N40" i="83" s="1"/>
  <c r="B40" i="83"/>
  <c r="Z39" i="83"/>
  <c r="X39" i="83"/>
  <c r="N39" i="83"/>
  <c r="L39" i="83"/>
  <c r="B39" i="83"/>
  <c r="Z38" i="83"/>
  <c r="X38" i="83"/>
  <c r="N38" i="83"/>
  <c r="L38" i="83"/>
  <c r="B38" i="83"/>
  <c r="X37" i="83"/>
  <c r="Z37" i="83" s="1"/>
  <c r="N37" i="83"/>
  <c r="L37" i="83"/>
  <c r="J37" i="83"/>
  <c r="B37" i="83"/>
  <c r="Z36" i="83"/>
  <c r="X36" i="83"/>
  <c r="N36" i="83"/>
  <c r="L36" i="83"/>
  <c r="B36" i="83"/>
  <c r="Z35" i="83"/>
  <c r="X35" i="83"/>
  <c r="L35" i="83"/>
  <c r="N35" i="83" s="1"/>
  <c r="B35" i="83"/>
  <c r="Z34" i="83"/>
  <c r="X34" i="83"/>
  <c r="N34" i="83"/>
  <c r="L34" i="83"/>
  <c r="B34" i="83"/>
  <c r="V33" i="83"/>
  <c r="T33" i="83"/>
  <c r="P33" i="83"/>
  <c r="H33" i="83"/>
  <c r="D33" i="83"/>
  <c r="L33" i="83" s="1"/>
  <c r="N33" i="83" s="1"/>
  <c r="B33" i="83"/>
  <c r="X32" i="83"/>
  <c r="Z32" i="83" s="1"/>
  <c r="L32" i="83"/>
  <c r="N32" i="83" s="1"/>
  <c r="B32" i="83"/>
  <c r="Z31" i="83"/>
  <c r="X31" i="83"/>
  <c r="N31" i="83"/>
  <c r="L31" i="83"/>
  <c r="B31" i="83"/>
  <c r="Z30" i="83"/>
  <c r="X30" i="83"/>
  <c r="N30" i="83"/>
  <c r="L30" i="83"/>
  <c r="B30" i="83"/>
  <c r="Z29" i="83"/>
  <c r="X29" i="83"/>
  <c r="N29" i="83"/>
  <c r="L29" i="83"/>
  <c r="B29" i="83"/>
  <c r="X28" i="83"/>
  <c r="Z28" i="83" s="1"/>
  <c r="L28" i="83"/>
  <c r="N28" i="83" s="1"/>
  <c r="J28" i="83"/>
  <c r="B28" i="83"/>
  <c r="Z27" i="83"/>
  <c r="X27" i="83"/>
  <c r="L27" i="83"/>
  <c r="N27" i="83" s="1"/>
  <c r="B27" i="83"/>
  <c r="Z26" i="83"/>
  <c r="X26" i="83"/>
  <c r="V26" i="83"/>
  <c r="N26" i="83"/>
  <c r="L26" i="83"/>
  <c r="B26" i="83"/>
  <c r="X25" i="83"/>
  <c r="Z25" i="83" s="1"/>
  <c r="V25" i="83"/>
  <c r="N25" i="83"/>
  <c r="L25" i="83"/>
  <c r="J25" i="83"/>
  <c r="B25" i="83"/>
  <c r="X24" i="83"/>
  <c r="Z24" i="83" s="1"/>
  <c r="V24" i="83"/>
  <c r="L24" i="83"/>
  <c r="N24" i="83" s="1"/>
  <c r="B24" i="83"/>
  <c r="T23" i="83"/>
  <c r="P23" i="83"/>
  <c r="X23" i="83" s="1"/>
  <c r="Z23" i="83" s="1"/>
  <c r="H23" i="83"/>
  <c r="D23" i="83"/>
  <c r="B23" i="83"/>
  <c r="V22" i="83"/>
  <c r="T22" i="83" a="1"/>
  <c r="T22" i="83" s="1"/>
  <c r="P22" i="83" a="1"/>
  <c r="P22" i="83"/>
  <c r="X22" i="83" s="1"/>
  <c r="H22" i="83" a="1"/>
  <c r="H22" i="83"/>
  <c r="D22" i="83" a="1"/>
  <c r="D22" i="83" s="1"/>
  <c r="L22" i="83" s="1"/>
  <c r="H20" i="83"/>
  <c r="Z18" i="83"/>
  <c r="X18" i="83"/>
  <c r="V18" i="83"/>
  <c r="N18" i="83"/>
  <c r="L18" i="83"/>
  <c r="B18" i="83"/>
  <c r="Z17" i="83"/>
  <c r="X17" i="83"/>
  <c r="V17" i="83"/>
  <c r="N17" i="83"/>
  <c r="L17" i="83"/>
  <c r="B17" i="83"/>
  <c r="T16" i="83"/>
  <c r="P16" i="83"/>
  <c r="N16" i="83"/>
  <c r="H16" i="83"/>
  <c r="D16" i="83"/>
  <c r="L16" i="83" s="1"/>
  <c r="P14" i="83"/>
  <c r="N14" i="83"/>
  <c r="L14" i="83"/>
  <c r="D14" i="83"/>
  <c r="B14" i="83"/>
  <c r="Z13" i="83"/>
  <c r="P13" i="83"/>
  <c r="X13" i="83" s="1"/>
  <c r="N13" i="83"/>
  <c r="L13" i="83"/>
  <c r="D13" i="83"/>
  <c r="D12" i="83" s="1"/>
  <c r="F33" i="83" s="1"/>
  <c r="B13" i="83"/>
  <c r="T12" i="83"/>
  <c r="V87" i="83" s="1"/>
  <c r="H12" i="83"/>
  <c r="J82" i="83" s="1"/>
  <c r="D6" i="83"/>
  <c r="D4" i="83"/>
  <c r="X99" i="82"/>
  <c r="Z99" i="82" s="1"/>
  <c r="N99" i="82"/>
  <c r="L99" i="82"/>
  <c r="Z95" i="82"/>
  <c r="X95" i="82"/>
  <c r="P95" i="82"/>
  <c r="N95" i="82"/>
  <c r="L95" i="82"/>
  <c r="J95" i="82"/>
  <c r="D95" i="82"/>
  <c r="B95" i="82"/>
  <c r="T94" i="82"/>
  <c r="Z94" i="82" s="1"/>
  <c r="P94" i="82"/>
  <c r="X94" i="82" s="1"/>
  <c r="N94" i="82"/>
  <c r="L94" i="82"/>
  <c r="H94" i="82"/>
  <c r="D94" i="82"/>
  <c r="Z92" i="82"/>
  <c r="X92" i="82"/>
  <c r="N92" i="82"/>
  <c r="L92" i="82"/>
  <c r="B92" i="82"/>
  <c r="T91" i="82"/>
  <c r="P91" i="82"/>
  <c r="N91" i="82"/>
  <c r="L91" i="82"/>
  <c r="H91" i="82"/>
  <c r="D91" i="82"/>
  <c r="B91" i="82"/>
  <c r="X90" i="82"/>
  <c r="Z90" i="82" s="1"/>
  <c r="L90" i="82"/>
  <c r="N90" i="82" s="1"/>
  <c r="B90" i="82"/>
  <c r="T89" i="82"/>
  <c r="P89" i="82"/>
  <c r="X89" i="82" s="1"/>
  <c r="Z89" i="82" s="1"/>
  <c r="J89" i="82"/>
  <c r="H89" i="82"/>
  <c r="D89" i="82"/>
  <c r="L89" i="82" s="1"/>
  <c r="B89" i="82"/>
  <c r="Z88" i="82"/>
  <c r="X88" i="82"/>
  <c r="N88" i="82"/>
  <c r="L88" i="82"/>
  <c r="B88" i="82"/>
  <c r="X87" i="82"/>
  <c r="Z87" i="82" s="1"/>
  <c r="N87" i="82"/>
  <c r="L87" i="82"/>
  <c r="J87" i="82"/>
  <c r="B87" i="82"/>
  <c r="T86" i="82"/>
  <c r="P86" i="82"/>
  <c r="X86" i="82" s="1"/>
  <c r="H86" i="82"/>
  <c r="D86" i="82"/>
  <c r="L86" i="82" s="1"/>
  <c r="B86" i="82"/>
  <c r="Z85" i="82"/>
  <c r="X85" i="82"/>
  <c r="N85" i="82"/>
  <c r="L85" i="82"/>
  <c r="B85" i="82"/>
  <c r="Z84" i="82"/>
  <c r="X84" i="82"/>
  <c r="N84" i="82"/>
  <c r="L84" i="82"/>
  <c r="B84" i="82"/>
  <c r="Z83" i="82"/>
  <c r="X83" i="82"/>
  <c r="V83" i="82"/>
  <c r="N83" i="82"/>
  <c r="L83" i="82"/>
  <c r="B83" i="82"/>
  <c r="X82" i="82"/>
  <c r="Z82" i="82" s="1"/>
  <c r="V82" i="82"/>
  <c r="N82" i="82"/>
  <c r="L82" i="82"/>
  <c r="B82" i="82"/>
  <c r="X81" i="82"/>
  <c r="Z81" i="82" s="1"/>
  <c r="N81" i="82"/>
  <c r="L81" i="82"/>
  <c r="B81" i="82"/>
  <c r="Z80" i="82"/>
  <c r="X80" i="82"/>
  <c r="N80" i="82"/>
  <c r="L80" i="82"/>
  <c r="B80" i="82"/>
  <c r="Z79" i="82"/>
  <c r="X79" i="82"/>
  <c r="N79" i="82"/>
  <c r="L79" i="82"/>
  <c r="F79" i="82"/>
  <c r="B79" i="82"/>
  <c r="Z78" i="82"/>
  <c r="X78" i="82"/>
  <c r="V78" i="82"/>
  <c r="N78" i="82"/>
  <c r="L78" i="82"/>
  <c r="B78" i="82"/>
  <c r="T77" i="82"/>
  <c r="P77" i="82"/>
  <c r="X77" i="82" s="1"/>
  <c r="Z77" i="82" s="1"/>
  <c r="J77" i="82"/>
  <c r="H77" i="82"/>
  <c r="D77" i="82"/>
  <c r="B77" i="82"/>
  <c r="Z76" i="82"/>
  <c r="X76" i="82"/>
  <c r="N76" i="82"/>
  <c r="L76" i="82"/>
  <c r="B76" i="82"/>
  <c r="T75" i="82"/>
  <c r="P75" i="82"/>
  <c r="H75" i="82"/>
  <c r="D75" i="82"/>
  <c r="L75" i="82" s="1"/>
  <c r="N75" i="82" s="1"/>
  <c r="B75" i="82"/>
  <c r="X74" i="82"/>
  <c r="Z74" i="82" s="1"/>
  <c r="L74" i="82"/>
  <c r="N74" i="82" s="1"/>
  <c r="B74" i="82"/>
  <c r="X73" i="82"/>
  <c r="Z73" i="82" s="1"/>
  <c r="L73" i="82"/>
  <c r="N73" i="82" s="1"/>
  <c r="B73" i="82"/>
  <c r="Z72" i="82"/>
  <c r="X72" i="82"/>
  <c r="N72" i="82"/>
  <c r="L72" i="82"/>
  <c r="B72" i="82"/>
  <c r="Z71" i="82"/>
  <c r="X71" i="82"/>
  <c r="L71" i="82"/>
  <c r="N71" i="82" s="1"/>
  <c r="J71" i="82"/>
  <c r="B71" i="82"/>
  <c r="V70" i="82"/>
  <c r="T70" i="82"/>
  <c r="P70" i="82"/>
  <c r="X70" i="82" s="1"/>
  <c r="H70" i="82"/>
  <c r="D70" i="82"/>
  <c r="B70" i="82"/>
  <c r="Z69" i="82"/>
  <c r="X69" i="82"/>
  <c r="N69" i="82"/>
  <c r="L69" i="82"/>
  <c r="B69" i="82"/>
  <c r="Z68" i="82"/>
  <c r="X68" i="82"/>
  <c r="N68" i="82"/>
  <c r="L68" i="82"/>
  <c r="B68" i="82"/>
  <c r="V67" i="82"/>
  <c r="T67" i="82"/>
  <c r="P67" i="82"/>
  <c r="X67" i="82" s="1"/>
  <c r="H67" i="82"/>
  <c r="F67" i="82"/>
  <c r="D67" i="82"/>
  <c r="L67" i="82" s="1"/>
  <c r="N67" i="82" s="1"/>
  <c r="B67" i="82"/>
  <c r="X66" i="82"/>
  <c r="Z66" i="82" s="1"/>
  <c r="L66" i="82"/>
  <c r="N66" i="82" s="1"/>
  <c r="B66" i="82"/>
  <c r="Z65" i="82"/>
  <c r="X65" i="82"/>
  <c r="T65" i="82"/>
  <c r="P65" i="82"/>
  <c r="H65" i="82"/>
  <c r="D65" i="82"/>
  <c r="B65" i="82"/>
  <c r="Z64" i="82"/>
  <c r="X64" i="82"/>
  <c r="N64" i="82"/>
  <c r="L64" i="82"/>
  <c r="B64" i="82"/>
  <c r="V63" i="82"/>
  <c r="T63" i="82"/>
  <c r="P63" i="82"/>
  <c r="X63" i="82" s="1"/>
  <c r="H63" i="82"/>
  <c r="D63" i="82"/>
  <c r="L63" i="82" s="1"/>
  <c r="N63" i="82" s="1"/>
  <c r="B63" i="82"/>
  <c r="X62" i="82"/>
  <c r="Z62" i="82" s="1"/>
  <c r="V62" i="82"/>
  <c r="N62" i="82"/>
  <c r="L62" i="82"/>
  <c r="B62" i="82"/>
  <c r="X61" i="82"/>
  <c r="Z61" i="82" s="1"/>
  <c r="T61" i="82"/>
  <c r="P61" i="82"/>
  <c r="H61" i="82"/>
  <c r="D61" i="82"/>
  <c r="B61" i="82"/>
  <c r="Z60" i="82"/>
  <c r="X60" i="82"/>
  <c r="N60" i="82"/>
  <c r="L60" i="82"/>
  <c r="B60" i="82"/>
  <c r="T59" i="82"/>
  <c r="P59" i="82"/>
  <c r="N59" i="82"/>
  <c r="H59" i="82"/>
  <c r="D59" i="82"/>
  <c r="L59" i="82" s="1"/>
  <c r="B59" i="82"/>
  <c r="X58" i="82"/>
  <c r="Z58" i="82" s="1"/>
  <c r="V58" i="82"/>
  <c r="N58" i="82"/>
  <c r="L58" i="82"/>
  <c r="B58" i="82"/>
  <c r="T57" i="82"/>
  <c r="P57" i="82"/>
  <c r="X57" i="82" s="1"/>
  <c r="Z57" i="82" s="1"/>
  <c r="H57" i="82"/>
  <c r="N57" i="82" s="1"/>
  <c r="D57" i="82"/>
  <c r="B57" i="82"/>
  <c r="Z56" i="82"/>
  <c r="X56" i="82"/>
  <c r="N56" i="82"/>
  <c r="L56" i="82"/>
  <c r="B56" i="82"/>
  <c r="Z55" i="82"/>
  <c r="X55" i="82"/>
  <c r="V55" i="82"/>
  <c r="N55" i="82"/>
  <c r="L55" i="82"/>
  <c r="B55" i="82"/>
  <c r="V54" i="82"/>
  <c r="T54" i="82"/>
  <c r="P54" i="82"/>
  <c r="X54" i="82" s="1"/>
  <c r="H54" i="82"/>
  <c r="N54" i="82" s="1"/>
  <c r="D54" i="82"/>
  <c r="L54" i="82" s="1"/>
  <c r="B54" i="82"/>
  <c r="Z53" i="82"/>
  <c r="X53" i="82"/>
  <c r="N53" i="82"/>
  <c r="L53" i="82"/>
  <c r="B53" i="82"/>
  <c r="T52" i="82"/>
  <c r="Z52" i="82" s="1"/>
  <c r="P52" i="82"/>
  <c r="X52" i="82" s="1"/>
  <c r="L52" i="82"/>
  <c r="N52" i="82" s="1"/>
  <c r="J52" i="82"/>
  <c r="H52" i="82"/>
  <c r="D52" i="82"/>
  <c r="B52" i="82"/>
  <c r="Z51" i="82"/>
  <c r="X51" i="82"/>
  <c r="V51" i="82"/>
  <c r="N51" i="82"/>
  <c r="L51" i="82"/>
  <c r="B51" i="82"/>
  <c r="V50" i="82"/>
  <c r="T50" i="82"/>
  <c r="P50" i="82"/>
  <c r="X50" i="82" s="1"/>
  <c r="Z50" i="82" s="1"/>
  <c r="H50" i="82"/>
  <c r="L50" i="82" s="1"/>
  <c r="D50" i="82"/>
  <c r="B50" i="82"/>
  <c r="Z49" i="82"/>
  <c r="X49" i="82"/>
  <c r="N49" i="82"/>
  <c r="L49" i="82"/>
  <c r="B49" i="82"/>
  <c r="T48" i="82"/>
  <c r="X48" i="82" s="1"/>
  <c r="P48" i="82"/>
  <c r="L48" i="82"/>
  <c r="J48" i="82"/>
  <c r="H48" i="82"/>
  <c r="N48" i="82" s="1"/>
  <c r="D48" i="82"/>
  <c r="B48" i="82"/>
  <c r="Z47" i="82"/>
  <c r="X47" i="82"/>
  <c r="V47" i="82"/>
  <c r="N47" i="82"/>
  <c r="L47" i="82"/>
  <c r="B47" i="82"/>
  <c r="Z46" i="82"/>
  <c r="X46" i="82"/>
  <c r="V46" i="82"/>
  <c r="N46" i="82"/>
  <c r="L46" i="82"/>
  <c r="B46" i="82"/>
  <c r="Z45" i="82"/>
  <c r="X45" i="82"/>
  <c r="N45" i="82"/>
  <c r="L45" i="82"/>
  <c r="B45" i="82"/>
  <c r="Z44" i="82"/>
  <c r="X44" i="82"/>
  <c r="N44" i="82"/>
  <c r="L44" i="82"/>
  <c r="B44" i="82"/>
  <c r="Z43" i="82"/>
  <c r="X43" i="82"/>
  <c r="N43" i="82"/>
  <c r="L43" i="82"/>
  <c r="J43" i="82"/>
  <c r="B43" i="82"/>
  <c r="Z42" i="82"/>
  <c r="X42" i="82"/>
  <c r="N42" i="82"/>
  <c r="L42" i="82"/>
  <c r="J42" i="82"/>
  <c r="B42" i="82"/>
  <c r="Z41" i="82"/>
  <c r="X41" i="82"/>
  <c r="N41" i="82"/>
  <c r="L41" i="82"/>
  <c r="B41" i="82"/>
  <c r="Z40" i="82"/>
  <c r="X40" i="82"/>
  <c r="N40" i="82"/>
  <c r="L40" i="82"/>
  <c r="B40" i="82"/>
  <c r="X39" i="82"/>
  <c r="Z39" i="82" s="1"/>
  <c r="N39" i="82"/>
  <c r="L39" i="82"/>
  <c r="B39" i="82"/>
  <c r="Z38" i="82"/>
  <c r="X38" i="82"/>
  <c r="V38" i="82"/>
  <c r="N38" i="82"/>
  <c r="L38" i="82"/>
  <c r="B38" i="82"/>
  <c r="X37" i="82"/>
  <c r="Z37" i="82" s="1"/>
  <c r="T37" i="82"/>
  <c r="P37" i="82"/>
  <c r="J37" i="82"/>
  <c r="H37" i="82"/>
  <c r="D37" i="82"/>
  <c r="L37" i="82" s="1"/>
  <c r="B37" i="82"/>
  <c r="Z36" i="82"/>
  <c r="X36" i="82"/>
  <c r="N36" i="82"/>
  <c r="L36" i="82"/>
  <c r="B36" i="82"/>
  <c r="Z35" i="82"/>
  <c r="X35" i="82"/>
  <c r="N35" i="82"/>
  <c r="L35" i="82"/>
  <c r="B35" i="82"/>
  <c r="X34" i="82"/>
  <c r="Z34" i="82" s="1"/>
  <c r="L34" i="82"/>
  <c r="N34" i="82" s="1"/>
  <c r="B34" i="82"/>
  <c r="Z33" i="82"/>
  <c r="X33" i="82"/>
  <c r="N33" i="82"/>
  <c r="L33" i="82"/>
  <c r="B33" i="82"/>
  <c r="Z32" i="82"/>
  <c r="X32" i="82"/>
  <c r="N32" i="82"/>
  <c r="L32" i="82"/>
  <c r="B32" i="82"/>
  <c r="Z31" i="82"/>
  <c r="X31" i="82"/>
  <c r="V31" i="82"/>
  <c r="N31" i="82"/>
  <c r="L31" i="82"/>
  <c r="B31" i="82"/>
  <c r="X30" i="82"/>
  <c r="Z30" i="82" s="1"/>
  <c r="V30" i="82"/>
  <c r="L30" i="82"/>
  <c r="N30" i="82" s="1"/>
  <c r="B30" i="82"/>
  <c r="X29" i="82"/>
  <c r="Z29" i="82" s="1"/>
  <c r="L29" i="82"/>
  <c r="N29" i="82" s="1"/>
  <c r="B29" i="82"/>
  <c r="Z28" i="82"/>
  <c r="X28" i="82"/>
  <c r="N28" i="82"/>
  <c r="L28" i="82"/>
  <c r="B28" i="82"/>
  <c r="Z27" i="82"/>
  <c r="X27" i="82"/>
  <c r="N27" i="82"/>
  <c r="L27" i="82"/>
  <c r="F27" i="82"/>
  <c r="B27" i="82"/>
  <c r="X26" i="82"/>
  <c r="T26" i="82"/>
  <c r="P26" i="82"/>
  <c r="N26" i="82"/>
  <c r="H26" i="82"/>
  <c r="D26" i="82"/>
  <c r="L26" i="82" s="1"/>
  <c r="B26" i="82"/>
  <c r="T25" i="82" a="1"/>
  <c r="T25" i="82"/>
  <c r="Z25" i="82" s="1"/>
  <c r="P25" i="82" a="1"/>
  <c r="P25" i="82" s="1"/>
  <c r="X25" i="82" s="1"/>
  <c r="L25" i="82"/>
  <c r="N25" i="82" s="1"/>
  <c r="H25" i="82" a="1"/>
  <c r="H25" i="82"/>
  <c r="D25" i="82" a="1"/>
  <c r="D25" i="82" s="1"/>
  <c r="Z21" i="82"/>
  <c r="X21" i="82"/>
  <c r="V21" i="82"/>
  <c r="N21" i="82"/>
  <c r="L21" i="82"/>
  <c r="B21" i="82"/>
  <c r="Z20" i="82"/>
  <c r="X20" i="82"/>
  <c r="N20" i="82"/>
  <c r="L20" i="82"/>
  <c r="B20" i="82"/>
  <c r="Z19" i="82"/>
  <c r="X19" i="82"/>
  <c r="L19" i="82"/>
  <c r="N19" i="82" s="1"/>
  <c r="J19" i="82"/>
  <c r="B19" i="82"/>
  <c r="T18" i="82"/>
  <c r="P18" i="82"/>
  <c r="X18" i="82" s="1"/>
  <c r="Z18" i="82" s="1"/>
  <c r="L18" i="82"/>
  <c r="H18" i="82"/>
  <c r="D18" i="82"/>
  <c r="Z16" i="82"/>
  <c r="P16" i="82"/>
  <c r="X16" i="82" s="1"/>
  <c r="N16" i="82"/>
  <c r="D16" i="82"/>
  <c r="L16" i="82" s="1"/>
  <c r="B16" i="82"/>
  <c r="P15" i="82"/>
  <c r="X15" i="82" s="1"/>
  <c r="Z15" i="82" s="1"/>
  <c r="L15" i="82"/>
  <c r="N15" i="82" s="1"/>
  <c r="D15" i="82"/>
  <c r="B15" i="82"/>
  <c r="Z14" i="82"/>
  <c r="P14" i="82"/>
  <c r="X14" i="82" s="1"/>
  <c r="N14" i="82"/>
  <c r="L14" i="82"/>
  <c r="D14" i="82"/>
  <c r="B14" i="82"/>
  <c r="X13" i="82"/>
  <c r="Z13" i="82" s="1"/>
  <c r="P13" i="82"/>
  <c r="L13" i="82"/>
  <c r="N13" i="82" s="1"/>
  <c r="D13" i="82"/>
  <c r="D12" i="82" s="1"/>
  <c r="F44" i="82" s="1"/>
  <c r="B13" i="82"/>
  <c r="T12" i="82"/>
  <c r="H12" i="82"/>
  <c r="J74" i="82" s="1"/>
  <c r="D6" i="82"/>
  <c r="D4" i="82"/>
  <c r="J32" i="81"/>
  <c r="Z30" i="81"/>
  <c r="X30" i="81"/>
  <c r="N30" i="81"/>
  <c r="L30" i="81"/>
  <c r="F30" i="81"/>
  <c r="T26" i="81"/>
  <c r="P26" i="81"/>
  <c r="H26" i="81"/>
  <c r="N26" i="81" s="1"/>
  <c r="D26" i="81"/>
  <c r="L26" i="81" s="1"/>
  <c r="Z24" i="81"/>
  <c r="X24" i="81"/>
  <c r="N24" i="81"/>
  <c r="L24" i="81"/>
  <c r="F24" i="81"/>
  <c r="B24" i="81"/>
  <c r="V23" i="81"/>
  <c r="T23" i="81"/>
  <c r="Z23" i="81" s="1"/>
  <c r="R23" i="81"/>
  <c r="P23" i="81"/>
  <c r="X23" i="81" s="1"/>
  <c r="N23" i="81"/>
  <c r="H23" i="81"/>
  <c r="F23" i="81"/>
  <c r="D23" i="81"/>
  <c r="L23" i="81" s="1"/>
  <c r="B23" i="81"/>
  <c r="Z22" i="81"/>
  <c r="X22" i="81"/>
  <c r="V22" i="81"/>
  <c r="N22" i="81"/>
  <c r="L22" i="81"/>
  <c r="F22" i="81"/>
  <c r="B22" i="81"/>
  <c r="Z21" i="81"/>
  <c r="X21" i="81"/>
  <c r="T21" i="81"/>
  <c r="P21" i="81"/>
  <c r="J21" i="81"/>
  <c r="H21" i="81"/>
  <c r="N21" i="81" s="1"/>
  <c r="D21" i="81"/>
  <c r="L21" i="81" s="1"/>
  <c r="B21" i="81"/>
  <c r="Z20" i="81"/>
  <c r="X20" i="81"/>
  <c r="N20" i="81"/>
  <c r="L20" i="81"/>
  <c r="F20" i="81"/>
  <c r="B20" i="81"/>
  <c r="Z19" i="81"/>
  <c r="V19" i="81"/>
  <c r="T19" i="81"/>
  <c r="P19" i="81"/>
  <c r="X19" i="81" s="1"/>
  <c r="N19" i="81"/>
  <c r="H19" i="81"/>
  <c r="F19" i="81"/>
  <c r="D19" i="81"/>
  <c r="L19" i="81" s="1"/>
  <c r="B19" i="81"/>
  <c r="T18" i="81" a="1"/>
  <c r="T18" i="81" s="1"/>
  <c r="Z18" i="81" s="1"/>
  <c r="P18" i="81" a="1"/>
  <c r="P18" i="81" s="1"/>
  <c r="X18" i="81" s="1"/>
  <c r="L18" i="81"/>
  <c r="J18" i="81"/>
  <c r="H18" i="81" a="1"/>
  <c r="H18" i="81" s="1"/>
  <c r="N18" i="81" s="1"/>
  <c r="F18" i="81"/>
  <c r="D18" i="81" a="1"/>
  <c r="D18" i="81" s="1"/>
  <c r="T16" i="81"/>
  <c r="Z16" i="81" s="1"/>
  <c r="F16" i="81"/>
  <c r="D16" i="81"/>
  <c r="Z14" i="81"/>
  <c r="V14" i="81"/>
  <c r="T14" i="81"/>
  <c r="P14" i="81"/>
  <c r="X14" i="81" s="1"/>
  <c r="H14" i="81"/>
  <c r="N14" i="81" s="1"/>
  <c r="F14" i="81"/>
  <c r="D14" i="81"/>
  <c r="X12" i="81"/>
  <c r="T12" i="81"/>
  <c r="P12" i="81"/>
  <c r="H12" i="81"/>
  <c r="J22" i="81" s="1"/>
  <c r="D12" i="81"/>
  <c r="F32" i="81" s="1"/>
  <c r="D6" i="81"/>
  <c r="D4" i="81"/>
  <c r="R35" i="80"/>
  <c r="R32" i="80"/>
  <c r="Z30" i="80"/>
  <c r="X30" i="80"/>
  <c r="R30" i="80"/>
  <c r="N30" i="80"/>
  <c r="L30" i="80"/>
  <c r="F30" i="80"/>
  <c r="R28" i="80"/>
  <c r="T26" i="80"/>
  <c r="Z26" i="80" s="1"/>
  <c r="R26" i="80"/>
  <c r="P26" i="80"/>
  <c r="X26" i="80" s="1"/>
  <c r="L26" i="80"/>
  <c r="H26" i="80"/>
  <c r="N26" i="80" s="1"/>
  <c r="D26" i="80"/>
  <c r="Z24" i="80"/>
  <c r="X24" i="80"/>
  <c r="R24" i="80"/>
  <c r="N24" i="80"/>
  <c r="L24" i="80"/>
  <c r="F24" i="80"/>
  <c r="B24" i="80"/>
  <c r="T23" i="80"/>
  <c r="Z23" i="80" s="1"/>
  <c r="P23" i="80"/>
  <c r="N23" i="80"/>
  <c r="L23" i="80"/>
  <c r="H23" i="80"/>
  <c r="F23" i="80"/>
  <c r="D23" i="80"/>
  <c r="B23" i="80"/>
  <c r="Z22" i="80"/>
  <c r="X22" i="80"/>
  <c r="V22" i="80"/>
  <c r="R22" i="80"/>
  <c r="N22" i="80"/>
  <c r="L22" i="80"/>
  <c r="B22" i="80"/>
  <c r="Z21" i="80"/>
  <c r="X21" i="80"/>
  <c r="V21" i="80"/>
  <c r="T21" i="80"/>
  <c r="R21" i="80"/>
  <c r="P21" i="80"/>
  <c r="H21" i="80"/>
  <c r="N21" i="80" s="1"/>
  <c r="F21" i="80"/>
  <c r="D21" i="80"/>
  <c r="L21" i="80" s="1"/>
  <c r="B21" i="80"/>
  <c r="Z20" i="80"/>
  <c r="X20" i="80"/>
  <c r="R20" i="80"/>
  <c r="L20" i="80"/>
  <c r="N20" i="80" s="1"/>
  <c r="F20" i="80"/>
  <c r="B20" i="80"/>
  <c r="V19" i="80"/>
  <c r="T19" i="80"/>
  <c r="R19" i="80"/>
  <c r="P19" i="80"/>
  <c r="L19" i="80"/>
  <c r="N19" i="80" s="1"/>
  <c r="H19" i="80"/>
  <c r="F19" i="80"/>
  <c r="D19" i="80"/>
  <c r="B19" i="80"/>
  <c r="T18" i="80" a="1"/>
  <c r="T18" i="80" s="1"/>
  <c r="R18" i="80"/>
  <c r="P18" i="80" a="1"/>
  <c r="P18" i="80"/>
  <c r="X18" i="80" s="1"/>
  <c r="H18" i="80" a="1"/>
  <c r="H18" i="80" s="1"/>
  <c r="F18" i="80"/>
  <c r="D18" i="80" a="1"/>
  <c r="D18" i="80"/>
  <c r="L18" i="80" s="1"/>
  <c r="V16" i="80"/>
  <c r="F16" i="80"/>
  <c r="T14" i="80"/>
  <c r="P14" i="80"/>
  <c r="P16" i="80" s="1"/>
  <c r="N14" i="80"/>
  <c r="H14" i="80"/>
  <c r="F14" i="80"/>
  <c r="D14" i="80"/>
  <c r="L14" i="80" s="1"/>
  <c r="X12" i="80"/>
  <c r="T12" i="80"/>
  <c r="P12" i="80"/>
  <c r="R14" i="80" s="1"/>
  <c r="H12" i="80"/>
  <c r="D12" i="80"/>
  <c r="D6" i="80"/>
  <c r="D4" i="80"/>
  <c r="R37" i="79"/>
  <c r="J37" i="79"/>
  <c r="J34" i="79"/>
  <c r="Z32" i="79"/>
  <c r="X32" i="79"/>
  <c r="N32" i="79"/>
  <c r="L32" i="79"/>
  <c r="F32" i="79"/>
  <c r="J30" i="79"/>
  <c r="Z28" i="79"/>
  <c r="T28" i="79"/>
  <c r="X28" i="79" s="1"/>
  <c r="P28" i="79"/>
  <c r="J28" i="79"/>
  <c r="H28" i="79"/>
  <c r="N28" i="79" s="1"/>
  <c r="D28" i="79"/>
  <c r="L28" i="79" s="1"/>
  <c r="Z26" i="79"/>
  <c r="X26" i="79"/>
  <c r="N26" i="79"/>
  <c r="L26" i="79"/>
  <c r="F26" i="79"/>
  <c r="B26" i="79"/>
  <c r="V25" i="79"/>
  <c r="T25" i="79"/>
  <c r="Z25" i="79" s="1"/>
  <c r="P25" i="79"/>
  <c r="X25" i="79" s="1"/>
  <c r="N25" i="79"/>
  <c r="H25" i="79"/>
  <c r="F25" i="79"/>
  <c r="D25" i="79"/>
  <c r="L25" i="79" s="1"/>
  <c r="B25" i="79"/>
  <c r="Z24" i="79"/>
  <c r="X24" i="79"/>
  <c r="V24" i="79"/>
  <c r="N24" i="79"/>
  <c r="L24" i="79"/>
  <c r="J24" i="79"/>
  <c r="F24" i="79"/>
  <c r="B24" i="79"/>
  <c r="Z23" i="79"/>
  <c r="T23" i="79"/>
  <c r="P23" i="79"/>
  <c r="X23" i="79" s="1"/>
  <c r="N23" i="79"/>
  <c r="J23" i="79"/>
  <c r="H23" i="79"/>
  <c r="L23" i="79" s="1"/>
  <c r="D23" i="79"/>
  <c r="B23" i="79"/>
  <c r="Z22" i="79"/>
  <c r="X22" i="79"/>
  <c r="R22" i="79"/>
  <c r="N22" i="79"/>
  <c r="L22" i="79"/>
  <c r="B22" i="79"/>
  <c r="Z21" i="79"/>
  <c r="V21" i="79"/>
  <c r="T21" i="79"/>
  <c r="X21" i="79" s="1"/>
  <c r="P21" i="79"/>
  <c r="N21" i="79"/>
  <c r="J21" i="79"/>
  <c r="H21" i="79"/>
  <c r="F21" i="79"/>
  <c r="D21" i="79"/>
  <c r="L21" i="79" s="1"/>
  <c r="B21" i="79"/>
  <c r="X20" i="79"/>
  <c r="Z20" i="79" s="1"/>
  <c r="V20" i="79"/>
  <c r="L20" i="79"/>
  <c r="N20" i="79" s="1"/>
  <c r="J20" i="79"/>
  <c r="B20" i="79"/>
  <c r="Z19" i="79"/>
  <c r="X19" i="79"/>
  <c r="V19" i="79"/>
  <c r="T19" i="79"/>
  <c r="P19" i="79"/>
  <c r="J19" i="79"/>
  <c r="H19" i="79"/>
  <c r="F19" i="79"/>
  <c r="D19" i="79"/>
  <c r="B19" i="79"/>
  <c r="T18" i="79" a="1"/>
  <c r="T18" i="79" s="1"/>
  <c r="P18" i="79" a="1"/>
  <c r="P18" i="79"/>
  <c r="H18" i="79" a="1"/>
  <c r="H18" i="79" s="1"/>
  <c r="F18" i="79"/>
  <c r="D18" i="79" a="1"/>
  <c r="D18" i="79"/>
  <c r="T16" i="79"/>
  <c r="P16" i="79"/>
  <c r="J16" i="79"/>
  <c r="X14" i="79"/>
  <c r="V14" i="79"/>
  <c r="T14" i="79"/>
  <c r="Z14" i="79" s="1"/>
  <c r="P14" i="79"/>
  <c r="L14" i="79"/>
  <c r="J14" i="79"/>
  <c r="H14" i="79"/>
  <c r="N14" i="79" s="1"/>
  <c r="D14" i="79"/>
  <c r="Z12" i="79"/>
  <c r="T12" i="79"/>
  <c r="V34" i="79" s="1"/>
  <c r="P12" i="79"/>
  <c r="R20" i="79" s="1"/>
  <c r="N12" i="79"/>
  <c r="L12" i="79"/>
  <c r="H12" i="79"/>
  <c r="J32" i="79" s="1"/>
  <c r="D12" i="79"/>
  <c r="D6" i="79"/>
  <c r="D4" i="79"/>
  <c r="V87" i="78"/>
  <c r="V84" i="78"/>
  <c r="Z82" i="78"/>
  <c r="X82" i="78"/>
  <c r="V82" i="78"/>
  <c r="N82" i="78"/>
  <c r="L82" i="78"/>
  <c r="V80" i="78"/>
  <c r="Z78" i="78"/>
  <c r="X78" i="78"/>
  <c r="P78" i="78"/>
  <c r="N78" i="78"/>
  <c r="L78" i="78"/>
  <c r="D78" i="78"/>
  <c r="B78" i="78"/>
  <c r="V77" i="78"/>
  <c r="T77" i="78"/>
  <c r="Z77" i="78" s="1"/>
  <c r="P77" i="78"/>
  <c r="X77" i="78" s="1"/>
  <c r="N77" i="78"/>
  <c r="H77" i="78"/>
  <c r="D77" i="78"/>
  <c r="L77" i="78" s="1"/>
  <c r="Z75" i="78"/>
  <c r="X75" i="78"/>
  <c r="L75" i="78"/>
  <c r="N75" i="78" s="1"/>
  <c r="B75" i="78"/>
  <c r="V74" i="78"/>
  <c r="T74" i="78"/>
  <c r="P74" i="78"/>
  <c r="X74" i="78" s="1"/>
  <c r="Z74" i="78" s="1"/>
  <c r="H74" i="78"/>
  <c r="D74" i="78"/>
  <c r="B74" i="78"/>
  <c r="Z73" i="78"/>
  <c r="X73" i="78"/>
  <c r="N73" i="78"/>
  <c r="L73" i="78"/>
  <c r="B73" i="78"/>
  <c r="Z72" i="78"/>
  <c r="X72" i="78"/>
  <c r="N72" i="78"/>
  <c r="L72" i="78"/>
  <c r="B72" i="78"/>
  <c r="T71" i="78"/>
  <c r="X71" i="78" s="1"/>
  <c r="P71" i="78"/>
  <c r="N71" i="78"/>
  <c r="H71" i="78"/>
  <c r="D71" i="78"/>
  <c r="L71" i="78" s="1"/>
  <c r="B71" i="78"/>
  <c r="X70" i="78"/>
  <c r="Z70" i="78" s="1"/>
  <c r="V70" i="78"/>
  <c r="L70" i="78"/>
  <c r="N70" i="78" s="1"/>
  <c r="B70" i="78"/>
  <c r="X69" i="78"/>
  <c r="Z69" i="78" s="1"/>
  <c r="T69" i="78"/>
  <c r="P69" i="78"/>
  <c r="H69" i="78"/>
  <c r="D69" i="78"/>
  <c r="B69" i="78"/>
  <c r="Z68" i="78"/>
  <c r="X68" i="78"/>
  <c r="N68" i="78"/>
  <c r="L68" i="78"/>
  <c r="B68" i="78"/>
  <c r="T67" i="78"/>
  <c r="Z67" i="78" s="1"/>
  <c r="P67" i="78"/>
  <c r="N67" i="78"/>
  <c r="L67" i="78"/>
  <c r="H67" i="78"/>
  <c r="D67" i="78"/>
  <c r="B67" i="78"/>
  <c r="Z66" i="78"/>
  <c r="X66" i="78"/>
  <c r="N66" i="78"/>
  <c r="L66" i="78"/>
  <c r="J66" i="78"/>
  <c r="B66" i="78"/>
  <c r="Z65" i="78"/>
  <c r="X65" i="78"/>
  <c r="N65" i="78"/>
  <c r="L65" i="78"/>
  <c r="B65" i="78"/>
  <c r="T64" i="78"/>
  <c r="Z64" i="78" s="1"/>
  <c r="P64" i="78"/>
  <c r="N64" i="78"/>
  <c r="L64" i="78"/>
  <c r="H64" i="78"/>
  <c r="D64" i="78"/>
  <c r="B64" i="78"/>
  <c r="Z63" i="78"/>
  <c r="X63" i="78"/>
  <c r="R63" i="78"/>
  <c r="N63" i="78"/>
  <c r="L63" i="78"/>
  <c r="J63" i="78"/>
  <c r="F63" i="78"/>
  <c r="B63" i="78"/>
  <c r="Z62" i="78"/>
  <c r="V62" i="78"/>
  <c r="T62" i="78"/>
  <c r="P62" i="78"/>
  <c r="X62" i="78" s="1"/>
  <c r="N62" i="78"/>
  <c r="L62" i="78"/>
  <c r="H62" i="78"/>
  <c r="D62" i="78"/>
  <c r="B62" i="78"/>
  <c r="X61" i="78"/>
  <c r="Z61" i="78" s="1"/>
  <c r="N61" i="78"/>
  <c r="L61" i="78"/>
  <c r="B61" i="78"/>
  <c r="Z60" i="78"/>
  <c r="X60" i="78"/>
  <c r="N60" i="78"/>
  <c r="L60" i="78"/>
  <c r="B60" i="78"/>
  <c r="Z59" i="78"/>
  <c r="X59" i="78"/>
  <c r="V59" i="78"/>
  <c r="L59" i="78"/>
  <c r="N59" i="78" s="1"/>
  <c r="J59" i="78"/>
  <c r="B59" i="78"/>
  <c r="X58" i="78"/>
  <c r="Z58" i="78" s="1"/>
  <c r="T58" i="78"/>
  <c r="P58" i="78"/>
  <c r="H58" i="78"/>
  <c r="L58" i="78" s="1"/>
  <c r="D58" i="78"/>
  <c r="B58" i="78"/>
  <c r="Z57" i="78"/>
  <c r="X57" i="78"/>
  <c r="N57" i="78"/>
  <c r="L57" i="78"/>
  <c r="B57" i="78"/>
  <c r="Z56" i="78"/>
  <c r="X56" i="78"/>
  <c r="R56" i="78"/>
  <c r="N56" i="78"/>
  <c r="L56" i="78"/>
  <c r="B56" i="78"/>
  <c r="Z55" i="78"/>
  <c r="X55" i="78"/>
  <c r="N55" i="78"/>
  <c r="L55" i="78"/>
  <c r="J55" i="78"/>
  <c r="B55" i="78"/>
  <c r="Z54" i="78"/>
  <c r="X54" i="78"/>
  <c r="N54" i="78"/>
  <c r="L54" i="78"/>
  <c r="J54" i="78"/>
  <c r="B54" i="78"/>
  <c r="T53" i="78"/>
  <c r="P53" i="78"/>
  <c r="X53" i="78" s="1"/>
  <c r="Z53" i="78" s="1"/>
  <c r="N53" i="78"/>
  <c r="J53" i="78"/>
  <c r="H53" i="78"/>
  <c r="L53" i="78" s="1"/>
  <c r="D53" i="78"/>
  <c r="B53" i="78"/>
  <c r="Z52" i="78"/>
  <c r="X52" i="78"/>
  <c r="R52" i="78"/>
  <c r="N52" i="78"/>
  <c r="L52" i="78"/>
  <c r="B52" i="78"/>
  <c r="Z51" i="78"/>
  <c r="T51" i="78"/>
  <c r="X51" i="78" s="1"/>
  <c r="P51" i="78"/>
  <c r="L51" i="78"/>
  <c r="N51" i="78" s="1"/>
  <c r="H51" i="78"/>
  <c r="D51" i="78"/>
  <c r="B51" i="78"/>
  <c r="X50" i="78"/>
  <c r="Z50" i="78" s="1"/>
  <c r="N50" i="78"/>
  <c r="L50" i="78"/>
  <c r="B50" i="78"/>
  <c r="X49" i="78"/>
  <c r="Z49" i="78" s="1"/>
  <c r="T49" i="78"/>
  <c r="P49" i="78"/>
  <c r="H49" i="78"/>
  <c r="N49" i="78" s="1"/>
  <c r="D49" i="78"/>
  <c r="B49" i="78"/>
  <c r="Z48" i="78"/>
  <c r="X48" i="78"/>
  <c r="L48" i="78"/>
  <c r="N48" i="78" s="1"/>
  <c r="B48" i="78"/>
  <c r="V47" i="78"/>
  <c r="T47" i="78"/>
  <c r="P47" i="78"/>
  <c r="X47" i="78" s="1"/>
  <c r="N47" i="78"/>
  <c r="H47" i="78"/>
  <c r="D47" i="78"/>
  <c r="L47" i="78" s="1"/>
  <c r="B47" i="78"/>
  <c r="Z46" i="78"/>
  <c r="X46" i="78"/>
  <c r="N46" i="78"/>
  <c r="L46" i="78"/>
  <c r="J46" i="78"/>
  <c r="B46" i="78"/>
  <c r="Z45" i="78"/>
  <c r="T45" i="78"/>
  <c r="P45" i="78"/>
  <c r="X45" i="78" s="1"/>
  <c r="N45" i="78"/>
  <c r="L45" i="78"/>
  <c r="H45" i="78"/>
  <c r="D45" i="78"/>
  <c r="B45" i="78"/>
  <c r="X44" i="78"/>
  <c r="Z44" i="78" s="1"/>
  <c r="R44" i="78"/>
  <c r="N44" i="78"/>
  <c r="L44" i="78"/>
  <c r="B44" i="78"/>
  <c r="Z43" i="78"/>
  <c r="X43" i="78"/>
  <c r="R43" i="78"/>
  <c r="N43" i="78"/>
  <c r="L43" i="78"/>
  <c r="B43" i="78"/>
  <c r="Z42" i="78"/>
  <c r="X42" i="78"/>
  <c r="V42" i="78"/>
  <c r="T42" i="78"/>
  <c r="P42" i="78"/>
  <c r="L42" i="78"/>
  <c r="H42" i="78"/>
  <c r="D42" i="78"/>
  <c r="B42" i="78"/>
  <c r="X41" i="78"/>
  <c r="Z41" i="78" s="1"/>
  <c r="V41" i="78"/>
  <c r="N41" i="78"/>
  <c r="L41" i="78"/>
  <c r="J41" i="78"/>
  <c r="B41" i="78"/>
  <c r="T40" i="78"/>
  <c r="P40" i="78"/>
  <c r="H40" i="78"/>
  <c r="D40" i="78"/>
  <c r="L40" i="78" s="1"/>
  <c r="B40" i="78"/>
  <c r="Z39" i="78"/>
  <c r="X39" i="78"/>
  <c r="N39" i="78"/>
  <c r="L39" i="78"/>
  <c r="J39" i="78"/>
  <c r="B39" i="78"/>
  <c r="Z38" i="78"/>
  <c r="X38" i="78"/>
  <c r="R38" i="78"/>
  <c r="N38" i="78"/>
  <c r="L38" i="78"/>
  <c r="J38" i="78"/>
  <c r="B38" i="78"/>
  <c r="Z37" i="78"/>
  <c r="X37" i="78"/>
  <c r="V37" i="78"/>
  <c r="N37" i="78"/>
  <c r="L37" i="78"/>
  <c r="J37" i="78"/>
  <c r="B37" i="78"/>
  <c r="Z36" i="78"/>
  <c r="X36" i="78"/>
  <c r="R36" i="78"/>
  <c r="N36" i="78"/>
  <c r="L36" i="78"/>
  <c r="B36" i="78"/>
  <c r="Z35" i="78"/>
  <c r="X35" i="78"/>
  <c r="V35" i="78"/>
  <c r="N35" i="78"/>
  <c r="L35" i="78"/>
  <c r="B35" i="78"/>
  <c r="Z34" i="78"/>
  <c r="X34" i="78"/>
  <c r="R34" i="78"/>
  <c r="N34" i="78"/>
  <c r="L34" i="78"/>
  <c r="B34" i="78"/>
  <c r="Z33" i="78"/>
  <c r="X33" i="78"/>
  <c r="N33" i="78"/>
  <c r="L33" i="78"/>
  <c r="J33" i="78"/>
  <c r="B33" i="78"/>
  <c r="Z32" i="78"/>
  <c r="X32" i="78"/>
  <c r="N32" i="78"/>
  <c r="L32" i="78"/>
  <c r="F32" i="78"/>
  <c r="B32" i="78"/>
  <c r="Z31" i="78"/>
  <c r="X31" i="78"/>
  <c r="N31" i="78"/>
  <c r="L31" i="78"/>
  <c r="J31" i="78"/>
  <c r="B31" i="78"/>
  <c r="X30" i="78"/>
  <c r="Z30" i="78" s="1"/>
  <c r="R30" i="78"/>
  <c r="L30" i="78"/>
  <c r="N30" i="78" s="1"/>
  <c r="J30" i="78"/>
  <c r="B30" i="78"/>
  <c r="T29" i="78"/>
  <c r="R29" i="78"/>
  <c r="P29" i="78"/>
  <c r="X29" i="78" s="1"/>
  <c r="H29" i="78"/>
  <c r="D29" i="78"/>
  <c r="L29" i="78" s="1"/>
  <c r="N29" i="78" s="1"/>
  <c r="B29" i="78"/>
  <c r="X28" i="78"/>
  <c r="Z28" i="78" s="1"/>
  <c r="L28" i="78"/>
  <c r="N28" i="78" s="1"/>
  <c r="F28" i="78"/>
  <c r="B28" i="78"/>
  <c r="Z27" i="78"/>
  <c r="X27" i="78"/>
  <c r="N27" i="78"/>
  <c r="L27" i="78"/>
  <c r="J27" i="78"/>
  <c r="F27" i="78"/>
  <c r="B27" i="78"/>
  <c r="X26" i="78"/>
  <c r="Z26" i="78" s="1"/>
  <c r="R26" i="78"/>
  <c r="L26" i="78"/>
  <c r="N26" i="78" s="1"/>
  <c r="J26" i="78"/>
  <c r="B26" i="78"/>
  <c r="Z25" i="78"/>
  <c r="X25" i="78"/>
  <c r="V25" i="78"/>
  <c r="N25" i="78"/>
  <c r="L25" i="78"/>
  <c r="J25" i="78"/>
  <c r="B25" i="78"/>
  <c r="X24" i="78"/>
  <c r="Z24" i="78" s="1"/>
  <c r="R24" i="78"/>
  <c r="N24" i="78"/>
  <c r="L24" i="78"/>
  <c r="B24" i="78"/>
  <c r="Z23" i="78"/>
  <c r="X23" i="78"/>
  <c r="N23" i="78"/>
  <c r="L23" i="78"/>
  <c r="B23" i="78"/>
  <c r="X22" i="78"/>
  <c r="Z22" i="78" s="1"/>
  <c r="V22" i="78"/>
  <c r="R22" i="78"/>
  <c r="L22" i="78"/>
  <c r="N22" i="78" s="1"/>
  <c r="B22" i="78"/>
  <c r="Z21" i="78"/>
  <c r="X21" i="78"/>
  <c r="V21" i="78"/>
  <c r="L21" i="78"/>
  <c r="N21" i="78" s="1"/>
  <c r="J21" i="78"/>
  <c r="B21" i="78"/>
  <c r="X20" i="78"/>
  <c r="Z20" i="78" s="1"/>
  <c r="L20" i="78"/>
  <c r="N20" i="78" s="1"/>
  <c r="B20" i="78"/>
  <c r="Z19" i="78"/>
  <c r="T19" i="78"/>
  <c r="P19" i="78"/>
  <c r="X19" i="78" s="1"/>
  <c r="N19" i="78"/>
  <c r="L19" i="78"/>
  <c r="J19" i="78"/>
  <c r="H19" i="78"/>
  <c r="D19" i="78"/>
  <c r="B19" i="78"/>
  <c r="T18" i="78" a="1"/>
  <c r="T18" i="78" s="1"/>
  <c r="P18" i="78" a="1"/>
  <c r="P18" i="78"/>
  <c r="X18" i="78" s="1"/>
  <c r="J18" i="78"/>
  <c r="H18" i="78" a="1"/>
  <c r="H18" i="78" s="1"/>
  <c r="D18" i="78" a="1"/>
  <c r="D18" i="78"/>
  <c r="V16" i="78"/>
  <c r="T16" i="78"/>
  <c r="H16" i="78"/>
  <c r="N16" i="78" s="1"/>
  <c r="T14" i="78"/>
  <c r="Z14" i="78" s="1"/>
  <c r="P14" i="78"/>
  <c r="X14" i="78" s="1"/>
  <c r="N14" i="78"/>
  <c r="H14" i="78"/>
  <c r="D14" i="78"/>
  <c r="L14" i="78" s="1"/>
  <c r="X12" i="78"/>
  <c r="T12" i="78"/>
  <c r="V33" i="78" s="1"/>
  <c r="P12" i="78"/>
  <c r="H12" i="78"/>
  <c r="J65" i="78" s="1"/>
  <c r="D12" i="78"/>
  <c r="F38" i="78" s="1"/>
  <c r="D6" i="78"/>
  <c r="D4" i="78"/>
  <c r="J33" i="77"/>
  <c r="R30" i="77"/>
  <c r="J30" i="77"/>
  <c r="Z28" i="77"/>
  <c r="X28" i="77"/>
  <c r="N28" i="77"/>
  <c r="L28" i="77"/>
  <c r="F28" i="77"/>
  <c r="J26" i="77"/>
  <c r="T24" i="77"/>
  <c r="Z24" i="77" s="1"/>
  <c r="P24" i="77"/>
  <c r="J24" i="77"/>
  <c r="H24" i="77"/>
  <c r="N24" i="77" s="1"/>
  <c r="D24" i="77"/>
  <c r="Z22" i="77"/>
  <c r="X22" i="77"/>
  <c r="N22" i="77"/>
  <c r="L22" i="77"/>
  <c r="F22" i="77"/>
  <c r="B22" i="77"/>
  <c r="Z21" i="77"/>
  <c r="T21" i="77"/>
  <c r="R21" i="77"/>
  <c r="P21" i="77"/>
  <c r="X21" i="77" s="1"/>
  <c r="N21" i="77"/>
  <c r="L21" i="77"/>
  <c r="J21" i="77"/>
  <c r="H21" i="77"/>
  <c r="D21" i="77"/>
  <c r="B21" i="77"/>
  <c r="Z20" i="77"/>
  <c r="X20" i="77"/>
  <c r="V20" i="77"/>
  <c r="N20" i="77"/>
  <c r="L20" i="77"/>
  <c r="J20" i="77"/>
  <c r="F20" i="77"/>
  <c r="B20" i="77"/>
  <c r="Z19" i="77"/>
  <c r="X19" i="77"/>
  <c r="V19" i="77"/>
  <c r="T19" i="77"/>
  <c r="P19" i="77"/>
  <c r="N19" i="77"/>
  <c r="J19" i="77"/>
  <c r="H19" i="77"/>
  <c r="L19" i="77" s="1"/>
  <c r="F19" i="77"/>
  <c r="D19" i="77"/>
  <c r="B19" i="77"/>
  <c r="T18" i="77" a="1"/>
  <c r="T18" i="77" s="1"/>
  <c r="R18" i="77"/>
  <c r="P18" i="77" a="1"/>
  <c r="P18" i="77"/>
  <c r="J18" i="77"/>
  <c r="H18" i="77" a="1"/>
  <c r="H18" i="77"/>
  <c r="F18" i="77"/>
  <c r="D18" i="77" a="1"/>
  <c r="D18" i="77"/>
  <c r="T16" i="77"/>
  <c r="J16" i="77"/>
  <c r="H16" i="77"/>
  <c r="F16" i="77"/>
  <c r="D16" i="77"/>
  <c r="Z14" i="77"/>
  <c r="X14" i="77"/>
  <c r="T14" i="77"/>
  <c r="P14" i="77"/>
  <c r="L14" i="77"/>
  <c r="J14" i="77"/>
  <c r="H14" i="77"/>
  <c r="N14" i="77" s="1"/>
  <c r="D14" i="77"/>
  <c r="Z12" i="77"/>
  <c r="X12" i="77"/>
  <c r="T12" i="77"/>
  <c r="V33" i="77" s="1"/>
  <c r="P12" i="77"/>
  <c r="N12" i="77"/>
  <c r="L12" i="77"/>
  <c r="H12" i="77"/>
  <c r="J28" i="77" s="1"/>
  <c r="D12" i="77"/>
  <c r="F33" i="77" s="1"/>
  <c r="D6" i="77"/>
  <c r="D4" i="77"/>
  <c r="X96" i="76"/>
  <c r="Z96" i="76" s="1"/>
  <c r="L96" i="76"/>
  <c r="N96" i="76" s="1"/>
  <c r="Z92" i="76"/>
  <c r="P92" i="76"/>
  <c r="P91" i="76" s="1"/>
  <c r="N92" i="76"/>
  <c r="L92" i="76"/>
  <c r="D92" i="76"/>
  <c r="B92" i="76"/>
  <c r="T91" i="76"/>
  <c r="Z91" i="76" s="1"/>
  <c r="H91" i="76"/>
  <c r="N91" i="76" s="1"/>
  <c r="D91" i="76"/>
  <c r="L91" i="76" s="1"/>
  <c r="Z89" i="76"/>
  <c r="X89" i="76"/>
  <c r="N89" i="76"/>
  <c r="L89" i="76"/>
  <c r="B89" i="76"/>
  <c r="T88" i="76"/>
  <c r="P88" i="76"/>
  <c r="L88" i="76"/>
  <c r="N88" i="76" s="1"/>
  <c r="H88" i="76"/>
  <c r="D88" i="76"/>
  <c r="B88" i="76"/>
  <c r="X87" i="76"/>
  <c r="Z87" i="76" s="1"/>
  <c r="N87" i="76"/>
  <c r="L87" i="76"/>
  <c r="J87" i="76"/>
  <c r="B87" i="76"/>
  <c r="Z86" i="76"/>
  <c r="X86" i="76"/>
  <c r="T86" i="76"/>
  <c r="P86" i="76"/>
  <c r="J86" i="76"/>
  <c r="H86" i="76"/>
  <c r="D86" i="76"/>
  <c r="B86" i="76"/>
  <c r="Z85" i="76"/>
  <c r="X85" i="76"/>
  <c r="N85" i="76"/>
  <c r="L85" i="76"/>
  <c r="B85" i="76"/>
  <c r="T84" i="76"/>
  <c r="P84" i="76"/>
  <c r="H84" i="76"/>
  <c r="N84" i="76" s="1"/>
  <c r="F84" i="76"/>
  <c r="D84" i="76"/>
  <c r="L84" i="76" s="1"/>
  <c r="B84" i="76"/>
  <c r="X83" i="76"/>
  <c r="Z83" i="76" s="1"/>
  <c r="V83" i="76"/>
  <c r="L83" i="76"/>
  <c r="N83" i="76" s="1"/>
  <c r="J83" i="76"/>
  <c r="B83" i="76"/>
  <c r="T82" i="76"/>
  <c r="P82" i="76"/>
  <c r="X82" i="76" s="1"/>
  <c r="H82" i="76"/>
  <c r="D82" i="76"/>
  <c r="L82" i="76" s="1"/>
  <c r="B82" i="76"/>
  <c r="Z81" i="76"/>
  <c r="X81" i="76"/>
  <c r="N81" i="76"/>
  <c r="L81" i="76"/>
  <c r="B81" i="76"/>
  <c r="Z80" i="76"/>
  <c r="X80" i="76"/>
  <c r="N80" i="76"/>
  <c r="L80" i="76"/>
  <c r="B80" i="76"/>
  <c r="X79" i="76"/>
  <c r="Z79" i="76" s="1"/>
  <c r="V79" i="76"/>
  <c r="L79" i="76"/>
  <c r="N79" i="76" s="1"/>
  <c r="B79" i="76"/>
  <c r="X78" i="76"/>
  <c r="Z78" i="76" s="1"/>
  <c r="N78" i="76"/>
  <c r="L78" i="76"/>
  <c r="B78" i="76"/>
  <c r="Z77" i="76"/>
  <c r="X77" i="76"/>
  <c r="V77" i="76"/>
  <c r="N77" i="76"/>
  <c r="L77" i="76"/>
  <c r="B77" i="76"/>
  <c r="X76" i="76"/>
  <c r="Z76" i="76" s="1"/>
  <c r="N76" i="76"/>
  <c r="L76" i="76"/>
  <c r="B76" i="76"/>
  <c r="Z75" i="76"/>
  <c r="X75" i="76"/>
  <c r="L75" i="76"/>
  <c r="N75" i="76" s="1"/>
  <c r="B75" i="76"/>
  <c r="X74" i="76"/>
  <c r="Z74" i="76" s="1"/>
  <c r="L74" i="76"/>
  <c r="N74" i="76" s="1"/>
  <c r="B74" i="76"/>
  <c r="Z73" i="76"/>
  <c r="X73" i="76"/>
  <c r="N73" i="76"/>
  <c r="L73" i="76"/>
  <c r="J73" i="76"/>
  <c r="F73" i="76"/>
  <c r="B73" i="76"/>
  <c r="T72" i="76"/>
  <c r="P72" i="76"/>
  <c r="H72" i="76"/>
  <c r="D72" i="76"/>
  <c r="L72" i="76" s="1"/>
  <c r="N72" i="76" s="1"/>
  <c r="B72" i="76"/>
  <c r="X71" i="76"/>
  <c r="Z71" i="76" s="1"/>
  <c r="L71" i="76"/>
  <c r="N71" i="76" s="1"/>
  <c r="B71" i="76"/>
  <c r="X70" i="76"/>
  <c r="Z70" i="76" s="1"/>
  <c r="T70" i="76"/>
  <c r="P70" i="76"/>
  <c r="L70" i="76"/>
  <c r="H70" i="76"/>
  <c r="D70" i="76"/>
  <c r="B70" i="76"/>
  <c r="Z69" i="76"/>
  <c r="X69" i="76"/>
  <c r="N69" i="76"/>
  <c r="L69" i="76"/>
  <c r="B69" i="76"/>
  <c r="X68" i="76"/>
  <c r="Z68" i="76" s="1"/>
  <c r="V68" i="76"/>
  <c r="L68" i="76"/>
  <c r="N68" i="76" s="1"/>
  <c r="B68" i="76"/>
  <c r="Z67" i="76"/>
  <c r="X67" i="76"/>
  <c r="V67" i="76"/>
  <c r="N67" i="76"/>
  <c r="L67" i="76"/>
  <c r="B67" i="76"/>
  <c r="Z66" i="76"/>
  <c r="X66" i="76"/>
  <c r="L66" i="76"/>
  <c r="N66" i="76" s="1"/>
  <c r="F66" i="76"/>
  <c r="B66" i="76"/>
  <c r="T65" i="76"/>
  <c r="P65" i="76"/>
  <c r="L65" i="76"/>
  <c r="N65" i="76" s="1"/>
  <c r="J65" i="76"/>
  <c r="H65" i="76"/>
  <c r="D65" i="76"/>
  <c r="B65" i="76"/>
  <c r="X64" i="76"/>
  <c r="Z64" i="76" s="1"/>
  <c r="L64" i="76"/>
  <c r="N64" i="76" s="1"/>
  <c r="J64" i="76"/>
  <c r="B64" i="76"/>
  <c r="X63" i="76"/>
  <c r="Z63" i="76" s="1"/>
  <c r="N63" i="76"/>
  <c r="L63" i="76"/>
  <c r="J63" i="76"/>
  <c r="B63" i="76"/>
  <c r="Z62" i="76"/>
  <c r="X62" i="76"/>
  <c r="T62" i="76"/>
  <c r="P62" i="76"/>
  <c r="L62" i="76"/>
  <c r="J62" i="76"/>
  <c r="H62" i="76"/>
  <c r="D62" i="76"/>
  <c r="B62" i="76"/>
  <c r="Z61" i="76"/>
  <c r="X61" i="76"/>
  <c r="N61" i="76"/>
  <c r="L61" i="76"/>
  <c r="B61" i="76"/>
  <c r="X60" i="76"/>
  <c r="T60" i="76"/>
  <c r="P60" i="76"/>
  <c r="N60" i="76"/>
  <c r="H60" i="76"/>
  <c r="D60" i="76"/>
  <c r="L60" i="76" s="1"/>
  <c r="B60" i="76"/>
  <c r="X59" i="76"/>
  <c r="Z59" i="76" s="1"/>
  <c r="V59" i="76"/>
  <c r="N59" i="76"/>
  <c r="L59" i="76"/>
  <c r="B59" i="76"/>
  <c r="T58" i="76"/>
  <c r="P58" i="76"/>
  <c r="X58" i="76" s="1"/>
  <c r="Z58" i="76" s="1"/>
  <c r="H58" i="76"/>
  <c r="N58" i="76" s="1"/>
  <c r="D58" i="76"/>
  <c r="B58" i="76"/>
  <c r="Z57" i="76"/>
  <c r="X57" i="76"/>
  <c r="N57" i="76"/>
  <c r="L57" i="76"/>
  <c r="B57" i="76"/>
  <c r="T56" i="76"/>
  <c r="P56" i="76"/>
  <c r="X56" i="76" s="1"/>
  <c r="H56" i="76"/>
  <c r="D56" i="76"/>
  <c r="L56" i="76" s="1"/>
  <c r="N56" i="76" s="1"/>
  <c r="B56" i="76"/>
  <c r="X55" i="76"/>
  <c r="Z55" i="76" s="1"/>
  <c r="V55" i="76"/>
  <c r="L55" i="76"/>
  <c r="N55" i="76" s="1"/>
  <c r="B55" i="76"/>
  <c r="Z54" i="76"/>
  <c r="X54" i="76"/>
  <c r="N54" i="76"/>
  <c r="L54" i="76"/>
  <c r="F54" i="76"/>
  <c r="B54" i="76"/>
  <c r="T53" i="76"/>
  <c r="P53" i="76"/>
  <c r="L53" i="76"/>
  <c r="N53" i="76" s="1"/>
  <c r="J53" i="76"/>
  <c r="H53" i="76"/>
  <c r="D53" i="76"/>
  <c r="B53" i="76"/>
  <c r="X52" i="76"/>
  <c r="Z52" i="76" s="1"/>
  <c r="L52" i="76"/>
  <c r="N52" i="76" s="1"/>
  <c r="J52" i="76"/>
  <c r="B52" i="76"/>
  <c r="T51" i="76"/>
  <c r="P51" i="76"/>
  <c r="X51" i="76" s="1"/>
  <c r="Z51" i="76" s="1"/>
  <c r="N51" i="76"/>
  <c r="H51" i="76"/>
  <c r="L51" i="76" s="1"/>
  <c r="D51" i="76"/>
  <c r="B51" i="76"/>
  <c r="Z50" i="76"/>
  <c r="X50" i="76"/>
  <c r="N50" i="76"/>
  <c r="L50" i="76"/>
  <c r="B50" i="76"/>
  <c r="Z49" i="76"/>
  <c r="T49" i="76"/>
  <c r="X49" i="76" s="1"/>
  <c r="P49" i="76"/>
  <c r="L49" i="76"/>
  <c r="H49" i="76"/>
  <c r="N49" i="76" s="1"/>
  <c r="D49" i="76"/>
  <c r="B49" i="76"/>
  <c r="Z48" i="76"/>
  <c r="X48" i="76"/>
  <c r="N48" i="76"/>
  <c r="L48" i="76"/>
  <c r="B48" i="76"/>
  <c r="X47" i="76"/>
  <c r="T47" i="76"/>
  <c r="Z47" i="76" s="1"/>
  <c r="P47" i="76"/>
  <c r="H47" i="76"/>
  <c r="N47" i="76" s="1"/>
  <c r="F47" i="76"/>
  <c r="D47" i="76"/>
  <c r="L47" i="76" s="1"/>
  <c r="B47" i="76"/>
  <c r="Z46" i="76"/>
  <c r="X46" i="76"/>
  <c r="N46" i="76"/>
  <c r="L46" i="76"/>
  <c r="B46" i="76"/>
  <c r="Z45" i="76"/>
  <c r="X45" i="76"/>
  <c r="N45" i="76"/>
  <c r="L45" i="76"/>
  <c r="B45" i="76"/>
  <c r="X44" i="76"/>
  <c r="Z44" i="76" s="1"/>
  <c r="L44" i="76"/>
  <c r="N44" i="76" s="1"/>
  <c r="B44" i="76"/>
  <c r="X43" i="76"/>
  <c r="Z43" i="76" s="1"/>
  <c r="V43" i="76"/>
  <c r="N43" i="76"/>
  <c r="L43" i="76"/>
  <c r="B43" i="76"/>
  <c r="Z42" i="76"/>
  <c r="X42" i="76"/>
  <c r="N42" i="76"/>
  <c r="L42" i="76"/>
  <c r="B42" i="76"/>
  <c r="Z41" i="76"/>
  <c r="X41" i="76"/>
  <c r="N41" i="76"/>
  <c r="L41" i="76"/>
  <c r="B41" i="76"/>
  <c r="Z40" i="76"/>
  <c r="X40" i="76"/>
  <c r="N40" i="76"/>
  <c r="L40" i="76"/>
  <c r="B40" i="76"/>
  <c r="Z39" i="76"/>
  <c r="X39" i="76"/>
  <c r="N39" i="76"/>
  <c r="L39" i="76"/>
  <c r="B39" i="76"/>
  <c r="Z38" i="76"/>
  <c r="X38" i="76"/>
  <c r="N38" i="76"/>
  <c r="L38" i="76"/>
  <c r="B38" i="76"/>
  <c r="Z37" i="76"/>
  <c r="X37" i="76"/>
  <c r="N37" i="76"/>
  <c r="L37" i="76"/>
  <c r="B37" i="76"/>
  <c r="T36" i="76"/>
  <c r="P36" i="76"/>
  <c r="X36" i="76" s="1"/>
  <c r="H36" i="76"/>
  <c r="D36" i="76"/>
  <c r="B36" i="76"/>
  <c r="Z35" i="76"/>
  <c r="X35" i="76"/>
  <c r="V35" i="76"/>
  <c r="N35" i="76"/>
  <c r="L35" i="76"/>
  <c r="B35" i="76"/>
  <c r="Z34" i="76"/>
  <c r="X34" i="76"/>
  <c r="V34" i="76"/>
  <c r="N34" i="76"/>
  <c r="L34" i="76"/>
  <c r="F34" i="76"/>
  <c r="B34" i="76"/>
  <c r="X33" i="76"/>
  <c r="Z33" i="76" s="1"/>
  <c r="V33" i="76"/>
  <c r="L33" i="76"/>
  <c r="N33" i="76" s="1"/>
  <c r="J33" i="76"/>
  <c r="F33" i="76"/>
  <c r="B33" i="76"/>
  <c r="Z32" i="76"/>
  <c r="X32" i="76"/>
  <c r="V32" i="76"/>
  <c r="N32" i="76"/>
  <c r="L32" i="76"/>
  <c r="J32" i="76"/>
  <c r="B32" i="76"/>
  <c r="X31" i="76"/>
  <c r="Z31" i="76" s="1"/>
  <c r="L31" i="76"/>
  <c r="N31" i="76" s="1"/>
  <c r="B31" i="76"/>
  <c r="Z30" i="76"/>
  <c r="X30" i="76"/>
  <c r="N30" i="76"/>
  <c r="L30" i="76"/>
  <c r="B30" i="76"/>
  <c r="X29" i="76"/>
  <c r="Z29" i="76" s="1"/>
  <c r="V29" i="76"/>
  <c r="L29" i="76"/>
  <c r="N29" i="76" s="1"/>
  <c r="B29" i="76"/>
  <c r="X28" i="76"/>
  <c r="Z28" i="76" s="1"/>
  <c r="V28" i="76"/>
  <c r="N28" i="76"/>
  <c r="L28" i="76"/>
  <c r="J28" i="76"/>
  <c r="B28" i="76"/>
  <c r="Z27" i="76"/>
  <c r="X27" i="76"/>
  <c r="V27" i="76"/>
  <c r="L27" i="76"/>
  <c r="N27" i="76" s="1"/>
  <c r="B27" i="76"/>
  <c r="T26" i="76"/>
  <c r="X26" i="76" s="1"/>
  <c r="Z26" i="76" s="1"/>
  <c r="P26" i="76"/>
  <c r="L26" i="76"/>
  <c r="J26" i="76"/>
  <c r="H26" i="76"/>
  <c r="N26" i="76" s="1"/>
  <c r="D26" i="76"/>
  <c r="B26" i="76"/>
  <c r="T25" i="76" a="1"/>
  <c r="T25" i="76" s="1"/>
  <c r="P25" i="76" a="1"/>
  <c r="P25" i="76"/>
  <c r="H25" i="76" a="1"/>
  <c r="H25" i="76" s="1"/>
  <c r="D25" i="76" a="1"/>
  <c r="D25" i="76" s="1"/>
  <c r="T23" i="76"/>
  <c r="Z21" i="76"/>
  <c r="X21" i="76"/>
  <c r="V21" i="76"/>
  <c r="N21" i="76"/>
  <c r="L21" i="76"/>
  <c r="J21" i="76"/>
  <c r="F21" i="76"/>
  <c r="B21" i="76"/>
  <c r="Z20" i="76"/>
  <c r="X20" i="76"/>
  <c r="V20" i="76"/>
  <c r="N20" i="76"/>
  <c r="L20" i="76"/>
  <c r="J20" i="76"/>
  <c r="B20" i="76"/>
  <c r="Z19" i="76"/>
  <c r="X19" i="76"/>
  <c r="V19" i="76"/>
  <c r="N19" i="76"/>
  <c r="L19" i="76"/>
  <c r="B19" i="76"/>
  <c r="T18" i="76"/>
  <c r="P18" i="76"/>
  <c r="J18" i="76"/>
  <c r="H18" i="76"/>
  <c r="D18" i="76"/>
  <c r="Z16" i="76"/>
  <c r="P16" i="76"/>
  <c r="X16" i="76" s="1"/>
  <c r="N16" i="76"/>
  <c r="L16" i="76"/>
  <c r="D16" i="76"/>
  <c r="B16" i="76"/>
  <c r="X15" i="76"/>
  <c r="Z15" i="76" s="1"/>
  <c r="P15" i="76"/>
  <c r="L15" i="76"/>
  <c r="N15" i="76" s="1"/>
  <c r="D15" i="76"/>
  <c r="B15" i="76"/>
  <c r="Z14" i="76"/>
  <c r="X14" i="76"/>
  <c r="P14" i="76"/>
  <c r="N14" i="76"/>
  <c r="D14" i="76"/>
  <c r="L14" i="76" s="1"/>
  <c r="B14" i="76"/>
  <c r="P13" i="76"/>
  <c r="X13" i="76" s="1"/>
  <c r="Z13" i="76" s="1"/>
  <c r="N13" i="76"/>
  <c r="D13" i="76"/>
  <c r="L13" i="76" s="1"/>
  <c r="B13" i="76"/>
  <c r="T12" i="76"/>
  <c r="P12" i="76"/>
  <c r="R61" i="76" s="1"/>
  <c r="H12" i="76"/>
  <c r="J79" i="76" s="1"/>
  <c r="D12" i="76"/>
  <c r="F49" i="76" s="1"/>
  <c r="D6" i="76"/>
  <c r="D4" i="76"/>
  <c r="X34" i="75"/>
  <c r="Z34" i="75" s="1"/>
  <c r="V34" i="75"/>
  <c r="L34" i="75"/>
  <c r="N34" i="75" s="1"/>
  <c r="Z30" i="75"/>
  <c r="T30" i="75"/>
  <c r="P30" i="75"/>
  <c r="X30" i="75" s="1"/>
  <c r="N30" i="75"/>
  <c r="H30" i="75"/>
  <c r="D30" i="75"/>
  <c r="L30" i="75" s="1"/>
  <c r="Z28" i="75"/>
  <c r="X28" i="75"/>
  <c r="V28" i="75"/>
  <c r="N28" i="75"/>
  <c r="L28" i="75"/>
  <c r="B28" i="75"/>
  <c r="Z27" i="75"/>
  <c r="X27" i="75"/>
  <c r="T27" i="75"/>
  <c r="P27" i="75"/>
  <c r="H27" i="75"/>
  <c r="D27" i="75"/>
  <c r="B27" i="75"/>
  <c r="Z26" i="75"/>
  <c r="X26" i="75"/>
  <c r="N26" i="75"/>
  <c r="L26" i="75"/>
  <c r="B26" i="75"/>
  <c r="T25" i="75"/>
  <c r="P25" i="75"/>
  <c r="H25" i="75"/>
  <c r="D25" i="75"/>
  <c r="L25" i="75" s="1"/>
  <c r="N25" i="75" s="1"/>
  <c r="B25" i="75"/>
  <c r="T24" i="75" a="1"/>
  <c r="T24" i="75" s="1"/>
  <c r="P24" i="75" a="1"/>
  <c r="P24" i="75" s="1"/>
  <c r="X24" i="75" s="1"/>
  <c r="H24" i="75" a="1"/>
  <c r="H24" i="75" s="1"/>
  <c r="D24" i="75" a="1"/>
  <c r="D24" i="75" s="1"/>
  <c r="Z20" i="75"/>
  <c r="X20" i="75"/>
  <c r="V20" i="75"/>
  <c r="N20" i="75"/>
  <c r="L20" i="75"/>
  <c r="B20" i="75"/>
  <c r="Z19" i="75"/>
  <c r="X19" i="75"/>
  <c r="N19" i="75"/>
  <c r="L19" i="75"/>
  <c r="B19" i="75"/>
  <c r="Z18" i="75"/>
  <c r="X18" i="75"/>
  <c r="N18" i="75"/>
  <c r="L18" i="75"/>
  <c r="B18" i="75"/>
  <c r="T17" i="75"/>
  <c r="P17" i="75"/>
  <c r="L17" i="75"/>
  <c r="N17" i="75" s="1"/>
  <c r="H17" i="75"/>
  <c r="D17" i="75"/>
  <c r="Z15" i="75"/>
  <c r="P15" i="75"/>
  <c r="N15" i="75"/>
  <c r="D15" i="75"/>
  <c r="L15" i="75" s="1"/>
  <c r="B15" i="75"/>
  <c r="Z14" i="75"/>
  <c r="X14" i="75"/>
  <c r="P14" i="75"/>
  <c r="N14" i="75"/>
  <c r="L14" i="75"/>
  <c r="D14" i="75"/>
  <c r="B14" i="75"/>
  <c r="Z13" i="75"/>
  <c r="X13" i="75"/>
  <c r="P13" i="75"/>
  <c r="D13" i="75"/>
  <c r="B13" i="75"/>
  <c r="T12" i="75"/>
  <c r="V27" i="75" s="1"/>
  <c r="H12" i="75"/>
  <c r="D6" i="75"/>
  <c r="D4" i="75"/>
  <c r="Z92" i="74"/>
  <c r="X92" i="74"/>
  <c r="N92" i="74"/>
  <c r="L92" i="74"/>
  <c r="Z88" i="74"/>
  <c r="T88" i="74"/>
  <c r="P88" i="74"/>
  <c r="X88" i="74" s="1"/>
  <c r="L88" i="74"/>
  <c r="J88" i="74"/>
  <c r="H88" i="74"/>
  <c r="N88" i="74" s="1"/>
  <c r="D88" i="74"/>
  <c r="Z86" i="74"/>
  <c r="X86" i="74"/>
  <c r="N86" i="74"/>
  <c r="L86" i="74"/>
  <c r="B86" i="74"/>
  <c r="T85" i="74"/>
  <c r="P85" i="74"/>
  <c r="H85" i="74"/>
  <c r="D85" i="74"/>
  <c r="L85" i="74" s="1"/>
  <c r="N85" i="74" s="1"/>
  <c r="B85" i="74"/>
  <c r="X84" i="74"/>
  <c r="Z84" i="74" s="1"/>
  <c r="L84" i="74"/>
  <c r="N84" i="74" s="1"/>
  <c r="J84" i="74"/>
  <c r="B84" i="74"/>
  <c r="Z83" i="74"/>
  <c r="X83" i="74"/>
  <c r="N83" i="74"/>
  <c r="L83" i="74"/>
  <c r="B83" i="74"/>
  <c r="T82" i="74"/>
  <c r="P82" i="74"/>
  <c r="X82" i="74" s="1"/>
  <c r="H82" i="74"/>
  <c r="D82" i="74"/>
  <c r="L82" i="74" s="1"/>
  <c r="N82" i="74" s="1"/>
  <c r="B82" i="74"/>
  <c r="X81" i="74"/>
  <c r="Z81" i="74" s="1"/>
  <c r="N81" i="74"/>
  <c r="L81" i="74"/>
  <c r="J81" i="74"/>
  <c r="B81" i="74"/>
  <c r="T80" i="74"/>
  <c r="P80" i="74"/>
  <c r="X80" i="74" s="1"/>
  <c r="Z80" i="74" s="1"/>
  <c r="N80" i="74"/>
  <c r="H80" i="74"/>
  <c r="D80" i="74"/>
  <c r="L80" i="74" s="1"/>
  <c r="B80" i="74"/>
  <c r="Z79" i="74"/>
  <c r="X79" i="74"/>
  <c r="N79" i="74"/>
  <c r="L79" i="74"/>
  <c r="B79" i="74"/>
  <c r="Z78" i="74"/>
  <c r="X78" i="74"/>
  <c r="N78" i="74"/>
  <c r="L78" i="74"/>
  <c r="F78" i="74"/>
  <c r="B78" i="74"/>
  <c r="X77" i="74"/>
  <c r="Z77" i="74" s="1"/>
  <c r="N77" i="74"/>
  <c r="L77" i="74"/>
  <c r="J77" i="74"/>
  <c r="B77" i="74"/>
  <c r="T76" i="74"/>
  <c r="P76" i="74"/>
  <c r="X76" i="74" s="1"/>
  <c r="Z76" i="74" s="1"/>
  <c r="H76" i="74"/>
  <c r="D76" i="74"/>
  <c r="L76" i="74" s="1"/>
  <c r="N76" i="74" s="1"/>
  <c r="B76" i="74"/>
  <c r="Z75" i="74"/>
  <c r="X75" i="74"/>
  <c r="N75" i="74"/>
  <c r="L75" i="74"/>
  <c r="B75" i="74"/>
  <c r="Z74" i="74"/>
  <c r="X74" i="74"/>
  <c r="N74" i="74"/>
  <c r="L74" i="74"/>
  <c r="B74" i="74"/>
  <c r="T73" i="74"/>
  <c r="P73" i="74"/>
  <c r="N73" i="74"/>
  <c r="L73" i="74"/>
  <c r="H73" i="74"/>
  <c r="D73" i="74"/>
  <c r="B73" i="74"/>
  <c r="Z72" i="74"/>
  <c r="X72" i="74"/>
  <c r="V72" i="74"/>
  <c r="N72" i="74"/>
  <c r="L72" i="74"/>
  <c r="B72" i="74"/>
  <c r="Z71" i="74"/>
  <c r="X71" i="74"/>
  <c r="N71" i="74"/>
  <c r="L71" i="74"/>
  <c r="B71" i="74"/>
  <c r="Z70" i="74"/>
  <c r="T70" i="74"/>
  <c r="P70" i="74"/>
  <c r="X70" i="74" s="1"/>
  <c r="L70" i="74"/>
  <c r="J70" i="74"/>
  <c r="H70" i="74"/>
  <c r="D70" i="74"/>
  <c r="B70" i="74"/>
  <c r="Z69" i="74"/>
  <c r="X69" i="74"/>
  <c r="V69" i="74"/>
  <c r="N69" i="74"/>
  <c r="L69" i="74"/>
  <c r="B69" i="74"/>
  <c r="X68" i="74"/>
  <c r="Z68" i="74" s="1"/>
  <c r="V68" i="74"/>
  <c r="L68" i="74"/>
  <c r="N68" i="74" s="1"/>
  <c r="B68" i="74"/>
  <c r="Z67" i="74"/>
  <c r="X67" i="74"/>
  <c r="T67" i="74"/>
  <c r="P67" i="74"/>
  <c r="H67" i="74"/>
  <c r="D67" i="74"/>
  <c r="B67" i="74"/>
  <c r="Z66" i="74"/>
  <c r="X66" i="74"/>
  <c r="N66" i="74"/>
  <c r="L66" i="74"/>
  <c r="B66" i="74"/>
  <c r="V65" i="74"/>
  <c r="T65" i="74"/>
  <c r="P65" i="74"/>
  <c r="X65" i="74" s="1"/>
  <c r="H65" i="74"/>
  <c r="F65" i="74"/>
  <c r="D65" i="74"/>
  <c r="L65" i="74" s="1"/>
  <c r="N65" i="74" s="1"/>
  <c r="B65" i="74"/>
  <c r="X64" i="74"/>
  <c r="Z64" i="74" s="1"/>
  <c r="N64" i="74"/>
  <c r="L64" i="74"/>
  <c r="J64" i="74"/>
  <c r="B64" i="74"/>
  <c r="T63" i="74"/>
  <c r="P63" i="74"/>
  <c r="X63" i="74" s="1"/>
  <c r="Z63" i="74" s="1"/>
  <c r="H63" i="74"/>
  <c r="N63" i="74" s="1"/>
  <c r="D63" i="74"/>
  <c r="B63" i="74"/>
  <c r="Z62" i="74"/>
  <c r="X62" i="74"/>
  <c r="N62" i="74"/>
  <c r="L62" i="74"/>
  <c r="B62" i="74"/>
  <c r="T61" i="74"/>
  <c r="P61" i="74"/>
  <c r="N61" i="74"/>
  <c r="L61" i="74"/>
  <c r="H61" i="74"/>
  <c r="D61" i="74"/>
  <c r="B61" i="74"/>
  <c r="X60" i="74"/>
  <c r="Z60" i="74" s="1"/>
  <c r="V60" i="74"/>
  <c r="L60" i="74"/>
  <c r="N60" i="74" s="1"/>
  <c r="B60" i="74"/>
  <c r="X59" i="74"/>
  <c r="Z59" i="74" s="1"/>
  <c r="T59" i="74"/>
  <c r="P59" i="74"/>
  <c r="J59" i="74"/>
  <c r="H59" i="74"/>
  <c r="D59" i="74"/>
  <c r="B59" i="74"/>
  <c r="Z58" i="74"/>
  <c r="X58" i="74"/>
  <c r="N58" i="74"/>
  <c r="L58" i="74"/>
  <c r="B58" i="74"/>
  <c r="Z57" i="74"/>
  <c r="X57" i="74"/>
  <c r="V57" i="74"/>
  <c r="N57" i="74"/>
  <c r="L57" i="74"/>
  <c r="B57" i="74"/>
  <c r="X56" i="74"/>
  <c r="V56" i="74"/>
  <c r="T56" i="74"/>
  <c r="P56" i="74"/>
  <c r="H56" i="74"/>
  <c r="D56" i="74"/>
  <c r="B56" i="74"/>
  <c r="Z55" i="74"/>
  <c r="X55" i="74"/>
  <c r="N55" i="74"/>
  <c r="L55" i="74"/>
  <c r="B55" i="74"/>
  <c r="T54" i="74"/>
  <c r="P54" i="74"/>
  <c r="H54" i="74"/>
  <c r="D54" i="74"/>
  <c r="L54" i="74" s="1"/>
  <c r="N54" i="74" s="1"/>
  <c r="B54" i="74"/>
  <c r="X53" i="74"/>
  <c r="Z53" i="74" s="1"/>
  <c r="N53" i="74"/>
  <c r="L53" i="74"/>
  <c r="J53" i="74"/>
  <c r="B53" i="74"/>
  <c r="T52" i="74"/>
  <c r="P52" i="74"/>
  <c r="X52" i="74" s="1"/>
  <c r="Z52" i="74" s="1"/>
  <c r="N52" i="74"/>
  <c r="H52" i="74"/>
  <c r="D52" i="74"/>
  <c r="L52" i="74" s="1"/>
  <c r="B52" i="74"/>
  <c r="X51" i="74"/>
  <c r="Z51" i="74" s="1"/>
  <c r="N51" i="74"/>
  <c r="L51" i="74"/>
  <c r="B51" i="74"/>
  <c r="Z50" i="74"/>
  <c r="T50" i="74"/>
  <c r="P50" i="74"/>
  <c r="X50" i="74" s="1"/>
  <c r="L50" i="74"/>
  <c r="J50" i="74"/>
  <c r="H50" i="74"/>
  <c r="D50" i="74"/>
  <c r="B50" i="74"/>
  <c r="Z49" i="74"/>
  <c r="X49" i="74"/>
  <c r="V49" i="74"/>
  <c r="L49" i="74"/>
  <c r="N49" i="74" s="1"/>
  <c r="B49" i="74"/>
  <c r="X48" i="74"/>
  <c r="V48" i="74"/>
  <c r="T48" i="74"/>
  <c r="P48" i="74"/>
  <c r="H48" i="74"/>
  <c r="D48" i="74"/>
  <c r="B48" i="74"/>
  <c r="Z47" i="74"/>
  <c r="X47" i="74"/>
  <c r="N47" i="74"/>
  <c r="L47" i="74"/>
  <c r="B47" i="74"/>
  <c r="Z46" i="74"/>
  <c r="X46" i="74"/>
  <c r="N46" i="74"/>
  <c r="L46" i="74"/>
  <c r="B46" i="74"/>
  <c r="Z45" i="74"/>
  <c r="X45" i="74"/>
  <c r="V45" i="74"/>
  <c r="L45" i="74"/>
  <c r="N45" i="74" s="1"/>
  <c r="B45" i="74"/>
  <c r="X44" i="74"/>
  <c r="Z44" i="74" s="1"/>
  <c r="V44" i="74"/>
  <c r="N44" i="74"/>
  <c r="L44" i="74"/>
  <c r="B44" i="74"/>
  <c r="Z43" i="74"/>
  <c r="X43" i="74"/>
  <c r="N43" i="74"/>
  <c r="L43" i="74"/>
  <c r="B43" i="74"/>
  <c r="Z42" i="74"/>
  <c r="X42" i="74"/>
  <c r="N42" i="74"/>
  <c r="L42" i="74"/>
  <c r="B42" i="74"/>
  <c r="X41" i="74"/>
  <c r="Z41" i="74" s="1"/>
  <c r="V41" i="74"/>
  <c r="N41" i="74"/>
  <c r="L41" i="74"/>
  <c r="J41" i="74"/>
  <c r="F41" i="74"/>
  <c r="B41" i="74"/>
  <c r="Z40" i="74"/>
  <c r="X40" i="74"/>
  <c r="N40" i="74"/>
  <c r="L40" i="74"/>
  <c r="J40" i="74"/>
  <c r="B40" i="74"/>
  <c r="Z39" i="74"/>
  <c r="X39" i="74"/>
  <c r="N39" i="74"/>
  <c r="L39" i="74"/>
  <c r="B39" i="74"/>
  <c r="Z38" i="74"/>
  <c r="X38" i="74"/>
  <c r="N38" i="74"/>
  <c r="L38" i="74"/>
  <c r="B38" i="74"/>
  <c r="T37" i="74"/>
  <c r="P37" i="74"/>
  <c r="H37" i="74"/>
  <c r="D37" i="74"/>
  <c r="L37" i="74" s="1"/>
  <c r="N37" i="74" s="1"/>
  <c r="B37" i="74"/>
  <c r="Z36" i="74"/>
  <c r="X36" i="74"/>
  <c r="V36" i="74"/>
  <c r="N36" i="74"/>
  <c r="L36" i="74"/>
  <c r="J36" i="74"/>
  <c r="B36" i="74"/>
  <c r="Z35" i="74"/>
  <c r="X35" i="74"/>
  <c r="L35" i="74"/>
  <c r="N35" i="74" s="1"/>
  <c r="B35" i="74"/>
  <c r="Z34" i="74"/>
  <c r="X34" i="74"/>
  <c r="N34" i="74"/>
  <c r="L34" i="74"/>
  <c r="B34" i="74"/>
  <c r="Z33" i="74"/>
  <c r="X33" i="74"/>
  <c r="V33" i="74"/>
  <c r="N33" i="74"/>
  <c r="L33" i="74"/>
  <c r="J33" i="74"/>
  <c r="B33" i="74"/>
  <c r="X32" i="74"/>
  <c r="Z32" i="74" s="1"/>
  <c r="V32" i="74"/>
  <c r="L32" i="74"/>
  <c r="N32" i="74" s="1"/>
  <c r="B32" i="74"/>
  <c r="Z31" i="74"/>
  <c r="X31" i="74"/>
  <c r="N31" i="74"/>
  <c r="L31" i="74"/>
  <c r="B31" i="74"/>
  <c r="Z30" i="74"/>
  <c r="X30" i="74"/>
  <c r="N30" i="74"/>
  <c r="L30" i="74"/>
  <c r="B30" i="74"/>
  <c r="X29" i="74"/>
  <c r="Z29" i="74" s="1"/>
  <c r="V29" i="74"/>
  <c r="N29" i="74"/>
  <c r="L29" i="74"/>
  <c r="J29" i="74"/>
  <c r="B29" i="74"/>
  <c r="X28" i="74"/>
  <c r="Z28" i="74" s="1"/>
  <c r="V28" i="74"/>
  <c r="L28" i="74"/>
  <c r="N28" i="74" s="1"/>
  <c r="J28" i="74"/>
  <c r="B28" i="74"/>
  <c r="T27" i="74"/>
  <c r="P27" i="74"/>
  <c r="X27" i="74" s="1"/>
  <c r="Z27" i="74" s="1"/>
  <c r="J27" i="74"/>
  <c r="H27" i="74"/>
  <c r="D27" i="74"/>
  <c r="B27" i="74"/>
  <c r="T26" i="74" a="1"/>
  <c r="T26" i="74" s="1"/>
  <c r="P26" i="74" a="1"/>
  <c r="P26" i="74"/>
  <c r="H26" i="74" a="1"/>
  <c r="H26" i="74" s="1"/>
  <c r="D26" i="74" a="1"/>
  <c r="D26" i="74"/>
  <c r="T24" i="74"/>
  <c r="D24" i="74"/>
  <c r="Z22" i="74"/>
  <c r="X22" i="74"/>
  <c r="N22" i="74"/>
  <c r="L22" i="74"/>
  <c r="B22" i="74"/>
  <c r="Z21" i="74"/>
  <c r="X21" i="74"/>
  <c r="V21" i="74"/>
  <c r="N21" i="74"/>
  <c r="L21" i="74"/>
  <c r="J21" i="74"/>
  <c r="B21" i="74"/>
  <c r="Z20" i="74"/>
  <c r="X20" i="74"/>
  <c r="V20" i="74"/>
  <c r="N20" i="74"/>
  <c r="L20" i="74"/>
  <c r="J20" i="74"/>
  <c r="B20" i="74"/>
  <c r="X19" i="74"/>
  <c r="Z19" i="74" s="1"/>
  <c r="N19" i="74"/>
  <c r="L19" i="74"/>
  <c r="B19" i="74"/>
  <c r="T18" i="74"/>
  <c r="P18" i="74"/>
  <c r="X18" i="74" s="1"/>
  <c r="J18" i="74"/>
  <c r="H18" i="74"/>
  <c r="D18" i="74"/>
  <c r="L18" i="74" s="1"/>
  <c r="N18" i="74" s="1"/>
  <c r="Z16" i="74"/>
  <c r="P16" i="74"/>
  <c r="X16" i="74" s="1"/>
  <c r="N16" i="74"/>
  <c r="L16" i="74"/>
  <c r="D16" i="74"/>
  <c r="B16" i="74"/>
  <c r="Z15" i="74"/>
  <c r="X15" i="74"/>
  <c r="P15" i="74"/>
  <c r="N15" i="74"/>
  <c r="L15" i="74"/>
  <c r="D15" i="74"/>
  <c r="B15" i="74"/>
  <c r="Z14" i="74"/>
  <c r="X14" i="74"/>
  <c r="P14" i="74"/>
  <c r="N14" i="74"/>
  <c r="D14" i="74"/>
  <c r="L14" i="74" s="1"/>
  <c r="B14" i="74"/>
  <c r="P13" i="74"/>
  <c r="D13" i="74"/>
  <c r="L13" i="74" s="1"/>
  <c r="N13" i="74" s="1"/>
  <c r="B13" i="74"/>
  <c r="T12" i="74"/>
  <c r="V79" i="74" s="1"/>
  <c r="H12" i="74"/>
  <c r="J83" i="74" s="1"/>
  <c r="D12" i="74"/>
  <c r="F77" i="74" s="1"/>
  <c r="D6" i="74"/>
  <c r="D4" i="74"/>
  <c r="X91" i="73"/>
  <c r="Z91" i="73" s="1"/>
  <c r="L91" i="73"/>
  <c r="N91" i="73" s="1"/>
  <c r="Z87" i="73"/>
  <c r="X87" i="73"/>
  <c r="V87" i="73"/>
  <c r="T87" i="73"/>
  <c r="P87" i="73"/>
  <c r="H87" i="73"/>
  <c r="N87" i="73" s="1"/>
  <c r="D87" i="73"/>
  <c r="Z85" i="73"/>
  <c r="X85" i="73"/>
  <c r="N85" i="73"/>
  <c r="L85" i="73"/>
  <c r="J85" i="73"/>
  <c r="B85" i="73"/>
  <c r="Z84" i="73"/>
  <c r="X84" i="73"/>
  <c r="T84" i="73"/>
  <c r="P84" i="73"/>
  <c r="J84" i="73"/>
  <c r="H84" i="73"/>
  <c r="N84" i="73" s="1"/>
  <c r="D84" i="73"/>
  <c r="B84" i="73"/>
  <c r="Z83" i="73"/>
  <c r="X83" i="73"/>
  <c r="N83" i="73"/>
  <c r="L83" i="73"/>
  <c r="F83" i="73"/>
  <c r="B83" i="73"/>
  <c r="V82" i="73"/>
  <c r="T82" i="73"/>
  <c r="Z82" i="73" s="1"/>
  <c r="P82" i="73"/>
  <c r="X82" i="73" s="1"/>
  <c r="N82" i="73"/>
  <c r="H82" i="73"/>
  <c r="D82" i="73"/>
  <c r="L82" i="73" s="1"/>
  <c r="B82" i="73"/>
  <c r="X81" i="73"/>
  <c r="Z81" i="73" s="1"/>
  <c r="V81" i="73"/>
  <c r="L81" i="73"/>
  <c r="N81" i="73" s="1"/>
  <c r="B81" i="73"/>
  <c r="Z80" i="73"/>
  <c r="X80" i="73"/>
  <c r="N80" i="73"/>
  <c r="L80" i="73"/>
  <c r="B80" i="73"/>
  <c r="T79" i="73"/>
  <c r="Z79" i="73" s="1"/>
  <c r="R79" i="73"/>
  <c r="P79" i="73"/>
  <c r="X79" i="73" s="1"/>
  <c r="H79" i="73"/>
  <c r="D79" i="73"/>
  <c r="L79" i="73" s="1"/>
  <c r="N79" i="73" s="1"/>
  <c r="B79" i="73"/>
  <c r="X78" i="73"/>
  <c r="Z78" i="73" s="1"/>
  <c r="V78" i="73"/>
  <c r="R78" i="73"/>
  <c r="L78" i="73"/>
  <c r="N78" i="73" s="1"/>
  <c r="B78" i="73"/>
  <c r="X77" i="73"/>
  <c r="Z77" i="73" s="1"/>
  <c r="L77" i="73"/>
  <c r="N77" i="73" s="1"/>
  <c r="J77" i="73"/>
  <c r="B77" i="73"/>
  <c r="Z76" i="73"/>
  <c r="X76" i="73"/>
  <c r="N76" i="73"/>
  <c r="L76" i="73"/>
  <c r="B76" i="73"/>
  <c r="Z75" i="73"/>
  <c r="X75" i="73"/>
  <c r="N75" i="73"/>
  <c r="L75" i="73"/>
  <c r="B75" i="73"/>
  <c r="Z74" i="73"/>
  <c r="X74" i="73"/>
  <c r="V74" i="73"/>
  <c r="N74" i="73"/>
  <c r="L74" i="73"/>
  <c r="F74" i="73"/>
  <c r="B74" i="73"/>
  <c r="X73" i="73"/>
  <c r="Z73" i="73" s="1"/>
  <c r="V73" i="73"/>
  <c r="L73" i="73"/>
  <c r="N73" i="73" s="1"/>
  <c r="B73" i="73"/>
  <c r="Z72" i="73"/>
  <c r="X72" i="73"/>
  <c r="T72" i="73"/>
  <c r="P72" i="73"/>
  <c r="J72" i="73"/>
  <c r="H72" i="73"/>
  <c r="D72" i="73"/>
  <c r="B72" i="73"/>
  <c r="Z71" i="73"/>
  <c r="X71" i="73"/>
  <c r="N71" i="73"/>
  <c r="L71" i="73"/>
  <c r="B71" i="73"/>
  <c r="Z70" i="73"/>
  <c r="X70" i="73"/>
  <c r="V70" i="73"/>
  <c r="N70" i="73"/>
  <c r="L70" i="73"/>
  <c r="B70" i="73"/>
  <c r="X69" i="73"/>
  <c r="Z69" i="73" s="1"/>
  <c r="N69" i="73"/>
  <c r="L69" i="73"/>
  <c r="B69" i="73"/>
  <c r="X68" i="73"/>
  <c r="T68" i="73"/>
  <c r="Z68" i="73" s="1"/>
  <c r="R68" i="73"/>
  <c r="P68" i="73"/>
  <c r="J68" i="73"/>
  <c r="H68" i="73"/>
  <c r="D68" i="73"/>
  <c r="L68" i="73" s="1"/>
  <c r="B68" i="73"/>
  <c r="Z67" i="73"/>
  <c r="X67" i="73"/>
  <c r="R67" i="73"/>
  <c r="N67" i="73"/>
  <c r="L67" i="73"/>
  <c r="B67" i="73"/>
  <c r="Z66" i="73"/>
  <c r="X66" i="73"/>
  <c r="V66" i="73"/>
  <c r="R66" i="73"/>
  <c r="N66" i="73"/>
  <c r="L66" i="73"/>
  <c r="B66" i="73"/>
  <c r="X65" i="73"/>
  <c r="Z65" i="73" s="1"/>
  <c r="V65" i="73"/>
  <c r="N65" i="73"/>
  <c r="L65" i="73"/>
  <c r="B65" i="73"/>
  <c r="X64" i="73"/>
  <c r="Z64" i="73" s="1"/>
  <c r="T64" i="73"/>
  <c r="P64" i="73"/>
  <c r="J64" i="73"/>
  <c r="H64" i="73"/>
  <c r="D64" i="73"/>
  <c r="B64" i="73"/>
  <c r="Z63" i="73"/>
  <c r="X63" i="73"/>
  <c r="N63" i="73"/>
  <c r="L63" i="73"/>
  <c r="J63" i="73"/>
  <c r="B63" i="73"/>
  <c r="V62" i="73"/>
  <c r="T62" i="73"/>
  <c r="P62" i="73"/>
  <c r="X62" i="73" s="1"/>
  <c r="H62" i="73"/>
  <c r="F62" i="73"/>
  <c r="D62" i="73"/>
  <c r="L62" i="73" s="1"/>
  <c r="N62" i="73" s="1"/>
  <c r="B62" i="73"/>
  <c r="Z61" i="73"/>
  <c r="X61" i="73"/>
  <c r="V61" i="73"/>
  <c r="L61" i="73"/>
  <c r="N61" i="73" s="1"/>
  <c r="B61" i="73"/>
  <c r="X60" i="73"/>
  <c r="Z60" i="73" s="1"/>
  <c r="T60" i="73"/>
  <c r="P60" i="73"/>
  <c r="L60" i="73"/>
  <c r="H60" i="73"/>
  <c r="D60" i="73"/>
  <c r="B60" i="73"/>
  <c r="Z59" i="73"/>
  <c r="X59" i="73"/>
  <c r="V59" i="73"/>
  <c r="N59" i="73"/>
  <c r="L59" i="73"/>
  <c r="B59" i="73"/>
  <c r="X58" i="73"/>
  <c r="T58" i="73"/>
  <c r="P58" i="73"/>
  <c r="H58" i="73"/>
  <c r="D58" i="73"/>
  <c r="B58" i="73"/>
  <c r="X57" i="73"/>
  <c r="Z57" i="73" s="1"/>
  <c r="V57" i="73"/>
  <c r="N57" i="73"/>
  <c r="L57" i="73"/>
  <c r="B57" i="73"/>
  <c r="T56" i="73"/>
  <c r="P56" i="73"/>
  <c r="H56" i="73"/>
  <c r="D56" i="73"/>
  <c r="B56" i="73"/>
  <c r="Z55" i="73"/>
  <c r="X55" i="73"/>
  <c r="R55" i="73"/>
  <c r="N55" i="73"/>
  <c r="L55" i="73"/>
  <c r="J55" i="73"/>
  <c r="B55" i="73"/>
  <c r="V54" i="73"/>
  <c r="T54" i="73"/>
  <c r="P54" i="73"/>
  <c r="X54" i="73" s="1"/>
  <c r="N54" i="73"/>
  <c r="L54" i="73"/>
  <c r="H54" i="73"/>
  <c r="D54" i="73"/>
  <c r="B54" i="73"/>
  <c r="Z53" i="73"/>
  <c r="X53" i="73"/>
  <c r="V53" i="73"/>
  <c r="L53" i="73"/>
  <c r="N53" i="73" s="1"/>
  <c r="B53" i="73"/>
  <c r="Z52" i="73"/>
  <c r="X52" i="73"/>
  <c r="N52" i="73"/>
  <c r="L52" i="73"/>
  <c r="B52" i="73"/>
  <c r="T51" i="73"/>
  <c r="P51" i="73"/>
  <c r="X51" i="73" s="1"/>
  <c r="H51" i="73"/>
  <c r="D51" i="73"/>
  <c r="L51" i="73" s="1"/>
  <c r="N51" i="73" s="1"/>
  <c r="B51" i="73"/>
  <c r="X50" i="73"/>
  <c r="Z50" i="73" s="1"/>
  <c r="N50" i="73"/>
  <c r="L50" i="73"/>
  <c r="F50" i="73"/>
  <c r="B50" i="73"/>
  <c r="V49" i="73"/>
  <c r="T49" i="73"/>
  <c r="P49" i="73"/>
  <c r="X49" i="73" s="1"/>
  <c r="Z49" i="73" s="1"/>
  <c r="H49" i="73"/>
  <c r="L49" i="73" s="1"/>
  <c r="N49" i="73" s="1"/>
  <c r="D49" i="73"/>
  <c r="B49" i="73"/>
  <c r="Z48" i="73"/>
  <c r="X48" i="73"/>
  <c r="N48" i="73"/>
  <c r="L48" i="73"/>
  <c r="B48" i="73"/>
  <c r="Z47" i="73"/>
  <c r="V47" i="73"/>
  <c r="T47" i="73"/>
  <c r="X47" i="73" s="1"/>
  <c r="R47" i="73"/>
  <c r="P47" i="73"/>
  <c r="L47" i="73"/>
  <c r="J47" i="73"/>
  <c r="H47" i="73"/>
  <c r="N47" i="73" s="1"/>
  <c r="D47" i="73"/>
  <c r="B47" i="73"/>
  <c r="Z46" i="73"/>
  <c r="X46" i="73"/>
  <c r="V46" i="73"/>
  <c r="R46" i="73"/>
  <c r="N46" i="73"/>
  <c r="L46" i="73"/>
  <c r="B46" i="73"/>
  <c r="X45" i="73"/>
  <c r="V45" i="73"/>
  <c r="T45" i="73"/>
  <c r="Z45" i="73" s="1"/>
  <c r="R45" i="73"/>
  <c r="P45" i="73"/>
  <c r="H45" i="73"/>
  <c r="N45" i="73" s="1"/>
  <c r="D45" i="73"/>
  <c r="L45" i="73" s="1"/>
  <c r="B45" i="73"/>
  <c r="Z44" i="73"/>
  <c r="X44" i="73"/>
  <c r="N44" i="73"/>
  <c r="L44" i="73"/>
  <c r="B44" i="73"/>
  <c r="Z43" i="73"/>
  <c r="X43" i="73"/>
  <c r="N43" i="73"/>
  <c r="L43" i="73"/>
  <c r="B43" i="73"/>
  <c r="Z42" i="73"/>
  <c r="X42" i="73"/>
  <c r="V42" i="73"/>
  <c r="L42" i="73"/>
  <c r="N42" i="73" s="1"/>
  <c r="F42" i="73"/>
  <c r="B42" i="73"/>
  <c r="Z41" i="73"/>
  <c r="X41" i="73"/>
  <c r="V41" i="73"/>
  <c r="N41" i="73"/>
  <c r="L41" i="73"/>
  <c r="J41" i="73"/>
  <c r="B41" i="73"/>
  <c r="Z40" i="73"/>
  <c r="X40" i="73"/>
  <c r="N40" i="73"/>
  <c r="L40" i="73"/>
  <c r="B40" i="73"/>
  <c r="Z39" i="73"/>
  <c r="X39" i="73"/>
  <c r="V39" i="73"/>
  <c r="N39" i="73"/>
  <c r="L39" i="73"/>
  <c r="F39" i="73"/>
  <c r="B39" i="73"/>
  <c r="X38" i="73"/>
  <c r="Z38" i="73" s="1"/>
  <c r="R38" i="73"/>
  <c r="N38" i="73"/>
  <c r="L38" i="73"/>
  <c r="J38" i="73"/>
  <c r="B38" i="73"/>
  <c r="Z37" i="73"/>
  <c r="X37" i="73"/>
  <c r="V37" i="73"/>
  <c r="N37" i="73"/>
  <c r="L37" i="73"/>
  <c r="J37" i="73"/>
  <c r="B37" i="73"/>
  <c r="X36" i="73"/>
  <c r="Z36" i="73" s="1"/>
  <c r="L36" i="73"/>
  <c r="N36" i="73" s="1"/>
  <c r="F36" i="73"/>
  <c r="B36" i="73"/>
  <c r="Z35" i="73"/>
  <c r="X35" i="73"/>
  <c r="N35" i="73"/>
  <c r="L35" i="73"/>
  <c r="B35" i="73"/>
  <c r="V34" i="73"/>
  <c r="T34" i="73"/>
  <c r="P34" i="73"/>
  <c r="X34" i="73" s="1"/>
  <c r="L34" i="73"/>
  <c r="N34" i="73" s="1"/>
  <c r="H34" i="73"/>
  <c r="D34" i="73"/>
  <c r="B34" i="73"/>
  <c r="Z33" i="73"/>
  <c r="X33" i="73"/>
  <c r="V33" i="73"/>
  <c r="N33" i="73"/>
  <c r="L33" i="73"/>
  <c r="B33" i="73"/>
  <c r="X32" i="73"/>
  <c r="Z32" i="73" s="1"/>
  <c r="N32" i="73"/>
  <c r="L32" i="73"/>
  <c r="B32" i="73"/>
  <c r="Z31" i="73"/>
  <c r="X31" i="73"/>
  <c r="N31" i="73"/>
  <c r="L31" i="73"/>
  <c r="B31" i="73"/>
  <c r="Z30" i="73"/>
  <c r="X30" i="73"/>
  <c r="V30" i="73"/>
  <c r="N30" i="73"/>
  <c r="L30" i="73"/>
  <c r="B30" i="73"/>
  <c r="X29" i="73"/>
  <c r="Z29" i="73" s="1"/>
  <c r="V29" i="73"/>
  <c r="N29" i="73"/>
  <c r="L29" i="73"/>
  <c r="J29" i="73"/>
  <c r="B29" i="73"/>
  <c r="X28" i="73"/>
  <c r="Z28" i="73" s="1"/>
  <c r="L28" i="73"/>
  <c r="N28" i="73" s="1"/>
  <c r="B28" i="73"/>
  <c r="Z27" i="73"/>
  <c r="X27" i="73"/>
  <c r="V27" i="73"/>
  <c r="N27" i="73"/>
  <c r="L27" i="73"/>
  <c r="B27" i="73"/>
  <c r="X26" i="73"/>
  <c r="Z26" i="73" s="1"/>
  <c r="L26" i="73"/>
  <c r="N26" i="73" s="1"/>
  <c r="J26" i="73"/>
  <c r="B26" i="73"/>
  <c r="Z25" i="73"/>
  <c r="X25" i="73"/>
  <c r="V25" i="73"/>
  <c r="L25" i="73"/>
  <c r="N25" i="73" s="1"/>
  <c r="J25" i="73"/>
  <c r="B25" i="73"/>
  <c r="T24" i="73"/>
  <c r="P24" i="73"/>
  <c r="X24" i="73" s="1"/>
  <c r="Z24" i="73" s="1"/>
  <c r="H24" i="73"/>
  <c r="D24" i="73"/>
  <c r="B24" i="73"/>
  <c r="T23" i="73" a="1"/>
  <c r="T23" i="73"/>
  <c r="P23" i="73" a="1"/>
  <c r="P23" i="73"/>
  <c r="N23" i="73"/>
  <c r="J23" i="73"/>
  <c r="H23" i="73" a="1"/>
  <c r="H23" i="73"/>
  <c r="D23" i="73" a="1"/>
  <c r="D23" i="73"/>
  <c r="L23" i="73" s="1"/>
  <c r="Z19" i="73"/>
  <c r="X19" i="73"/>
  <c r="N19" i="73"/>
  <c r="L19" i="73"/>
  <c r="J19" i="73"/>
  <c r="B19" i="73"/>
  <c r="Z18" i="73"/>
  <c r="X18" i="73"/>
  <c r="V18" i="73"/>
  <c r="N18" i="73"/>
  <c r="L18" i="73"/>
  <c r="F18" i="73"/>
  <c r="B18" i="73"/>
  <c r="X17" i="73"/>
  <c r="Z17" i="73" s="1"/>
  <c r="V17" i="73"/>
  <c r="N17" i="73"/>
  <c r="L17" i="73"/>
  <c r="B17" i="73"/>
  <c r="Z16" i="73"/>
  <c r="T16" i="73"/>
  <c r="P16" i="73"/>
  <c r="X16" i="73" s="1"/>
  <c r="J16" i="73"/>
  <c r="H16" i="73"/>
  <c r="D16" i="73"/>
  <c r="L16" i="73" s="1"/>
  <c r="X14" i="73"/>
  <c r="Z14" i="73" s="1"/>
  <c r="P14" i="73"/>
  <c r="D14" i="73"/>
  <c r="L14" i="73" s="1"/>
  <c r="N14" i="73" s="1"/>
  <c r="B14" i="73"/>
  <c r="Z13" i="73"/>
  <c r="P13" i="73"/>
  <c r="X13" i="73" s="1"/>
  <c r="D13" i="73"/>
  <c r="L13" i="73" s="1"/>
  <c r="N13" i="73" s="1"/>
  <c r="B13" i="73"/>
  <c r="X12" i="73"/>
  <c r="T12" i="73"/>
  <c r="V85" i="73" s="1"/>
  <c r="P12" i="73"/>
  <c r="R75" i="73" s="1"/>
  <c r="H12" i="73"/>
  <c r="J33" i="73" s="1"/>
  <c r="D12" i="73"/>
  <c r="F52" i="73" s="1"/>
  <c r="D6" i="73"/>
  <c r="D4" i="73"/>
  <c r="X27" i="72"/>
  <c r="Z27" i="72" s="1"/>
  <c r="N27" i="72"/>
  <c r="L27" i="72"/>
  <c r="Z23" i="72"/>
  <c r="T23" i="72"/>
  <c r="P23" i="72"/>
  <c r="X23" i="72" s="1"/>
  <c r="J23" i="72"/>
  <c r="H23" i="72"/>
  <c r="N23" i="72" s="1"/>
  <c r="D23" i="72"/>
  <c r="L23" i="72" s="1"/>
  <c r="Z21" i="72"/>
  <c r="T21" i="72"/>
  <c r="P21" i="72"/>
  <c r="X21" i="72" s="1"/>
  <c r="L21" i="72"/>
  <c r="H21" i="72"/>
  <c r="N21" i="72" s="1"/>
  <c r="D21" i="72"/>
  <c r="J19" i="72"/>
  <c r="H19" i="72"/>
  <c r="X17" i="72"/>
  <c r="Z17" i="72" s="1"/>
  <c r="L17" i="72"/>
  <c r="N17" i="72" s="1"/>
  <c r="B17" i="72"/>
  <c r="T16" i="72"/>
  <c r="P16" i="72"/>
  <c r="N16" i="72"/>
  <c r="J16" i="72"/>
  <c r="H16" i="72"/>
  <c r="D16" i="72"/>
  <c r="L16" i="72" s="1"/>
  <c r="Z14" i="72"/>
  <c r="P14" i="72"/>
  <c r="N14" i="72"/>
  <c r="L14" i="72"/>
  <c r="D14" i="72"/>
  <c r="B14" i="72"/>
  <c r="X13" i="72"/>
  <c r="Z13" i="72" s="1"/>
  <c r="P13" i="72"/>
  <c r="D13" i="72"/>
  <c r="B13" i="72"/>
  <c r="T12" i="72"/>
  <c r="H12" i="72"/>
  <c r="D6" i="72"/>
  <c r="D4" i="72"/>
  <c r="Z78" i="71"/>
  <c r="X78" i="71"/>
  <c r="V78" i="71"/>
  <c r="N78" i="71"/>
  <c r="L78" i="71"/>
  <c r="T74" i="71"/>
  <c r="Z74" i="71" s="1"/>
  <c r="P74" i="71"/>
  <c r="X74" i="71" s="1"/>
  <c r="N74" i="71"/>
  <c r="H74" i="71"/>
  <c r="D74" i="71"/>
  <c r="L74" i="71" s="1"/>
  <c r="Z72" i="71"/>
  <c r="X72" i="71"/>
  <c r="V72" i="71"/>
  <c r="N72" i="71"/>
  <c r="L72" i="71"/>
  <c r="B72" i="71"/>
  <c r="X71" i="71"/>
  <c r="T71" i="71"/>
  <c r="P71" i="71"/>
  <c r="N71" i="71"/>
  <c r="L71" i="71"/>
  <c r="H71" i="71"/>
  <c r="D71" i="71"/>
  <c r="B71" i="71"/>
  <c r="X70" i="71"/>
  <c r="Z70" i="71" s="1"/>
  <c r="N70" i="71"/>
  <c r="L70" i="71"/>
  <c r="B70" i="71"/>
  <c r="T69" i="71"/>
  <c r="P69" i="71"/>
  <c r="H69" i="71"/>
  <c r="D69" i="71"/>
  <c r="L69" i="71" s="1"/>
  <c r="B69" i="71"/>
  <c r="Z68" i="71"/>
  <c r="X68" i="71"/>
  <c r="N68" i="71"/>
  <c r="L68" i="71"/>
  <c r="B68" i="71"/>
  <c r="Z67" i="71"/>
  <c r="X67" i="71"/>
  <c r="V67" i="71"/>
  <c r="N67" i="71"/>
  <c r="L67" i="71"/>
  <c r="B67" i="71"/>
  <c r="Z66" i="71"/>
  <c r="X66" i="71"/>
  <c r="V66" i="71"/>
  <c r="N66" i="71"/>
  <c r="L66" i="71"/>
  <c r="B66" i="71"/>
  <c r="Z65" i="71"/>
  <c r="X65" i="71"/>
  <c r="N65" i="71"/>
  <c r="L65" i="71"/>
  <c r="B65" i="71"/>
  <c r="V64" i="71"/>
  <c r="T64" i="71"/>
  <c r="X64" i="71" s="1"/>
  <c r="Z64" i="71" s="1"/>
  <c r="P64" i="71"/>
  <c r="L64" i="71"/>
  <c r="H64" i="71"/>
  <c r="D64" i="71"/>
  <c r="B64" i="71"/>
  <c r="Z63" i="71"/>
  <c r="X63" i="71"/>
  <c r="V63" i="71"/>
  <c r="N63" i="71"/>
  <c r="L63" i="71"/>
  <c r="B63" i="71"/>
  <c r="Z62" i="71"/>
  <c r="X62" i="71"/>
  <c r="V62" i="71"/>
  <c r="N62" i="71"/>
  <c r="L62" i="71"/>
  <c r="B62" i="71"/>
  <c r="Z61" i="71"/>
  <c r="X61" i="71"/>
  <c r="L61" i="71"/>
  <c r="N61" i="71" s="1"/>
  <c r="B61" i="71"/>
  <c r="Z60" i="71"/>
  <c r="V60" i="71"/>
  <c r="T60" i="71"/>
  <c r="P60" i="71"/>
  <c r="X60" i="71" s="1"/>
  <c r="L60" i="71"/>
  <c r="J60" i="71"/>
  <c r="H60" i="71"/>
  <c r="N60" i="71" s="1"/>
  <c r="D60" i="71"/>
  <c r="B60" i="71"/>
  <c r="X59" i="71"/>
  <c r="Z59" i="71" s="1"/>
  <c r="L59" i="71"/>
  <c r="N59" i="71" s="1"/>
  <c r="B59" i="71"/>
  <c r="X58" i="71"/>
  <c r="V58" i="71"/>
  <c r="T58" i="71"/>
  <c r="Z58" i="71" s="1"/>
  <c r="P58" i="71"/>
  <c r="N58" i="71"/>
  <c r="H58" i="71"/>
  <c r="L58" i="71" s="1"/>
  <c r="D58" i="71"/>
  <c r="B58" i="71"/>
  <c r="X57" i="71"/>
  <c r="Z57" i="71" s="1"/>
  <c r="L57" i="71"/>
  <c r="N57" i="71" s="1"/>
  <c r="B57" i="71"/>
  <c r="Z56" i="71"/>
  <c r="X56" i="71"/>
  <c r="N56" i="71"/>
  <c r="L56" i="71"/>
  <c r="B56" i="71"/>
  <c r="V55" i="71"/>
  <c r="T55" i="71"/>
  <c r="P55" i="71"/>
  <c r="X55" i="71" s="1"/>
  <c r="L55" i="71"/>
  <c r="N55" i="71" s="1"/>
  <c r="H55" i="71"/>
  <c r="D55" i="71"/>
  <c r="B55" i="71"/>
  <c r="Z54" i="71"/>
  <c r="X54" i="71"/>
  <c r="V54" i="71"/>
  <c r="N54" i="71"/>
  <c r="L54" i="71"/>
  <c r="B54" i="71"/>
  <c r="X53" i="71"/>
  <c r="Z53" i="71" s="1"/>
  <c r="T53" i="71"/>
  <c r="P53" i="71"/>
  <c r="H53" i="71"/>
  <c r="D53" i="71"/>
  <c r="B53" i="71"/>
  <c r="Z52" i="71"/>
  <c r="X52" i="71"/>
  <c r="N52" i="71"/>
  <c r="L52" i="71"/>
  <c r="B52" i="71"/>
  <c r="T51" i="71"/>
  <c r="P51" i="71"/>
  <c r="H51" i="71"/>
  <c r="N51" i="71" s="1"/>
  <c r="D51" i="71"/>
  <c r="L51" i="71" s="1"/>
  <c r="B51" i="71"/>
  <c r="X50" i="71"/>
  <c r="Z50" i="71" s="1"/>
  <c r="V50" i="71"/>
  <c r="N50" i="71"/>
  <c r="L50" i="71"/>
  <c r="B50" i="71"/>
  <c r="Z49" i="71"/>
  <c r="T49" i="71"/>
  <c r="P49" i="71"/>
  <c r="X49" i="71" s="1"/>
  <c r="J49" i="71"/>
  <c r="H49" i="71"/>
  <c r="D49" i="71"/>
  <c r="L49" i="71" s="1"/>
  <c r="B49" i="71"/>
  <c r="Z48" i="71"/>
  <c r="X48" i="71"/>
  <c r="N48" i="71"/>
  <c r="L48" i="71"/>
  <c r="B48" i="71"/>
  <c r="T47" i="71"/>
  <c r="P47" i="71"/>
  <c r="N47" i="71"/>
  <c r="L47" i="71"/>
  <c r="H47" i="71"/>
  <c r="D47" i="71"/>
  <c r="B47" i="71"/>
  <c r="Z46" i="71"/>
  <c r="X46" i="71"/>
  <c r="N46" i="71"/>
  <c r="L46" i="71"/>
  <c r="B46" i="71"/>
  <c r="Z45" i="71"/>
  <c r="T45" i="71"/>
  <c r="P45" i="71"/>
  <c r="X45" i="71" s="1"/>
  <c r="L45" i="71"/>
  <c r="H45" i="71"/>
  <c r="N45" i="71" s="1"/>
  <c r="D45" i="71"/>
  <c r="B45" i="71"/>
  <c r="Z44" i="71"/>
  <c r="X44" i="71"/>
  <c r="N44" i="71"/>
  <c r="L44" i="71"/>
  <c r="B44" i="71"/>
  <c r="Z43" i="71"/>
  <c r="X43" i="71"/>
  <c r="N43" i="71"/>
  <c r="L43" i="71"/>
  <c r="B43" i="71"/>
  <c r="Z42" i="71"/>
  <c r="X42" i="71"/>
  <c r="L42" i="71"/>
  <c r="N42" i="71" s="1"/>
  <c r="B42" i="71"/>
  <c r="Z41" i="71"/>
  <c r="X41" i="71"/>
  <c r="N41" i="71"/>
  <c r="L41" i="71"/>
  <c r="B41" i="71"/>
  <c r="Z40" i="71"/>
  <c r="X40" i="71"/>
  <c r="N40" i="71"/>
  <c r="L40" i="71"/>
  <c r="B40" i="71"/>
  <c r="Z39" i="71"/>
  <c r="X39" i="71"/>
  <c r="V39" i="71"/>
  <c r="N39" i="71"/>
  <c r="L39" i="71"/>
  <c r="B39" i="71"/>
  <c r="X38" i="71"/>
  <c r="Z38" i="71" s="1"/>
  <c r="V38" i="71"/>
  <c r="N38" i="71"/>
  <c r="L38" i="71"/>
  <c r="B38" i="71"/>
  <c r="Z37" i="71"/>
  <c r="X37" i="71"/>
  <c r="N37" i="71"/>
  <c r="L37" i="71"/>
  <c r="B37" i="71"/>
  <c r="Z36" i="71"/>
  <c r="X36" i="71"/>
  <c r="V36" i="71"/>
  <c r="N36" i="71"/>
  <c r="L36" i="71"/>
  <c r="B36" i="71"/>
  <c r="Z35" i="71"/>
  <c r="X35" i="71"/>
  <c r="N35" i="71"/>
  <c r="L35" i="71"/>
  <c r="B35" i="71"/>
  <c r="V34" i="71"/>
  <c r="T34" i="71"/>
  <c r="P34" i="71"/>
  <c r="X34" i="71" s="1"/>
  <c r="Z34" i="71" s="1"/>
  <c r="H34" i="71"/>
  <c r="D34" i="71"/>
  <c r="L34" i="71" s="1"/>
  <c r="N34" i="71" s="1"/>
  <c r="B34" i="71"/>
  <c r="Z33" i="71"/>
  <c r="X33" i="71"/>
  <c r="N33" i="71"/>
  <c r="L33" i="71"/>
  <c r="B33" i="71"/>
  <c r="Z32" i="71"/>
  <c r="X32" i="71"/>
  <c r="V32" i="71"/>
  <c r="N32" i="71"/>
  <c r="L32" i="71"/>
  <c r="B32" i="71"/>
  <c r="Z31" i="71"/>
  <c r="X31" i="71"/>
  <c r="N31" i="71"/>
  <c r="L31" i="71"/>
  <c r="B31" i="71"/>
  <c r="Z30" i="71"/>
  <c r="X30" i="71"/>
  <c r="V30" i="71"/>
  <c r="N30" i="71"/>
  <c r="L30" i="71"/>
  <c r="B30" i="71"/>
  <c r="Z29" i="71"/>
  <c r="X29" i="71"/>
  <c r="N29" i="71"/>
  <c r="L29" i="71"/>
  <c r="B29" i="71"/>
  <c r="Z28" i="71"/>
  <c r="X28" i="71"/>
  <c r="N28" i="71"/>
  <c r="L28" i="71"/>
  <c r="B28" i="71"/>
  <c r="Z27" i="71"/>
  <c r="X27" i="71"/>
  <c r="L27" i="71"/>
  <c r="N27" i="71" s="1"/>
  <c r="B27" i="71"/>
  <c r="Z26" i="71"/>
  <c r="X26" i="71"/>
  <c r="N26" i="71"/>
  <c r="L26" i="71"/>
  <c r="B26" i="71"/>
  <c r="Z25" i="71"/>
  <c r="X25" i="71"/>
  <c r="L25" i="71"/>
  <c r="N25" i="71" s="1"/>
  <c r="B25" i="71"/>
  <c r="Z24" i="71"/>
  <c r="X24" i="71"/>
  <c r="N24" i="71"/>
  <c r="L24" i="71"/>
  <c r="B24" i="71"/>
  <c r="T23" i="71"/>
  <c r="P23" i="71"/>
  <c r="H23" i="71"/>
  <c r="D23" i="71"/>
  <c r="L23" i="71" s="1"/>
  <c r="B23" i="71"/>
  <c r="V22" i="71"/>
  <c r="T22" i="71" a="1"/>
  <c r="T22" i="71"/>
  <c r="P22" i="71" a="1"/>
  <c r="P22" i="71" s="1"/>
  <c r="X22" i="71" s="1"/>
  <c r="J22" i="71"/>
  <c r="H22" i="71" a="1"/>
  <c r="H22" i="71"/>
  <c r="D22" i="71" a="1"/>
  <c r="D22" i="71" s="1"/>
  <c r="L22" i="71" s="1"/>
  <c r="Z18" i="71"/>
  <c r="X18" i="71"/>
  <c r="V18" i="71"/>
  <c r="N18" i="71"/>
  <c r="L18" i="71"/>
  <c r="B18" i="71"/>
  <c r="X17" i="71"/>
  <c r="Z17" i="71" s="1"/>
  <c r="L17" i="71"/>
  <c r="N17" i="71" s="1"/>
  <c r="B17" i="71"/>
  <c r="T16" i="71"/>
  <c r="P16" i="71"/>
  <c r="N16" i="71"/>
  <c r="J16" i="71"/>
  <c r="H16" i="71"/>
  <c r="D16" i="71"/>
  <c r="L16" i="71" s="1"/>
  <c r="P14" i="71"/>
  <c r="L14" i="71"/>
  <c r="N14" i="71" s="1"/>
  <c r="D14" i="71"/>
  <c r="B14" i="71"/>
  <c r="X13" i="71"/>
  <c r="Z13" i="71" s="1"/>
  <c r="P13" i="71"/>
  <c r="D13" i="71"/>
  <c r="B13" i="71"/>
  <c r="T12" i="71"/>
  <c r="H12" i="71"/>
  <c r="D6" i="71"/>
  <c r="D4" i="71"/>
  <c r="Z83" i="69"/>
  <c r="X83" i="69"/>
  <c r="V83" i="69"/>
  <c r="L83" i="69"/>
  <c r="N83" i="69" s="1"/>
  <c r="V79" i="69"/>
  <c r="P79" i="69"/>
  <c r="X79" i="69" s="1"/>
  <c r="Z79" i="69" s="1"/>
  <c r="L79" i="69"/>
  <c r="N79" i="69" s="1"/>
  <c r="D79" i="69"/>
  <c r="B79" i="69"/>
  <c r="Z78" i="69"/>
  <c r="X78" i="69"/>
  <c r="P78" i="69"/>
  <c r="N78" i="69"/>
  <c r="L78" i="69"/>
  <c r="D78" i="69"/>
  <c r="B78" i="69"/>
  <c r="Z77" i="69"/>
  <c r="P77" i="69"/>
  <c r="X77" i="69" s="1"/>
  <c r="N77" i="69"/>
  <c r="L77" i="69"/>
  <c r="D77" i="69"/>
  <c r="B77" i="69"/>
  <c r="T76" i="69"/>
  <c r="P76" i="69"/>
  <c r="X76" i="69" s="1"/>
  <c r="Z76" i="69" s="1"/>
  <c r="H76" i="69"/>
  <c r="D76" i="69"/>
  <c r="L76" i="69" s="1"/>
  <c r="X74" i="69"/>
  <c r="Z74" i="69" s="1"/>
  <c r="N74" i="69"/>
  <c r="L74" i="69"/>
  <c r="B74" i="69"/>
  <c r="Z73" i="69"/>
  <c r="T73" i="69"/>
  <c r="P73" i="69"/>
  <c r="X73" i="69" s="1"/>
  <c r="H73" i="69"/>
  <c r="D73" i="69"/>
  <c r="L73" i="69" s="1"/>
  <c r="N73" i="69" s="1"/>
  <c r="B73" i="69"/>
  <c r="X72" i="69"/>
  <c r="Z72" i="69" s="1"/>
  <c r="L72" i="69"/>
  <c r="N72" i="69" s="1"/>
  <c r="B72" i="69"/>
  <c r="Z71" i="69"/>
  <c r="X71" i="69"/>
  <c r="L71" i="69"/>
  <c r="N71" i="69" s="1"/>
  <c r="B71" i="69"/>
  <c r="T70" i="69"/>
  <c r="P70" i="69"/>
  <c r="X70" i="69" s="1"/>
  <c r="Z70" i="69" s="1"/>
  <c r="H70" i="69"/>
  <c r="D70" i="69"/>
  <c r="B70" i="69"/>
  <c r="Z69" i="69"/>
  <c r="X69" i="69"/>
  <c r="V69" i="69"/>
  <c r="N69" i="69"/>
  <c r="L69" i="69"/>
  <c r="B69" i="69"/>
  <c r="X68" i="69"/>
  <c r="T68" i="69"/>
  <c r="Z68" i="69" s="1"/>
  <c r="P68" i="69"/>
  <c r="N68" i="69"/>
  <c r="L68" i="69"/>
  <c r="H68" i="69"/>
  <c r="D68" i="69"/>
  <c r="B68" i="69"/>
  <c r="X67" i="69"/>
  <c r="Z67" i="69" s="1"/>
  <c r="N67" i="69"/>
  <c r="L67" i="69"/>
  <c r="B67" i="69"/>
  <c r="T66" i="69"/>
  <c r="P66" i="69"/>
  <c r="H66" i="69"/>
  <c r="D66" i="69"/>
  <c r="B66" i="69"/>
  <c r="Z65" i="69"/>
  <c r="X65" i="69"/>
  <c r="N65" i="69"/>
  <c r="L65" i="69"/>
  <c r="B65" i="69"/>
  <c r="T64" i="69"/>
  <c r="P64" i="69"/>
  <c r="H64" i="69"/>
  <c r="D64" i="69"/>
  <c r="L64" i="69" s="1"/>
  <c r="N64" i="69" s="1"/>
  <c r="B64" i="69"/>
  <c r="Z63" i="69"/>
  <c r="X63" i="69"/>
  <c r="V63" i="69"/>
  <c r="L63" i="69"/>
  <c r="N63" i="69" s="1"/>
  <c r="B63" i="69"/>
  <c r="X62" i="69"/>
  <c r="Z62" i="69" s="1"/>
  <c r="T62" i="69"/>
  <c r="P62" i="69"/>
  <c r="H62" i="69"/>
  <c r="D62" i="69"/>
  <c r="B62" i="69"/>
  <c r="Z61" i="69"/>
  <c r="X61" i="69"/>
  <c r="N61" i="69"/>
  <c r="L61" i="69"/>
  <c r="B61" i="69"/>
  <c r="T60" i="69"/>
  <c r="P60" i="69"/>
  <c r="H60" i="69"/>
  <c r="D60" i="69"/>
  <c r="L60" i="69" s="1"/>
  <c r="B60" i="69"/>
  <c r="Z59" i="69"/>
  <c r="X59" i="69"/>
  <c r="V59" i="69"/>
  <c r="N59" i="69"/>
  <c r="L59" i="69"/>
  <c r="B59" i="69"/>
  <c r="T58" i="69"/>
  <c r="Z58" i="69" s="1"/>
  <c r="P58" i="69"/>
  <c r="X58" i="69" s="1"/>
  <c r="H58" i="69"/>
  <c r="N58" i="69" s="1"/>
  <c r="D58" i="69"/>
  <c r="L58" i="69" s="1"/>
  <c r="B58" i="69"/>
  <c r="Z57" i="69"/>
  <c r="X57" i="69"/>
  <c r="N57" i="69"/>
  <c r="L57" i="69"/>
  <c r="B57" i="69"/>
  <c r="V56" i="69"/>
  <c r="T56" i="69"/>
  <c r="P56" i="69"/>
  <c r="X56" i="69" s="1"/>
  <c r="L56" i="69"/>
  <c r="N56" i="69" s="1"/>
  <c r="H56" i="69"/>
  <c r="D56" i="69"/>
  <c r="B56" i="69"/>
  <c r="Z55" i="69"/>
  <c r="X55" i="69"/>
  <c r="V55" i="69"/>
  <c r="N55" i="69"/>
  <c r="L55" i="69"/>
  <c r="B55" i="69"/>
  <c r="Z54" i="69"/>
  <c r="X54" i="69"/>
  <c r="N54" i="69"/>
  <c r="L54" i="69"/>
  <c r="B54" i="69"/>
  <c r="Z53" i="69"/>
  <c r="X53" i="69"/>
  <c r="N53" i="69"/>
  <c r="L53" i="69"/>
  <c r="B53" i="69"/>
  <c r="X52" i="69"/>
  <c r="Z52" i="69" s="1"/>
  <c r="N52" i="69"/>
  <c r="L52" i="69"/>
  <c r="B52" i="69"/>
  <c r="Z51" i="69"/>
  <c r="X51" i="69"/>
  <c r="V51" i="69"/>
  <c r="N51" i="69"/>
  <c r="L51" i="69"/>
  <c r="B51" i="69"/>
  <c r="Z50" i="69"/>
  <c r="X50" i="69"/>
  <c r="N50" i="69"/>
  <c r="L50" i="69"/>
  <c r="B50" i="69"/>
  <c r="Z49" i="69"/>
  <c r="X49" i="69"/>
  <c r="V49" i="69"/>
  <c r="N49" i="69"/>
  <c r="L49" i="69"/>
  <c r="B49" i="69"/>
  <c r="Z48" i="69"/>
  <c r="X48" i="69"/>
  <c r="V48" i="69"/>
  <c r="N48" i="69"/>
  <c r="L48" i="69"/>
  <c r="J48" i="69"/>
  <c r="B48" i="69"/>
  <c r="X47" i="69"/>
  <c r="Z47" i="69" s="1"/>
  <c r="V47" i="69"/>
  <c r="L47" i="69"/>
  <c r="N47" i="69" s="1"/>
  <c r="B47" i="69"/>
  <c r="Z46" i="69"/>
  <c r="X46" i="69"/>
  <c r="N46" i="69"/>
  <c r="L46" i="69"/>
  <c r="B46" i="69"/>
  <c r="T45" i="69"/>
  <c r="P45" i="69"/>
  <c r="L45" i="69"/>
  <c r="N45" i="69" s="1"/>
  <c r="H45" i="69"/>
  <c r="D45" i="69"/>
  <c r="B45" i="69"/>
  <c r="X44" i="69"/>
  <c r="Z44" i="69" s="1"/>
  <c r="L44" i="69"/>
  <c r="N44" i="69" s="1"/>
  <c r="J44" i="69"/>
  <c r="B44" i="69"/>
  <c r="X43" i="69"/>
  <c r="Z43" i="69" s="1"/>
  <c r="L43" i="69"/>
  <c r="N43" i="69" s="1"/>
  <c r="B43" i="69"/>
  <c r="X42" i="69"/>
  <c r="Z42" i="69" s="1"/>
  <c r="L42" i="69"/>
  <c r="N42" i="69" s="1"/>
  <c r="B42" i="69"/>
  <c r="Z41" i="69"/>
  <c r="X41" i="69"/>
  <c r="N41" i="69"/>
  <c r="L41" i="69"/>
  <c r="J41" i="69"/>
  <c r="B41" i="69"/>
  <c r="Z40" i="69"/>
  <c r="X40" i="69"/>
  <c r="N40" i="69"/>
  <c r="L40" i="69"/>
  <c r="B40" i="69"/>
  <c r="X39" i="69"/>
  <c r="Z39" i="69" s="1"/>
  <c r="L39" i="69"/>
  <c r="N39" i="69" s="1"/>
  <c r="J39" i="69"/>
  <c r="B39" i="69"/>
  <c r="X38" i="69"/>
  <c r="Z38" i="69" s="1"/>
  <c r="L38" i="69"/>
  <c r="N38" i="69" s="1"/>
  <c r="B38" i="69"/>
  <c r="Z37" i="69"/>
  <c r="X37" i="69"/>
  <c r="V37" i="69"/>
  <c r="N37" i="69"/>
  <c r="L37" i="69"/>
  <c r="B37" i="69"/>
  <c r="X36" i="69"/>
  <c r="Z36" i="69" s="1"/>
  <c r="L36" i="69"/>
  <c r="N36" i="69" s="1"/>
  <c r="J36" i="69"/>
  <c r="B36" i="69"/>
  <c r="Z35" i="69"/>
  <c r="X35" i="69"/>
  <c r="L35" i="69"/>
  <c r="N35" i="69" s="1"/>
  <c r="B35" i="69"/>
  <c r="X34" i="69"/>
  <c r="Z34" i="69" s="1"/>
  <c r="T34" i="69"/>
  <c r="P34" i="69"/>
  <c r="H34" i="69"/>
  <c r="D34" i="69"/>
  <c r="B34" i="69"/>
  <c r="V33" i="69"/>
  <c r="T33" i="69" a="1"/>
  <c r="T33" i="69"/>
  <c r="P33" i="69" a="1"/>
  <c r="P33" i="69"/>
  <c r="X33" i="69" s="1"/>
  <c r="Z33" i="69" s="1"/>
  <c r="H33" i="69" a="1"/>
  <c r="H33" i="69"/>
  <c r="D33" i="69" a="1"/>
  <c r="D33" i="69"/>
  <c r="Z29" i="69"/>
  <c r="X29" i="69"/>
  <c r="N29" i="69"/>
  <c r="L29" i="69"/>
  <c r="J29" i="69"/>
  <c r="B29" i="69"/>
  <c r="Z28" i="69"/>
  <c r="X28" i="69"/>
  <c r="N28" i="69"/>
  <c r="L28" i="69"/>
  <c r="B28" i="69"/>
  <c r="Z27" i="69"/>
  <c r="X27" i="69"/>
  <c r="V27" i="69"/>
  <c r="N27" i="69"/>
  <c r="L27" i="69"/>
  <c r="B27" i="69"/>
  <c r="Z26" i="69"/>
  <c r="X26" i="69"/>
  <c r="N26" i="69"/>
  <c r="L26" i="69"/>
  <c r="B26" i="69"/>
  <c r="Z25" i="69"/>
  <c r="X25" i="69"/>
  <c r="V25" i="69"/>
  <c r="N25" i="69"/>
  <c r="L25" i="69"/>
  <c r="B25" i="69"/>
  <c r="Z24" i="69"/>
  <c r="X24" i="69"/>
  <c r="V24" i="69"/>
  <c r="N24" i="69"/>
  <c r="L24" i="69"/>
  <c r="J24" i="69"/>
  <c r="B24" i="69"/>
  <c r="Z23" i="69"/>
  <c r="X23" i="69"/>
  <c r="V23" i="69"/>
  <c r="N23" i="69"/>
  <c r="L23" i="69"/>
  <c r="J23" i="69"/>
  <c r="B23" i="69"/>
  <c r="Z22" i="69"/>
  <c r="X22" i="69"/>
  <c r="N22" i="69"/>
  <c r="L22" i="69"/>
  <c r="B22" i="69"/>
  <c r="Z21" i="69"/>
  <c r="X21" i="69"/>
  <c r="N21" i="69"/>
  <c r="L21" i="69"/>
  <c r="J21" i="69"/>
  <c r="B21" i="69"/>
  <c r="X20" i="69"/>
  <c r="Z20" i="69" s="1"/>
  <c r="V20" i="69"/>
  <c r="L20" i="69"/>
  <c r="N20" i="69" s="1"/>
  <c r="J20" i="69"/>
  <c r="B20" i="69"/>
  <c r="X19" i="69"/>
  <c r="Z19" i="69" s="1"/>
  <c r="V19" i="69"/>
  <c r="T19" i="69"/>
  <c r="P19" i="69"/>
  <c r="H19" i="69"/>
  <c r="D19" i="69"/>
  <c r="Z17" i="69"/>
  <c r="X17" i="69"/>
  <c r="P17" i="69"/>
  <c r="N17" i="69"/>
  <c r="D17" i="69"/>
  <c r="L17" i="69" s="1"/>
  <c r="B17" i="69"/>
  <c r="Z16" i="69"/>
  <c r="P16" i="69"/>
  <c r="X16" i="69" s="1"/>
  <c r="N16" i="69"/>
  <c r="D16" i="69"/>
  <c r="L16" i="69" s="1"/>
  <c r="B16" i="69"/>
  <c r="Z15" i="69"/>
  <c r="P15" i="69"/>
  <c r="N15" i="69"/>
  <c r="L15" i="69"/>
  <c r="D15" i="69"/>
  <c r="B15" i="69"/>
  <c r="X14" i="69"/>
  <c r="Z14" i="69" s="1"/>
  <c r="P14" i="69"/>
  <c r="N14" i="69"/>
  <c r="D14" i="69"/>
  <c r="L14" i="69" s="1"/>
  <c r="B14" i="69"/>
  <c r="X13" i="69"/>
  <c r="Z13" i="69" s="1"/>
  <c r="P13" i="69"/>
  <c r="D13" i="69"/>
  <c r="B13" i="69"/>
  <c r="T12" i="69"/>
  <c r="H12" i="69"/>
  <c r="J67" i="69" s="1"/>
  <c r="D6" i="69"/>
  <c r="D4" i="69"/>
  <c r="X79" i="68"/>
  <c r="Z79" i="68" s="1"/>
  <c r="L79" i="68"/>
  <c r="N79" i="68" s="1"/>
  <c r="H77" i="68"/>
  <c r="Z75" i="68"/>
  <c r="P75" i="68"/>
  <c r="X75" i="68" s="1"/>
  <c r="N75" i="68"/>
  <c r="J75" i="68"/>
  <c r="D75" i="68"/>
  <c r="B75" i="68"/>
  <c r="X74" i="68"/>
  <c r="Z74" i="68" s="1"/>
  <c r="T74" i="68"/>
  <c r="P74" i="68"/>
  <c r="H74" i="68"/>
  <c r="N74" i="68" s="1"/>
  <c r="Z72" i="68"/>
  <c r="X72" i="68"/>
  <c r="L72" i="68"/>
  <c r="N72" i="68" s="1"/>
  <c r="J72" i="68"/>
  <c r="B72" i="68"/>
  <c r="X71" i="68"/>
  <c r="Z71" i="68" s="1"/>
  <c r="T71" i="68"/>
  <c r="P71" i="68"/>
  <c r="L71" i="68"/>
  <c r="J71" i="68"/>
  <c r="H71" i="68"/>
  <c r="D71" i="68"/>
  <c r="B71" i="68"/>
  <c r="Z70" i="68"/>
  <c r="X70" i="68"/>
  <c r="N70" i="68"/>
  <c r="L70" i="68"/>
  <c r="J70" i="68"/>
  <c r="B70" i="68"/>
  <c r="X69" i="68"/>
  <c r="Z69" i="68" s="1"/>
  <c r="L69" i="68"/>
  <c r="N69" i="68" s="1"/>
  <c r="B69" i="68"/>
  <c r="Z68" i="68"/>
  <c r="X68" i="68"/>
  <c r="L68" i="68"/>
  <c r="N68" i="68" s="1"/>
  <c r="B68" i="68"/>
  <c r="Z67" i="68"/>
  <c r="X67" i="68"/>
  <c r="N67" i="68"/>
  <c r="L67" i="68"/>
  <c r="J67" i="68"/>
  <c r="B67" i="68"/>
  <c r="T66" i="68"/>
  <c r="P66" i="68"/>
  <c r="H66" i="68"/>
  <c r="D66" i="68"/>
  <c r="L66" i="68" s="1"/>
  <c r="N66" i="68" s="1"/>
  <c r="B66" i="68"/>
  <c r="Z65" i="68"/>
  <c r="X65" i="68"/>
  <c r="V65" i="68"/>
  <c r="N65" i="68"/>
  <c r="L65" i="68"/>
  <c r="J65" i="68"/>
  <c r="B65" i="68"/>
  <c r="Z64" i="68"/>
  <c r="X64" i="68"/>
  <c r="T64" i="68"/>
  <c r="P64" i="68"/>
  <c r="H64" i="68"/>
  <c r="N64" i="68" s="1"/>
  <c r="D64" i="68"/>
  <c r="B64" i="68"/>
  <c r="Z63" i="68"/>
  <c r="X63" i="68"/>
  <c r="V63" i="68"/>
  <c r="N63" i="68"/>
  <c r="L63" i="68"/>
  <c r="B63" i="68"/>
  <c r="T62" i="68"/>
  <c r="P62" i="68"/>
  <c r="H62" i="68"/>
  <c r="D62" i="68"/>
  <c r="B62" i="68"/>
  <c r="Z61" i="68"/>
  <c r="X61" i="68"/>
  <c r="V61" i="68"/>
  <c r="N61" i="68"/>
  <c r="L61" i="68"/>
  <c r="J61" i="68"/>
  <c r="B61" i="68"/>
  <c r="X60" i="68"/>
  <c r="Z60" i="68" s="1"/>
  <c r="L60" i="68"/>
  <c r="N60" i="68" s="1"/>
  <c r="B60" i="68"/>
  <c r="Z59" i="68"/>
  <c r="X59" i="68"/>
  <c r="V59" i="68"/>
  <c r="N59" i="68"/>
  <c r="L59" i="68"/>
  <c r="J59" i="68"/>
  <c r="B59" i="68"/>
  <c r="T58" i="68"/>
  <c r="P58" i="68"/>
  <c r="H58" i="68"/>
  <c r="D58" i="68"/>
  <c r="B58" i="68"/>
  <c r="Z57" i="68"/>
  <c r="X57" i="68"/>
  <c r="V57" i="68"/>
  <c r="N57" i="68"/>
  <c r="L57" i="68"/>
  <c r="J57" i="68"/>
  <c r="B57" i="68"/>
  <c r="T56" i="68"/>
  <c r="Z56" i="68" s="1"/>
  <c r="P56" i="68"/>
  <c r="X56" i="68" s="1"/>
  <c r="H56" i="68"/>
  <c r="D56" i="68"/>
  <c r="B56" i="68"/>
  <c r="Z55" i="68"/>
  <c r="X55" i="68"/>
  <c r="N55" i="68"/>
  <c r="L55" i="68"/>
  <c r="J55" i="68"/>
  <c r="B55" i="68"/>
  <c r="X54" i="68"/>
  <c r="Z54" i="68" s="1"/>
  <c r="V54" i="68"/>
  <c r="L54" i="68"/>
  <c r="N54" i="68" s="1"/>
  <c r="J54" i="68"/>
  <c r="B54" i="68"/>
  <c r="V53" i="68"/>
  <c r="T53" i="68"/>
  <c r="P53" i="68"/>
  <c r="X53" i="68" s="1"/>
  <c r="Z53" i="68" s="1"/>
  <c r="H53" i="68"/>
  <c r="D53" i="68"/>
  <c r="B53" i="68"/>
  <c r="Z52" i="68"/>
  <c r="X52" i="68"/>
  <c r="L52" i="68"/>
  <c r="N52" i="68" s="1"/>
  <c r="J52" i="68"/>
  <c r="B52" i="68"/>
  <c r="T51" i="68"/>
  <c r="P51" i="68"/>
  <c r="X51" i="68" s="1"/>
  <c r="Z51" i="68" s="1"/>
  <c r="L51" i="68"/>
  <c r="N51" i="68" s="1"/>
  <c r="J51" i="68"/>
  <c r="H51" i="68"/>
  <c r="D51" i="68"/>
  <c r="B51" i="68"/>
  <c r="X50" i="68"/>
  <c r="Z50" i="68" s="1"/>
  <c r="V50" i="68"/>
  <c r="L50" i="68"/>
  <c r="N50" i="68" s="1"/>
  <c r="J50" i="68"/>
  <c r="B50" i="68"/>
  <c r="V49" i="68"/>
  <c r="T49" i="68"/>
  <c r="P49" i="68"/>
  <c r="X49" i="68" s="1"/>
  <c r="Z49" i="68" s="1"/>
  <c r="H49" i="68"/>
  <c r="L49" i="68" s="1"/>
  <c r="D49" i="68"/>
  <c r="B49" i="68"/>
  <c r="X48" i="68"/>
  <c r="Z48" i="68" s="1"/>
  <c r="L48" i="68"/>
  <c r="N48" i="68" s="1"/>
  <c r="B48" i="68"/>
  <c r="T47" i="68"/>
  <c r="X47" i="68" s="1"/>
  <c r="R47" i="68"/>
  <c r="P47" i="68"/>
  <c r="J47" i="68"/>
  <c r="H47" i="68"/>
  <c r="D47" i="68"/>
  <c r="L47" i="68" s="1"/>
  <c r="N47" i="68" s="1"/>
  <c r="B47" i="68"/>
  <c r="Z46" i="68"/>
  <c r="X46" i="68"/>
  <c r="V46" i="68"/>
  <c r="N46" i="68"/>
  <c r="L46" i="68"/>
  <c r="J46" i="68"/>
  <c r="B46" i="68"/>
  <c r="Z45" i="68"/>
  <c r="X45" i="68"/>
  <c r="V45" i="68"/>
  <c r="N45" i="68"/>
  <c r="L45" i="68"/>
  <c r="J45" i="68"/>
  <c r="B45" i="68"/>
  <c r="Z44" i="68"/>
  <c r="X44" i="68"/>
  <c r="N44" i="68"/>
  <c r="L44" i="68"/>
  <c r="B44" i="68"/>
  <c r="Z43" i="68"/>
  <c r="X43" i="68"/>
  <c r="V43" i="68"/>
  <c r="N43" i="68"/>
  <c r="L43" i="68"/>
  <c r="J43" i="68"/>
  <c r="B43" i="68"/>
  <c r="Z42" i="68"/>
  <c r="X42" i="68"/>
  <c r="V42" i="68"/>
  <c r="N42" i="68"/>
  <c r="L42" i="68"/>
  <c r="J42" i="68"/>
  <c r="B42" i="68"/>
  <c r="Z41" i="68"/>
  <c r="X41" i="68"/>
  <c r="V41" i="68"/>
  <c r="N41" i="68"/>
  <c r="L41" i="68"/>
  <c r="J41" i="68"/>
  <c r="B41" i="68"/>
  <c r="X40" i="68"/>
  <c r="Z40" i="68" s="1"/>
  <c r="L40" i="68"/>
  <c r="N40" i="68" s="1"/>
  <c r="J40" i="68"/>
  <c r="B40" i="68"/>
  <c r="Z39" i="68"/>
  <c r="X39" i="68"/>
  <c r="R39" i="68"/>
  <c r="N39" i="68"/>
  <c r="L39" i="68"/>
  <c r="J39" i="68"/>
  <c r="B39" i="68"/>
  <c r="X38" i="68"/>
  <c r="Z38" i="68" s="1"/>
  <c r="V38" i="68"/>
  <c r="R38" i="68"/>
  <c r="L38" i="68"/>
  <c r="N38" i="68" s="1"/>
  <c r="J38" i="68"/>
  <c r="B38" i="68"/>
  <c r="Z37" i="68"/>
  <c r="X37" i="68"/>
  <c r="V37" i="68"/>
  <c r="N37" i="68"/>
  <c r="L37" i="68"/>
  <c r="J37" i="68"/>
  <c r="B37" i="68"/>
  <c r="T36" i="68"/>
  <c r="P36" i="68"/>
  <c r="X36" i="68" s="1"/>
  <c r="H36" i="68"/>
  <c r="D36" i="68"/>
  <c r="L36" i="68" s="1"/>
  <c r="B36" i="68"/>
  <c r="Z35" i="68"/>
  <c r="X35" i="68"/>
  <c r="N35" i="68"/>
  <c r="L35" i="68"/>
  <c r="J35" i="68"/>
  <c r="B35" i="68"/>
  <c r="X34" i="68"/>
  <c r="Z34" i="68" s="1"/>
  <c r="V34" i="68"/>
  <c r="L34" i="68"/>
  <c r="N34" i="68" s="1"/>
  <c r="J34" i="68"/>
  <c r="B34" i="68"/>
  <c r="X33" i="68"/>
  <c r="Z33" i="68" s="1"/>
  <c r="V33" i="68"/>
  <c r="L33" i="68"/>
  <c r="N33" i="68" s="1"/>
  <c r="J33" i="68"/>
  <c r="B33" i="68"/>
  <c r="Z32" i="68"/>
  <c r="X32" i="68"/>
  <c r="N32" i="68"/>
  <c r="L32" i="68"/>
  <c r="B32" i="68"/>
  <c r="Z31" i="68"/>
  <c r="X31" i="68"/>
  <c r="V31" i="68"/>
  <c r="N31" i="68"/>
  <c r="L31" i="68"/>
  <c r="J31" i="68"/>
  <c r="B31" i="68"/>
  <c r="X30" i="68"/>
  <c r="Z30" i="68" s="1"/>
  <c r="V30" i="68"/>
  <c r="L30" i="68"/>
  <c r="N30" i="68" s="1"/>
  <c r="J30" i="68"/>
  <c r="B30" i="68"/>
  <c r="Z29" i="68"/>
  <c r="X29" i="68"/>
  <c r="V29" i="68"/>
  <c r="L29" i="68"/>
  <c r="N29" i="68" s="1"/>
  <c r="J29" i="68"/>
  <c r="B29" i="68"/>
  <c r="X28" i="68"/>
  <c r="Z28" i="68" s="1"/>
  <c r="N28" i="68"/>
  <c r="L28" i="68"/>
  <c r="J28" i="68"/>
  <c r="B28" i="68"/>
  <c r="Z27" i="68"/>
  <c r="X27" i="68"/>
  <c r="N27" i="68"/>
  <c r="L27" i="68"/>
  <c r="J27" i="68"/>
  <c r="B27" i="68"/>
  <c r="T26" i="68"/>
  <c r="P26" i="68"/>
  <c r="X26" i="68" s="1"/>
  <c r="N26" i="68"/>
  <c r="H26" i="68"/>
  <c r="D26" i="68"/>
  <c r="L26" i="68" s="1"/>
  <c r="B26" i="68"/>
  <c r="X25" i="68"/>
  <c r="Z25" i="68" s="1"/>
  <c r="V25" i="68"/>
  <c r="T25" i="68" a="1"/>
  <c r="T25" i="68"/>
  <c r="P25" i="68" a="1"/>
  <c r="P25" i="68" s="1"/>
  <c r="L25" i="68"/>
  <c r="N25" i="68" s="1"/>
  <c r="J25" i="68"/>
  <c r="H25" i="68" a="1"/>
  <c r="H25" i="68"/>
  <c r="D25" i="68" a="1"/>
  <c r="D25" i="68" s="1"/>
  <c r="H23" i="68"/>
  <c r="J23" i="68" s="1"/>
  <c r="Z21" i="68"/>
  <c r="X21" i="68"/>
  <c r="V21" i="68"/>
  <c r="N21" i="68"/>
  <c r="L21" i="68"/>
  <c r="J21" i="68"/>
  <c r="B21" i="68"/>
  <c r="Z20" i="68"/>
  <c r="X20" i="68"/>
  <c r="N20" i="68"/>
  <c r="L20" i="68"/>
  <c r="B20" i="68"/>
  <c r="T19" i="68"/>
  <c r="X19" i="68" s="1"/>
  <c r="P19" i="68"/>
  <c r="L19" i="68"/>
  <c r="J19" i="68"/>
  <c r="H19" i="68"/>
  <c r="N19" i="68" s="1"/>
  <c r="D19" i="68"/>
  <c r="Z17" i="68"/>
  <c r="P17" i="68"/>
  <c r="X17" i="68" s="1"/>
  <c r="N17" i="68"/>
  <c r="L17" i="68"/>
  <c r="D17" i="68"/>
  <c r="B17" i="68"/>
  <c r="Z16" i="68"/>
  <c r="X16" i="68"/>
  <c r="P16" i="68"/>
  <c r="N16" i="68"/>
  <c r="D16" i="68"/>
  <c r="L16" i="68" s="1"/>
  <c r="B16" i="68"/>
  <c r="Z15" i="68"/>
  <c r="P15" i="68"/>
  <c r="X15" i="68" s="1"/>
  <c r="N15" i="68"/>
  <c r="D15" i="68"/>
  <c r="B15" i="68"/>
  <c r="P14" i="68"/>
  <c r="P12" i="68" s="1"/>
  <c r="N14" i="68"/>
  <c r="D14" i="68"/>
  <c r="L14" i="68" s="1"/>
  <c r="B14" i="68"/>
  <c r="P13" i="68"/>
  <c r="X13" i="68" s="1"/>
  <c r="Z13" i="68" s="1"/>
  <c r="L13" i="68"/>
  <c r="N13" i="68" s="1"/>
  <c r="D13" i="68"/>
  <c r="B13" i="68"/>
  <c r="T12" i="68"/>
  <c r="V74" i="68" s="1"/>
  <c r="H12" i="68"/>
  <c r="J63" i="68" s="1"/>
  <c r="D6" i="68"/>
  <c r="D4" i="68"/>
  <c r="X114" i="67"/>
  <c r="Z114" i="67" s="1"/>
  <c r="V114" i="67"/>
  <c r="L114" i="67"/>
  <c r="N114" i="67" s="1"/>
  <c r="J114" i="67"/>
  <c r="Z110" i="67"/>
  <c r="X110" i="67"/>
  <c r="V110" i="67"/>
  <c r="P110" i="67"/>
  <c r="N110" i="67"/>
  <c r="L110" i="67"/>
  <c r="J110" i="67"/>
  <c r="D110" i="67"/>
  <c r="B110" i="67"/>
  <c r="V109" i="67"/>
  <c r="P109" i="67"/>
  <c r="X109" i="67" s="1"/>
  <c r="Z109" i="67" s="1"/>
  <c r="L109" i="67"/>
  <c r="N109" i="67" s="1"/>
  <c r="J109" i="67"/>
  <c r="D109" i="67"/>
  <c r="B109" i="67"/>
  <c r="P108" i="67"/>
  <c r="X108" i="67" s="1"/>
  <c r="Z108" i="67" s="1"/>
  <c r="N108" i="67"/>
  <c r="J108" i="67"/>
  <c r="D108" i="67"/>
  <c r="B108" i="67"/>
  <c r="V107" i="67"/>
  <c r="T107" i="67"/>
  <c r="H107" i="67"/>
  <c r="X105" i="67"/>
  <c r="Z105" i="67" s="1"/>
  <c r="V105" i="67"/>
  <c r="L105" i="67"/>
  <c r="N105" i="67" s="1"/>
  <c r="J105" i="67"/>
  <c r="B105" i="67"/>
  <c r="T104" i="67"/>
  <c r="P104" i="67"/>
  <c r="X104" i="67" s="1"/>
  <c r="Z104" i="67" s="1"/>
  <c r="H104" i="67"/>
  <c r="D104" i="67"/>
  <c r="B104" i="67"/>
  <c r="Z103" i="67"/>
  <c r="X103" i="67"/>
  <c r="V103" i="67"/>
  <c r="N103" i="67"/>
  <c r="L103" i="67"/>
  <c r="B103" i="67"/>
  <c r="T102" i="67"/>
  <c r="Z102" i="67" s="1"/>
  <c r="P102" i="67"/>
  <c r="H102" i="67"/>
  <c r="D102" i="67"/>
  <c r="B102" i="67"/>
  <c r="X101" i="67"/>
  <c r="Z101" i="67" s="1"/>
  <c r="V101" i="67"/>
  <c r="L101" i="67"/>
  <c r="N101" i="67" s="1"/>
  <c r="J101" i="67"/>
  <c r="B101" i="67"/>
  <c r="T100" i="67"/>
  <c r="Z100" i="67" s="1"/>
  <c r="P100" i="67"/>
  <c r="X100" i="67" s="1"/>
  <c r="H100" i="67"/>
  <c r="D100" i="67"/>
  <c r="B100" i="67"/>
  <c r="Z99" i="67"/>
  <c r="X99" i="67"/>
  <c r="N99" i="67"/>
  <c r="L99" i="67"/>
  <c r="J99" i="67"/>
  <c r="B99" i="67"/>
  <c r="Z98" i="67"/>
  <c r="X98" i="67"/>
  <c r="V98" i="67"/>
  <c r="N98" i="67"/>
  <c r="L98" i="67"/>
  <c r="J98" i="67"/>
  <c r="B98" i="67"/>
  <c r="X97" i="67"/>
  <c r="Z97" i="67" s="1"/>
  <c r="V97" i="67"/>
  <c r="L97" i="67"/>
  <c r="N97" i="67" s="1"/>
  <c r="J97" i="67"/>
  <c r="B97" i="67"/>
  <c r="Z96" i="67"/>
  <c r="X96" i="67"/>
  <c r="N96" i="67"/>
  <c r="L96" i="67"/>
  <c r="B96" i="67"/>
  <c r="Z95" i="67"/>
  <c r="T95" i="67"/>
  <c r="X95" i="67" s="1"/>
  <c r="P95" i="67"/>
  <c r="J95" i="67"/>
  <c r="H95" i="67"/>
  <c r="D95" i="67"/>
  <c r="L95" i="67" s="1"/>
  <c r="N95" i="67" s="1"/>
  <c r="B95" i="67"/>
  <c r="X94" i="67"/>
  <c r="Z94" i="67" s="1"/>
  <c r="V94" i="67"/>
  <c r="L94" i="67"/>
  <c r="N94" i="67" s="1"/>
  <c r="J94" i="67"/>
  <c r="B94" i="67"/>
  <c r="X93" i="67"/>
  <c r="Z93" i="67" s="1"/>
  <c r="V93" i="67"/>
  <c r="N93" i="67"/>
  <c r="L93" i="67"/>
  <c r="J93" i="67"/>
  <c r="B93" i="67"/>
  <c r="Z92" i="67"/>
  <c r="T92" i="67"/>
  <c r="P92" i="67"/>
  <c r="X92" i="67" s="1"/>
  <c r="H92" i="67"/>
  <c r="D92" i="67"/>
  <c r="L92" i="67" s="1"/>
  <c r="B92" i="67"/>
  <c r="Z91" i="67"/>
  <c r="X91" i="67"/>
  <c r="N91" i="67"/>
  <c r="L91" i="67"/>
  <c r="J91" i="67"/>
  <c r="B91" i="67"/>
  <c r="X90" i="67"/>
  <c r="Z90" i="67" s="1"/>
  <c r="V90" i="67"/>
  <c r="N90" i="67"/>
  <c r="L90" i="67"/>
  <c r="J90" i="67"/>
  <c r="B90" i="67"/>
  <c r="X89" i="67"/>
  <c r="Z89" i="67" s="1"/>
  <c r="V89" i="67"/>
  <c r="L89" i="67"/>
  <c r="N89" i="67" s="1"/>
  <c r="J89" i="67"/>
  <c r="B89" i="67"/>
  <c r="X88" i="67"/>
  <c r="Z88" i="67" s="1"/>
  <c r="T88" i="67"/>
  <c r="P88" i="67"/>
  <c r="J88" i="67"/>
  <c r="H88" i="67"/>
  <c r="D88" i="67"/>
  <c r="L88" i="67" s="1"/>
  <c r="B88" i="67"/>
  <c r="Z87" i="67"/>
  <c r="X87" i="67"/>
  <c r="N87" i="67"/>
  <c r="L87" i="67"/>
  <c r="J87" i="67"/>
  <c r="B87" i="67"/>
  <c r="Z86" i="67"/>
  <c r="X86" i="67"/>
  <c r="V86" i="67"/>
  <c r="N86" i="67"/>
  <c r="L86" i="67"/>
  <c r="J86" i="67"/>
  <c r="B86" i="67"/>
  <c r="Z85" i="67"/>
  <c r="V85" i="67"/>
  <c r="T85" i="67"/>
  <c r="P85" i="67"/>
  <c r="X85" i="67" s="1"/>
  <c r="H85" i="67"/>
  <c r="N85" i="67" s="1"/>
  <c r="D85" i="67"/>
  <c r="B85" i="67"/>
  <c r="Z84" i="67"/>
  <c r="X84" i="67"/>
  <c r="N84" i="67"/>
  <c r="L84" i="67"/>
  <c r="B84" i="67"/>
  <c r="T83" i="67"/>
  <c r="P83" i="67"/>
  <c r="N83" i="67"/>
  <c r="L83" i="67"/>
  <c r="J83" i="67"/>
  <c r="H83" i="67"/>
  <c r="D83" i="67"/>
  <c r="B83" i="67"/>
  <c r="X82" i="67"/>
  <c r="Z82" i="67" s="1"/>
  <c r="V82" i="67"/>
  <c r="L82" i="67"/>
  <c r="N82" i="67" s="1"/>
  <c r="J82" i="67"/>
  <c r="B82" i="67"/>
  <c r="V81" i="67"/>
  <c r="T81" i="67"/>
  <c r="P81" i="67"/>
  <c r="X81" i="67" s="1"/>
  <c r="Z81" i="67" s="1"/>
  <c r="N81" i="67"/>
  <c r="H81" i="67"/>
  <c r="L81" i="67" s="1"/>
  <c r="D81" i="67"/>
  <c r="B81" i="67"/>
  <c r="Z80" i="67"/>
  <c r="X80" i="67"/>
  <c r="N80" i="67"/>
  <c r="L80" i="67"/>
  <c r="B80" i="67"/>
  <c r="Z79" i="67"/>
  <c r="T79" i="67"/>
  <c r="X79" i="67" s="1"/>
  <c r="P79" i="67"/>
  <c r="L79" i="67"/>
  <c r="J79" i="67"/>
  <c r="H79" i="67"/>
  <c r="N79" i="67" s="1"/>
  <c r="D79" i="67"/>
  <c r="B79" i="67"/>
  <c r="Z78" i="67"/>
  <c r="X78" i="67"/>
  <c r="V78" i="67"/>
  <c r="N78" i="67"/>
  <c r="L78" i="67"/>
  <c r="J78" i="67"/>
  <c r="B78" i="67"/>
  <c r="X77" i="67"/>
  <c r="Z77" i="67" s="1"/>
  <c r="V77" i="67"/>
  <c r="L77" i="67"/>
  <c r="N77" i="67" s="1"/>
  <c r="J77" i="67"/>
  <c r="B77" i="67"/>
  <c r="T76" i="67"/>
  <c r="P76" i="67"/>
  <c r="H76" i="67"/>
  <c r="D76" i="67"/>
  <c r="B76" i="67"/>
  <c r="Z75" i="67"/>
  <c r="X75" i="67"/>
  <c r="N75" i="67"/>
  <c r="L75" i="67"/>
  <c r="J75" i="67"/>
  <c r="B75" i="67"/>
  <c r="T74" i="67"/>
  <c r="P74" i="67"/>
  <c r="N74" i="67"/>
  <c r="H74" i="67"/>
  <c r="D74" i="67"/>
  <c r="L74" i="67" s="1"/>
  <c r="B74" i="67"/>
  <c r="Z73" i="67"/>
  <c r="X73" i="67"/>
  <c r="V73" i="67"/>
  <c r="L73" i="67"/>
  <c r="N73" i="67" s="1"/>
  <c r="J73" i="67"/>
  <c r="B73" i="67"/>
  <c r="X72" i="67"/>
  <c r="Z72" i="67" s="1"/>
  <c r="T72" i="67"/>
  <c r="P72" i="67"/>
  <c r="L72" i="67"/>
  <c r="J72" i="67"/>
  <c r="H72" i="67"/>
  <c r="D72" i="67"/>
  <c r="B72" i="67"/>
  <c r="Z71" i="67"/>
  <c r="X71" i="67"/>
  <c r="V71" i="67"/>
  <c r="N71" i="67"/>
  <c r="L71" i="67"/>
  <c r="B71" i="67"/>
  <c r="X70" i="67"/>
  <c r="T70" i="67"/>
  <c r="Z70" i="67" s="1"/>
  <c r="P70" i="67"/>
  <c r="H70" i="67"/>
  <c r="N70" i="67" s="1"/>
  <c r="D70" i="67"/>
  <c r="L70" i="67" s="1"/>
  <c r="B70" i="67"/>
  <c r="Z69" i="67"/>
  <c r="X69" i="67"/>
  <c r="V69" i="67"/>
  <c r="N69" i="67"/>
  <c r="L69" i="67"/>
  <c r="J69" i="67"/>
  <c r="B69" i="67"/>
  <c r="T68" i="67"/>
  <c r="Z68" i="67" s="1"/>
  <c r="P68" i="67"/>
  <c r="H68" i="67"/>
  <c r="N68" i="67" s="1"/>
  <c r="D68" i="67"/>
  <c r="L68" i="67" s="1"/>
  <c r="B68" i="67"/>
  <c r="Z67" i="67"/>
  <c r="X67" i="67"/>
  <c r="N67" i="67"/>
  <c r="L67" i="67"/>
  <c r="J67" i="67"/>
  <c r="B67" i="67"/>
  <c r="T66" i="67"/>
  <c r="Z66" i="67" s="1"/>
  <c r="P66" i="67"/>
  <c r="X66" i="67" s="1"/>
  <c r="N66" i="67"/>
  <c r="L66" i="67"/>
  <c r="H66" i="67"/>
  <c r="D66" i="67"/>
  <c r="B66" i="67"/>
  <c r="X65" i="67"/>
  <c r="Z65" i="67" s="1"/>
  <c r="V65" i="67"/>
  <c r="L65" i="67"/>
  <c r="N65" i="67" s="1"/>
  <c r="J65" i="67"/>
  <c r="B65" i="67"/>
  <c r="X64" i="67"/>
  <c r="Z64" i="67" s="1"/>
  <c r="T64" i="67"/>
  <c r="P64" i="67"/>
  <c r="H64" i="67"/>
  <c r="D64" i="67"/>
  <c r="B64" i="67"/>
  <c r="Z63" i="67"/>
  <c r="X63" i="67"/>
  <c r="V63" i="67"/>
  <c r="N63" i="67"/>
  <c r="L63" i="67"/>
  <c r="B63" i="67"/>
  <c r="Z62" i="67"/>
  <c r="X62" i="67"/>
  <c r="V62" i="67"/>
  <c r="N62" i="67"/>
  <c r="L62" i="67"/>
  <c r="J62" i="67"/>
  <c r="B62" i="67"/>
  <c r="Z61" i="67"/>
  <c r="X61" i="67"/>
  <c r="V61" i="67"/>
  <c r="N61" i="67"/>
  <c r="L61" i="67"/>
  <c r="J61" i="67"/>
  <c r="B61" i="67"/>
  <c r="X60" i="67"/>
  <c r="Z60" i="67" s="1"/>
  <c r="L60" i="67"/>
  <c r="N60" i="67" s="1"/>
  <c r="B60" i="67"/>
  <c r="Z59" i="67"/>
  <c r="X59" i="67"/>
  <c r="N59" i="67"/>
  <c r="L59" i="67"/>
  <c r="J59" i="67"/>
  <c r="B59" i="67"/>
  <c r="Z58" i="67"/>
  <c r="X58" i="67"/>
  <c r="V58" i="67"/>
  <c r="N58" i="67"/>
  <c r="L58" i="67"/>
  <c r="J58" i="67"/>
  <c r="B58" i="67"/>
  <c r="X57" i="67"/>
  <c r="Z57" i="67" s="1"/>
  <c r="V57" i="67"/>
  <c r="N57" i="67"/>
  <c r="L57" i="67"/>
  <c r="J57" i="67"/>
  <c r="B57" i="67"/>
  <c r="Z56" i="67"/>
  <c r="X56" i="67"/>
  <c r="N56" i="67"/>
  <c r="L56" i="67"/>
  <c r="B56" i="67"/>
  <c r="Z55" i="67"/>
  <c r="X55" i="67"/>
  <c r="V55" i="67"/>
  <c r="N55" i="67"/>
  <c r="L55" i="67"/>
  <c r="B55" i="67"/>
  <c r="Z54" i="67"/>
  <c r="X54" i="67"/>
  <c r="V54" i="67"/>
  <c r="N54" i="67"/>
  <c r="L54" i="67"/>
  <c r="J54" i="67"/>
  <c r="B54" i="67"/>
  <c r="X53" i="67"/>
  <c r="Z53" i="67" s="1"/>
  <c r="V53" i="67"/>
  <c r="T53" i="67"/>
  <c r="P53" i="67"/>
  <c r="H53" i="67"/>
  <c r="L53" i="67" s="1"/>
  <c r="D53" i="67"/>
  <c r="B53" i="67"/>
  <c r="X52" i="67"/>
  <c r="Z52" i="67" s="1"/>
  <c r="L52" i="67"/>
  <c r="N52" i="67" s="1"/>
  <c r="B52" i="67"/>
  <c r="Z51" i="67"/>
  <c r="X51" i="67"/>
  <c r="V51" i="67"/>
  <c r="N51" i="67"/>
  <c r="L51" i="67"/>
  <c r="B51" i="67"/>
  <c r="X50" i="67"/>
  <c r="Z50" i="67" s="1"/>
  <c r="V50" i="67"/>
  <c r="L50" i="67"/>
  <c r="N50" i="67" s="1"/>
  <c r="J50" i="67"/>
  <c r="B50" i="67"/>
  <c r="Z49" i="67"/>
  <c r="X49" i="67"/>
  <c r="V49" i="67"/>
  <c r="N49" i="67"/>
  <c r="L49" i="67"/>
  <c r="J49" i="67"/>
  <c r="B49" i="67"/>
  <c r="X48" i="67"/>
  <c r="Z48" i="67" s="1"/>
  <c r="N48" i="67"/>
  <c r="L48" i="67"/>
  <c r="B48" i="67"/>
  <c r="Z47" i="67"/>
  <c r="X47" i="67"/>
  <c r="N47" i="67"/>
  <c r="L47" i="67"/>
  <c r="J47" i="67"/>
  <c r="B47" i="67"/>
  <c r="X46" i="67"/>
  <c r="Z46" i="67" s="1"/>
  <c r="V46" i="67"/>
  <c r="L46" i="67"/>
  <c r="N46" i="67" s="1"/>
  <c r="J46" i="67"/>
  <c r="B46" i="67"/>
  <c r="X45" i="67"/>
  <c r="Z45" i="67" s="1"/>
  <c r="V45" i="67"/>
  <c r="L45" i="67"/>
  <c r="N45" i="67" s="1"/>
  <c r="J45" i="67"/>
  <c r="B45" i="67"/>
  <c r="X44" i="67"/>
  <c r="Z44" i="67" s="1"/>
  <c r="N44" i="67"/>
  <c r="L44" i="67"/>
  <c r="B44" i="67"/>
  <c r="Z43" i="67"/>
  <c r="V43" i="67"/>
  <c r="T43" i="67"/>
  <c r="X43" i="67" s="1"/>
  <c r="P43" i="67"/>
  <c r="J43" i="67"/>
  <c r="H43" i="67"/>
  <c r="D43" i="67"/>
  <c r="L43" i="67" s="1"/>
  <c r="B43" i="67"/>
  <c r="T42" i="67" a="1"/>
  <c r="T42" i="67" s="1"/>
  <c r="P42" i="67" a="1"/>
  <c r="P42" i="67"/>
  <c r="X42" i="67" s="1"/>
  <c r="H42" i="67" a="1"/>
  <c r="H42" i="67" s="1"/>
  <c r="D42" i="67" a="1"/>
  <c r="D42" i="67"/>
  <c r="Z38" i="67"/>
  <c r="X38" i="67"/>
  <c r="V38" i="67"/>
  <c r="N38" i="67"/>
  <c r="L38" i="67"/>
  <c r="J38" i="67"/>
  <c r="B38" i="67"/>
  <c r="Z37" i="67"/>
  <c r="X37" i="67"/>
  <c r="V37" i="67"/>
  <c r="N37" i="67"/>
  <c r="L37" i="67"/>
  <c r="J37" i="67"/>
  <c r="B37" i="67"/>
  <c r="Z36" i="67"/>
  <c r="X36" i="67"/>
  <c r="N36" i="67"/>
  <c r="L36" i="67"/>
  <c r="B36" i="67"/>
  <c r="Z35" i="67"/>
  <c r="X35" i="67"/>
  <c r="V35" i="67"/>
  <c r="N35" i="67"/>
  <c r="L35" i="67"/>
  <c r="J35" i="67"/>
  <c r="B35" i="67"/>
  <c r="Z34" i="67"/>
  <c r="X34" i="67"/>
  <c r="V34" i="67"/>
  <c r="N34" i="67"/>
  <c r="L34" i="67"/>
  <c r="J34" i="67"/>
  <c r="B34" i="67"/>
  <c r="Z33" i="67"/>
  <c r="X33" i="67"/>
  <c r="V33" i="67"/>
  <c r="N33" i="67"/>
  <c r="L33" i="67"/>
  <c r="J33" i="67"/>
  <c r="B33" i="67"/>
  <c r="Z32" i="67"/>
  <c r="X32" i="67"/>
  <c r="V32" i="67"/>
  <c r="N32" i="67"/>
  <c r="L32" i="67"/>
  <c r="B32" i="67"/>
  <c r="Z31" i="67"/>
  <c r="X31" i="67"/>
  <c r="V31" i="67"/>
  <c r="N31" i="67"/>
  <c r="L31" i="67"/>
  <c r="B31" i="67"/>
  <c r="Z30" i="67"/>
  <c r="X30" i="67"/>
  <c r="V30" i="67"/>
  <c r="N30" i="67"/>
  <c r="L30" i="67"/>
  <c r="J30" i="67"/>
  <c r="B30" i="67"/>
  <c r="Z29" i="67"/>
  <c r="X29" i="67"/>
  <c r="V29" i="67"/>
  <c r="N29" i="67"/>
  <c r="L29" i="67"/>
  <c r="J29" i="67"/>
  <c r="B29" i="67"/>
  <c r="Z28" i="67"/>
  <c r="X28" i="67"/>
  <c r="N28" i="67"/>
  <c r="L28" i="67"/>
  <c r="B28" i="67"/>
  <c r="Z27" i="67"/>
  <c r="X27" i="67"/>
  <c r="V27" i="67"/>
  <c r="N27" i="67"/>
  <c r="L27" i="67"/>
  <c r="J27" i="67"/>
  <c r="B27" i="67"/>
  <c r="Z26" i="67"/>
  <c r="X26" i="67"/>
  <c r="V26" i="67"/>
  <c r="N26" i="67"/>
  <c r="L26" i="67"/>
  <c r="J26" i="67"/>
  <c r="B26" i="67"/>
  <c r="Z25" i="67"/>
  <c r="X25" i="67"/>
  <c r="V25" i="67"/>
  <c r="N25" i="67"/>
  <c r="L25" i="67"/>
  <c r="J25" i="67"/>
  <c r="B25" i="67"/>
  <c r="Z24" i="67"/>
  <c r="X24" i="67"/>
  <c r="V24" i="67"/>
  <c r="N24" i="67"/>
  <c r="L24" i="67"/>
  <c r="B24" i="67"/>
  <c r="Z23" i="67"/>
  <c r="X23" i="67"/>
  <c r="V23" i="67"/>
  <c r="N23" i="67"/>
  <c r="L23" i="67"/>
  <c r="B23" i="67"/>
  <c r="Z22" i="67"/>
  <c r="X22" i="67"/>
  <c r="V22" i="67"/>
  <c r="N22" i="67"/>
  <c r="L22" i="67"/>
  <c r="J22" i="67"/>
  <c r="B22" i="67"/>
  <c r="Z21" i="67"/>
  <c r="X21" i="67"/>
  <c r="V21" i="67"/>
  <c r="N21" i="67"/>
  <c r="L21" i="67"/>
  <c r="J21" i="67"/>
  <c r="B21" i="67"/>
  <c r="X20" i="67"/>
  <c r="Z20" i="67" s="1"/>
  <c r="L20" i="67"/>
  <c r="N20" i="67" s="1"/>
  <c r="B20" i="67"/>
  <c r="T19" i="67"/>
  <c r="V19" i="67" s="1"/>
  <c r="P19" i="67"/>
  <c r="X19" i="67" s="1"/>
  <c r="L19" i="67"/>
  <c r="N19" i="67" s="1"/>
  <c r="J19" i="67"/>
  <c r="H19" i="67"/>
  <c r="D19" i="67"/>
  <c r="Z17" i="67"/>
  <c r="P17" i="67"/>
  <c r="X17" i="67" s="1"/>
  <c r="N17" i="67"/>
  <c r="L17" i="67"/>
  <c r="D17" i="67"/>
  <c r="B17" i="67"/>
  <c r="Z16" i="67"/>
  <c r="X16" i="67"/>
  <c r="P16" i="67"/>
  <c r="N16" i="67"/>
  <c r="L16" i="67"/>
  <c r="D16" i="67"/>
  <c r="B16" i="67"/>
  <c r="Z15" i="67"/>
  <c r="X15" i="67"/>
  <c r="P15" i="67"/>
  <c r="N15" i="67"/>
  <c r="D15" i="67"/>
  <c r="B15" i="67"/>
  <c r="Z14" i="67"/>
  <c r="P14" i="67"/>
  <c r="N14" i="67"/>
  <c r="D14" i="67"/>
  <c r="L14" i="67" s="1"/>
  <c r="B14" i="67"/>
  <c r="P13" i="67"/>
  <c r="X13" i="67" s="1"/>
  <c r="Z13" i="67" s="1"/>
  <c r="L13" i="67"/>
  <c r="N13" i="67" s="1"/>
  <c r="D13" i="67"/>
  <c r="B13" i="67"/>
  <c r="T12" i="67"/>
  <c r="V100" i="67" s="1"/>
  <c r="H12" i="67"/>
  <c r="D6" i="67"/>
  <c r="D4" i="67"/>
  <c r="Z95" i="65"/>
  <c r="X95" i="65"/>
  <c r="N95" i="65"/>
  <c r="L95" i="65"/>
  <c r="Z91" i="65"/>
  <c r="P91" i="65"/>
  <c r="X91" i="65" s="1"/>
  <c r="N91" i="65"/>
  <c r="D91" i="65"/>
  <c r="L91" i="65" s="1"/>
  <c r="B91" i="65"/>
  <c r="Z90" i="65"/>
  <c r="P90" i="65"/>
  <c r="X90" i="65" s="1"/>
  <c r="N90" i="65"/>
  <c r="D90" i="65"/>
  <c r="L90" i="65" s="1"/>
  <c r="B90" i="65"/>
  <c r="P89" i="65"/>
  <c r="N89" i="65"/>
  <c r="D89" i="65"/>
  <c r="L89" i="65" s="1"/>
  <c r="B89" i="65"/>
  <c r="X88" i="65"/>
  <c r="Z88" i="65" s="1"/>
  <c r="P88" i="65"/>
  <c r="D88" i="65"/>
  <c r="L88" i="65" s="1"/>
  <c r="N88" i="65" s="1"/>
  <c r="B88" i="65"/>
  <c r="T87" i="65"/>
  <c r="H87" i="65"/>
  <c r="D87" i="65"/>
  <c r="L87" i="65" s="1"/>
  <c r="N87" i="65" s="1"/>
  <c r="Z85" i="65"/>
  <c r="X85" i="65"/>
  <c r="N85" i="65"/>
  <c r="L85" i="65"/>
  <c r="B85" i="65"/>
  <c r="T84" i="65"/>
  <c r="Z84" i="65" s="1"/>
  <c r="P84" i="65"/>
  <c r="H84" i="65"/>
  <c r="D84" i="65"/>
  <c r="B84" i="65"/>
  <c r="X83" i="65"/>
  <c r="Z83" i="65" s="1"/>
  <c r="L83" i="65"/>
  <c r="N83" i="65" s="1"/>
  <c r="J83" i="65"/>
  <c r="B83" i="65"/>
  <c r="Z82" i="65"/>
  <c r="X82" i="65"/>
  <c r="N82" i="65"/>
  <c r="L82" i="65"/>
  <c r="B82" i="65"/>
  <c r="Z81" i="65"/>
  <c r="T81" i="65"/>
  <c r="X81" i="65" s="1"/>
  <c r="P81" i="65"/>
  <c r="L81" i="65"/>
  <c r="N81" i="65" s="1"/>
  <c r="H81" i="65"/>
  <c r="D81" i="65"/>
  <c r="B81" i="65"/>
  <c r="X80" i="65"/>
  <c r="Z80" i="65" s="1"/>
  <c r="L80" i="65"/>
  <c r="N80" i="65" s="1"/>
  <c r="B80" i="65"/>
  <c r="X79" i="65"/>
  <c r="Z79" i="65" s="1"/>
  <c r="L79" i="65"/>
  <c r="N79" i="65" s="1"/>
  <c r="B79" i="65"/>
  <c r="Z78" i="65"/>
  <c r="T78" i="65"/>
  <c r="P78" i="65"/>
  <c r="X78" i="65" s="1"/>
  <c r="J78" i="65"/>
  <c r="H78" i="65"/>
  <c r="D78" i="65"/>
  <c r="L78" i="65" s="1"/>
  <c r="B78" i="65"/>
  <c r="Z77" i="65"/>
  <c r="X77" i="65"/>
  <c r="N77" i="65"/>
  <c r="L77" i="65"/>
  <c r="B77" i="65"/>
  <c r="X76" i="65"/>
  <c r="Z76" i="65" s="1"/>
  <c r="L76" i="65"/>
  <c r="N76" i="65" s="1"/>
  <c r="J76" i="65"/>
  <c r="B76" i="65"/>
  <c r="X75" i="65"/>
  <c r="Z75" i="65" s="1"/>
  <c r="T75" i="65"/>
  <c r="P75" i="65"/>
  <c r="H75" i="65"/>
  <c r="D75" i="65"/>
  <c r="L75" i="65" s="1"/>
  <c r="N75" i="65" s="1"/>
  <c r="B75" i="65"/>
  <c r="X74" i="65"/>
  <c r="Z74" i="65" s="1"/>
  <c r="L74" i="65"/>
  <c r="N74" i="65" s="1"/>
  <c r="B74" i="65"/>
  <c r="Z73" i="65"/>
  <c r="X73" i="65"/>
  <c r="N73" i="65"/>
  <c r="L73" i="65"/>
  <c r="J73" i="65"/>
  <c r="B73" i="65"/>
  <c r="Z72" i="65"/>
  <c r="X72" i="65"/>
  <c r="N72" i="65"/>
  <c r="L72" i="65"/>
  <c r="B72" i="65"/>
  <c r="T71" i="65"/>
  <c r="P71" i="65"/>
  <c r="X71" i="65" s="1"/>
  <c r="H71" i="65"/>
  <c r="N71" i="65" s="1"/>
  <c r="D71" i="65"/>
  <c r="L71" i="65" s="1"/>
  <c r="B71" i="65"/>
  <c r="X70" i="65"/>
  <c r="Z70" i="65" s="1"/>
  <c r="N70" i="65"/>
  <c r="L70" i="65"/>
  <c r="B70" i="65"/>
  <c r="T69" i="65"/>
  <c r="P69" i="65"/>
  <c r="X69" i="65" s="1"/>
  <c r="Z69" i="65" s="1"/>
  <c r="N69" i="65"/>
  <c r="H69" i="65"/>
  <c r="D69" i="65"/>
  <c r="L69" i="65" s="1"/>
  <c r="B69" i="65"/>
  <c r="X68" i="65"/>
  <c r="Z68" i="65" s="1"/>
  <c r="N68" i="65"/>
  <c r="L68" i="65"/>
  <c r="J68" i="65"/>
  <c r="B68" i="65"/>
  <c r="X67" i="65"/>
  <c r="Z67" i="65" s="1"/>
  <c r="T67" i="65"/>
  <c r="P67" i="65"/>
  <c r="N67" i="65"/>
  <c r="H67" i="65"/>
  <c r="L67" i="65" s="1"/>
  <c r="D67" i="65"/>
  <c r="B67" i="65"/>
  <c r="Z66" i="65"/>
  <c r="X66" i="65"/>
  <c r="N66" i="65"/>
  <c r="L66" i="65"/>
  <c r="B66" i="65"/>
  <c r="Z65" i="65"/>
  <c r="X65" i="65"/>
  <c r="N65" i="65"/>
  <c r="L65" i="65"/>
  <c r="B65" i="65"/>
  <c r="X64" i="65"/>
  <c r="T64" i="65"/>
  <c r="P64" i="65"/>
  <c r="H64" i="65"/>
  <c r="D64" i="65"/>
  <c r="L64" i="65" s="1"/>
  <c r="N64" i="65" s="1"/>
  <c r="B64" i="65"/>
  <c r="X63" i="65"/>
  <c r="Z63" i="65" s="1"/>
  <c r="N63" i="65"/>
  <c r="L63" i="65"/>
  <c r="B63" i="65"/>
  <c r="T62" i="65"/>
  <c r="P62" i="65"/>
  <c r="X62" i="65" s="1"/>
  <c r="Z62" i="65" s="1"/>
  <c r="H62" i="65"/>
  <c r="D62" i="65"/>
  <c r="L62" i="65" s="1"/>
  <c r="B62" i="65"/>
  <c r="Z61" i="65"/>
  <c r="X61" i="65"/>
  <c r="N61" i="65"/>
  <c r="L61" i="65"/>
  <c r="B61" i="65"/>
  <c r="T60" i="65"/>
  <c r="P60" i="65"/>
  <c r="X60" i="65" s="1"/>
  <c r="N60" i="65"/>
  <c r="H60" i="65"/>
  <c r="D60" i="65"/>
  <c r="L60" i="65" s="1"/>
  <c r="B60" i="65"/>
  <c r="Z59" i="65"/>
  <c r="X59" i="65"/>
  <c r="N59" i="65"/>
  <c r="L59" i="65"/>
  <c r="B59" i="65"/>
  <c r="Z58" i="65"/>
  <c r="T58" i="65"/>
  <c r="P58" i="65"/>
  <c r="X58" i="65" s="1"/>
  <c r="H58" i="65"/>
  <c r="N58" i="65" s="1"/>
  <c r="D58" i="65"/>
  <c r="B58" i="65"/>
  <c r="Z57" i="65"/>
  <c r="X57" i="65"/>
  <c r="N57" i="65"/>
  <c r="L57" i="65"/>
  <c r="B57" i="65"/>
  <c r="T56" i="65"/>
  <c r="P56" i="65"/>
  <c r="H56" i="65"/>
  <c r="D56" i="65"/>
  <c r="B56" i="65"/>
  <c r="Z55" i="65"/>
  <c r="X55" i="65"/>
  <c r="N55" i="65"/>
  <c r="L55" i="65"/>
  <c r="B55" i="65"/>
  <c r="Z54" i="65"/>
  <c r="X54" i="65"/>
  <c r="N54" i="65"/>
  <c r="L54" i="65"/>
  <c r="B54" i="65"/>
  <c r="Z53" i="65"/>
  <c r="X53" i="65"/>
  <c r="N53" i="65"/>
  <c r="L53" i="65"/>
  <c r="B53" i="65"/>
  <c r="X52" i="65"/>
  <c r="Z52" i="65" s="1"/>
  <c r="N52" i="65"/>
  <c r="L52" i="65"/>
  <c r="B52" i="65"/>
  <c r="Z51" i="65"/>
  <c r="X51" i="65"/>
  <c r="N51" i="65"/>
  <c r="L51" i="65"/>
  <c r="B51" i="65"/>
  <c r="Z50" i="65"/>
  <c r="X50" i="65"/>
  <c r="L50" i="65"/>
  <c r="N50" i="65" s="1"/>
  <c r="B50" i="65"/>
  <c r="Z49" i="65"/>
  <c r="X49" i="65"/>
  <c r="N49" i="65"/>
  <c r="L49" i="65"/>
  <c r="J49" i="65"/>
  <c r="B49" i="65"/>
  <c r="Z48" i="65"/>
  <c r="X48" i="65"/>
  <c r="N48" i="65"/>
  <c r="L48" i="65"/>
  <c r="B48" i="65"/>
  <c r="X47" i="65"/>
  <c r="Z47" i="65" s="1"/>
  <c r="L47" i="65"/>
  <c r="N47" i="65" s="1"/>
  <c r="J47" i="65"/>
  <c r="B47" i="65"/>
  <c r="Z46" i="65"/>
  <c r="X46" i="65"/>
  <c r="N46" i="65"/>
  <c r="L46" i="65"/>
  <c r="B46" i="65"/>
  <c r="Z45" i="65"/>
  <c r="T45" i="65"/>
  <c r="P45" i="65"/>
  <c r="X45" i="65" s="1"/>
  <c r="L45" i="65"/>
  <c r="N45" i="65" s="1"/>
  <c r="H45" i="65"/>
  <c r="D45" i="65"/>
  <c r="B45" i="65"/>
  <c r="X44" i="65"/>
  <c r="Z44" i="65" s="1"/>
  <c r="L44" i="65"/>
  <c r="N44" i="65" s="1"/>
  <c r="B44" i="65"/>
  <c r="X43" i="65"/>
  <c r="Z43" i="65" s="1"/>
  <c r="L43" i="65"/>
  <c r="N43" i="65" s="1"/>
  <c r="B43" i="65"/>
  <c r="Z42" i="65"/>
  <c r="X42" i="65"/>
  <c r="L42" i="65"/>
  <c r="N42" i="65" s="1"/>
  <c r="B42" i="65"/>
  <c r="Z41" i="65"/>
  <c r="X41" i="65"/>
  <c r="N41" i="65"/>
  <c r="L41" i="65"/>
  <c r="B41" i="65"/>
  <c r="Z40" i="65"/>
  <c r="X40" i="65"/>
  <c r="N40" i="65"/>
  <c r="L40" i="65"/>
  <c r="J40" i="65"/>
  <c r="B40" i="65"/>
  <c r="X39" i="65"/>
  <c r="Z39" i="65" s="1"/>
  <c r="L39" i="65"/>
  <c r="N39" i="65" s="1"/>
  <c r="B39" i="65"/>
  <c r="Z38" i="65"/>
  <c r="X38" i="65"/>
  <c r="L38" i="65"/>
  <c r="N38" i="65" s="1"/>
  <c r="B38" i="65"/>
  <c r="Z37" i="65"/>
  <c r="X37" i="65"/>
  <c r="N37" i="65"/>
  <c r="L37" i="65"/>
  <c r="J37" i="65"/>
  <c r="B37" i="65"/>
  <c r="X36" i="65"/>
  <c r="Z36" i="65" s="1"/>
  <c r="L36" i="65"/>
  <c r="N36" i="65" s="1"/>
  <c r="B36" i="65"/>
  <c r="X35" i="65"/>
  <c r="Z35" i="65" s="1"/>
  <c r="N35" i="65"/>
  <c r="L35" i="65"/>
  <c r="B35" i="65"/>
  <c r="T34" i="65"/>
  <c r="P34" i="65"/>
  <c r="X34" i="65" s="1"/>
  <c r="Z34" i="65" s="1"/>
  <c r="J34" i="65"/>
  <c r="H34" i="65"/>
  <c r="D34" i="65"/>
  <c r="L34" i="65" s="1"/>
  <c r="B34" i="65"/>
  <c r="T33" i="65" a="1"/>
  <c r="T33" i="65"/>
  <c r="P33" i="65" a="1"/>
  <c r="P33" i="65"/>
  <c r="X33" i="65" s="1"/>
  <c r="H33" i="65" a="1"/>
  <c r="H33" i="65"/>
  <c r="D33" i="65" a="1"/>
  <c r="D33" i="65" s="1"/>
  <c r="Z29" i="65"/>
  <c r="X29" i="65"/>
  <c r="N29" i="65"/>
  <c r="L29" i="65"/>
  <c r="B29" i="65"/>
  <c r="Z28" i="65"/>
  <c r="X28" i="65"/>
  <c r="N28" i="65"/>
  <c r="L28" i="65"/>
  <c r="J28" i="65"/>
  <c r="B28" i="65"/>
  <c r="Z27" i="65"/>
  <c r="X27" i="65"/>
  <c r="N27" i="65"/>
  <c r="L27" i="65"/>
  <c r="J27" i="65"/>
  <c r="B27" i="65"/>
  <c r="Z26" i="65"/>
  <c r="X26" i="65"/>
  <c r="N26" i="65"/>
  <c r="L26" i="65"/>
  <c r="B26" i="65"/>
  <c r="Z25" i="65"/>
  <c r="X25" i="65"/>
  <c r="N25" i="65"/>
  <c r="L25" i="65"/>
  <c r="J25" i="65"/>
  <c r="B25" i="65"/>
  <c r="Z24" i="65"/>
  <c r="X24" i="65"/>
  <c r="N24" i="65"/>
  <c r="L24" i="65"/>
  <c r="B24" i="65"/>
  <c r="Z23" i="65"/>
  <c r="X23" i="65"/>
  <c r="N23" i="65"/>
  <c r="L23" i="65"/>
  <c r="B23" i="65"/>
  <c r="Z22" i="65"/>
  <c r="X22" i="65"/>
  <c r="N22" i="65"/>
  <c r="L22" i="65"/>
  <c r="B22" i="65"/>
  <c r="Z21" i="65"/>
  <c r="X21" i="65"/>
  <c r="N21" i="65"/>
  <c r="L21" i="65"/>
  <c r="B21" i="65"/>
  <c r="X20" i="65"/>
  <c r="Z20" i="65" s="1"/>
  <c r="N20" i="65"/>
  <c r="L20" i="65"/>
  <c r="B20" i="65"/>
  <c r="X19" i="65"/>
  <c r="Z19" i="65" s="1"/>
  <c r="T19" i="65"/>
  <c r="P19" i="65"/>
  <c r="H19" i="65"/>
  <c r="D19" i="65"/>
  <c r="Z17" i="65"/>
  <c r="X17" i="65"/>
  <c r="P17" i="65"/>
  <c r="N17" i="65"/>
  <c r="L17" i="65"/>
  <c r="D17" i="65"/>
  <c r="B17" i="65"/>
  <c r="Z16" i="65"/>
  <c r="P16" i="65"/>
  <c r="X16" i="65" s="1"/>
  <c r="N16" i="65"/>
  <c r="D16" i="65"/>
  <c r="L16" i="65" s="1"/>
  <c r="B16" i="65"/>
  <c r="Z15" i="65"/>
  <c r="X15" i="65"/>
  <c r="P15" i="65"/>
  <c r="N15" i="65"/>
  <c r="L15" i="65"/>
  <c r="D15" i="65"/>
  <c r="B15" i="65"/>
  <c r="Z14" i="65"/>
  <c r="X14" i="65"/>
  <c r="P14" i="65"/>
  <c r="N14" i="65"/>
  <c r="D14" i="65"/>
  <c r="L14" i="65" s="1"/>
  <c r="B14" i="65"/>
  <c r="P13" i="65"/>
  <c r="D13" i="65"/>
  <c r="B13" i="65"/>
  <c r="T12" i="65"/>
  <c r="H12" i="65"/>
  <c r="J59" i="65" s="1"/>
  <c r="D6" i="65"/>
  <c r="D4" i="65"/>
  <c r="Z61" i="64"/>
  <c r="X61" i="64"/>
  <c r="N61" i="64"/>
  <c r="L61" i="64"/>
  <c r="H59" i="64"/>
  <c r="T57" i="64"/>
  <c r="Z57" i="64" s="1"/>
  <c r="P57" i="64"/>
  <c r="H57" i="64"/>
  <c r="N57" i="64" s="1"/>
  <c r="D57" i="64"/>
  <c r="L57" i="64" s="1"/>
  <c r="Z55" i="64"/>
  <c r="X55" i="64"/>
  <c r="N55" i="64"/>
  <c r="L55" i="64"/>
  <c r="B55" i="64"/>
  <c r="T54" i="64"/>
  <c r="Z54" i="64" s="1"/>
  <c r="P54" i="64"/>
  <c r="N54" i="64"/>
  <c r="L54" i="64"/>
  <c r="J54" i="64"/>
  <c r="H54" i="64"/>
  <c r="D54" i="64"/>
  <c r="B54" i="64"/>
  <c r="Z53" i="64"/>
  <c r="X53" i="64"/>
  <c r="V53" i="64"/>
  <c r="R53" i="64"/>
  <c r="N53" i="64"/>
  <c r="L53" i="64"/>
  <c r="B53" i="64"/>
  <c r="Z52" i="64"/>
  <c r="X52" i="64"/>
  <c r="V52" i="64"/>
  <c r="T52" i="64"/>
  <c r="P52" i="64"/>
  <c r="N52" i="64"/>
  <c r="J52" i="64"/>
  <c r="H52" i="64"/>
  <c r="L52" i="64" s="1"/>
  <c r="D52" i="64"/>
  <c r="B52" i="64"/>
  <c r="Z51" i="64"/>
  <c r="X51" i="64"/>
  <c r="N51" i="64"/>
  <c r="L51" i="64"/>
  <c r="B51" i="64"/>
  <c r="Z50" i="64"/>
  <c r="X50" i="64"/>
  <c r="V50" i="64"/>
  <c r="N50" i="64"/>
  <c r="L50" i="64"/>
  <c r="B50" i="64"/>
  <c r="V49" i="64"/>
  <c r="T49" i="64"/>
  <c r="P49" i="64"/>
  <c r="L49" i="64"/>
  <c r="H49" i="64"/>
  <c r="N49" i="64" s="1"/>
  <c r="D49" i="64"/>
  <c r="B49" i="64"/>
  <c r="Z48" i="64"/>
  <c r="X48" i="64"/>
  <c r="V48" i="64"/>
  <c r="N48" i="64"/>
  <c r="L48" i="64"/>
  <c r="B48" i="64"/>
  <c r="Z47" i="64"/>
  <c r="X47" i="64"/>
  <c r="N47" i="64"/>
  <c r="L47" i="64"/>
  <c r="B47" i="64"/>
  <c r="V46" i="64"/>
  <c r="T46" i="64"/>
  <c r="Z46" i="64" s="1"/>
  <c r="R46" i="64"/>
  <c r="P46" i="64"/>
  <c r="N46" i="64"/>
  <c r="L46" i="64"/>
  <c r="H46" i="64"/>
  <c r="D46" i="64"/>
  <c r="B46" i="64"/>
  <c r="Z45" i="64"/>
  <c r="X45" i="64"/>
  <c r="V45" i="64"/>
  <c r="N45" i="64"/>
  <c r="L45" i="64"/>
  <c r="J45" i="64"/>
  <c r="B45" i="64"/>
  <c r="Z44" i="64"/>
  <c r="X44" i="64"/>
  <c r="V44" i="64"/>
  <c r="N44" i="64"/>
  <c r="L44" i="64"/>
  <c r="J44" i="64"/>
  <c r="B44" i="64"/>
  <c r="T43" i="64"/>
  <c r="Z43" i="64" s="1"/>
  <c r="P43" i="64"/>
  <c r="H43" i="64"/>
  <c r="N43" i="64" s="1"/>
  <c r="D43" i="64"/>
  <c r="B43" i="64"/>
  <c r="Z42" i="64"/>
  <c r="X42" i="64"/>
  <c r="N42" i="64"/>
  <c r="L42" i="64"/>
  <c r="J42" i="64"/>
  <c r="B42" i="64"/>
  <c r="V41" i="64"/>
  <c r="T41" i="64"/>
  <c r="Z41" i="64" s="1"/>
  <c r="P41" i="64"/>
  <c r="N41" i="64"/>
  <c r="L41" i="64"/>
  <c r="H41" i="64"/>
  <c r="D41" i="64"/>
  <c r="B41" i="64"/>
  <c r="Z40" i="64"/>
  <c r="X40" i="64"/>
  <c r="V40" i="64"/>
  <c r="N40" i="64"/>
  <c r="L40" i="64"/>
  <c r="J40" i="64"/>
  <c r="B40" i="64"/>
  <c r="Z39" i="64"/>
  <c r="X39" i="64"/>
  <c r="T39" i="64"/>
  <c r="P39" i="64"/>
  <c r="L39" i="64"/>
  <c r="J39" i="64"/>
  <c r="H39" i="64"/>
  <c r="N39" i="64" s="1"/>
  <c r="D39" i="64"/>
  <c r="B39" i="64"/>
  <c r="Z38" i="64"/>
  <c r="X38" i="64"/>
  <c r="V38" i="64"/>
  <c r="R38" i="64"/>
  <c r="N38" i="64"/>
  <c r="L38" i="64"/>
  <c r="B38" i="64"/>
  <c r="V37" i="64"/>
  <c r="T37" i="64"/>
  <c r="P37" i="64"/>
  <c r="H37" i="64"/>
  <c r="D37" i="64"/>
  <c r="L37" i="64" s="1"/>
  <c r="N37" i="64" s="1"/>
  <c r="B37" i="64"/>
  <c r="Z36" i="64"/>
  <c r="X36" i="64"/>
  <c r="V36" i="64"/>
  <c r="N36" i="64"/>
  <c r="L36" i="64"/>
  <c r="J36" i="64"/>
  <c r="B36" i="64"/>
  <c r="T35" i="64"/>
  <c r="R35" i="64"/>
  <c r="P35" i="64"/>
  <c r="H35" i="64"/>
  <c r="N35" i="64" s="1"/>
  <c r="D35" i="64"/>
  <c r="B35" i="64"/>
  <c r="Z34" i="64"/>
  <c r="X34" i="64"/>
  <c r="N34" i="64"/>
  <c r="L34" i="64"/>
  <c r="J34" i="64"/>
  <c r="B34" i="64"/>
  <c r="V33" i="64"/>
  <c r="T33" i="64"/>
  <c r="Z33" i="64" s="1"/>
  <c r="P33" i="64"/>
  <c r="N33" i="64"/>
  <c r="H33" i="64"/>
  <c r="D33" i="64"/>
  <c r="L33" i="64" s="1"/>
  <c r="B33" i="64"/>
  <c r="Z32" i="64"/>
  <c r="X32" i="64"/>
  <c r="V32" i="64"/>
  <c r="N32" i="64"/>
  <c r="L32" i="64"/>
  <c r="B32" i="64"/>
  <c r="Z31" i="64"/>
  <c r="X31" i="64"/>
  <c r="T31" i="64"/>
  <c r="P31" i="64"/>
  <c r="L31" i="64"/>
  <c r="H31" i="64"/>
  <c r="N31" i="64" s="1"/>
  <c r="D31" i="64"/>
  <c r="B31" i="64"/>
  <c r="Z30" i="64"/>
  <c r="X30" i="64"/>
  <c r="V30" i="64"/>
  <c r="R30" i="64"/>
  <c r="N30" i="64"/>
  <c r="L30" i="64"/>
  <c r="B30" i="64"/>
  <c r="Z29" i="64"/>
  <c r="X29" i="64"/>
  <c r="V29" i="64"/>
  <c r="N29" i="64"/>
  <c r="L29" i="64"/>
  <c r="B29" i="64"/>
  <c r="Z28" i="64"/>
  <c r="V28" i="64"/>
  <c r="T28" i="64"/>
  <c r="P28" i="64"/>
  <c r="X28" i="64" s="1"/>
  <c r="J28" i="64"/>
  <c r="H28" i="64"/>
  <c r="D28" i="64"/>
  <c r="B28" i="64"/>
  <c r="Z27" i="64"/>
  <c r="X27" i="64"/>
  <c r="N27" i="64"/>
  <c r="L27" i="64"/>
  <c r="B27" i="64"/>
  <c r="Z26" i="64"/>
  <c r="X26" i="64"/>
  <c r="V26" i="64"/>
  <c r="N26" i="64"/>
  <c r="L26" i="64"/>
  <c r="B26" i="64"/>
  <c r="V25" i="64"/>
  <c r="T25" i="64"/>
  <c r="Z25" i="64" s="1"/>
  <c r="P25" i="64"/>
  <c r="H25" i="64"/>
  <c r="N25" i="64" s="1"/>
  <c r="D25" i="64"/>
  <c r="B25" i="64"/>
  <c r="V24" i="64"/>
  <c r="T24" i="64" a="1"/>
  <c r="T24" i="64"/>
  <c r="R24" i="64"/>
  <c r="P24" i="64" a="1"/>
  <c r="P24" i="64" s="1"/>
  <c r="J24" i="64"/>
  <c r="H24" i="64" a="1"/>
  <c r="H24" i="64"/>
  <c r="D24" i="64" a="1"/>
  <c r="D24" i="64" s="1"/>
  <c r="L24" i="64" s="1"/>
  <c r="X22" i="64"/>
  <c r="V22" i="64"/>
  <c r="P22" i="64"/>
  <c r="H22" i="64"/>
  <c r="N22" i="64" s="1"/>
  <c r="Z20" i="64"/>
  <c r="X20" i="64"/>
  <c r="V20" i="64"/>
  <c r="N20" i="64"/>
  <c r="L20" i="64"/>
  <c r="J20" i="64"/>
  <c r="B20" i="64"/>
  <c r="Z19" i="64"/>
  <c r="X19" i="64"/>
  <c r="N19" i="64"/>
  <c r="L19" i="64"/>
  <c r="B19" i="64"/>
  <c r="T18" i="64"/>
  <c r="T22" i="64" s="1"/>
  <c r="P18" i="64"/>
  <c r="X18" i="64" s="1"/>
  <c r="N18" i="64"/>
  <c r="H18" i="64"/>
  <c r="D18" i="64"/>
  <c r="L18" i="64" s="1"/>
  <c r="Z16" i="64"/>
  <c r="P16" i="64"/>
  <c r="X16" i="64" s="1"/>
  <c r="N16" i="64"/>
  <c r="L16" i="64"/>
  <c r="D16" i="64"/>
  <c r="B16" i="64"/>
  <c r="Z15" i="64"/>
  <c r="X15" i="64"/>
  <c r="P15" i="64"/>
  <c r="N15" i="64"/>
  <c r="D15" i="64"/>
  <c r="L15" i="64" s="1"/>
  <c r="B15" i="64"/>
  <c r="Z14" i="64"/>
  <c r="X14" i="64"/>
  <c r="P14" i="64"/>
  <c r="N14" i="64"/>
  <c r="D14" i="64"/>
  <c r="B14" i="64"/>
  <c r="Z13" i="64"/>
  <c r="P13" i="64"/>
  <c r="X13" i="64" s="1"/>
  <c r="N13" i="64"/>
  <c r="D13" i="64"/>
  <c r="L13" i="64" s="1"/>
  <c r="B13" i="64"/>
  <c r="Z12" i="64"/>
  <c r="T12" i="64"/>
  <c r="V63" i="64" s="1"/>
  <c r="P12" i="64"/>
  <c r="H12" i="64"/>
  <c r="J46" i="64" s="1"/>
  <c r="D6" i="64"/>
  <c r="D4" i="64"/>
  <c r="X88" i="63"/>
  <c r="Z88" i="63" s="1"/>
  <c r="L88" i="63"/>
  <c r="N88" i="63" s="1"/>
  <c r="Z84" i="63"/>
  <c r="V84" i="63"/>
  <c r="T84" i="63"/>
  <c r="P84" i="63"/>
  <c r="X84" i="63" s="1"/>
  <c r="H84" i="63"/>
  <c r="D84" i="63"/>
  <c r="X82" i="63"/>
  <c r="Z82" i="63" s="1"/>
  <c r="N82" i="63"/>
  <c r="L82" i="63"/>
  <c r="B82" i="63"/>
  <c r="T81" i="63"/>
  <c r="P81" i="63"/>
  <c r="H81" i="63"/>
  <c r="D81" i="63"/>
  <c r="B81" i="63"/>
  <c r="Z80" i="63"/>
  <c r="X80" i="63"/>
  <c r="N80" i="63"/>
  <c r="L80" i="63"/>
  <c r="B80" i="63"/>
  <c r="X79" i="63"/>
  <c r="Z79" i="63" s="1"/>
  <c r="V79" i="63"/>
  <c r="L79" i="63"/>
  <c r="N79" i="63" s="1"/>
  <c r="B79" i="63"/>
  <c r="X78" i="63"/>
  <c r="Z78" i="63" s="1"/>
  <c r="L78" i="63"/>
  <c r="N78" i="63" s="1"/>
  <c r="B78" i="63"/>
  <c r="Z77" i="63"/>
  <c r="X77" i="63"/>
  <c r="N77" i="63"/>
  <c r="L77" i="63"/>
  <c r="B77" i="63"/>
  <c r="X76" i="63"/>
  <c r="Z76" i="63" s="1"/>
  <c r="T76" i="63"/>
  <c r="P76" i="63"/>
  <c r="H76" i="63"/>
  <c r="D76" i="63"/>
  <c r="B76" i="63"/>
  <c r="Z75" i="63"/>
  <c r="X75" i="63"/>
  <c r="N75" i="63"/>
  <c r="L75" i="63"/>
  <c r="B75" i="63"/>
  <c r="T74" i="63"/>
  <c r="Z74" i="63" s="1"/>
  <c r="P74" i="63"/>
  <c r="X74" i="63" s="1"/>
  <c r="J74" i="63"/>
  <c r="H74" i="63"/>
  <c r="N74" i="63" s="1"/>
  <c r="D74" i="63"/>
  <c r="L74" i="63" s="1"/>
  <c r="B74" i="63"/>
  <c r="Z73" i="63"/>
  <c r="X73" i="63"/>
  <c r="N73" i="63"/>
  <c r="L73" i="63"/>
  <c r="B73" i="63"/>
  <c r="Z72" i="63"/>
  <c r="X72" i="63"/>
  <c r="N72" i="63"/>
  <c r="L72" i="63"/>
  <c r="J72" i="63"/>
  <c r="B72" i="63"/>
  <c r="T71" i="63"/>
  <c r="Z71" i="63" s="1"/>
  <c r="P71" i="63"/>
  <c r="X71" i="63" s="1"/>
  <c r="N71" i="63"/>
  <c r="H71" i="63"/>
  <c r="D71" i="63"/>
  <c r="L71" i="63" s="1"/>
  <c r="B71" i="63"/>
  <c r="Z70" i="63"/>
  <c r="X70" i="63"/>
  <c r="N70" i="63"/>
  <c r="L70" i="63"/>
  <c r="B70" i="63"/>
  <c r="Z69" i="63"/>
  <c r="X69" i="63"/>
  <c r="N69" i="63"/>
  <c r="L69" i="63"/>
  <c r="B69" i="63"/>
  <c r="V68" i="63"/>
  <c r="T68" i="63"/>
  <c r="Z68" i="63" s="1"/>
  <c r="P68" i="63"/>
  <c r="X68" i="63" s="1"/>
  <c r="N68" i="63"/>
  <c r="L68" i="63"/>
  <c r="H68" i="63"/>
  <c r="D68" i="63"/>
  <c r="B68" i="63"/>
  <c r="X67" i="63"/>
  <c r="Z67" i="63" s="1"/>
  <c r="V67" i="63"/>
  <c r="L67" i="63"/>
  <c r="N67" i="63" s="1"/>
  <c r="B67" i="63"/>
  <c r="X66" i="63"/>
  <c r="Z66" i="63" s="1"/>
  <c r="T66" i="63"/>
  <c r="P66" i="63"/>
  <c r="J66" i="63"/>
  <c r="H66" i="63"/>
  <c r="D66" i="63"/>
  <c r="B66" i="63"/>
  <c r="Z65" i="63"/>
  <c r="X65" i="63"/>
  <c r="N65" i="63"/>
  <c r="L65" i="63"/>
  <c r="B65" i="63"/>
  <c r="T64" i="63"/>
  <c r="P64" i="63"/>
  <c r="N64" i="63"/>
  <c r="H64" i="63"/>
  <c r="D64" i="63"/>
  <c r="L64" i="63" s="1"/>
  <c r="B64" i="63"/>
  <c r="Z63" i="63"/>
  <c r="X63" i="63"/>
  <c r="N63" i="63"/>
  <c r="L63" i="63"/>
  <c r="B63" i="63"/>
  <c r="Z62" i="63"/>
  <c r="T62" i="63"/>
  <c r="P62" i="63"/>
  <c r="X62" i="63" s="1"/>
  <c r="N62" i="63"/>
  <c r="J62" i="63"/>
  <c r="H62" i="63"/>
  <c r="D62" i="63"/>
  <c r="L62" i="63" s="1"/>
  <c r="B62" i="63"/>
  <c r="Z61" i="63"/>
  <c r="X61" i="63"/>
  <c r="N61" i="63"/>
  <c r="L61" i="63"/>
  <c r="B61" i="63"/>
  <c r="Z60" i="63"/>
  <c r="X60" i="63"/>
  <c r="N60" i="63"/>
  <c r="L60" i="63"/>
  <c r="J60" i="63"/>
  <c r="B60" i="63"/>
  <c r="X59" i="63"/>
  <c r="T59" i="63"/>
  <c r="Z59" i="63" s="1"/>
  <c r="P59" i="63"/>
  <c r="N59" i="63"/>
  <c r="H59" i="63"/>
  <c r="L59" i="63" s="1"/>
  <c r="D59" i="63"/>
  <c r="B59" i="63"/>
  <c r="Z58" i="63"/>
  <c r="X58" i="63"/>
  <c r="N58" i="63"/>
  <c r="L58" i="63"/>
  <c r="B58" i="63"/>
  <c r="T57" i="63"/>
  <c r="P57" i="63"/>
  <c r="L57" i="63"/>
  <c r="H57" i="63"/>
  <c r="D57" i="63"/>
  <c r="B57" i="63"/>
  <c r="Z56" i="63"/>
  <c r="X56" i="63"/>
  <c r="N56" i="63"/>
  <c r="L56" i="63"/>
  <c r="B56" i="63"/>
  <c r="V55" i="63"/>
  <c r="T55" i="63"/>
  <c r="P55" i="63"/>
  <c r="X55" i="63" s="1"/>
  <c r="H55" i="63"/>
  <c r="D55" i="63"/>
  <c r="B55" i="63"/>
  <c r="Z54" i="63"/>
  <c r="X54" i="63"/>
  <c r="L54" i="63"/>
  <c r="N54" i="63" s="1"/>
  <c r="B54" i="63"/>
  <c r="T53" i="63"/>
  <c r="P53" i="63"/>
  <c r="X53" i="63" s="1"/>
  <c r="L53" i="63"/>
  <c r="H53" i="63"/>
  <c r="N53" i="63" s="1"/>
  <c r="D53" i="63"/>
  <c r="B53" i="63"/>
  <c r="Z52" i="63"/>
  <c r="X52" i="63"/>
  <c r="N52" i="63"/>
  <c r="L52" i="63"/>
  <c r="J52" i="63"/>
  <c r="B52" i="63"/>
  <c r="Z51" i="63"/>
  <c r="X51" i="63"/>
  <c r="N51" i="63"/>
  <c r="L51" i="63"/>
  <c r="B51" i="63"/>
  <c r="Z50" i="63"/>
  <c r="X50" i="63"/>
  <c r="N50" i="63"/>
  <c r="L50" i="63"/>
  <c r="B50" i="63"/>
  <c r="X49" i="63"/>
  <c r="Z49" i="63" s="1"/>
  <c r="N49" i="63"/>
  <c r="L49" i="63"/>
  <c r="F49" i="63"/>
  <c r="B49" i="63"/>
  <c r="Z48" i="63"/>
  <c r="X48" i="63"/>
  <c r="V48" i="63"/>
  <c r="N48" i="63"/>
  <c r="L48" i="63"/>
  <c r="J48" i="63"/>
  <c r="B48" i="63"/>
  <c r="Z47" i="63"/>
  <c r="X47" i="63"/>
  <c r="V47" i="63"/>
  <c r="N47" i="63"/>
  <c r="L47" i="63"/>
  <c r="B47" i="63"/>
  <c r="Z46" i="63"/>
  <c r="X46" i="63"/>
  <c r="N46" i="63"/>
  <c r="L46" i="63"/>
  <c r="B46" i="63"/>
  <c r="Z45" i="63"/>
  <c r="X45" i="63"/>
  <c r="N45" i="63"/>
  <c r="L45" i="63"/>
  <c r="B45" i="63"/>
  <c r="Z44" i="63"/>
  <c r="X44" i="63"/>
  <c r="V44" i="63"/>
  <c r="N44" i="63"/>
  <c r="L44" i="63"/>
  <c r="B44" i="63"/>
  <c r="Z43" i="63"/>
  <c r="X43" i="63"/>
  <c r="N43" i="63"/>
  <c r="L43" i="63"/>
  <c r="J43" i="63"/>
  <c r="B43" i="63"/>
  <c r="T42" i="63"/>
  <c r="P42" i="63"/>
  <c r="X42" i="63" s="1"/>
  <c r="Z42" i="63" s="1"/>
  <c r="J42" i="63"/>
  <c r="H42" i="63"/>
  <c r="D42" i="63"/>
  <c r="L42" i="63" s="1"/>
  <c r="N42" i="63" s="1"/>
  <c r="B42" i="63"/>
  <c r="Z41" i="63"/>
  <c r="X41" i="63"/>
  <c r="L41" i="63"/>
  <c r="N41" i="63" s="1"/>
  <c r="F41" i="63"/>
  <c r="B41" i="63"/>
  <c r="Z40" i="63"/>
  <c r="X40" i="63"/>
  <c r="V40" i="63"/>
  <c r="N40" i="63"/>
  <c r="L40" i="63"/>
  <c r="B40" i="63"/>
  <c r="Z39" i="63"/>
  <c r="X39" i="63"/>
  <c r="N39" i="63"/>
  <c r="L39" i="63"/>
  <c r="B39" i="63"/>
  <c r="Z38" i="63"/>
  <c r="X38" i="63"/>
  <c r="V38" i="63"/>
  <c r="N38" i="63"/>
  <c r="L38" i="63"/>
  <c r="B38" i="63"/>
  <c r="X37" i="63"/>
  <c r="Z37" i="63" s="1"/>
  <c r="L37" i="63"/>
  <c r="N37" i="63" s="1"/>
  <c r="B37" i="63"/>
  <c r="Z36" i="63"/>
  <c r="X36" i="63"/>
  <c r="V36" i="63"/>
  <c r="N36" i="63"/>
  <c r="L36" i="63"/>
  <c r="B36" i="63"/>
  <c r="X35" i="63"/>
  <c r="Z35" i="63" s="1"/>
  <c r="V35" i="63"/>
  <c r="L35" i="63"/>
  <c r="N35" i="63" s="1"/>
  <c r="B35" i="63"/>
  <c r="X34" i="63"/>
  <c r="Z34" i="63" s="1"/>
  <c r="N34" i="63"/>
  <c r="L34" i="63"/>
  <c r="B34" i="63"/>
  <c r="T33" i="63"/>
  <c r="P33" i="63"/>
  <c r="X33" i="63" s="1"/>
  <c r="Z33" i="63" s="1"/>
  <c r="H33" i="63"/>
  <c r="D33" i="63"/>
  <c r="L33" i="63" s="1"/>
  <c r="N33" i="63" s="1"/>
  <c r="B33" i="63"/>
  <c r="T32" i="63" a="1"/>
  <c r="T32" i="63" s="1"/>
  <c r="P32" i="63" a="1"/>
  <c r="P32" i="63" s="1"/>
  <c r="H32" i="63" a="1"/>
  <c r="H32" i="63" s="1"/>
  <c r="D32" i="63" a="1"/>
  <c r="D32" i="63"/>
  <c r="H30" i="63"/>
  <c r="Z28" i="63"/>
  <c r="X28" i="63"/>
  <c r="N28" i="63"/>
  <c r="L28" i="63"/>
  <c r="B28" i="63"/>
  <c r="Z27" i="63"/>
  <c r="X27" i="63"/>
  <c r="V27" i="63"/>
  <c r="N27" i="63"/>
  <c r="L27" i="63"/>
  <c r="J27" i="63"/>
  <c r="B27" i="63"/>
  <c r="Z26" i="63"/>
  <c r="X26" i="63"/>
  <c r="N26" i="63"/>
  <c r="L26" i="63"/>
  <c r="B26" i="63"/>
  <c r="Z25" i="63"/>
  <c r="X25" i="63"/>
  <c r="V25" i="63"/>
  <c r="N25" i="63"/>
  <c r="L25" i="63"/>
  <c r="B25" i="63"/>
  <c r="Z24" i="63"/>
  <c r="X24" i="63"/>
  <c r="N24" i="63"/>
  <c r="L24" i="63"/>
  <c r="B24" i="63"/>
  <c r="Z23" i="63"/>
  <c r="X23" i="63"/>
  <c r="V23" i="63"/>
  <c r="N23" i="63"/>
  <c r="L23" i="63"/>
  <c r="B23" i="63"/>
  <c r="Z22" i="63"/>
  <c r="X22" i="63"/>
  <c r="V22" i="63"/>
  <c r="N22" i="63"/>
  <c r="L22" i="63"/>
  <c r="F22" i="63"/>
  <c r="B22" i="63"/>
  <c r="Z21" i="63"/>
  <c r="X21" i="63"/>
  <c r="N21" i="63"/>
  <c r="L21" i="63"/>
  <c r="J21" i="63"/>
  <c r="B21" i="63"/>
  <c r="Z20" i="63"/>
  <c r="X20" i="63"/>
  <c r="N20" i="63"/>
  <c r="L20" i="63"/>
  <c r="B20" i="63"/>
  <c r="Z19" i="63"/>
  <c r="X19" i="63"/>
  <c r="V19" i="63"/>
  <c r="N19" i="63"/>
  <c r="L19" i="63"/>
  <c r="J19" i="63"/>
  <c r="B19" i="63"/>
  <c r="T18" i="63"/>
  <c r="P18" i="63"/>
  <c r="X18" i="63" s="1"/>
  <c r="H18" i="63"/>
  <c r="D18" i="63"/>
  <c r="L18" i="63" s="1"/>
  <c r="N18" i="63" s="1"/>
  <c r="Z16" i="63"/>
  <c r="X16" i="63"/>
  <c r="P16" i="63"/>
  <c r="N16" i="63"/>
  <c r="D16" i="63"/>
  <c r="L16" i="63" s="1"/>
  <c r="B16" i="63"/>
  <c r="Z15" i="63"/>
  <c r="P15" i="63"/>
  <c r="X15" i="63" s="1"/>
  <c r="N15" i="63"/>
  <c r="L15" i="63"/>
  <c r="D15" i="63"/>
  <c r="B15" i="63"/>
  <c r="X14" i="63"/>
  <c r="Z14" i="63" s="1"/>
  <c r="P14" i="63"/>
  <c r="N14" i="63"/>
  <c r="L14" i="63"/>
  <c r="D14" i="63"/>
  <c r="B14" i="63"/>
  <c r="P13" i="63"/>
  <c r="X13" i="63" s="1"/>
  <c r="Z13" i="63" s="1"/>
  <c r="L13" i="63"/>
  <c r="N13" i="63" s="1"/>
  <c r="D13" i="63"/>
  <c r="D12" i="63" s="1"/>
  <c r="F80" i="63" s="1"/>
  <c r="B13" i="63"/>
  <c r="T12" i="63"/>
  <c r="P12" i="63"/>
  <c r="H12" i="63"/>
  <c r="J82" i="63" s="1"/>
  <c r="D6" i="63"/>
  <c r="D4" i="63"/>
  <c r="R108" i="62"/>
  <c r="J105" i="62"/>
  <c r="Z103" i="62"/>
  <c r="X103" i="62"/>
  <c r="R103" i="62"/>
  <c r="N103" i="62"/>
  <c r="L103" i="62"/>
  <c r="R101" i="62"/>
  <c r="Z99" i="62"/>
  <c r="X99" i="62"/>
  <c r="P99" i="62"/>
  <c r="N99" i="62"/>
  <c r="J99" i="62"/>
  <c r="F99" i="62"/>
  <c r="D99" i="62"/>
  <c r="L99" i="62" s="1"/>
  <c r="B99" i="62"/>
  <c r="P98" i="62"/>
  <c r="N98" i="62"/>
  <c r="L98" i="62"/>
  <c r="D98" i="62"/>
  <c r="B98" i="62"/>
  <c r="T97" i="62"/>
  <c r="H97" i="62"/>
  <c r="F97" i="62"/>
  <c r="D97" i="62"/>
  <c r="X95" i="62"/>
  <c r="Z95" i="62" s="1"/>
  <c r="R95" i="62"/>
  <c r="L95" i="62"/>
  <c r="N95" i="62" s="1"/>
  <c r="J95" i="62"/>
  <c r="B95" i="62"/>
  <c r="V94" i="62"/>
  <c r="T94" i="62"/>
  <c r="R94" i="62"/>
  <c r="P94" i="62"/>
  <c r="X94" i="62" s="1"/>
  <c r="Z94" i="62" s="1"/>
  <c r="H94" i="62"/>
  <c r="L94" i="62" s="1"/>
  <c r="N94" i="62" s="1"/>
  <c r="F94" i="62"/>
  <c r="D94" i="62"/>
  <c r="B94" i="62"/>
  <c r="Z93" i="62"/>
  <c r="X93" i="62"/>
  <c r="N93" i="62"/>
  <c r="L93" i="62"/>
  <c r="F93" i="62"/>
  <c r="B93" i="62"/>
  <c r="Z92" i="62"/>
  <c r="X92" i="62"/>
  <c r="N92" i="62"/>
  <c r="L92" i="62"/>
  <c r="J92" i="62"/>
  <c r="F92" i="62"/>
  <c r="B92" i="62"/>
  <c r="T91" i="62"/>
  <c r="P91" i="62"/>
  <c r="X91" i="62" s="1"/>
  <c r="H91" i="62"/>
  <c r="D91" i="62"/>
  <c r="L91" i="62" s="1"/>
  <c r="N91" i="62" s="1"/>
  <c r="B91" i="62"/>
  <c r="Z90" i="62"/>
  <c r="X90" i="62"/>
  <c r="N90" i="62"/>
  <c r="L90" i="62"/>
  <c r="J90" i="62"/>
  <c r="B90" i="62"/>
  <c r="T89" i="62"/>
  <c r="P89" i="62"/>
  <c r="X89" i="62" s="1"/>
  <c r="Z89" i="62" s="1"/>
  <c r="L89" i="62"/>
  <c r="J89" i="62"/>
  <c r="H89" i="62"/>
  <c r="N89" i="62" s="1"/>
  <c r="D89" i="62"/>
  <c r="B89" i="62"/>
  <c r="Z88" i="62"/>
  <c r="X88" i="62"/>
  <c r="R88" i="62"/>
  <c r="N88" i="62"/>
  <c r="L88" i="62"/>
  <c r="B88" i="62"/>
  <c r="X87" i="62"/>
  <c r="T87" i="62"/>
  <c r="Z87" i="62" s="1"/>
  <c r="P87" i="62"/>
  <c r="H87" i="62"/>
  <c r="F87" i="62"/>
  <c r="D87" i="62"/>
  <c r="B87" i="62"/>
  <c r="Z86" i="62"/>
  <c r="X86" i="62"/>
  <c r="V86" i="62"/>
  <c r="N86" i="62"/>
  <c r="L86" i="62"/>
  <c r="B86" i="62"/>
  <c r="Z85" i="62"/>
  <c r="X85" i="62"/>
  <c r="R85" i="62"/>
  <c r="N85" i="62"/>
  <c r="L85" i="62"/>
  <c r="B85" i="62"/>
  <c r="Z84" i="62"/>
  <c r="X84" i="62"/>
  <c r="R84" i="62"/>
  <c r="N84" i="62"/>
  <c r="L84" i="62"/>
  <c r="B84" i="62"/>
  <c r="Z83" i="62"/>
  <c r="X83" i="62"/>
  <c r="N83" i="62"/>
  <c r="L83" i="62"/>
  <c r="F83" i="62"/>
  <c r="B83" i="62"/>
  <c r="Z82" i="62"/>
  <c r="X82" i="62"/>
  <c r="N82" i="62"/>
  <c r="L82" i="62"/>
  <c r="J82" i="62"/>
  <c r="B82" i="62"/>
  <c r="Z81" i="62"/>
  <c r="X81" i="62"/>
  <c r="L81" i="62"/>
  <c r="N81" i="62" s="1"/>
  <c r="F81" i="62"/>
  <c r="B81" i="62"/>
  <c r="T80" i="62"/>
  <c r="R80" i="62"/>
  <c r="P80" i="62"/>
  <c r="X80" i="62" s="1"/>
  <c r="Z80" i="62" s="1"/>
  <c r="N80" i="62"/>
  <c r="L80" i="62"/>
  <c r="H80" i="62"/>
  <c r="D80" i="62"/>
  <c r="B80" i="62"/>
  <c r="X79" i="62"/>
  <c r="Z79" i="62" s="1"/>
  <c r="N79" i="62"/>
  <c r="L79" i="62"/>
  <c r="F79" i="62"/>
  <c r="B79" i="62"/>
  <c r="Z78" i="62"/>
  <c r="X78" i="62"/>
  <c r="T78" i="62"/>
  <c r="P78" i="62"/>
  <c r="N78" i="62"/>
  <c r="J78" i="62"/>
  <c r="H78" i="62"/>
  <c r="D78" i="62"/>
  <c r="L78" i="62" s="1"/>
  <c r="B78" i="62"/>
  <c r="Z77" i="62"/>
  <c r="X77" i="62"/>
  <c r="R77" i="62"/>
  <c r="N77" i="62"/>
  <c r="L77" i="62"/>
  <c r="B77" i="62"/>
  <c r="Z76" i="62"/>
  <c r="X76" i="62"/>
  <c r="V76" i="62"/>
  <c r="R76" i="62"/>
  <c r="N76" i="62"/>
  <c r="L76" i="62"/>
  <c r="B76" i="62"/>
  <c r="X75" i="62"/>
  <c r="T75" i="62"/>
  <c r="Z75" i="62" s="1"/>
  <c r="P75" i="62"/>
  <c r="L75" i="62"/>
  <c r="H75" i="62"/>
  <c r="F75" i="62"/>
  <c r="D75" i="62"/>
  <c r="B75" i="62"/>
  <c r="Z74" i="62"/>
  <c r="X74" i="62"/>
  <c r="V74" i="62"/>
  <c r="N74" i="62"/>
  <c r="L74" i="62"/>
  <c r="B74" i="62"/>
  <c r="X73" i="62"/>
  <c r="Z73" i="62" s="1"/>
  <c r="R73" i="62"/>
  <c r="N73" i="62"/>
  <c r="L73" i="62"/>
  <c r="F73" i="62"/>
  <c r="B73" i="62"/>
  <c r="Z72" i="62"/>
  <c r="X72" i="62"/>
  <c r="R72" i="62"/>
  <c r="N72" i="62"/>
  <c r="L72" i="62"/>
  <c r="J72" i="62"/>
  <c r="B72" i="62"/>
  <c r="X71" i="62"/>
  <c r="Z71" i="62" s="1"/>
  <c r="L71" i="62"/>
  <c r="N71" i="62" s="1"/>
  <c r="F71" i="62"/>
  <c r="B71" i="62"/>
  <c r="X70" i="62"/>
  <c r="Z70" i="62" s="1"/>
  <c r="T70" i="62"/>
  <c r="R70" i="62"/>
  <c r="P70" i="62"/>
  <c r="J70" i="62"/>
  <c r="H70" i="62"/>
  <c r="N70" i="62" s="1"/>
  <c r="D70" i="62"/>
  <c r="L70" i="62" s="1"/>
  <c r="B70" i="62"/>
  <c r="X69" i="62"/>
  <c r="Z69" i="62" s="1"/>
  <c r="R69" i="62"/>
  <c r="N69" i="62"/>
  <c r="L69" i="62"/>
  <c r="F69" i="62"/>
  <c r="B69" i="62"/>
  <c r="V68" i="62"/>
  <c r="T68" i="62"/>
  <c r="P68" i="62"/>
  <c r="J68" i="62"/>
  <c r="H68" i="62"/>
  <c r="F68" i="62"/>
  <c r="D68" i="62"/>
  <c r="L68" i="62" s="1"/>
  <c r="N68" i="62" s="1"/>
  <c r="B68" i="62"/>
  <c r="Z67" i="62"/>
  <c r="X67" i="62"/>
  <c r="R67" i="62"/>
  <c r="N67" i="62"/>
  <c r="L67" i="62"/>
  <c r="J67" i="62"/>
  <c r="B67" i="62"/>
  <c r="Z66" i="62"/>
  <c r="V66" i="62"/>
  <c r="T66" i="62"/>
  <c r="R66" i="62"/>
  <c r="P66" i="62"/>
  <c r="X66" i="62" s="1"/>
  <c r="J66" i="62"/>
  <c r="H66" i="62"/>
  <c r="N66" i="62" s="1"/>
  <c r="F66" i="62"/>
  <c r="D66" i="62"/>
  <c r="B66" i="62"/>
  <c r="Z65" i="62"/>
  <c r="X65" i="62"/>
  <c r="R65" i="62"/>
  <c r="L65" i="62"/>
  <c r="N65" i="62" s="1"/>
  <c r="F65" i="62"/>
  <c r="B65" i="62"/>
  <c r="T64" i="62"/>
  <c r="R64" i="62"/>
  <c r="P64" i="62"/>
  <c r="L64" i="62"/>
  <c r="N64" i="62" s="1"/>
  <c r="H64" i="62"/>
  <c r="F64" i="62"/>
  <c r="D64" i="62"/>
  <c r="B64" i="62"/>
  <c r="X63" i="62"/>
  <c r="Z63" i="62" s="1"/>
  <c r="V63" i="62"/>
  <c r="L63" i="62"/>
  <c r="N63" i="62" s="1"/>
  <c r="F63" i="62"/>
  <c r="B63" i="62"/>
  <c r="X62" i="62"/>
  <c r="Z62" i="62" s="1"/>
  <c r="T62" i="62"/>
  <c r="R62" i="62"/>
  <c r="P62" i="62"/>
  <c r="J62" i="62"/>
  <c r="H62" i="62"/>
  <c r="N62" i="62" s="1"/>
  <c r="D62" i="62"/>
  <c r="L62" i="62" s="1"/>
  <c r="B62" i="62"/>
  <c r="X61" i="62"/>
  <c r="Z61" i="62" s="1"/>
  <c r="R61" i="62"/>
  <c r="N61" i="62"/>
  <c r="L61" i="62"/>
  <c r="F61" i="62"/>
  <c r="B61" i="62"/>
  <c r="T60" i="62"/>
  <c r="Z60" i="62" s="1"/>
  <c r="P60" i="62"/>
  <c r="X60" i="62" s="1"/>
  <c r="J60" i="62"/>
  <c r="H60" i="62"/>
  <c r="F60" i="62"/>
  <c r="D60" i="62"/>
  <c r="L60" i="62" s="1"/>
  <c r="N60" i="62" s="1"/>
  <c r="B60" i="62"/>
  <c r="X59" i="62"/>
  <c r="Z59" i="62" s="1"/>
  <c r="R59" i="62"/>
  <c r="L59" i="62"/>
  <c r="N59" i="62" s="1"/>
  <c r="J59" i="62"/>
  <c r="B59" i="62"/>
  <c r="T58" i="62"/>
  <c r="R58" i="62"/>
  <c r="P58" i="62"/>
  <c r="X58" i="62" s="1"/>
  <c r="Z58" i="62" s="1"/>
  <c r="J58" i="62"/>
  <c r="H58" i="62"/>
  <c r="F58" i="62"/>
  <c r="D58" i="62"/>
  <c r="B58" i="62"/>
  <c r="Z57" i="62"/>
  <c r="X57" i="62"/>
  <c r="R57" i="62"/>
  <c r="L57" i="62"/>
  <c r="N57" i="62" s="1"/>
  <c r="F57" i="62"/>
  <c r="B57" i="62"/>
  <c r="T56" i="62"/>
  <c r="R56" i="62"/>
  <c r="P56" i="62"/>
  <c r="L56" i="62"/>
  <c r="N56" i="62" s="1"/>
  <c r="H56" i="62"/>
  <c r="F56" i="62"/>
  <c r="D56" i="62"/>
  <c r="B56" i="62"/>
  <c r="X55" i="62"/>
  <c r="Z55" i="62" s="1"/>
  <c r="L55" i="62"/>
  <c r="N55" i="62" s="1"/>
  <c r="F55" i="62"/>
  <c r="B55" i="62"/>
  <c r="X54" i="62"/>
  <c r="Z54" i="62" s="1"/>
  <c r="T54" i="62"/>
  <c r="R54" i="62"/>
  <c r="P54" i="62"/>
  <c r="J54" i="62"/>
  <c r="H54" i="62"/>
  <c r="N54" i="62" s="1"/>
  <c r="D54" i="62"/>
  <c r="L54" i="62" s="1"/>
  <c r="B54" i="62"/>
  <c r="Z53" i="62"/>
  <c r="X53" i="62"/>
  <c r="R53" i="62"/>
  <c r="N53" i="62"/>
  <c r="L53" i="62"/>
  <c r="F53" i="62"/>
  <c r="B53" i="62"/>
  <c r="Z52" i="62"/>
  <c r="X52" i="62"/>
  <c r="R52" i="62"/>
  <c r="N52" i="62"/>
  <c r="L52" i="62"/>
  <c r="J52" i="62"/>
  <c r="B52" i="62"/>
  <c r="X51" i="62"/>
  <c r="T51" i="62"/>
  <c r="Z51" i="62" s="1"/>
  <c r="P51" i="62"/>
  <c r="H51" i="62"/>
  <c r="N51" i="62" s="1"/>
  <c r="F51" i="62"/>
  <c r="D51" i="62"/>
  <c r="B51" i="62"/>
  <c r="Z50" i="62"/>
  <c r="X50" i="62"/>
  <c r="L50" i="62"/>
  <c r="N50" i="62" s="1"/>
  <c r="B50" i="62"/>
  <c r="Z49" i="62"/>
  <c r="X49" i="62"/>
  <c r="R49" i="62"/>
  <c r="N49" i="62"/>
  <c r="L49" i="62"/>
  <c r="F49" i="62"/>
  <c r="B49" i="62"/>
  <c r="V48" i="62"/>
  <c r="T48" i="62"/>
  <c r="P48" i="62"/>
  <c r="J48" i="62"/>
  <c r="H48" i="62"/>
  <c r="F48" i="62"/>
  <c r="D48" i="62"/>
  <c r="L48" i="62" s="1"/>
  <c r="N48" i="62" s="1"/>
  <c r="B48" i="62"/>
  <c r="X47" i="62"/>
  <c r="Z47" i="62" s="1"/>
  <c r="R47" i="62"/>
  <c r="L47" i="62"/>
  <c r="N47" i="62" s="1"/>
  <c r="J47" i="62"/>
  <c r="B47" i="62"/>
  <c r="T46" i="62"/>
  <c r="R46" i="62"/>
  <c r="P46" i="62"/>
  <c r="X46" i="62" s="1"/>
  <c r="Z46" i="62" s="1"/>
  <c r="J46" i="62"/>
  <c r="H46" i="62"/>
  <c r="F46" i="62"/>
  <c r="D46" i="62"/>
  <c r="B46" i="62"/>
  <c r="Z45" i="62"/>
  <c r="X45" i="62"/>
  <c r="R45" i="62"/>
  <c r="L45" i="62"/>
  <c r="N45" i="62" s="1"/>
  <c r="F45" i="62"/>
  <c r="B45" i="62"/>
  <c r="T44" i="62"/>
  <c r="R44" i="62"/>
  <c r="P44" i="62"/>
  <c r="X44" i="62" s="1"/>
  <c r="L44" i="62"/>
  <c r="N44" i="62" s="1"/>
  <c r="H44" i="62"/>
  <c r="F44" i="62"/>
  <c r="D44" i="62"/>
  <c r="B44" i="62"/>
  <c r="Z43" i="62"/>
  <c r="X43" i="62"/>
  <c r="V43" i="62"/>
  <c r="N43" i="62"/>
  <c r="L43" i="62"/>
  <c r="F43" i="62"/>
  <c r="B43" i="62"/>
  <c r="Z42" i="62"/>
  <c r="X42" i="62"/>
  <c r="T42" i="62"/>
  <c r="R42" i="62"/>
  <c r="P42" i="62"/>
  <c r="N42" i="62"/>
  <c r="J42" i="62"/>
  <c r="H42" i="62"/>
  <c r="D42" i="62"/>
  <c r="B42" i="62"/>
  <c r="Z41" i="62"/>
  <c r="X41" i="62"/>
  <c r="R41" i="62"/>
  <c r="N41" i="62"/>
  <c r="L41" i="62"/>
  <c r="F41" i="62"/>
  <c r="B41" i="62"/>
  <c r="Z40" i="62"/>
  <c r="X40" i="62"/>
  <c r="V40" i="62"/>
  <c r="R40" i="62"/>
  <c r="N40" i="62"/>
  <c r="L40" i="62"/>
  <c r="J40" i="62"/>
  <c r="B40" i="62"/>
  <c r="X39" i="62"/>
  <c r="Z39" i="62" s="1"/>
  <c r="V39" i="62"/>
  <c r="L39" i="62"/>
  <c r="N39" i="62" s="1"/>
  <c r="F39" i="62"/>
  <c r="B39" i="62"/>
  <c r="X38" i="62"/>
  <c r="Z38" i="62" s="1"/>
  <c r="N38" i="62"/>
  <c r="L38" i="62"/>
  <c r="J38" i="62"/>
  <c r="B38" i="62"/>
  <c r="Z37" i="62"/>
  <c r="X37" i="62"/>
  <c r="R37" i="62"/>
  <c r="N37" i="62"/>
  <c r="L37" i="62"/>
  <c r="F37" i="62"/>
  <c r="B37" i="62"/>
  <c r="Z36" i="62"/>
  <c r="X36" i="62"/>
  <c r="N36" i="62"/>
  <c r="L36" i="62"/>
  <c r="J36" i="62"/>
  <c r="F36" i="62"/>
  <c r="B36" i="62"/>
  <c r="X35" i="62"/>
  <c r="Z35" i="62" s="1"/>
  <c r="R35" i="62"/>
  <c r="L35" i="62"/>
  <c r="N35" i="62" s="1"/>
  <c r="J35" i="62"/>
  <c r="B35" i="62"/>
  <c r="Z34" i="62"/>
  <c r="X34" i="62"/>
  <c r="V34" i="62"/>
  <c r="N34" i="62"/>
  <c r="L34" i="62"/>
  <c r="B34" i="62"/>
  <c r="Z33" i="62"/>
  <c r="X33" i="62"/>
  <c r="R33" i="62"/>
  <c r="N33" i="62"/>
  <c r="L33" i="62"/>
  <c r="F33" i="62"/>
  <c r="B33" i="62"/>
  <c r="Z32" i="62"/>
  <c r="X32" i="62"/>
  <c r="R32" i="62"/>
  <c r="L32" i="62"/>
  <c r="N32" i="62" s="1"/>
  <c r="J32" i="62"/>
  <c r="B32" i="62"/>
  <c r="X31" i="62"/>
  <c r="V31" i="62"/>
  <c r="T31" i="62"/>
  <c r="Z31" i="62" s="1"/>
  <c r="P31" i="62"/>
  <c r="L31" i="62"/>
  <c r="H31" i="62"/>
  <c r="F31" i="62"/>
  <c r="D31" i="62"/>
  <c r="B31" i="62"/>
  <c r="Z30" i="62"/>
  <c r="X30" i="62"/>
  <c r="N30" i="62"/>
  <c r="L30" i="62"/>
  <c r="B30" i="62"/>
  <c r="X29" i="62"/>
  <c r="Z29" i="62" s="1"/>
  <c r="R29" i="62"/>
  <c r="N29" i="62"/>
  <c r="L29" i="62"/>
  <c r="F29" i="62"/>
  <c r="B29" i="62"/>
  <c r="Z28" i="62"/>
  <c r="X28" i="62"/>
  <c r="V28" i="62"/>
  <c r="R28" i="62"/>
  <c r="N28" i="62"/>
  <c r="L28" i="62"/>
  <c r="J28" i="62"/>
  <c r="B28" i="62"/>
  <c r="Z27" i="62"/>
  <c r="X27" i="62"/>
  <c r="V27" i="62"/>
  <c r="N27" i="62"/>
  <c r="L27" i="62"/>
  <c r="F27" i="62"/>
  <c r="B27" i="62"/>
  <c r="Z26" i="62"/>
  <c r="X26" i="62"/>
  <c r="N26" i="62"/>
  <c r="L26" i="62"/>
  <c r="J26" i="62"/>
  <c r="B26" i="62"/>
  <c r="Z25" i="62"/>
  <c r="X25" i="62"/>
  <c r="R25" i="62"/>
  <c r="L25" i="62"/>
  <c r="N25" i="62" s="1"/>
  <c r="F25" i="62"/>
  <c r="B25" i="62"/>
  <c r="Z24" i="62"/>
  <c r="X24" i="62"/>
  <c r="N24" i="62"/>
  <c r="L24" i="62"/>
  <c r="J24" i="62"/>
  <c r="F24" i="62"/>
  <c r="B24" i="62"/>
  <c r="X23" i="62"/>
  <c r="Z23" i="62" s="1"/>
  <c r="R23" i="62"/>
  <c r="L23" i="62"/>
  <c r="N23" i="62" s="1"/>
  <c r="J23" i="62"/>
  <c r="B23" i="62"/>
  <c r="Z22" i="62"/>
  <c r="X22" i="62"/>
  <c r="V22" i="62"/>
  <c r="L22" i="62"/>
  <c r="N22" i="62" s="1"/>
  <c r="B22" i="62"/>
  <c r="X21" i="62"/>
  <c r="Z21" i="62" s="1"/>
  <c r="R21" i="62"/>
  <c r="N21" i="62"/>
  <c r="L21" i="62"/>
  <c r="F21" i="62"/>
  <c r="B21" i="62"/>
  <c r="V20" i="62"/>
  <c r="T20" i="62"/>
  <c r="P20" i="62"/>
  <c r="J20" i="62"/>
  <c r="H20" i="62"/>
  <c r="F20" i="62"/>
  <c r="D20" i="62"/>
  <c r="L20" i="62" s="1"/>
  <c r="N20" i="62" s="1"/>
  <c r="B20" i="62"/>
  <c r="T19" i="62" a="1"/>
  <c r="T19" i="62" s="1"/>
  <c r="R19" i="62"/>
  <c r="P19" i="62" a="1"/>
  <c r="P19" i="62" s="1"/>
  <c r="H19" i="62" a="1"/>
  <c r="H19" i="62" s="1"/>
  <c r="F19" i="62"/>
  <c r="D19" i="62" a="1"/>
  <c r="D19" i="62" s="1"/>
  <c r="T17" i="62"/>
  <c r="Z17" i="62" s="1"/>
  <c r="P17" i="62"/>
  <c r="D17" i="62"/>
  <c r="Z15" i="62"/>
  <c r="X15" i="62"/>
  <c r="V15" i="62"/>
  <c r="N15" i="62"/>
  <c r="L15" i="62"/>
  <c r="F15" i="62"/>
  <c r="B15" i="62"/>
  <c r="Z14" i="62"/>
  <c r="X14" i="62"/>
  <c r="T14" i="62"/>
  <c r="R14" i="62"/>
  <c r="P14" i="62"/>
  <c r="J14" i="62"/>
  <c r="H14" i="62"/>
  <c r="H17" i="62" s="1"/>
  <c r="H101" i="62" s="1"/>
  <c r="D14" i="62"/>
  <c r="T12" i="62"/>
  <c r="V71" i="62" s="1"/>
  <c r="P12" i="62"/>
  <c r="R98" i="62" s="1"/>
  <c r="N12" i="62"/>
  <c r="L12" i="62"/>
  <c r="H12" i="62"/>
  <c r="J97" i="62" s="1"/>
  <c r="D12" i="62"/>
  <c r="F108" i="62" s="1"/>
  <c r="D6" i="62"/>
  <c r="D4" i="62"/>
  <c r="V64" i="61"/>
  <c r="J64" i="61"/>
  <c r="V61" i="61"/>
  <c r="Z59" i="61"/>
  <c r="X59" i="61"/>
  <c r="V59" i="61"/>
  <c r="N59" i="61"/>
  <c r="L59" i="61"/>
  <c r="J59" i="61"/>
  <c r="V57" i="61"/>
  <c r="J57" i="61"/>
  <c r="V55" i="61"/>
  <c r="T55" i="61"/>
  <c r="Z55" i="61" s="1"/>
  <c r="P55" i="61"/>
  <c r="N55" i="61"/>
  <c r="L55" i="61"/>
  <c r="H55" i="61"/>
  <c r="D55" i="61"/>
  <c r="Z53" i="61"/>
  <c r="X53" i="61"/>
  <c r="V53" i="61"/>
  <c r="N53" i="61"/>
  <c r="L53" i="61"/>
  <c r="J53" i="61"/>
  <c r="B53" i="61"/>
  <c r="X52" i="61"/>
  <c r="V52" i="61"/>
  <c r="T52" i="61"/>
  <c r="P52" i="61"/>
  <c r="L52" i="61"/>
  <c r="H52" i="61"/>
  <c r="N52" i="61" s="1"/>
  <c r="D52" i="61"/>
  <c r="B52" i="61"/>
  <c r="Z51" i="61"/>
  <c r="X51" i="61"/>
  <c r="V51" i="61"/>
  <c r="N51" i="61"/>
  <c r="L51" i="61"/>
  <c r="B51" i="61"/>
  <c r="X50" i="61"/>
  <c r="Z50" i="61" s="1"/>
  <c r="N50" i="61"/>
  <c r="L50" i="61"/>
  <c r="B50" i="61"/>
  <c r="V49" i="61"/>
  <c r="T49" i="61"/>
  <c r="P49" i="61"/>
  <c r="X49" i="61" s="1"/>
  <c r="Z49" i="61" s="1"/>
  <c r="J49" i="61"/>
  <c r="H49" i="61"/>
  <c r="D49" i="61"/>
  <c r="L49" i="61" s="1"/>
  <c r="N49" i="61" s="1"/>
  <c r="B49" i="61"/>
  <c r="X48" i="61"/>
  <c r="Z48" i="61" s="1"/>
  <c r="L48" i="61"/>
  <c r="N48" i="61" s="1"/>
  <c r="J48" i="61"/>
  <c r="B48" i="61"/>
  <c r="V47" i="61"/>
  <c r="T47" i="61"/>
  <c r="P47" i="61"/>
  <c r="X47" i="61" s="1"/>
  <c r="Z47" i="61" s="1"/>
  <c r="J47" i="61"/>
  <c r="H47" i="61"/>
  <c r="F47" i="61"/>
  <c r="D47" i="61"/>
  <c r="B47" i="61"/>
  <c r="Z46" i="61"/>
  <c r="X46" i="61"/>
  <c r="N46" i="61"/>
  <c r="L46" i="61"/>
  <c r="F46" i="61"/>
  <c r="B46" i="61"/>
  <c r="X45" i="61"/>
  <c r="Z45" i="61" s="1"/>
  <c r="V45" i="61"/>
  <c r="N45" i="61"/>
  <c r="L45" i="61"/>
  <c r="J45" i="61"/>
  <c r="B45" i="61"/>
  <c r="T44" i="61"/>
  <c r="P44" i="61"/>
  <c r="N44" i="61"/>
  <c r="H44" i="61"/>
  <c r="D44" i="61"/>
  <c r="L44" i="61" s="1"/>
  <c r="B44" i="61"/>
  <c r="X43" i="61"/>
  <c r="Z43" i="61" s="1"/>
  <c r="N43" i="61"/>
  <c r="L43" i="61"/>
  <c r="J43" i="61"/>
  <c r="B43" i="61"/>
  <c r="Z42" i="61"/>
  <c r="T42" i="61"/>
  <c r="P42" i="61"/>
  <c r="X42" i="61" s="1"/>
  <c r="L42" i="61"/>
  <c r="J42" i="61"/>
  <c r="H42" i="61"/>
  <c r="N42" i="61" s="1"/>
  <c r="D42" i="61"/>
  <c r="B42" i="61"/>
  <c r="Z41" i="61"/>
  <c r="X41" i="61"/>
  <c r="V41" i="61"/>
  <c r="N41" i="61"/>
  <c r="L41" i="61"/>
  <c r="J41" i="61"/>
  <c r="B41" i="61"/>
  <c r="X40" i="61"/>
  <c r="V40" i="61"/>
  <c r="T40" i="61"/>
  <c r="P40" i="61"/>
  <c r="L40" i="61"/>
  <c r="H40" i="61"/>
  <c r="D40" i="61"/>
  <c r="B40" i="61"/>
  <c r="Z39" i="61"/>
  <c r="X39" i="61"/>
  <c r="V39" i="61"/>
  <c r="N39" i="61"/>
  <c r="L39" i="61"/>
  <c r="B39" i="61"/>
  <c r="Z38" i="61"/>
  <c r="X38" i="61"/>
  <c r="N38" i="61"/>
  <c r="L38" i="61"/>
  <c r="B38" i="61"/>
  <c r="Z37" i="61"/>
  <c r="X37" i="61"/>
  <c r="V37" i="61"/>
  <c r="N37" i="61"/>
  <c r="L37" i="61"/>
  <c r="J37" i="61"/>
  <c r="B37" i="61"/>
  <c r="X36" i="61"/>
  <c r="Z36" i="61" s="1"/>
  <c r="V36" i="61"/>
  <c r="N36" i="61"/>
  <c r="L36" i="61"/>
  <c r="B36" i="61"/>
  <c r="Z35" i="61"/>
  <c r="X35" i="61"/>
  <c r="N35" i="61"/>
  <c r="L35" i="61"/>
  <c r="J35" i="61"/>
  <c r="B35" i="61"/>
  <c r="Z34" i="61"/>
  <c r="X34" i="61"/>
  <c r="N34" i="61"/>
  <c r="L34" i="61"/>
  <c r="B34" i="61"/>
  <c r="Z33" i="61"/>
  <c r="X33" i="61"/>
  <c r="V33" i="61"/>
  <c r="N33" i="61"/>
  <c r="L33" i="61"/>
  <c r="J33" i="61"/>
  <c r="B33" i="61"/>
  <c r="Z32" i="61"/>
  <c r="X32" i="61"/>
  <c r="N32" i="61"/>
  <c r="L32" i="61"/>
  <c r="J32" i="61"/>
  <c r="B32" i="61"/>
  <c r="Z31" i="61"/>
  <c r="X31" i="61"/>
  <c r="V31" i="61"/>
  <c r="N31" i="61"/>
  <c r="L31" i="61"/>
  <c r="B31" i="61"/>
  <c r="Z30" i="61"/>
  <c r="X30" i="61"/>
  <c r="N30" i="61"/>
  <c r="L30" i="61"/>
  <c r="B30" i="61"/>
  <c r="V29" i="61"/>
  <c r="T29" i="61"/>
  <c r="P29" i="61"/>
  <c r="J29" i="61"/>
  <c r="H29" i="61"/>
  <c r="F29" i="61"/>
  <c r="D29" i="61"/>
  <c r="L29" i="61" s="1"/>
  <c r="N29" i="61" s="1"/>
  <c r="B29" i="61"/>
  <c r="X28" i="61"/>
  <c r="Z28" i="61" s="1"/>
  <c r="L28" i="61"/>
  <c r="N28" i="61" s="1"/>
  <c r="J28" i="61"/>
  <c r="B28" i="61"/>
  <c r="Z27" i="61"/>
  <c r="X27" i="61"/>
  <c r="V27" i="61"/>
  <c r="N27" i="61"/>
  <c r="L27" i="61"/>
  <c r="B27" i="61"/>
  <c r="X26" i="61"/>
  <c r="Z26" i="61" s="1"/>
  <c r="N26" i="61"/>
  <c r="L26" i="61"/>
  <c r="B26" i="61"/>
  <c r="Z25" i="61"/>
  <c r="X25" i="61"/>
  <c r="V25" i="61"/>
  <c r="N25" i="61"/>
  <c r="L25" i="61"/>
  <c r="J25" i="61"/>
  <c r="B25" i="61"/>
  <c r="Z24" i="61"/>
  <c r="X24" i="61"/>
  <c r="V24" i="61"/>
  <c r="N24" i="61"/>
  <c r="L24" i="61"/>
  <c r="F24" i="61"/>
  <c r="B24" i="61"/>
  <c r="Z23" i="61"/>
  <c r="X23" i="61"/>
  <c r="N23" i="61"/>
  <c r="L23" i="61"/>
  <c r="J23" i="61"/>
  <c r="B23" i="61"/>
  <c r="Z22" i="61"/>
  <c r="X22" i="61"/>
  <c r="L22" i="61"/>
  <c r="N22" i="61" s="1"/>
  <c r="B22" i="61"/>
  <c r="Z21" i="61"/>
  <c r="X21" i="61"/>
  <c r="V21" i="61"/>
  <c r="N21" i="61"/>
  <c r="L21" i="61"/>
  <c r="J21" i="61"/>
  <c r="B21" i="61"/>
  <c r="X20" i="61"/>
  <c r="Z20" i="61" s="1"/>
  <c r="L20" i="61"/>
  <c r="N20" i="61" s="1"/>
  <c r="J20" i="61"/>
  <c r="B20" i="61"/>
  <c r="V19" i="61"/>
  <c r="T19" i="61"/>
  <c r="P19" i="61"/>
  <c r="X19" i="61" s="1"/>
  <c r="Z19" i="61" s="1"/>
  <c r="J19" i="61"/>
  <c r="H19" i="61"/>
  <c r="D19" i="61"/>
  <c r="L19" i="61" s="1"/>
  <c r="B19" i="61"/>
  <c r="T18" i="61" a="1"/>
  <c r="T18" i="61" s="1"/>
  <c r="P18" i="61" a="1"/>
  <c r="P18" i="61"/>
  <c r="N18" i="61"/>
  <c r="H18" i="61" a="1"/>
  <c r="H18" i="61" s="1"/>
  <c r="D18" i="61" a="1"/>
  <c r="D18" i="61"/>
  <c r="L18" i="61" s="1"/>
  <c r="J16" i="61"/>
  <c r="V14" i="61"/>
  <c r="T14" i="61"/>
  <c r="Z14" i="61" s="1"/>
  <c r="P14" i="61"/>
  <c r="L14" i="61"/>
  <c r="H14" i="61"/>
  <c r="N14" i="61" s="1"/>
  <c r="D14" i="61"/>
  <c r="Z12" i="61"/>
  <c r="T12" i="61"/>
  <c r="V50" i="61" s="1"/>
  <c r="P12" i="61"/>
  <c r="R61" i="61" s="1"/>
  <c r="L12" i="61"/>
  <c r="H12" i="61"/>
  <c r="J52" i="61" s="1"/>
  <c r="D12" i="61"/>
  <c r="F22" i="61" s="1"/>
  <c r="D6" i="61"/>
  <c r="D4" i="61"/>
  <c r="Z60" i="60"/>
  <c r="X60" i="60"/>
  <c r="N60" i="60"/>
  <c r="L60" i="60"/>
  <c r="Z56" i="60"/>
  <c r="X56" i="60"/>
  <c r="T56" i="60"/>
  <c r="P56" i="60"/>
  <c r="L56" i="60"/>
  <c r="H56" i="60"/>
  <c r="N56" i="60" s="1"/>
  <c r="D56" i="60"/>
  <c r="X54" i="60"/>
  <c r="Z54" i="60" s="1"/>
  <c r="L54" i="60"/>
  <c r="N54" i="60" s="1"/>
  <c r="B54" i="60"/>
  <c r="T53" i="60"/>
  <c r="P53" i="60"/>
  <c r="X53" i="60" s="1"/>
  <c r="Z53" i="60" s="1"/>
  <c r="H53" i="60"/>
  <c r="D53" i="60"/>
  <c r="L53" i="60" s="1"/>
  <c r="B53" i="60"/>
  <c r="Z52" i="60"/>
  <c r="X52" i="60"/>
  <c r="N52" i="60"/>
  <c r="L52" i="60"/>
  <c r="B52" i="60"/>
  <c r="X51" i="60"/>
  <c r="Z51" i="60" s="1"/>
  <c r="N51" i="60"/>
  <c r="L51" i="60"/>
  <c r="B51" i="60"/>
  <c r="Z50" i="60"/>
  <c r="X50" i="60"/>
  <c r="N50" i="60"/>
  <c r="L50" i="60"/>
  <c r="B50" i="60"/>
  <c r="Z49" i="60"/>
  <c r="T49" i="60"/>
  <c r="P49" i="60"/>
  <c r="X49" i="60" s="1"/>
  <c r="H49" i="60"/>
  <c r="N49" i="60" s="1"/>
  <c r="D49" i="60"/>
  <c r="L49" i="60" s="1"/>
  <c r="B49" i="60"/>
  <c r="Z48" i="60"/>
  <c r="X48" i="60"/>
  <c r="L48" i="60"/>
  <c r="N48" i="60" s="1"/>
  <c r="B48" i="60"/>
  <c r="T47" i="60"/>
  <c r="Z47" i="60" s="1"/>
  <c r="P47" i="60"/>
  <c r="X47" i="60" s="1"/>
  <c r="L47" i="60"/>
  <c r="N47" i="60" s="1"/>
  <c r="H47" i="60"/>
  <c r="D47" i="60"/>
  <c r="B47" i="60"/>
  <c r="Z46" i="60"/>
  <c r="X46" i="60"/>
  <c r="N46" i="60"/>
  <c r="L46" i="60"/>
  <c r="B46" i="60"/>
  <c r="Z45" i="60"/>
  <c r="X45" i="60"/>
  <c r="N45" i="60"/>
  <c r="L45" i="60"/>
  <c r="B45" i="60"/>
  <c r="T44" i="60"/>
  <c r="Z44" i="60" s="1"/>
  <c r="P44" i="60"/>
  <c r="X44" i="60" s="1"/>
  <c r="H44" i="60"/>
  <c r="D44" i="60"/>
  <c r="L44" i="60" s="1"/>
  <c r="N44" i="60" s="1"/>
  <c r="B44" i="60"/>
  <c r="Z43" i="60"/>
  <c r="X43" i="60"/>
  <c r="L43" i="60"/>
  <c r="N43" i="60" s="1"/>
  <c r="B43" i="60"/>
  <c r="X42" i="60"/>
  <c r="Z42" i="60" s="1"/>
  <c r="T42" i="60"/>
  <c r="P42" i="60"/>
  <c r="L42" i="60"/>
  <c r="H42" i="60"/>
  <c r="D42" i="60"/>
  <c r="B42" i="60"/>
  <c r="Z41" i="60"/>
  <c r="X41" i="60"/>
  <c r="N41" i="60"/>
  <c r="L41" i="60"/>
  <c r="B41" i="60"/>
  <c r="X40" i="60"/>
  <c r="T40" i="60"/>
  <c r="P40" i="60"/>
  <c r="L40" i="60"/>
  <c r="H40" i="60"/>
  <c r="D40" i="60"/>
  <c r="B40" i="60"/>
  <c r="Z39" i="60"/>
  <c r="X39" i="60"/>
  <c r="N39" i="60"/>
  <c r="L39" i="60"/>
  <c r="B39" i="60"/>
  <c r="Z38" i="60"/>
  <c r="X38" i="60"/>
  <c r="N38" i="60"/>
  <c r="L38" i="60"/>
  <c r="B38" i="60"/>
  <c r="Z37" i="60"/>
  <c r="X37" i="60"/>
  <c r="N37" i="60"/>
  <c r="L37" i="60"/>
  <c r="B37" i="60"/>
  <c r="Z36" i="60"/>
  <c r="X36" i="60"/>
  <c r="N36" i="60"/>
  <c r="L36" i="60"/>
  <c r="B36" i="60"/>
  <c r="Z35" i="60"/>
  <c r="X35" i="60"/>
  <c r="N35" i="60"/>
  <c r="L35" i="60"/>
  <c r="B35" i="60"/>
  <c r="Z34" i="60"/>
  <c r="X34" i="60"/>
  <c r="N34" i="60"/>
  <c r="L34" i="60"/>
  <c r="F34" i="60"/>
  <c r="B34" i="60"/>
  <c r="X33" i="60"/>
  <c r="Z33" i="60" s="1"/>
  <c r="N33" i="60"/>
  <c r="L33" i="60"/>
  <c r="F33" i="60"/>
  <c r="B33" i="60"/>
  <c r="Z32" i="60"/>
  <c r="X32" i="60"/>
  <c r="N32" i="60"/>
  <c r="L32" i="60"/>
  <c r="F32" i="60"/>
  <c r="B32" i="60"/>
  <c r="Z31" i="60"/>
  <c r="X31" i="60"/>
  <c r="N31" i="60"/>
  <c r="L31" i="60"/>
  <c r="F31" i="60"/>
  <c r="B31" i="60"/>
  <c r="Z30" i="60"/>
  <c r="X30" i="60"/>
  <c r="N30" i="60"/>
  <c r="L30" i="60"/>
  <c r="J30" i="60"/>
  <c r="F30" i="60"/>
  <c r="B30" i="60"/>
  <c r="T29" i="60"/>
  <c r="P29" i="60"/>
  <c r="X29" i="60" s="1"/>
  <c r="Z29" i="60" s="1"/>
  <c r="H29" i="60"/>
  <c r="D29" i="60"/>
  <c r="L29" i="60" s="1"/>
  <c r="N29" i="60" s="1"/>
  <c r="B29" i="60"/>
  <c r="Z28" i="60"/>
  <c r="X28" i="60"/>
  <c r="N28" i="60"/>
  <c r="L28" i="60"/>
  <c r="B28" i="60"/>
  <c r="Z27" i="60"/>
  <c r="X27" i="60"/>
  <c r="N27" i="60"/>
  <c r="L27" i="60"/>
  <c r="F27" i="60"/>
  <c r="B27" i="60"/>
  <c r="X26" i="60"/>
  <c r="Z26" i="60" s="1"/>
  <c r="L26" i="60"/>
  <c r="N26" i="60" s="1"/>
  <c r="J26" i="60"/>
  <c r="F26" i="60"/>
  <c r="B26" i="60"/>
  <c r="Z25" i="60"/>
  <c r="X25" i="60"/>
  <c r="N25" i="60"/>
  <c r="L25" i="60"/>
  <c r="J25" i="60"/>
  <c r="B25" i="60"/>
  <c r="Z24" i="60"/>
  <c r="X24" i="60"/>
  <c r="N24" i="60"/>
  <c r="L24" i="60"/>
  <c r="B24" i="60"/>
  <c r="Z23" i="60"/>
  <c r="X23" i="60"/>
  <c r="N23" i="60"/>
  <c r="L23" i="60"/>
  <c r="B23" i="60"/>
  <c r="X22" i="60"/>
  <c r="Z22" i="60" s="1"/>
  <c r="L22" i="60"/>
  <c r="N22" i="60" s="1"/>
  <c r="B22" i="60"/>
  <c r="X21" i="60"/>
  <c r="Z21" i="60" s="1"/>
  <c r="L21" i="60"/>
  <c r="N21" i="60" s="1"/>
  <c r="B21" i="60"/>
  <c r="Z20" i="60"/>
  <c r="X20" i="60"/>
  <c r="N20" i="60"/>
  <c r="L20" i="60"/>
  <c r="B20" i="60"/>
  <c r="T19" i="60"/>
  <c r="P19" i="60"/>
  <c r="X19" i="60" s="1"/>
  <c r="Z19" i="60" s="1"/>
  <c r="L19" i="60"/>
  <c r="N19" i="60" s="1"/>
  <c r="J19" i="60"/>
  <c r="H19" i="60"/>
  <c r="D19" i="60"/>
  <c r="B19" i="60"/>
  <c r="T18" i="60" a="1"/>
  <c r="T18" i="60" s="1"/>
  <c r="P18" i="60" a="1"/>
  <c r="P18" i="60" s="1"/>
  <c r="X18" i="60" s="1"/>
  <c r="J18" i="60"/>
  <c r="H18" i="60" a="1"/>
  <c r="H18" i="60" s="1"/>
  <c r="D18" i="60" a="1"/>
  <c r="D18" i="60" s="1"/>
  <c r="L18" i="60" s="1"/>
  <c r="T16" i="60"/>
  <c r="Z16" i="60" s="1"/>
  <c r="F16" i="60"/>
  <c r="D16" i="60"/>
  <c r="T14" i="60"/>
  <c r="Z14" i="60" s="1"/>
  <c r="P14" i="60"/>
  <c r="X14" i="60" s="1"/>
  <c r="N14" i="60"/>
  <c r="L14" i="60"/>
  <c r="H14" i="60"/>
  <c r="F14" i="60"/>
  <c r="D14" i="60"/>
  <c r="T12" i="60"/>
  <c r="V37" i="60" s="1"/>
  <c r="P12" i="60"/>
  <c r="H12" i="60"/>
  <c r="J39" i="60" s="1"/>
  <c r="D12" i="60"/>
  <c r="F39" i="60" s="1"/>
  <c r="D6" i="60"/>
  <c r="D4" i="60"/>
  <c r="Z69" i="59"/>
  <c r="X69" i="59"/>
  <c r="N69" i="59"/>
  <c r="L69" i="59"/>
  <c r="Z65" i="59"/>
  <c r="T65" i="59"/>
  <c r="P65" i="59"/>
  <c r="X65" i="59" s="1"/>
  <c r="H65" i="59"/>
  <c r="N65" i="59" s="1"/>
  <c r="D65" i="59"/>
  <c r="L65" i="59" s="1"/>
  <c r="X63" i="59"/>
  <c r="Z63" i="59" s="1"/>
  <c r="N63" i="59"/>
  <c r="L63" i="59"/>
  <c r="B63" i="59"/>
  <c r="T62" i="59"/>
  <c r="P62" i="59"/>
  <c r="X62" i="59" s="1"/>
  <c r="Z62" i="59" s="1"/>
  <c r="N62" i="59"/>
  <c r="L62" i="59"/>
  <c r="H62" i="59"/>
  <c r="D62" i="59"/>
  <c r="B62" i="59"/>
  <c r="Z61" i="59"/>
  <c r="X61" i="59"/>
  <c r="N61" i="59"/>
  <c r="L61" i="59"/>
  <c r="B61" i="59"/>
  <c r="Z60" i="59"/>
  <c r="X60" i="59"/>
  <c r="V60" i="59"/>
  <c r="T60" i="59"/>
  <c r="P60" i="59"/>
  <c r="H60" i="59"/>
  <c r="N60" i="59" s="1"/>
  <c r="D60" i="59"/>
  <c r="B60" i="59"/>
  <c r="Z59" i="59"/>
  <c r="X59" i="59"/>
  <c r="L59" i="59"/>
  <c r="N59" i="59" s="1"/>
  <c r="B59" i="59"/>
  <c r="Z58" i="59"/>
  <c r="X58" i="59"/>
  <c r="N58" i="59"/>
  <c r="L58" i="59"/>
  <c r="B58" i="59"/>
  <c r="T57" i="59"/>
  <c r="P57" i="59"/>
  <c r="H57" i="59"/>
  <c r="D57" i="59"/>
  <c r="L57" i="59" s="1"/>
  <c r="N57" i="59" s="1"/>
  <c r="B57" i="59"/>
  <c r="X56" i="59"/>
  <c r="Z56" i="59" s="1"/>
  <c r="L56" i="59"/>
  <c r="N56" i="59" s="1"/>
  <c r="B56" i="59"/>
  <c r="T55" i="59"/>
  <c r="P55" i="59"/>
  <c r="X55" i="59" s="1"/>
  <c r="Z55" i="59" s="1"/>
  <c r="H55" i="59"/>
  <c r="N55" i="59" s="1"/>
  <c r="D55" i="59"/>
  <c r="L55" i="59" s="1"/>
  <c r="B55" i="59"/>
  <c r="Z54" i="59"/>
  <c r="X54" i="59"/>
  <c r="N54" i="59"/>
  <c r="L54" i="59"/>
  <c r="B54" i="59"/>
  <c r="X53" i="59"/>
  <c r="Z53" i="59" s="1"/>
  <c r="N53" i="59"/>
  <c r="L53" i="59"/>
  <c r="B53" i="59"/>
  <c r="T52" i="59"/>
  <c r="P52" i="59"/>
  <c r="X52" i="59" s="1"/>
  <c r="Z52" i="59" s="1"/>
  <c r="N52" i="59"/>
  <c r="H52" i="59"/>
  <c r="D52" i="59"/>
  <c r="L52" i="59" s="1"/>
  <c r="B52" i="59"/>
  <c r="Z51" i="59"/>
  <c r="X51" i="59"/>
  <c r="N51" i="59"/>
  <c r="L51" i="59"/>
  <c r="B51" i="59"/>
  <c r="Z50" i="59"/>
  <c r="X50" i="59"/>
  <c r="N50" i="59"/>
  <c r="L50" i="59"/>
  <c r="B50" i="59"/>
  <c r="X49" i="59"/>
  <c r="Z49" i="59" s="1"/>
  <c r="N49" i="59"/>
  <c r="L49" i="59"/>
  <c r="B49" i="59"/>
  <c r="X48" i="59"/>
  <c r="Z48" i="59" s="1"/>
  <c r="L48" i="59"/>
  <c r="N48" i="59" s="1"/>
  <c r="B48" i="59"/>
  <c r="T47" i="59"/>
  <c r="P47" i="59"/>
  <c r="X47" i="59" s="1"/>
  <c r="Z47" i="59" s="1"/>
  <c r="H47" i="59"/>
  <c r="N47" i="59" s="1"/>
  <c r="D47" i="59"/>
  <c r="L47" i="59" s="1"/>
  <c r="B47" i="59"/>
  <c r="Z46" i="59"/>
  <c r="X46" i="59"/>
  <c r="N46" i="59"/>
  <c r="L46" i="59"/>
  <c r="B46" i="59"/>
  <c r="T45" i="59"/>
  <c r="Z45" i="59" s="1"/>
  <c r="P45" i="59"/>
  <c r="X45" i="59" s="1"/>
  <c r="L45" i="59"/>
  <c r="N45" i="59" s="1"/>
  <c r="H45" i="59"/>
  <c r="D45" i="59"/>
  <c r="B45" i="59"/>
  <c r="X44" i="59"/>
  <c r="Z44" i="59" s="1"/>
  <c r="V44" i="59"/>
  <c r="L44" i="59"/>
  <c r="N44" i="59" s="1"/>
  <c r="B44" i="59"/>
  <c r="X43" i="59"/>
  <c r="Z43" i="59" s="1"/>
  <c r="N43" i="59"/>
  <c r="L43" i="59"/>
  <c r="B43" i="59"/>
  <c r="Z42" i="59"/>
  <c r="T42" i="59"/>
  <c r="P42" i="59"/>
  <c r="X42" i="59" s="1"/>
  <c r="L42" i="59"/>
  <c r="N42" i="59" s="1"/>
  <c r="J42" i="59"/>
  <c r="H42" i="59"/>
  <c r="D42" i="59"/>
  <c r="B42" i="59"/>
  <c r="Z41" i="59"/>
  <c r="X41" i="59"/>
  <c r="V41" i="59"/>
  <c r="R41" i="59"/>
  <c r="N41" i="59"/>
  <c r="L41" i="59"/>
  <c r="B41" i="59"/>
  <c r="Z40" i="59"/>
  <c r="X40" i="59"/>
  <c r="V40" i="59"/>
  <c r="T40" i="59"/>
  <c r="P40" i="59"/>
  <c r="H40" i="59"/>
  <c r="N40" i="59" s="1"/>
  <c r="F40" i="59"/>
  <c r="D40" i="59"/>
  <c r="B40" i="59"/>
  <c r="Z39" i="59"/>
  <c r="X39" i="59"/>
  <c r="N39" i="59"/>
  <c r="L39" i="59"/>
  <c r="B39" i="59"/>
  <c r="Z38" i="59"/>
  <c r="X38" i="59"/>
  <c r="N38" i="59"/>
  <c r="L38" i="59"/>
  <c r="B38" i="59"/>
  <c r="Z37" i="59"/>
  <c r="X37" i="59"/>
  <c r="V37" i="59"/>
  <c r="R37" i="59"/>
  <c r="N37" i="59"/>
  <c r="L37" i="59"/>
  <c r="B37" i="59"/>
  <c r="Z36" i="59"/>
  <c r="X36" i="59"/>
  <c r="V36" i="59"/>
  <c r="N36" i="59"/>
  <c r="L36" i="59"/>
  <c r="B36" i="59"/>
  <c r="Z35" i="59"/>
  <c r="X35" i="59"/>
  <c r="N35" i="59"/>
  <c r="L35" i="59"/>
  <c r="B35" i="59"/>
  <c r="Z34" i="59"/>
  <c r="X34" i="59"/>
  <c r="N34" i="59"/>
  <c r="L34" i="59"/>
  <c r="B34" i="59"/>
  <c r="X33" i="59"/>
  <c r="Z33" i="59" s="1"/>
  <c r="V33" i="59"/>
  <c r="L33" i="59"/>
  <c r="N33" i="59" s="1"/>
  <c r="J33" i="59"/>
  <c r="F33" i="59"/>
  <c r="B33" i="59"/>
  <c r="Z32" i="59"/>
  <c r="X32" i="59"/>
  <c r="N32" i="59"/>
  <c r="L32" i="59"/>
  <c r="J32" i="59"/>
  <c r="B32" i="59"/>
  <c r="Z31" i="59"/>
  <c r="X31" i="59"/>
  <c r="L31" i="59"/>
  <c r="N31" i="59" s="1"/>
  <c r="B31" i="59"/>
  <c r="Z30" i="59"/>
  <c r="X30" i="59"/>
  <c r="N30" i="59"/>
  <c r="L30" i="59"/>
  <c r="B30" i="59"/>
  <c r="V29" i="59"/>
  <c r="T29" i="59"/>
  <c r="P29" i="59"/>
  <c r="H29" i="59"/>
  <c r="D29" i="59"/>
  <c r="L29" i="59" s="1"/>
  <c r="N29" i="59" s="1"/>
  <c r="B29" i="59"/>
  <c r="X28" i="59"/>
  <c r="Z28" i="59" s="1"/>
  <c r="L28" i="59"/>
  <c r="N28" i="59" s="1"/>
  <c r="J28" i="59"/>
  <c r="B28" i="59"/>
  <c r="Z27" i="59"/>
  <c r="X27" i="59"/>
  <c r="L27" i="59"/>
  <c r="N27" i="59" s="1"/>
  <c r="B27" i="59"/>
  <c r="Z26" i="59"/>
  <c r="X26" i="59"/>
  <c r="N26" i="59"/>
  <c r="L26" i="59"/>
  <c r="B26" i="59"/>
  <c r="Z25" i="59"/>
  <c r="X25" i="59"/>
  <c r="V25" i="59"/>
  <c r="R25" i="59"/>
  <c r="N25" i="59"/>
  <c r="L25" i="59"/>
  <c r="B25" i="59"/>
  <c r="X24" i="59"/>
  <c r="Z24" i="59" s="1"/>
  <c r="V24" i="59"/>
  <c r="L24" i="59"/>
  <c r="N24" i="59" s="1"/>
  <c r="B24" i="59"/>
  <c r="X23" i="59"/>
  <c r="Z23" i="59" s="1"/>
  <c r="N23" i="59"/>
  <c r="L23" i="59"/>
  <c r="B23" i="59"/>
  <c r="Z22" i="59"/>
  <c r="X22" i="59"/>
  <c r="N22" i="59"/>
  <c r="L22" i="59"/>
  <c r="B22" i="59"/>
  <c r="X21" i="59"/>
  <c r="Z21" i="59" s="1"/>
  <c r="V21" i="59"/>
  <c r="L21" i="59"/>
  <c r="N21" i="59" s="1"/>
  <c r="J21" i="59"/>
  <c r="F21" i="59"/>
  <c r="B21" i="59"/>
  <c r="X20" i="59"/>
  <c r="Z20" i="59" s="1"/>
  <c r="L20" i="59"/>
  <c r="N20" i="59" s="1"/>
  <c r="J20" i="59"/>
  <c r="B20" i="59"/>
  <c r="T19" i="59"/>
  <c r="P19" i="59"/>
  <c r="X19" i="59" s="1"/>
  <c r="Z19" i="59" s="1"/>
  <c r="H19" i="59"/>
  <c r="D19" i="59"/>
  <c r="L19" i="59" s="1"/>
  <c r="B19" i="59"/>
  <c r="T18" i="59" a="1"/>
  <c r="T18" i="59" s="1"/>
  <c r="P18" i="59" a="1"/>
  <c r="P18" i="59"/>
  <c r="N18" i="59"/>
  <c r="H18" i="59" a="1"/>
  <c r="H18" i="59" s="1"/>
  <c r="D18" i="59" a="1"/>
  <c r="D18" i="59"/>
  <c r="L18" i="59" s="1"/>
  <c r="Z16" i="59"/>
  <c r="J16" i="59"/>
  <c r="V14" i="59"/>
  <c r="T14" i="59"/>
  <c r="T16" i="59" s="1"/>
  <c r="R14" i="59"/>
  <c r="P14" i="59"/>
  <c r="N14" i="59"/>
  <c r="H14" i="59"/>
  <c r="D14" i="59"/>
  <c r="L14" i="59" s="1"/>
  <c r="Z12" i="59"/>
  <c r="T12" i="59"/>
  <c r="V74" i="59" s="1"/>
  <c r="P12" i="59"/>
  <c r="R57" i="59" s="1"/>
  <c r="H12" i="59"/>
  <c r="J59" i="59" s="1"/>
  <c r="D12" i="59"/>
  <c r="F74" i="59" s="1"/>
  <c r="D6" i="59"/>
  <c r="D4" i="59"/>
  <c r="V81" i="58"/>
  <c r="F81" i="58"/>
  <c r="Z79" i="58"/>
  <c r="X79" i="58"/>
  <c r="N79" i="58"/>
  <c r="L79" i="58"/>
  <c r="J79" i="58"/>
  <c r="Z75" i="58"/>
  <c r="X75" i="58"/>
  <c r="V75" i="58"/>
  <c r="T75" i="58"/>
  <c r="P75" i="58"/>
  <c r="H75" i="58"/>
  <c r="N75" i="58" s="1"/>
  <c r="F75" i="58"/>
  <c r="D75" i="58"/>
  <c r="X73" i="58"/>
  <c r="Z73" i="58" s="1"/>
  <c r="N73" i="58"/>
  <c r="L73" i="58"/>
  <c r="J73" i="58"/>
  <c r="B73" i="58"/>
  <c r="T72" i="58"/>
  <c r="P72" i="58"/>
  <c r="X72" i="58" s="1"/>
  <c r="Z72" i="58" s="1"/>
  <c r="H72" i="58"/>
  <c r="N72" i="58" s="1"/>
  <c r="D72" i="58"/>
  <c r="L72" i="58" s="1"/>
  <c r="B72" i="58"/>
  <c r="Z71" i="58"/>
  <c r="X71" i="58"/>
  <c r="N71" i="58"/>
  <c r="L71" i="58"/>
  <c r="B71" i="58"/>
  <c r="T70" i="58"/>
  <c r="P70" i="58"/>
  <c r="X70" i="58" s="1"/>
  <c r="L70" i="58"/>
  <c r="N70" i="58" s="1"/>
  <c r="H70" i="58"/>
  <c r="D70" i="58"/>
  <c r="B70" i="58"/>
  <c r="X69" i="58"/>
  <c r="Z69" i="58" s="1"/>
  <c r="V69" i="58"/>
  <c r="L69" i="58"/>
  <c r="N69" i="58" s="1"/>
  <c r="B69" i="58"/>
  <c r="X68" i="58"/>
  <c r="Z68" i="58" s="1"/>
  <c r="T68" i="58"/>
  <c r="P68" i="58"/>
  <c r="H68" i="58"/>
  <c r="D68" i="58"/>
  <c r="B68" i="58"/>
  <c r="Z67" i="58"/>
  <c r="X67" i="58"/>
  <c r="N67" i="58"/>
  <c r="L67" i="58"/>
  <c r="B67" i="58"/>
  <c r="X66" i="58"/>
  <c r="Z66" i="58" s="1"/>
  <c r="R66" i="58"/>
  <c r="L66" i="58"/>
  <c r="N66" i="58" s="1"/>
  <c r="B66" i="58"/>
  <c r="X65" i="58"/>
  <c r="Z65" i="58" s="1"/>
  <c r="V65" i="58"/>
  <c r="L65" i="58"/>
  <c r="N65" i="58" s="1"/>
  <c r="B65" i="58"/>
  <c r="Z64" i="58"/>
  <c r="X64" i="58"/>
  <c r="N64" i="58"/>
  <c r="L64" i="58"/>
  <c r="B64" i="58"/>
  <c r="T63" i="58"/>
  <c r="P63" i="58"/>
  <c r="X63" i="58" s="1"/>
  <c r="Z63" i="58" s="1"/>
  <c r="L63" i="58"/>
  <c r="N63" i="58" s="1"/>
  <c r="J63" i="58"/>
  <c r="H63" i="58"/>
  <c r="D63" i="58"/>
  <c r="B63" i="58"/>
  <c r="Z62" i="58"/>
  <c r="X62" i="58"/>
  <c r="R62" i="58"/>
  <c r="N62" i="58"/>
  <c r="L62" i="58"/>
  <c r="B62" i="58"/>
  <c r="X61" i="58"/>
  <c r="Z61" i="58" s="1"/>
  <c r="V61" i="58"/>
  <c r="N61" i="58"/>
  <c r="L61" i="58"/>
  <c r="B61" i="58"/>
  <c r="X60" i="58"/>
  <c r="Z60" i="58" s="1"/>
  <c r="T60" i="58"/>
  <c r="P60" i="58"/>
  <c r="H60" i="58"/>
  <c r="D60" i="58"/>
  <c r="B60" i="58"/>
  <c r="Z59" i="58"/>
  <c r="X59" i="58"/>
  <c r="N59" i="58"/>
  <c r="L59" i="58"/>
  <c r="B59" i="58"/>
  <c r="X58" i="58"/>
  <c r="Z58" i="58" s="1"/>
  <c r="R58" i="58"/>
  <c r="L58" i="58"/>
  <c r="N58" i="58" s="1"/>
  <c r="B58" i="58"/>
  <c r="X57" i="58"/>
  <c r="Z57" i="58" s="1"/>
  <c r="V57" i="58"/>
  <c r="T57" i="58"/>
  <c r="P57" i="58"/>
  <c r="H57" i="58"/>
  <c r="F57" i="58"/>
  <c r="D57" i="58"/>
  <c r="B57" i="58"/>
  <c r="Z56" i="58"/>
  <c r="X56" i="58"/>
  <c r="L56" i="58"/>
  <c r="N56" i="58" s="1"/>
  <c r="B56" i="58"/>
  <c r="Z55" i="58"/>
  <c r="X55" i="58"/>
  <c r="N55" i="58"/>
  <c r="L55" i="58"/>
  <c r="B55" i="58"/>
  <c r="Z54" i="58"/>
  <c r="X54" i="58"/>
  <c r="N54" i="58"/>
  <c r="L54" i="58"/>
  <c r="B54" i="58"/>
  <c r="X53" i="58"/>
  <c r="Z53" i="58" s="1"/>
  <c r="V53" i="58"/>
  <c r="T53" i="58"/>
  <c r="P53" i="58"/>
  <c r="H53" i="58"/>
  <c r="F53" i="58"/>
  <c r="D53" i="58"/>
  <c r="B53" i="58"/>
  <c r="Z52" i="58"/>
  <c r="X52" i="58"/>
  <c r="L52" i="58"/>
  <c r="N52" i="58" s="1"/>
  <c r="B52" i="58"/>
  <c r="T51" i="58"/>
  <c r="P51" i="58"/>
  <c r="H51" i="58"/>
  <c r="N51" i="58" s="1"/>
  <c r="D51" i="58"/>
  <c r="L51" i="58" s="1"/>
  <c r="B51" i="58"/>
  <c r="Z50" i="58"/>
  <c r="X50" i="58"/>
  <c r="N50" i="58"/>
  <c r="L50" i="58"/>
  <c r="F50" i="58"/>
  <c r="B50" i="58"/>
  <c r="T49" i="58"/>
  <c r="Z49" i="58" s="1"/>
  <c r="P49" i="58"/>
  <c r="X49" i="58" s="1"/>
  <c r="N49" i="58"/>
  <c r="H49" i="58"/>
  <c r="D49" i="58"/>
  <c r="L49" i="58" s="1"/>
  <c r="B49" i="58"/>
  <c r="X48" i="58"/>
  <c r="Z48" i="58" s="1"/>
  <c r="N48" i="58"/>
  <c r="L48" i="58"/>
  <c r="B48" i="58"/>
  <c r="T47" i="58"/>
  <c r="P47" i="58"/>
  <c r="X47" i="58" s="1"/>
  <c r="Z47" i="58" s="1"/>
  <c r="L47" i="58"/>
  <c r="N47" i="58" s="1"/>
  <c r="J47" i="58"/>
  <c r="H47" i="58"/>
  <c r="D47" i="58"/>
  <c r="B47" i="58"/>
  <c r="X46" i="58"/>
  <c r="Z46" i="58" s="1"/>
  <c r="R46" i="58"/>
  <c r="L46" i="58"/>
  <c r="N46" i="58" s="1"/>
  <c r="B46" i="58"/>
  <c r="X45" i="58"/>
  <c r="Z45" i="58" s="1"/>
  <c r="V45" i="58"/>
  <c r="T45" i="58"/>
  <c r="P45" i="58"/>
  <c r="H45" i="58"/>
  <c r="F45" i="58"/>
  <c r="D45" i="58"/>
  <c r="B45" i="58"/>
  <c r="Z44" i="58"/>
  <c r="X44" i="58"/>
  <c r="L44" i="58"/>
  <c r="N44" i="58" s="1"/>
  <c r="B44" i="58"/>
  <c r="T43" i="58"/>
  <c r="R43" i="58"/>
  <c r="P43" i="58"/>
  <c r="H43" i="58"/>
  <c r="D43" i="58"/>
  <c r="L43" i="58" s="1"/>
  <c r="B43" i="58"/>
  <c r="X42" i="58"/>
  <c r="Z42" i="58" s="1"/>
  <c r="L42" i="58"/>
  <c r="N42" i="58" s="1"/>
  <c r="F42" i="58"/>
  <c r="B42" i="58"/>
  <c r="T41" i="58"/>
  <c r="P41" i="58"/>
  <c r="X41" i="58" s="1"/>
  <c r="N41" i="58"/>
  <c r="H41" i="58"/>
  <c r="D41" i="58"/>
  <c r="L41" i="58" s="1"/>
  <c r="B41" i="58"/>
  <c r="Z40" i="58"/>
  <c r="X40" i="58"/>
  <c r="N40" i="58"/>
  <c r="L40" i="58"/>
  <c r="B40" i="58"/>
  <c r="Z39" i="58"/>
  <c r="X39" i="58"/>
  <c r="N39" i="58"/>
  <c r="L39" i="58"/>
  <c r="F39" i="58"/>
  <c r="B39" i="58"/>
  <c r="Z38" i="58"/>
  <c r="X38" i="58"/>
  <c r="N38" i="58"/>
  <c r="L38" i="58"/>
  <c r="F38" i="58"/>
  <c r="B38" i="58"/>
  <c r="Z37" i="58"/>
  <c r="X37" i="58"/>
  <c r="N37" i="58"/>
  <c r="L37" i="58"/>
  <c r="J37" i="58"/>
  <c r="B37" i="58"/>
  <c r="Z36" i="58"/>
  <c r="X36" i="58"/>
  <c r="N36" i="58"/>
  <c r="L36" i="58"/>
  <c r="B36" i="58"/>
  <c r="Z35" i="58"/>
  <c r="X35" i="58"/>
  <c r="N35" i="58"/>
  <c r="L35" i="58"/>
  <c r="F35" i="58"/>
  <c r="B35" i="58"/>
  <c r="X34" i="58"/>
  <c r="Z34" i="58" s="1"/>
  <c r="L34" i="58"/>
  <c r="N34" i="58" s="1"/>
  <c r="B34" i="58"/>
  <c r="Z33" i="58"/>
  <c r="X33" i="58"/>
  <c r="V33" i="58"/>
  <c r="N33" i="58"/>
  <c r="L33" i="58"/>
  <c r="B33" i="58"/>
  <c r="Z32" i="58"/>
  <c r="X32" i="58"/>
  <c r="N32" i="58"/>
  <c r="L32" i="58"/>
  <c r="B32" i="58"/>
  <c r="Z31" i="58"/>
  <c r="X31" i="58"/>
  <c r="N31" i="58"/>
  <c r="L31" i="58"/>
  <c r="F31" i="58"/>
  <c r="B31" i="58"/>
  <c r="T30" i="58"/>
  <c r="Z30" i="58" s="1"/>
  <c r="P30" i="58"/>
  <c r="X30" i="58" s="1"/>
  <c r="L30" i="58"/>
  <c r="N30" i="58" s="1"/>
  <c r="H30" i="58"/>
  <c r="F30" i="58"/>
  <c r="D30" i="58"/>
  <c r="B30" i="58"/>
  <c r="X29" i="58"/>
  <c r="Z29" i="58" s="1"/>
  <c r="V29" i="58"/>
  <c r="L29" i="58"/>
  <c r="N29" i="58" s="1"/>
  <c r="B29" i="58"/>
  <c r="X28" i="58"/>
  <c r="Z28" i="58" s="1"/>
  <c r="N28" i="58"/>
  <c r="L28" i="58"/>
  <c r="F28" i="58"/>
  <c r="B28" i="58"/>
  <c r="Z27" i="58"/>
  <c r="X27" i="58"/>
  <c r="N27" i="58"/>
  <c r="L27" i="58"/>
  <c r="F27" i="58"/>
  <c r="B27" i="58"/>
  <c r="Z26" i="58"/>
  <c r="X26" i="58"/>
  <c r="N26" i="58"/>
  <c r="L26" i="58"/>
  <c r="F26" i="58"/>
  <c r="B26" i="58"/>
  <c r="X25" i="58"/>
  <c r="Z25" i="58" s="1"/>
  <c r="L25" i="58"/>
  <c r="N25" i="58" s="1"/>
  <c r="J25" i="58"/>
  <c r="B25" i="58"/>
  <c r="Z24" i="58"/>
  <c r="X24" i="58"/>
  <c r="L24" i="58"/>
  <c r="N24" i="58" s="1"/>
  <c r="B24" i="58"/>
  <c r="Z23" i="58"/>
  <c r="X23" i="58"/>
  <c r="N23" i="58"/>
  <c r="L23" i="58"/>
  <c r="F23" i="58"/>
  <c r="B23" i="58"/>
  <c r="X22" i="58"/>
  <c r="Z22" i="58" s="1"/>
  <c r="R22" i="58"/>
  <c r="L22" i="58"/>
  <c r="N22" i="58" s="1"/>
  <c r="B22" i="58"/>
  <c r="X21" i="58"/>
  <c r="Z21" i="58" s="1"/>
  <c r="V21" i="58"/>
  <c r="L21" i="58"/>
  <c r="N21" i="58" s="1"/>
  <c r="B21" i="58"/>
  <c r="X20" i="58"/>
  <c r="Z20" i="58" s="1"/>
  <c r="N20" i="58"/>
  <c r="L20" i="58"/>
  <c r="F20" i="58"/>
  <c r="B20" i="58"/>
  <c r="Z19" i="58"/>
  <c r="T19" i="58"/>
  <c r="P19" i="58"/>
  <c r="X19" i="58" s="1"/>
  <c r="L19" i="58"/>
  <c r="N19" i="58" s="1"/>
  <c r="J19" i="58"/>
  <c r="H19" i="58"/>
  <c r="D19" i="58"/>
  <c r="B19" i="58"/>
  <c r="T18" i="58" a="1"/>
  <c r="T18" i="58" s="1"/>
  <c r="P18" i="58" a="1"/>
  <c r="P18" i="58" s="1"/>
  <c r="X18" i="58" s="1"/>
  <c r="H18" i="58" a="1"/>
  <c r="H18" i="58" s="1"/>
  <c r="D18" i="58" a="1"/>
  <c r="D18" i="58" s="1"/>
  <c r="L18" i="58" s="1"/>
  <c r="T16" i="58"/>
  <c r="F16" i="58"/>
  <c r="D16" i="58"/>
  <c r="V14" i="58"/>
  <c r="T14" i="58"/>
  <c r="Z14" i="58" s="1"/>
  <c r="P14" i="58"/>
  <c r="X14" i="58" s="1"/>
  <c r="N14" i="58"/>
  <c r="L14" i="58"/>
  <c r="H14" i="58"/>
  <c r="F14" i="58"/>
  <c r="D14" i="58"/>
  <c r="T12" i="58"/>
  <c r="V68" i="58" s="1"/>
  <c r="P12" i="58"/>
  <c r="R54" i="58" s="1"/>
  <c r="H12" i="58"/>
  <c r="J70" i="58" s="1"/>
  <c r="D12" i="58"/>
  <c r="F79" i="58" s="1"/>
  <c r="D6" i="58"/>
  <c r="D4" i="58"/>
  <c r="Z70" i="57"/>
  <c r="X70" i="57"/>
  <c r="N70" i="57"/>
  <c r="L70" i="57"/>
  <c r="Z66" i="57"/>
  <c r="T66" i="57"/>
  <c r="P66" i="57"/>
  <c r="X66" i="57" s="1"/>
  <c r="H66" i="57"/>
  <c r="N66" i="57" s="1"/>
  <c r="D66" i="57"/>
  <c r="L66" i="57" s="1"/>
  <c r="Z64" i="57"/>
  <c r="X64" i="57"/>
  <c r="N64" i="57"/>
  <c r="L64" i="57"/>
  <c r="B64" i="57"/>
  <c r="Z63" i="57"/>
  <c r="T63" i="57"/>
  <c r="P63" i="57"/>
  <c r="X63" i="57" s="1"/>
  <c r="N63" i="57"/>
  <c r="H63" i="57"/>
  <c r="D63" i="57"/>
  <c r="L63" i="57" s="1"/>
  <c r="B63" i="57"/>
  <c r="X62" i="57"/>
  <c r="Z62" i="57" s="1"/>
  <c r="R62" i="57"/>
  <c r="N62" i="57"/>
  <c r="L62" i="57"/>
  <c r="B62" i="57"/>
  <c r="T61" i="57"/>
  <c r="P61" i="57"/>
  <c r="X61" i="57" s="1"/>
  <c r="Z61" i="57" s="1"/>
  <c r="H61" i="57"/>
  <c r="N61" i="57" s="1"/>
  <c r="F61" i="57"/>
  <c r="D61" i="57"/>
  <c r="B61" i="57"/>
  <c r="Z60" i="57"/>
  <c r="X60" i="57"/>
  <c r="L60" i="57"/>
  <c r="N60" i="57" s="1"/>
  <c r="B60" i="57"/>
  <c r="T59" i="57"/>
  <c r="R59" i="57"/>
  <c r="P59" i="57"/>
  <c r="X59" i="57" s="1"/>
  <c r="L59" i="57"/>
  <c r="H59" i="57"/>
  <c r="N59" i="57" s="1"/>
  <c r="D59" i="57"/>
  <c r="B59" i="57"/>
  <c r="Z58" i="57"/>
  <c r="X58" i="57"/>
  <c r="L58" i="57"/>
  <c r="N58" i="57" s="1"/>
  <c r="B58" i="57"/>
  <c r="Z57" i="57"/>
  <c r="X57" i="57"/>
  <c r="N57" i="57"/>
  <c r="L57" i="57"/>
  <c r="B57" i="57"/>
  <c r="T56" i="57"/>
  <c r="P56" i="57"/>
  <c r="X56" i="57" s="1"/>
  <c r="Z56" i="57" s="1"/>
  <c r="H56" i="57"/>
  <c r="N56" i="57" s="1"/>
  <c r="D56" i="57"/>
  <c r="L56" i="57" s="1"/>
  <c r="B56" i="57"/>
  <c r="Z55" i="57"/>
  <c r="X55" i="57"/>
  <c r="N55" i="57"/>
  <c r="L55" i="57"/>
  <c r="B55" i="57"/>
  <c r="T54" i="57"/>
  <c r="Z54" i="57" s="1"/>
  <c r="P54" i="57"/>
  <c r="X54" i="57" s="1"/>
  <c r="L54" i="57"/>
  <c r="N54" i="57" s="1"/>
  <c r="H54" i="57"/>
  <c r="D54" i="57"/>
  <c r="B54" i="57"/>
  <c r="X53" i="57"/>
  <c r="Z53" i="57" s="1"/>
  <c r="V53" i="57"/>
  <c r="L53" i="57"/>
  <c r="N53" i="57" s="1"/>
  <c r="B53" i="57"/>
  <c r="X52" i="57"/>
  <c r="Z52" i="57" s="1"/>
  <c r="N52" i="57"/>
  <c r="L52" i="57"/>
  <c r="B52" i="57"/>
  <c r="Z51" i="57"/>
  <c r="X51" i="57"/>
  <c r="N51" i="57"/>
  <c r="L51" i="57"/>
  <c r="B51" i="57"/>
  <c r="T50" i="57"/>
  <c r="Z50" i="57" s="1"/>
  <c r="P50" i="57"/>
  <c r="X50" i="57" s="1"/>
  <c r="L50" i="57"/>
  <c r="N50" i="57" s="1"/>
  <c r="H50" i="57"/>
  <c r="D50" i="57"/>
  <c r="B50" i="57"/>
  <c r="X49" i="57"/>
  <c r="Z49" i="57" s="1"/>
  <c r="V49" i="57"/>
  <c r="L49" i="57"/>
  <c r="N49" i="57" s="1"/>
  <c r="B49" i="57"/>
  <c r="X48" i="57"/>
  <c r="Z48" i="57" s="1"/>
  <c r="T48" i="57"/>
  <c r="P48" i="57"/>
  <c r="H48" i="57"/>
  <c r="D48" i="57"/>
  <c r="B48" i="57"/>
  <c r="Z47" i="57"/>
  <c r="X47" i="57"/>
  <c r="N47" i="57"/>
  <c r="L47" i="57"/>
  <c r="B47" i="57"/>
  <c r="T46" i="57"/>
  <c r="P46" i="57"/>
  <c r="H46" i="57"/>
  <c r="D46" i="57"/>
  <c r="L46" i="57" s="1"/>
  <c r="N46" i="57" s="1"/>
  <c r="B46" i="57"/>
  <c r="X45" i="57"/>
  <c r="Z45" i="57" s="1"/>
  <c r="L45" i="57"/>
  <c r="N45" i="57" s="1"/>
  <c r="J45" i="57"/>
  <c r="B45" i="57"/>
  <c r="T44" i="57"/>
  <c r="P44" i="57"/>
  <c r="X44" i="57" s="1"/>
  <c r="Z44" i="57" s="1"/>
  <c r="H44" i="57"/>
  <c r="N44" i="57" s="1"/>
  <c r="D44" i="57"/>
  <c r="L44" i="57" s="1"/>
  <c r="B44" i="57"/>
  <c r="Z43" i="57"/>
  <c r="X43" i="57"/>
  <c r="R43" i="57"/>
  <c r="N43" i="57"/>
  <c r="L43" i="57"/>
  <c r="B43" i="57"/>
  <c r="T42" i="57"/>
  <c r="Z42" i="57" s="1"/>
  <c r="P42" i="57"/>
  <c r="X42" i="57" s="1"/>
  <c r="N42" i="57"/>
  <c r="L42" i="57"/>
  <c r="H42" i="57"/>
  <c r="D42" i="57"/>
  <c r="B42" i="57"/>
  <c r="X41" i="57"/>
  <c r="Z41" i="57" s="1"/>
  <c r="N41" i="57"/>
  <c r="L41" i="57"/>
  <c r="B41" i="57"/>
  <c r="X40" i="57"/>
  <c r="Z40" i="57" s="1"/>
  <c r="T40" i="57"/>
  <c r="R40" i="57"/>
  <c r="P40" i="57"/>
  <c r="H40" i="57"/>
  <c r="D40" i="57"/>
  <c r="B40" i="57"/>
  <c r="Z39" i="57"/>
  <c r="X39" i="57"/>
  <c r="N39" i="57"/>
  <c r="L39" i="57"/>
  <c r="F39" i="57"/>
  <c r="B39" i="57"/>
  <c r="Z38" i="57"/>
  <c r="X38" i="57"/>
  <c r="R38" i="57"/>
  <c r="N38" i="57"/>
  <c r="L38" i="57"/>
  <c r="J38" i="57"/>
  <c r="B38" i="57"/>
  <c r="X37" i="57"/>
  <c r="Z37" i="57" s="1"/>
  <c r="V37" i="57"/>
  <c r="L37" i="57"/>
  <c r="N37" i="57" s="1"/>
  <c r="B37" i="57"/>
  <c r="Z36" i="57"/>
  <c r="X36" i="57"/>
  <c r="N36" i="57"/>
  <c r="L36" i="57"/>
  <c r="B36" i="57"/>
  <c r="Z35" i="57"/>
  <c r="X35" i="57"/>
  <c r="R35" i="57"/>
  <c r="N35" i="57"/>
  <c r="L35" i="57"/>
  <c r="B35" i="57"/>
  <c r="Z34" i="57"/>
  <c r="X34" i="57"/>
  <c r="V34" i="57"/>
  <c r="N34" i="57"/>
  <c r="L34" i="57"/>
  <c r="B34" i="57"/>
  <c r="Z33" i="57"/>
  <c r="X33" i="57"/>
  <c r="N33" i="57"/>
  <c r="L33" i="57"/>
  <c r="B33" i="57"/>
  <c r="Z32" i="57"/>
  <c r="X32" i="57"/>
  <c r="N32" i="57"/>
  <c r="L32" i="57"/>
  <c r="B32" i="57"/>
  <c r="Z31" i="57"/>
  <c r="X31" i="57"/>
  <c r="R31" i="57"/>
  <c r="N31" i="57"/>
  <c r="L31" i="57"/>
  <c r="F31" i="57"/>
  <c r="B31" i="57"/>
  <c r="X30" i="57"/>
  <c r="Z30" i="57" s="1"/>
  <c r="R30" i="57"/>
  <c r="L30" i="57"/>
  <c r="N30" i="57" s="1"/>
  <c r="J30" i="57"/>
  <c r="B30" i="57"/>
  <c r="T29" i="57"/>
  <c r="P29" i="57"/>
  <c r="X29" i="57" s="1"/>
  <c r="Z29" i="57" s="1"/>
  <c r="H29" i="57"/>
  <c r="N29" i="57" s="1"/>
  <c r="F29" i="57"/>
  <c r="D29" i="57"/>
  <c r="L29" i="57" s="1"/>
  <c r="B29" i="57"/>
  <c r="Z28" i="57"/>
  <c r="X28" i="57"/>
  <c r="L28" i="57"/>
  <c r="N28" i="57" s="1"/>
  <c r="B28" i="57"/>
  <c r="Z27" i="57"/>
  <c r="X27" i="57"/>
  <c r="R27" i="57"/>
  <c r="N27" i="57"/>
  <c r="L27" i="57"/>
  <c r="B27" i="57"/>
  <c r="X26" i="57"/>
  <c r="Z26" i="57" s="1"/>
  <c r="R26" i="57"/>
  <c r="N26" i="57"/>
  <c r="L26" i="57"/>
  <c r="J26" i="57"/>
  <c r="B26" i="57"/>
  <c r="Z25" i="57"/>
  <c r="X25" i="57"/>
  <c r="V25" i="57"/>
  <c r="N25" i="57"/>
  <c r="L25" i="57"/>
  <c r="B25" i="57"/>
  <c r="X24" i="57"/>
  <c r="Z24" i="57" s="1"/>
  <c r="N24" i="57"/>
  <c r="L24" i="57"/>
  <c r="B24" i="57"/>
  <c r="Z23" i="57"/>
  <c r="X23" i="57"/>
  <c r="R23" i="57"/>
  <c r="N23" i="57"/>
  <c r="L23" i="57"/>
  <c r="B23" i="57"/>
  <c r="Z22" i="57"/>
  <c r="X22" i="57"/>
  <c r="L22" i="57"/>
  <c r="N22" i="57" s="1"/>
  <c r="B22" i="57"/>
  <c r="X21" i="57"/>
  <c r="Z21" i="57" s="1"/>
  <c r="L21" i="57"/>
  <c r="N21" i="57" s="1"/>
  <c r="J21" i="57"/>
  <c r="B21" i="57"/>
  <c r="Z20" i="57"/>
  <c r="X20" i="57"/>
  <c r="N20" i="57"/>
  <c r="L20" i="57"/>
  <c r="B20" i="57"/>
  <c r="T19" i="57"/>
  <c r="R19" i="57"/>
  <c r="P19" i="57"/>
  <c r="L19" i="57"/>
  <c r="N19" i="57" s="1"/>
  <c r="H19" i="57"/>
  <c r="D19" i="57"/>
  <c r="B19" i="57"/>
  <c r="T18" i="57" a="1"/>
  <c r="T18" i="57" s="1"/>
  <c r="P18" i="57" a="1"/>
  <c r="P18" i="57" s="1"/>
  <c r="J18" i="57"/>
  <c r="H18" i="57" a="1"/>
  <c r="H18" i="57" s="1"/>
  <c r="D18" i="57" a="1"/>
  <c r="D18" i="57" s="1"/>
  <c r="L18" i="57" s="1"/>
  <c r="V14" i="57"/>
  <c r="T14" i="57"/>
  <c r="P14" i="57"/>
  <c r="N14" i="57"/>
  <c r="H14" i="57"/>
  <c r="F14" i="57"/>
  <c r="D14" i="57"/>
  <c r="L14" i="57" s="1"/>
  <c r="T12" i="57"/>
  <c r="V61" i="57" s="1"/>
  <c r="P12" i="57"/>
  <c r="R53" i="57" s="1"/>
  <c r="H12" i="57"/>
  <c r="J63" i="57" s="1"/>
  <c r="D12" i="57"/>
  <c r="F34" i="57" s="1"/>
  <c r="D6" i="57"/>
  <c r="D4" i="57"/>
  <c r="R82" i="56"/>
  <c r="Z77" i="56"/>
  <c r="X77" i="56"/>
  <c r="N77" i="56"/>
  <c r="L77" i="56"/>
  <c r="J75" i="56"/>
  <c r="Z73" i="56"/>
  <c r="X73" i="56"/>
  <c r="T73" i="56"/>
  <c r="P73" i="56"/>
  <c r="H73" i="56"/>
  <c r="D73" i="56"/>
  <c r="Z71" i="56"/>
  <c r="X71" i="56"/>
  <c r="N71" i="56"/>
  <c r="L71" i="56"/>
  <c r="B71" i="56"/>
  <c r="T70" i="56"/>
  <c r="P70" i="56"/>
  <c r="X70" i="56" s="1"/>
  <c r="N70" i="56"/>
  <c r="H70" i="56"/>
  <c r="D70" i="56"/>
  <c r="L70" i="56" s="1"/>
  <c r="B70" i="56"/>
  <c r="X69" i="56"/>
  <c r="Z69" i="56" s="1"/>
  <c r="R69" i="56"/>
  <c r="N69" i="56"/>
  <c r="L69" i="56"/>
  <c r="B69" i="56"/>
  <c r="T68" i="56"/>
  <c r="P68" i="56"/>
  <c r="X68" i="56" s="1"/>
  <c r="Z68" i="56" s="1"/>
  <c r="H68" i="56"/>
  <c r="N68" i="56" s="1"/>
  <c r="D68" i="56"/>
  <c r="B68" i="56"/>
  <c r="X67" i="56"/>
  <c r="Z67" i="56" s="1"/>
  <c r="N67" i="56"/>
  <c r="L67" i="56"/>
  <c r="B67" i="56"/>
  <c r="T66" i="56"/>
  <c r="P66" i="56"/>
  <c r="L66" i="56"/>
  <c r="N66" i="56" s="1"/>
  <c r="H66" i="56"/>
  <c r="D66" i="56"/>
  <c r="B66" i="56"/>
  <c r="Z65" i="56"/>
  <c r="X65" i="56"/>
  <c r="R65" i="56"/>
  <c r="N65" i="56"/>
  <c r="L65" i="56"/>
  <c r="B65" i="56"/>
  <c r="X64" i="56"/>
  <c r="Z64" i="56" s="1"/>
  <c r="L64" i="56"/>
  <c r="N64" i="56" s="1"/>
  <c r="B64" i="56"/>
  <c r="T63" i="56"/>
  <c r="P63" i="56"/>
  <c r="X63" i="56" s="1"/>
  <c r="Z63" i="56" s="1"/>
  <c r="L63" i="56"/>
  <c r="H63" i="56"/>
  <c r="D63" i="56"/>
  <c r="B63" i="56"/>
  <c r="Z62" i="56"/>
  <c r="X62" i="56"/>
  <c r="R62" i="56"/>
  <c r="N62" i="56"/>
  <c r="L62" i="56"/>
  <c r="F62" i="56"/>
  <c r="B62" i="56"/>
  <c r="X61" i="56"/>
  <c r="T61" i="56"/>
  <c r="P61" i="56"/>
  <c r="N61" i="56"/>
  <c r="H61" i="56"/>
  <c r="D61" i="56"/>
  <c r="L61" i="56" s="1"/>
  <c r="B61" i="56"/>
  <c r="Z60" i="56"/>
  <c r="X60" i="56"/>
  <c r="V60" i="56"/>
  <c r="N60" i="56"/>
  <c r="L60" i="56"/>
  <c r="B60" i="56"/>
  <c r="X59" i="56"/>
  <c r="Z59" i="56" s="1"/>
  <c r="V59" i="56"/>
  <c r="R59" i="56"/>
  <c r="L59" i="56"/>
  <c r="N59" i="56" s="1"/>
  <c r="B59" i="56"/>
  <c r="X58" i="56"/>
  <c r="V58" i="56"/>
  <c r="T58" i="56"/>
  <c r="Z58" i="56" s="1"/>
  <c r="R58" i="56"/>
  <c r="P58" i="56"/>
  <c r="H58" i="56"/>
  <c r="F58" i="56"/>
  <c r="D58" i="56"/>
  <c r="B58" i="56"/>
  <c r="X57" i="56"/>
  <c r="Z57" i="56" s="1"/>
  <c r="N57" i="56"/>
  <c r="L57" i="56"/>
  <c r="F57" i="56"/>
  <c r="B57" i="56"/>
  <c r="Z56" i="56"/>
  <c r="X56" i="56"/>
  <c r="R56" i="56"/>
  <c r="N56" i="56"/>
  <c r="L56" i="56"/>
  <c r="B56" i="56"/>
  <c r="Z55" i="56"/>
  <c r="X55" i="56"/>
  <c r="V55" i="56"/>
  <c r="R55" i="56"/>
  <c r="N55" i="56"/>
  <c r="L55" i="56"/>
  <c r="B55" i="56"/>
  <c r="X54" i="56"/>
  <c r="V54" i="56"/>
  <c r="T54" i="56"/>
  <c r="Z54" i="56" s="1"/>
  <c r="R54" i="56"/>
  <c r="P54" i="56"/>
  <c r="H54" i="56"/>
  <c r="F54" i="56"/>
  <c r="D54" i="56"/>
  <c r="L54" i="56" s="1"/>
  <c r="B54" i="56"/>
  <c r="X53" i="56"/>
  <c r="Z53" i="56" s="1"/>
  <c r="N53" i="56"/>
  <c r="L53" i="56"/>
  <c r="F53" i="56"/>
  <c r="B53" i="56"/>
  <c r="T52" i="56"/>
  <c r="R52" i="56"/>
  <c r="P52" i="56"/>
  <c r="X52" i="56" s="1"/>
  <c r="H52" i="56"/>
  <c r="D52" i="56"/>
  <c r="L52" i="56" s="1"/>
  <c r="N52" i="56" s="1"/>
  <c r="B52" i="56"/>
  <c r="X51" i="56"/>
  <c r="Z51" i="56" s="1"/>
  <c r="N51" i="56"/>
  <c r="L51" i="56"/>
  <c r="J51" i="56"/>
  <c r="F51" i="56"/>
  <c r="B51" i="56"/>
  <c r="T50" i="56"/>
  <c r="P50" i="56"/>
  <c r="X50" i="56" s="1"/>
  <c r="Z50" i="56" s="1"/>
  <c r="H50" i="56"/>
  <c r="L50" i="56" s="1"/>
  <c r="N50" i="56" s="1"/>
  <c r="F50" i="56"/>
  <c r="D50" i="56"/>
  <c r="B50" i="56"/>
  <c r="Z49" i="56"/>
  <c r="X49" i="56"/>
  <c r="R49" i="56"/>
  <c r="L49" i="56"/>
  <c r="N49" i="56" s="1"/>
  <c r="B49" i="56"/>
  <c r="T48" i="56"/>
  <c r="X48" i="56" s="1"/>
  <c r="Z48" i="56" s="1"/>
  <c r="P48" i="56"/>
  <c r="L48" i="56"/>
  <c r="H48" i="56"/>
  <c r="F48" i="56"/>
  <c r="D48" i="56"/>
  <c r="B48" i="56"/>
  <c r="Z47" i="56"/>
  <c r="X47" i="56"/>
  <c r="V47" i="56"/>
  <c r="R47" i="56"/>
  <c r="N47" i="56"/>
  <c r="L47" i="56"/>
  <c r="F47" i="56"/>
  <c r="B47" i="56"/>
  <c r="X46" i="56"/>
  <c r="V46" i="56"/>
  <c r="T46" i="56"/>
  <c r="R46" i="56"/>
  <c r="P46" i="56"/>
  <c r="H46" i="56"/>
  <c r="N46" i="56" s="1"/>
  <c r="F46" i="56"/>
  <c r="D46" i="56"/>
  <c r="B46" i="56"/>
  <c r="X45" i="56"/>
  <c r="Z45" i="56" s="1"/>
  <c r="N45" i="56"/>
  <c r="L45" i="56"/>
  <c r="F45" i="56"/>
  <c r="B45" i="56"/>
  <c r="T44" i="56"/>
  <c r="R44" i="56"/>
  <c r="P44" i="56"/>
  <c r="H44" i="56"/>
  <c r="D44" i="56"/>
  <c r="L44" i="56" s="1"/>
  <c r="N44" i="56" s="1"/>
  <c r="B44" i="56"/>
  <c r="X43" i="56"/>
  <c r="Z43" i="56" s="1"/>
  <c r="N43" i="56"/>
  <c r="L43" i="56"/>
  <c r="J43" i="56"/>
  <c r="F43" i="56"/>
  <c r="B43" i="56"/>
  <c r="T42" i="56"/>
  <c r="P42" i="56"/>
  <c r="X42" i="56" s="1"/>
  <c r="Z42" i="56" s="1"/>
  <c r="N42" i="56"/>
  <c r="L42" i="56"/>
  <c r="H42" i="56"/>
  <c r="F42" i="56"/>
  <c r="D42" i="56"/>
  <c r="B42" i="56"/>
  <c r="Z41" i="56"/>
  <c r="X41" i="56"/>
  <c r="R41" i="56"/>
  <c r="L41" i="56"/>
  <c r="N41" i="56" s="1"/>
  <c r="B41" i="56"/>
  <c r="V40" i="56"/>
  <c r="T40" i="56"/>
  <c r="X40" i="56" s="1"/>
  <c r="Z40" i="56" s="1"/>
  <c r="P40" i="56"/>
  <c r="L40" i="56"/>
  <c r="H40" i="56"/>
  <c r="N40" i="56" s="1"/>
  <c r="F40" i="56"/>
  <c r="D40" i="56"/>
  <c r="B40" i="56"/>
  <c r="Z39" i="56"/>
  <c r="X39" i="56"/>
  <c r="V39" i="56"/>
  <c r="R39" i="56"/>
  <c r="N39" i="56"/>
  <c r="L39" i="56"/>
  <c r="F39" i="56"/>
  <c r="B39" i="56"/>
  <c r="Z38" i="56"/>
  <c r="X38" i="56"/>
  <c r="V38" i="56"/>
  <c r="N38" i="56"/>
  <c r="L38" i="56"/>
  <c r="B38" i="56"/>
  <c r="Z37" i="56"/>
  <c r="X37" i="56"/>
  <c r="R37" i="56"/>
  <c r="N37" i="56"/>
  <c r="L37" i="56"/>
  <c r="B37" i="56"/>
  <c r="Z36" i="56"/>
  <c r="X36" i="56"/>
  <c r="V36" i="56"/>
  <c r="N36" i="56"/>
  <c r="L36" i="56"/>
  <c r="F36" i="56"/>
  <c r="B36" i="56"/>
  <c r="Z35" i="56"/>
  <c r="X35" i="56"/>
  <c r="R35" i="56"/>
  <c r="N35" i="56"/>
  <c r="L35" i="56"/>
  <c r="J35" i="56"/>
  <c r="F35" i="56"/>
  <c r="B35" i="56"/>
  <c r="Z34" i="56"/>
  <c r="X34" i="56"/>
  <c r="N34" i="56"/>
  <c r="L34" i="56"/>
  <c r="B34" i="56"/>
  <c r="Z33" i="56"/>
  <c r="X33" i="56"/>
  <c r="N33" i="56"/>
  <c r="L33" i="56"/>
  <c r="F33" i="56"/>
  <c r="B33" i="56"/>
  <c r="Z32" i="56"/>
  <c r="X32" i="56"/>
  <c r="R32" i="56"/>
  <c r="N32" i="56"/>
  <c r="L32" i="56"/>
  <c r="B32" i="56"/>
  <c r="Z31" i="56"/>
  <c r="X31" i="56"/>
  <c r="V31" i="56"/>
  <c r="R31" i="56"/>
  <c r="L31" i="56"/>
  <c r="N31" i="56" s="1"/>
  <c r="F31" i="56"/>
  <c r="B31" i="56"/>
  <c r="X30" i="56"/>
  <c r="Z30" i="56" s="1"/>
  <c r="V30" i="56"/>
  <c r="N30" i="56"/>
  <c r="L30" i="56"/>
  <c r="B30" i="56"/>
  <c r="Z29" i="56"/>
  <c r="X29" i="56"/>
  <c r="T29" i="56"/>
  <c r="P29" i="56"/>
  <c r="J29" i="56"/>
  <c r="H29" i="56"/>
  <c r="D29" i="56"/>
  <c r="L29" i="56" s="1"/>
  <c r="B29" i="56"/>
  <c r="Z28" i="56"/>
  <c r="X28" i="56"/>
  <c r="R28" i="56"/>
  <c r="N28" i="56"/>
  <c r="L28" i="56"/>
  <c r="B28" i="56"/>
  <c r="Z27" i="56"/>
  <c r="X27" i="56"/>
  <c r="V27" i="56"/>
  <c r="R27" i="56"/>
  <c r="L27" i="56"/>
  <c r="N27" i="56" s="1"/>
  <c r="F27" i="56"/>
  <c r="B27" i="56"/>
  <c r="X26" i="56"/>
  <c r="Z26" i="56" s="1"/>
  <c r="V26" i="56"/>
  <c r="N26" i="56"/>
  <c r="L26" i="56"/>
  <c r="B26" i="56"/>
  <c r="Z25" i="56"/>
  <c r="X25" i="56"/>
  <c r="R25" i="56"/>
  <c r="N25" i="56"/>
  <c r="L25" i="56"/>
  <c r="B25" i="56"/>
  <c r="Z24" i="56"/>
  <c r="X24" i="56"/>
  <c r="V24" i="56"/>
  <c r="N24" i="56"/>
  <c r="L24" i="56"/>
  <c r="F24" i="56"/>
  <c r="B24" i="56"/>
  <c r="X23" i="56"/>
  <c r="Z23" i="56" s="1"/>
  <c r="R23" i="56"/>
  <c r="N23" i="56"/>
  <c r="L23" i="56"/>
  <c r="J23" i="56"/>
  <c r="F23" i="56"/>
  <c r="B23" i="56"/>
  <c r="Z22" i="56"/>
  <c r="X22" i="56"/>
  <c r="L22" i="56"/>
  <c r="N22" i="56" s="1"/>
  <c r="B22" i="56"/>
  <c r="X21" i="56"/>
  <c r="Z21" i="56" s="1"/>
  <c r="N21" i="56"/>
  <c r="L21" i="56"/>
  <c r="F21" i="56"/>
  <c r="B21" i="56"/>
  <c r="Z20" i="56"/>
  <c r="X20" i="56"/>
  <c r="R20" i="56"/>
  <c r="N20" i="56"/>
  <c r="L20" i="56"/>
  <c r="B20" i="56"/>
  <c r="V19" i="56"/>
  <c r="T19" i="56"/>
  <c r="Z19" i="56" s="1"/>
  <c r="P19" i="56"/>
  <c r="X19" i="56" s="1"/>
  <c r="H19" i="56"/>
  <c r="F19" i="56"/>
  <c r="D19" i="56"/>
  <c r="L19" i="56" s="1"/>
  <c r="N19" i="56" s="1"/>
  <c r="B19" i="56"/>
  <c r="T18" i="56" a="1"/>
  <c r="T18" i="56" s="1"/>
  <c r="R18" i="56"/>
  <c r="P18" i="56" a="1"/>
  <c r="P18" i="56" s="1"/>
  <c r="H18" i="56" a="1"/>
  <c r="H18" i="56" s="1"/>
  <c r="F18" i="56"/>
  <c r="D18" i="56" a="1"/>
  <c r="D18" i="56" s="1"/>
  <c r="P16" i="56"/>
  <c r="F16" i="56"/>
  <c r="D16" i="56"/>
  <c r="X14" i="56"/>
  <c r="V14" i="56"/>
  <c r="T14" i="56"/>
  <c r="Z14" i="56" s="1"/>
  <c r="R14" i="56"/>
  <c r="P14" i="56"/>
  <c r="H14" i="56"/>
  <c r="F14" i="56"/>
  <c r="D14" i="56"/>
  <c r="Z12" i="56"/>
  <c r="T12" i="56"/>
  <c r="V61" i="56" s="1"/>
  <c r="P12" i="56"/>
  <c r="R70" i="56" s="1"/>
  <c r="L12" i="56"/>
  <c r="H12" i="56"/>
  <c r="J57" i="56" s="1"/>
  <c r="D12" i="56"/>
  <c r="F69" i="56" s="1"/>
  <c r="D6" i="56"/>
  <c r="D4" i="56"/>
  <c r="J38" i="55"/>
  <c r="J35" i="55"/>
  <c r="F35" i="55"/>
  <c r="Z33" i="55"/>
  <c r="X33" i="55"/>
  <c r="R33" i="55"/>
  <c r="N33" i="55"/>
  <c r="L33" i="55"/>
  <c r="J33" i="55"/>
  <c r="J31" i="55"/>
  <c r="D31" i="55"/>
  <c r="Z29" i="55"/>
  <c r="T29" i="55"/>
  <c r="P29" i="55"/>
  <c r="X29" i="55" s="1"/>
  <c r="L29" i="55"/>
  <c r="J29" i="55"/>
  <c r="H29" i="55"/>
  <c r="N29" i="55" s="1"/>
  <c r="F29" i="55"/>
  <c r="D29" i="55"/>
  <c r="Z27" i="55"/>
  <c r="X27" i="55"/>
  <c r="R27" i="55"/>
  <c r="N27" i="55"/>
  <c r="L27" i="55"/>
  <c r="J27" i="55"/>
  <c r="B27" i="55"/>
  <c r="Z26" i="55"/>
  <c r="X26" i="55"/>
  <c r="N26" i="55"/>
  <c r="L26" i="55"/>
  <c r="B26" i="55"/>
  <c r="X25" i="55"/>
  <c r="T25" i="55"/>
  <c r="P25" i="55"/>
  <c r="H25" i="55"/>
  <c r="F25" i="55"/>
  <c r="D25" i="55"/>
  <c r="B25" i="55"/>
  <c r="X24" i="55"/>
  <c r="Z24" i="55" s="1"/>
  <c r="N24" i="55"/>
  <c r="L24" i="55"/>
  <c r="F24" i="55"/>
  <c r="B24" i="55"/>
  <c r="T23" i="55"/>
  <c r="P23" i="55"/>
  <c r="J23" i="55"/>
  <c r="H23" i="55"/>
  <c r="D23" i="55"/>
  <c r="L23" i="55" s="1"/>
  <c r="N23" i="55" s="1"/>
  <c r="B23" i="55"/>
  <c r="X22" i="55"/>
  <c r="Z22" i="55" s="1"/>
  <c r="N22" i="55"/>
  <c r="L22" i="55"/>
  <c r="J22" i="55"/>
  <c r="F22" i="55"/>
  <c r="B22" i="55"/>
  <c r="T21" i="55"/>
  <c r="P21" i="55"/>
  <c r="X21" i="55" s="1"/>
  <c r="Z21" i="55" s="1"/>
  <c r="J21" i="55"/>
  <c r="H21" i="55"/>
  <c r="D21" i="55"/>
  <c r="L21" i="55" s="1"/>
  <c r="N21" i="55" s="1"/>
  <c r="B21" i="55"/>
  <c r="Z20" i="55"/>
  <c r="X20" i="55"/>
  <c r="L20" i="55"/>
  <c r="N20" i="55" s="1"/>
  <c r="B20" i="55"/>
  <c r="T19" i="55"/>
  <c r="P19" i="55"/>
  <c r="X19" i="55" s="1"/>
  <c r="Z19" i="55" s="1"/>
  <c r="L19" i="55"/>
  <c r="J19" i="55"/>
  <c r="H19" i="55"/>
  <c r="N19" i="55" s="1"/>
  <c r="F19" i="55"/>
  <c r="D19" i="55"/>
  <c r="B19" i="55"/>
  <c r="T18" i="55" a="1"/>
  <c r="T18" i="55" s="1"/>
  <c r="P18" i="55" a="1"/>
  <c r="P18" i="55"/>
  <c r="J18" i="55"/>
  <c r="H18" i="55" a="1"/>
  <c r="H18" i="55" s="1"/>
  <c r="F18" i="55"/>
  <c r="D18" i="55" a="1"/>
  <c r="D18" i="55"/>
  <c r="L18" i="55" s="1"/>
  <c r="V16" i="55"/>
  <c r="F16" i="55"/>
  <c r="D16" i="55"/>
  <c r="X14" i="55"/>
  <c r="T14" i="55"/>
  <c r="Z14" i="55" s="1"/>
  <c r="P14" i="55"/>
  <c r="N14" i="55"/>
  <c r="L14" i="55"/>
  <c r="H14" i="55"/>
  <c r="D14" i="55"/>
  <c r="T12" i="55"/>
  <c r="V18" i="55" s="1"/>
  <c r="P12" i="55"/>
  <c r="R38" i="55" s="1"/>
  <c r="L12" i="55"/>
  <c r="H12" i="55"/>
  <c r="J24" i="55" s="1"/>
  <c r="D12" i="55"/>
  <c r="F33" i="55" s="1"/>
  <c r="D6" i="55"/>
  <c r="D4" i="55"/>
  <c r="J31" i="54"/>
  <c r="T29" i="54"/>
  <c r="R29" i="54"/>
  <c r="P29" i="54"/>
  <c r="X29" i="54" s="1"/>
  <c r="Z29" i="54" s="1"/>
  <c r="L29" i="54"/>
  <c r="H29" i="54"/>
  <c r="N29" i="54" s="1"/>
  <c r="D29" i="54"/>
  <c r="Z28" i="54"/>
  <c r="X28" i="54"/>
  <c r="T28" i="54"/>
  <c r="P28" i="54"/>
  <c r="J28" i="54"/>
  <c r="H28" i="54"/>
  <c r="N28" i="54" s="1"/>
  <c r="D28" i="54"/>
  <c r="L28" i="54" s="1"/>
  <c r="R26" i="54"/>
  <c r="Z24" i="54"/>
  <c r="X24" i="54"/>
  <c r="R24" i="54"/>
  <c r="N24" i="54"/>
  <c r="L24" i="54"/>
  <c r="J22" i="54"/>
  <c r="Z20" i="54"/>
  <c r="T20" i="54"/>
  <c r="R20" i="54"/>
  <c r="P20" i="54"/>
  <c r="X20" i="54" s="1"/>
  <c r="L20" i="54"/>
  <c r="J20" i="54"/>
  <c r="H20" i="54"/>
  <c r="N20" i="54" s="1"/>
  <c r="D20" i="54"/>
  <c r="Z18" i="54"/>
  <c r="X18" i="54"/>
  <c r="T18" i="54"/>
  <c r="P18" i="54"/>
  <c r="J18" i="54"/>
  <c r="H18" i="54"/>
  <c r="N18" i="54" s="1"/>
  <c r="D18" i="54"/>
  <c r="L18" i="54" s="1"/>
  <c r="R16" i="54"/>
  <c r="P16" i="54"/>
  <c r="P22" i="54" s="1"/>
  <c r="J16" i="54"/>
  <c r="Z14" i="54"/>
  <c r="X14" i="54"/>
  <c r="T14" i="54"/>
  <c r="R14" i="54"/>
  <c r="P14" i="54"/>
  <c r="J14" i="54"/>
  <c r="H14" i="54"/>
  <c r="H16" i="54" s="1"/>
  <c r="D14" i="54"/>
  <c r="L14" i="54" s="1"/>
  <c r="Z12" i="54"/>
  <c r="X12" i="54"/>
  <c r="T12" i="54"/>
  <c r="V31" i="54" s="1"/>
  <c r="P12" i="54"/>
  <c r="R31" i="54" s="1"/>
  <c r="N12" i="54"/>
  <c r="L12" i="54"/>
  <c r="H12" i="54"/>
  <c r="J29" i="54" s="1"/>
  <c r="D12" i="54"/>
  <c r="F31" i="54" s="1"/>
  <c r="D6" i="54"/>
  <c r="D4" i="54"/>
  <c r="B39" i="53"/>
  <c r="B38" i="53"/>
  <c r="T34" i="53"/>
  <c r="Z34" i="53" s="1"/>
  <c r="P34" i="53"/>
  <c r="H34" i="53"/>
  <c r="N34" i="53" s="1"/>
  <c r="D34" i="53"/>
  <c r="T33" i="53"/>
  <c r="Z33" i="53" s="1"/>
  <c r="P33" i="53"/>
  <c r="X33" i="53" s="1"/>
  <c r="H33" i="53"/>
  <c r="N33" i="53" s="1"/>
  <c r="D33" i="53"/>
  <c r="T29" i="53"/>
  <c r="Z29" i="53" s="1"/>
  <c r="P29" i="53"/>
  <c r="H29" i="53"/>
  <c r="N29" i="53" s="1"/>
  <c r="D29" i="53"/>
  <c r="T25" i="53"/>
  <c r="Z25" i="53" s="1"/>
  <c r="P25" i="53"/>
  <c r="X25" i="53" s="1"/>
  <c r="H25" i="53"/>
  <c r="N25" i="53" s="1"/>
  <c r="D25" i="53"/>
  <c r="B25" i="53"/>
  <c r="T24" i="53"/>
  <c r="Z24" i="53" s="1"/>
  <c r="P24" i="53"/>
  <c r="H24" i="53"/>
  <c r="N24" i="53" s="1"/>
  <c r="D24" i="53"/>
  <c r="T22" i="53"/>
  <c r="Z22" i="53" s="1"/>
  <c r="P22" i="53"/>
  <c r="H22" i="53"/>
  <c r="N22" i="53" s="1"/>
  <c r="D22" i="53"/>
  <c r="B22" i="53"/>
  <c r="T21" i="53"/>
  <c r="Z21" i="53" s="1"/>
  <c r="P21" i="53"/>
  <c r="H21" i="53"/>
  <c r="N21" i="53" s="1"/>
  <c r="D21" i="53"/>
  <c r="B21" i="53"/>
  <c r="T20" i="53"/>
  <c r="Z20" i="53" s="1"/>
  <c r="P20" i="53"/>
  <c r="H20" i="53"/>
  <c r="N20" i="53" s="1"/>
  <c r="D20" i="53"/>
  <c r="T16" i="53"/>
  <c r="Z16" i="53" s="1"/>
  <c r="P16" i="53"/>
  <c r="H16" i="53"/>
  <c r="N16" i="53" s="1"/>
  <c r="D16" i="53"/>
  <c r="B16" i="53"/>
  <c r="T15" i="53"/>
  <c r="Z15" i="53" s="1"/>
  <c r="P15" i="53"/>
  <c r="H15" i="53"/>
  <c r="N15" i="53" s="1"/>
  <c r="D15" i="53"/>
  <c r="T13" i="53"/>
  <c r="Z13" i="53" s="1"/>
  <c r="P13" i="53"/>
  <c r="X13" i="53" s="1"/>
  <c r="H13" i="53"/>
  <c r="N13" i="53" s="1"/>
  <c r="D13" i="53"/>
  <c r="B13" i="53"/>
  <c r="T12" i="53"/>
  <c r="V36" i="53" s="1"/>
  <c r="P12" i="53"/>
  <c r="H12" i="53"/>
  <c r="J20" i="53" s="1"/>
  <c r="D12" i="53"/>
  <c r="F36" i="53" s="1"/>
  <c r="D5" i="53"/>
  <c r="D4" i="53"/>
  <c r="B39" i="52"/>
  <c r="B38" i="52"/>
  <c r="T34" i="52"/>
  <c r="Z34" i="52" s="1"/>
  <c r="P34" i="52"/>
  <c r="H34" i="52"/>
  <c r="N34" i="52" s="1"/>
  <c r="D34" i="52"/>
  <c r="T33" i="52"/>
  <c r="Z33" i="52" s="1"/>
  <c r="P33" i="52"/>
  <c r="H33" i="52"/>
  <c r="N33" i="52" s="1"/>
  <c r="D33" i="52"/>
  <c r="T29" i="52"/>
  <c r="Z29" i="52" s="1"/>
  <c r="P29" i="52"/>
  <c r="H29" i="52"/>
  <c r="N29" i="52" s="1"/>
  <c r="D29" i="52"/>
  <c r="T25" i="52"/>
  <c r="Z25" i="52" s="1"/>
  <c r="P25" i="52"/>
  <c r="H25" i="52"/>
  <c r="N25" i="52" s="1"/>
  <c r="D25" i="52"/>
  <c r="B25" i="52"/>
  <c r="T24" i="52"/>
  <c r="Z24" i="52" s="1"/>
  <c r="P24" i="52"/>
  <c r="H24" i="52"/>
  <c r="N24" i="52" s="1"/>
  <c r="D24" i="52"/>
  <c r="T22" i="52"/>
  <c r="Z22" i="52" s="1"/>
  <c r="P22" i="52"/>
  <c r="H22" i="52"/>
  <c r="N22" i="52" s="1"/>
  <c r="D22" i="52"/>
  <c r="B22" i="52"/>
  <c r="T21" i="52"/>
  <c r="Z21" i="52" s="1"/>
  <c r="P21" i="52"/>
  <c r="H21" i="52"/>
  <c r="N21" i="52" s="1"/>
  <c r="D21" i="52"/>
  <c r="B21" i="52"/>
  <c r="T20" i="52"/>
  <c r="Z20" i="52" s="1"/>
  <c r="P20" i="52"/>
  <c r="H20" i="52"/>
  <c r="N20" i="52" s="1"/>
  <c r="D20" i="52"/>
  <c r="T16" i="52"/>
  <c r="Z16" i="52" s="1"/>
  <c r="P16" i="52"/>
  <c r="H16" i="52"/>
  <c r="N16" i="52" s="1"/>
  <c r="D16" i="52"/>
  <c r="B16" i="52"/>
  <c r="T15" i="52"/>
  <c r="P15" i="52"/>
  <c r="H15" i="52"/>
  <c r="N15" i="52" s="1"/>
  <c r="D15" i="52"/>
  <c r="T13" i="52"/>
  <c r="Z13" i="52" s="1"/>
  <c r="P13" i="52"/>
  <c r="H13" i="52"/>
  <c r="N13" i="52" s="1"/>
  <c r="D13" i="52"/>
  <c r="B13" i="52"/>
  <c r="T12" i="52"/>
  <c r="V24" i="52" s="1"/>
  <c r="P12" i="52"/>
  <c r="H12" i="52"/>
  <c r="J22" i="52" s="1"/>
  <c r="D12" i="52"/>
  <c r="F18" i="52" s="1"/>
  <c r="D5" i="52"/>
  <c r="D4" i="52"/>
  <c r="X83" i="51"/>
  <c r="Z83" i="51" s="1"/>
  <c r="L83" i="51"/>
  <c r="N83" i="51" s="1"/>
  <c r="P79" i="51"/>
  <c r="X79" i="51" s="1"/>
  <c r="Z79" i="51" s="1"/>
  <c r="D79" i="51"/>
  <c r="L79" i="51" s="1"/>
  <c r="N79" i="51" s="1"/>
  <c r="B79" i="51"/>
  <c r="Z78" i="51"/>
  <c r="X78" i="51"/>
  <c r="V78" i="51"/>
  <c r="P78" i="51"/>
  <c r="P76" i="51" s="1"/>
  <c r="X76" i="51" s="1"/>
  <c r="N78" i="51"/>
  <c r="D78" i="51"/>
  <c r="L78" i="51" s="1"/>
  <c r="B78" i="51"/>
  <c r="Z77" i="51"/>
  <c r="X77" i="51"/>
  <c r="P77" i="51"/>
  <c r="N77" i="51"/>
  <c r="L77" i="51"/>
  <c r="J77" i="51"/>
  <c r="D77" i="51"/>
  <c r="B77" i="51"/>
  <c r="T76" i="51"/>
  <c r="H76" i="51"/>
  <c r="D76" i="51"/>
  <c r="L76" i="51" s="1"/>
  <c r="N76" i="51" s="1"/>
  <c r="Z74" i="51"/>
  <c r="X74" i="51"/>
  <c r="N74" i="51"/>
  <c r="L74" i="51"/>
  <c r="B74" i="51"/>
  <c r="X73" i="51"/>
  <c r="T73" i="51"/>
  <c r="Z73" i="51" s="1"/>
  <c r="P73" i="51"/>
  <c r="N73" i="51"/>
  <c r="L73" i="51"/>
  <c r="H73" i="51"/>
  <c r="D73" i="51"/>
  <c r="B73" i="51"/>
  <c r="X72" i="51"/>
  <c r="Z72" i="51" s="1"/>
  <c r="V72" i="51"/>
  <c r="N72" i="51"/>
  <c r="L72" i="51"/>
  <c r="B72" i="51"/>
  <c r="X71" i="51"/>
  <c r="Z71" i="51" s="1"/>
  <c r="L71" i="51"/>
  <c r="N71" i="51" s="1"/>
  <c r="B71" i="51"/>
  <c r="T70" i="51"/>
  <c r="P70" i="51"/>
  <c r="X70" i="51" s="1"/>
  <c r="Z70" i="51" s="1"/>
  <c r="L70" i="51"/>
  <c r="N70" i="51" s="1"/>
  <c r="J70" i="51"/>
  <c r="H70" i="51"/>
  <c r="D70" i="51"/>
  <c r="B70" i="51"/>
  <c r="Z69" i="51"/>
  <c r="X69" i="51"/>
  <c r="V69" i="51"/>
  <c r="N69" i="51"/>
  <c r="L69" i="51"/>
  <c r="B69" i="51"/>
  <c r="Z68" i="51"/>
  <c r="X68" i="51"/>
  <c r="V68" i="51"/>
  <c r="T68" i="51"/>
  <c r="P68" i="51"/>
  <c r="H68" i="51"/>
  <c r="D68" i="51"/>
  <c r="B68" i="51"/>
  <c r="X67" i="51"/>
  <c r="Z67" i="51" s="1"/>
  <c r="N67" i="51"/>
  <c r="L67" i="51"/>
  <c r="B67" i="51"/>
  <c r="T66" i="51"/>
  <c r="P66" i="51"/>
  <c r="H66" i="51"/>
  <c r="D66" i="51"/>
  <c r="L66" i="51" s="1"/>
  <c r="N66" i="51" s="1"/>
  <c r="B66" i="51"/>
  <c r="X65" i="51"/>
  <c r="Z65" i="51" s="1"/>
  <c r="N65" i="51"/>
  <c r="L65" i="51"/>
  <c r="J65" i="51"/>
  <c r="B65" i="51"/>
  <c r="T64" i="51"/>
  <c r="P64" i="51"/>
  <c r="X64" i="51" s="1"/>
  <c r="Z64" i="51" s="1"/>
  <c r="N64" i="51"/>
  <c r="H64" i="51"/>
  <c r="D64" i="51"/>
  <c r="L64" i="51" s="1"/>
  <c r="B64" i="51"/>
  <c r="X63" i="51"/>
  <c r="Z63" i="51" s="1"/>
  <c r="L63" i="51"/>
  <c r="N63" i="51" s="1"/>
  <c r="B63" i="51"/>
  <c r="Z62" i="51"/>
  <c r="T62" i="51"/>
  <c r="P62" i="51"/>
  <c r="X62" i="51" s="1"/>
  <c r="L62" i="51"/>
  <c r="H62" i="51"/>
  <c r="N62" i="51" s="1"/>
  <c r="D62" i="51"/>
  <c r="B62" i="51"/>
  <c r="Z61" i="51"/>
  <c r="X61" i="51"/>
  <c r="V61" i="51"/>
  <c r="L61" i="51"/>
  <c r="N61" i="51" s="1"/>
  <c r="B61" i="51"/>
  <c r="X60" i="51"/>
  <c r="V60" i="51"/>
  <c r="T60" i="51"/>
  <c r="Z60" i="51" s="1"/>
  <c r="P60" i="51"/>
  <c r="H60" i="51"/>
  <c r="D60" i="51"/>
  <c r="B60" i="51"/>
  <c r="Z59" i="51"/>
  <c r="X59" i="51"/>
  <c r="N59" i="51"/>
  <c r="L59" i="51"/>
  <c r="B59" i="51"/>
  <c r="T58" i="51"/>
  <c r="P58" i="51"/>
  <c r="N58" i="51"/>
  <c r="H58" i="51"/>
  <c r="D58" i="51"/>
  <c r="L58" i="51" s="1"/>
  <c r="B58" i="51"/>
  <c r="X57" i="51"/>
  <c r="Z57" i="51" s="1"/>
  <c r="N57" i="51"/>
  <c r="L57" i="51"/>
  <c r="J57" i="51"/>
  <c r="B57" i="51"/>
  <c r="T56" i="51"/>
  <c r="P56" i="51"/>
  <c r="X56" i="51" s="1"/>
  <c r="Z56" i="51" s="1"/>
  <c r="N56" i="51"/>
  <c r="H56" i="51"/>
  <c r="D56" i="51"/>
  <c r="L56" i="51" s="1"/>
  <c r="B56" i="51"/>
  <c r="Z55" i="51"/>
  <c r="X55" i="51"/>
  <c r="N55" i="51"/>
  <c r="L55" i="51"/>
  <c r="B55" i="51"/>
  <c r="Z54" i="51"/>
  <c r="X54" i="51"/>
  <c r="N54" i="51"/>
  <c r="L54" i="51"/>
  <c r="B54" i="51"/>
  <c r="X53" i="51"/>
  <c r="Z53" i="51" s="1"/>
  <c r="N53" i="51"/>
  <c r="L53" i="51"/>
  <c r="B53" i="51"/>
  <c r="Z52" i="51"/>
  <c r="X52" i="51"/>
  <c r="N52" i="51"/>
  <c r="L52" i="51"/>
  <c r="J52" i="51"/>
  <c r="B52" i="51"/>
  <c r="Z51" i="51"/>
  <c r="X51" i="51"/>
  <c r="N51" i="51"/>
  <c r="L51" i="51"/>
  <c r="B51" i="51"/>
  <c r="Z50" i="51"/>
  <c r="X50" i="51"/>
  <c r="N50" i="51"/>
  <c r="L50" i="51"/>
  <c r="B50" i="51"/>
  <c r="Z49" i="51"/>
  <c r="X49" i="51"/>
  <c r="V49" i="51"/>
  <c r="L49" i="51"/>
  <c r="N49" i="51" s="1"/>
  <c r="B49" i="51"/>
  <c r="Z48" i="51"/>
  <c r="X48" i="51"/>
  <c r="V48" i="51"/>
  <c r="N48" i="51"/>
  <c r="L48" i="51"/>
  <c r="B48" i="51"/>
  <c r="X47" i="51"/>
  <c r="Z47" i="51" s="1"/>
  <c r="L47" i="51"/>
  <c r="N47" i="51" s="1"/>
  <c r="B47" i="51"/>
  <c r="Z46" i="51"/>
  <c r="X46" i="51"/>
  <c r="N46" i="51"/>
  <c r="L46" i="51"/>
  <c r="B46" i="51"/>
  <c r="X45" i="51"/>
  <c r="T45" i="51"/>
  <c r="Z45" i="51" s="1"/>
  <c r="P45" i="51"/>
  <c r="L45" i="51"/>
  <c r="N45" i="51" s="1"/>
  <c r="H45" i="51"/>
  <c r="D45" i="51"/>
  <c r="B45" i="51"/>
  <c r="X44" i="51"/>
  <c r="Z44" i="51" s="1"/>
  <c r="V44" i="51"/>
  <c r="N44" i="51"/>
  <c r="L44" i="51"/>
  <c r="B44" i="51"/>
  <c r="Z43" i="51"/>
  <c r="X43" i="51"/>
  <c r="L43" i="51"/>
  <c r="N43" i="51" s="1"/>
  <c r="B43" i="51"/>
  <c r="Z42" i="51"/>
  <c r="X42" i="51"/>
  <c r="N42" i="51"/>
  <c r="L42" i="51"/>
  <c r="B42" i="51"/>
  <c r="Z41" i="51"/>
  <c r="X41" i="51"/>
  <c r="N41" i="51"/>
  <c r="L41" i="51"/>
  <c r="B41" i="51"/>
  <c r="Z40" i="51"/>
  <c r="X40" i="51"/>
  <c r="N40" i="51"/>
  <c r="L40" i="51"/>
  <c r="J40" i="51"/>
  <c r="B40" i="51"/>
  <c r="X39" i="51"/>
  <c r="Z39" i="51" s="1"/>
  <c r="N39" i="51"/>
  <c r="L39" i="51"/>
  <c r="B39" i="51"/>
  <c r="Z38" i="51"/>
  <c r="X38" i="51"/>
  <c r="N38" i="51"/>
  <c r="L38" i="51"/>
  <c r="B38" i="51"/>
  <c r="Z37" i="51"/>
  <c r="X37" i="51"/>
  <c r="V37" i="51"/>
  <c r="L37" i="51"/>
  <c r="N37" i="51" s="1"/>
  <c r="B37" i="51"/>
  <c r="X36" i="51"/>
  <c r="Z36" i="51" s="1"/>
  <c r="V36" i="51"/>
  <c r="N36" i="51"/>
  <c r="L36" i="51"/>
  <c r="B36" i="51"/>
  <c r="Z35" i="51"/>
  <c r="X35" i="51"/>
  <c r="L35" i="51"/>
  <c r="N35" i="51" s="1"/>
  <c r="B35" i="51"/>
  <c r="T34" i="51"/>
  <c r="P34" i="51"/>
  <c r="X34" i="51" s="1"/>
  <c r="Z34" i="51" s="1"/>
  <c r="L34" i="51"/>
  <c r="J34" i="51"/>
  <c r="H34" i="51"/>
  <c r="N34" i="51" s="1"/>
  <c r="D34" i="51"/>
  <c r="B34" i="51"/>
  <c r="V33" i="51"/>
  <c r="T33" i="51" a="1"/>
  <c r="T33" i="51" s="1"/>
  <c r="P33" i="51" a="1"/>
  <c r="P33" i="51"/>
  <c r="X33" i="51" s="1"/>
  <c r="H33" i="51" a="1"/>
  <c r="H33" i="51" s="1"/>
  <c r="D33" i="51" a="1"/>
  <c r="D33" i="51" s="1"/>
  <c r="V31" i="51"/>
  <c r="T31" i="51"/>
  <c r="Z29" i="51"/>
  <c r="X29" i="51"/>
  <c r="N29" i="51"/>
  <c r="L29" i="51"/>
  <c r="J29" i="51"/>
  <c r="B29" i="51"/>
  <c r="Z28" i="51"/>
  <c r="X28" i="51"/>
  <c r="N28" i="51"/>
  <c r="L28" i="51"/>
  <c r="B28" i="51"/>
  <c r="Z27" i="51"/>
  <c r="X27" i="51"/>
  <c r="N27" i="51"/>
  <c r="L27" i="51"/>
  <c r="B27" i="51"/>
  <c r="Z26" i="51"/>
  <c r="X26" i="51"/>
  <c r="N26" i="51"/>
  <c r="L26" i="51"/>
  <c r="B26" i="51"/>
  <c r="Z25" i="51"/>
  <c r="X25" i="51"/>
  <c r="V25" i="51"/>
  <c r="N25" i="51"/>
  <c r="L25" i="51"/>
  <c r="B25" i="51"/>
  <c r="Z24" i="51"/>
  <c r="X24" i="51"/>
  <c r="V24" i="51"/>
  <c r="N24" i="51"/>
  <c r="L24" i="51"/>
  <c r="B24" i="51"/>
  <c r="Z23" i="51"/>
  <c r="X23" i="51"/>
  <c r="N23" i="51"/>
  <c r="L23" i="51"/>
  <c r="B23" i="51"/>
  <c r="Z22" i="51"/>
  <c r="X22" i="51"/>
  <c r="N22" i="51"/>
  <c r="L22" i="51"/>
  <c r="B22" i="51"/>
  <c r="Z21" i="51"/>
  <c r="X21" i="51"/>
  <c r="N21" i="51"/>
  <c r="L21" i="51"/>
  <c r="J21" i="51"/>
  <c r="B21" i="51"/>
  <c r="Z20" i="51"/>
  <c r="X20" i="51"/>
  <c r="L20" i="51"/>
  <c r="N20" i="51" s="1"/>
  <c r="J20" i="51"/>
  <c r="B20" i="51"/>
  <c r="T19" i="51"/>
  <c r="P19" i="51"/>
  <c r="X19" i="51" s="1"/>
  <c r="Z19" i="51" s="1"/>
  <c r="L19" i="51"/>
  <c r="H19" i="51"/>
  <c r="N19" i="51" s="1"/>
  <c r="D19" i="51"/>
  <c r="Z17" i="51"/>
  <c r="X17" i="51"/>
  <c r="P17" i="51"/>
  <c r="N17" i="51"/>
  <c r="L17" i="51"/>
  <c r="D17" i="51"/>
  <c r="B17" i="51"/>
  <c r="Z16" i="51"/>
  <c r="X16" i="51"/>
  <c r="P16" i="51"/>
  <c r="N16" i="51"/>
  <c r="L16" i="51"/>
  <c r="D16" i="51"/>
  <c r="B16" i="51"/>
  <c r="Z15" i="51"/>
  <c r="P15" i="51"/>
  <c r="N15" i="51"/>
  <c r="D15" i="51"/>
  <c r="L15" i="51" s="1"/>
  <c r="B15" i="51"/>
  <c r="Z14" i="51"/>
  <c r="X14" i="51"/>
  <c r="P14" i="51"/>
  <c r="L14" i="51"/>
  <c r="N14" i="51" s="1"/>
  <c r="D14" i="51"/>
  <c r="B14" i="51"/>
  <c r="X13" i="51"/>
  <c r="Z13" i="51" s="1"/>
  <c r="P13" i="51"/>
  <c r="D13" i="51"/>
  <c r="B13" i="51"/>
  <c r="T12" i="51"/>
  <c r="H12" i="51"/>
  <c r="J62" i="51" s="1"/>
  <c r="D4" i="51"/>
  <c r="B39" i="50"/>
  <c r="B38" i="50"/>
  <c r="T34" i="50"/>
  <c r="Z34" i="50" s="1"/>
  <c r="P34" i="50"/>
  <c r="H34" i="50"/>
  <c r="N34" i="50" s="1"/>
  <c r="D34" i="50"/>
  <c r="T33" i="50"/>
  <c r="Z33" i="50" s="1"/>
  <c r="P33" i="50"/>
  <c r="H33" i="50"/>
  <c r="N33" i="50" s="1"/>
  <c r="D33" i="50"/>
  <c r="T29" i="50"/>
  <c r="Z29" i="50" s="1"/>
  <c r="P29" i="50"/>
  <c r="H29" i="50"/>
  <c r="N29" i="50" s="1"/>
  <c r="D29" i="50"/>
  <c r="T25" i="50"/>
  <c r="Z25" i="50" s="1"/>
  <c r="P25" i="50"/>
  <c r="H25" i="50"/>
  <c r="N25" i="50" s="1"/>
  <c r="D25" i="50"/>
  <c r="B25" i="50"/>
  <c r="T24" i="50"/>
  <c r="Z24" i="50" s="1"/>
  <c r="P24" i="50"/>
  <c r="H24" i="50"/>
  <c r="D24" i="50"/>
  <c r="T22" i="50"/>
  <c r="Z22" i="50" s="1"/>
  <c r="P22" i="50"/>
  <c r="H22" i="50"/>
  <c r="N22" i="50" s="1"/>
  <c r="D22" i="50"/>
  <c r="B22" i="50"/>
  <c r="T21" i="50"/>
  <c r="Z21" i="50" s="1"/>
  <c r="P21" i="50"/>
  <c r="H21" i="50"/>
  <c r="N21" i="50" s="1"/>
  <c r="D21" i="50"/>
  <c r="B21" i="50"/>
  <c r="T20" i="50"/>
  <c r="Z20" i="50" s="1"/>
  <c r="P20" i="50"/>
  <c r="H20" i="50"/>
  <c r="N20" i="50" s="1"/>
  <c r="D20" i="50"/>
  <c r="T16" i="50"/>
  <c r="P16" i="50"/>
  <c r="H16" i="50"/>
  <c r="N16" i="50" s="1"/>
  <c r="D16" i="50"/>
  <c r="B16" i="50"/>
  <c r="T15" i="50"/>
  <c r="Z15" i="50" s="1"/>
  <c r="P15" i="50"/>
  <c r="H15" i="50"/>
  <c r="N15" i="50" s="1"/>
  <c r="D15" i="50"/>
  <c r="T13" i="50"/>
  <c r="Z13" i="50" s="1"/>
  <c r="P13" i="50"/>
  <c r="H13" i="50"/>
  <c r="N13" i="50" s="1"/>
  <c r="D13" i="50"/>
  <c r="B13" i="50"/>
  <c r="T12" i="50"/>
  <c r="V20" i="50" s="1"/>
  <c r="P12" i="50"/>
  <c r="R36" i="50" s="1"/>
  <c r="H12" i="50"/>
  <c r="J16" i="50" s="1"/>
  <c r="D12" i="50"/>
  <c r="F34" i="50" s="1"/>
  <c r="D5" i="50"/>
  <c r="D4" i="50"/>
  <c r="B39" i="49"/>
  <c r="B38" i="49"/>
  <c r="T34" i="49"/>
  <c r="Z34" i="49" s="1"/>
  <c r="P34" i="49"/>
  <c r="H34" i="49"/>
  <c r="N34" i="49" s="1"/>
  <c r="D34" i="49"/>
  <c r="T33" i="49"/>
  <c r="Z33" i="49" s="1"/>
  <c r="P33" i="49"/>
  <c r="H33" i="49"/>
  <c r="N33" i="49" s="1"/>
  <c r="D33" i="49"/>
  <c r="T29" i="49"/>
  <c r="Z29" i="49" s="1"/>
  <c r="P29" i="49"/>
  <c r="H29" i="49"/>
  <c r="N29" i="49" s="1"/>
  <c r="D29" i="49"/>
  <c r="T25" i="49"/>
  <c r="Z25" i="49" s="1"/>
  <c r="P25" i="49"/>
  <c r="H25" i="49"/>
  <c r="N25" i="49" s="1"/>
  <c r="D25" i="49"/>
  <c r="B25" i="49"/>
  <c r="T24" i="49"/>
  <c r="Z24" i="49" s="1"/>
  <c r="P24" i="49"/>
  <c r="H24" i="49"/>
  <c r="N24" i="49" s="1"/>
  <c r="D24" i="49"/>
  <c r="T22" i="49"/>
  <c r="Z22" i="49" s="1"/>
  <c r="P22" i="49"/>
  <c r="H22" i="49"/>
  <c r="N22" i="49" s="1"/>
  <c r="D22" i="49"/>
  <c r="B22" i="49"/>
  <c r="T21" i="49"/>
  <c r="Z21" i="49" s="1"/>
  <c r="P21" i="49"/>
  <c r="H21" i="49"/>
  <c r="N21" i="49" s="1"/>
  <c r="D21" i="49"/>
  <c r="B21" i="49"/>
  <c r="T20" i="49"/>
  <c r="Z20" i="49" s="1"/>
  <c r="P20" i="49"/>
  <c r="H20" i="49"/>
  <c r="N20" i="49" s="1"/>
  <c r="D20" i="49"/>
  <c r="T16" i="49"/>
  <c r="Z16" i="49" s="1"/>
  <c r="P16" i="49"/>
  <c r="H16" i="49"/>
  <c r="N16" i="49" s="1"/>
  <c r="D16" i="49"/>
  <c r="B16" i="49"/>
  <c r="T15" i="49"/>
  <c r="Z15" i="49" s="1"/>
  <c r="P15" i="49"/>
  <c r="H15" i="49"/>
  <c r="N15" i="49" s="1"/>
  <c r="D15" i="49"/>
  <c r="T13" i="49"/>
  <c r="Z13" i="49" s="1"/>
  <c r="P13" i="49"/>
  <c r="H13" i="49"/>
  <c r="N13" i="49" s="1"/>
  <c r="D13" i="49"/>
  <c r="B13" i="49"/>
  <c r="T12" i="49"/>
  <c r="V22" i="49" s="1"/>
  <c r="P12" i="49"/>
  <c r="R20" i="49" s="1"/>
  <c r="H12" i="49"/>
  <c r="J20" i="49" s="1"/>
  <c r="D12" i="49"/>
  <c r="F25" i="49" s="1"/>
  <c r="D5" i="49"/>
  <c r="D4" i="49"/>
  <c r="Z77" i="48"/>
  <c r="X77" i="48"/>
  <c r="V77" i="48"/>
  <c r="R77" i="48"/>
  <c r="L77" i="48"/>
  <c r="N77" i="48" s="1"/>
  <c r="X73" i="48"/>
  <c r="Z73" i="48" s="1"/>
  <c r="P73" i="48"/>
  <c r="L73" i="48"/>
  <c r="N73" i="48" s="1"/>
  <c r="J73" i="48"/>
  <c r="D73" i="48"/>
  <c r="B73" i="48"/>
  <c r="T72" i="48"/>
  <c r="R72" i="48"/>
  <c r="P72" i="48"/>
  <c r="H72" i="48"/>
  <c r="D72" i="48"/>
  <c r="L72" i="48" s="1"/>
  <c r="N72" i="48" s="1"/>
  <c r="Z70" i="48"/>
  <c r="X70" i="48"/>
  <c r="N70" i="48"/>
  <c r="L70" i="48"/>
  <c r="B70" i="48"/>
  <c r="X69" i="48"/>
  <c r="T69" i="48"/>
  <c r="Z69" i="48" s="1"/>
  <c r="P69" i="48"/>
  <c r="L69" i="48"/>
  <c r="N69" i="48" s="1"/>
  <c r="H69" i="48"/>
  <c r="D69" i="48"/>
  <c r="B69" i="48"/>
  <c r="X68" i="48"/>
  <c r="Z68" i="48" s="1"/>
  <c r="V68" i="48"/>
  <c r="N68" i="48"/>
  <c r="L68" i="48"/>
  <c r="B68" i="48"/>
  <c r="Z67" i="48"/>
  <c r="X67" i="48"/>
  <c r="T67" i="48"/>
  <c r="P67" i="48"/>
  <c r="H67" i="48"/>
  <c r="D67" i="48"/>
  <c r="B67" i="48"/>
  <c r="Z66" i="48"/>
  <c r="X66" i="48"/>
  <c r="R66" i="48"/>
  <c r="N66" i="48"/>
  <c r="L66" i="48"/>
  <c r="B66" i="48"/>
  <c r="Z65" i="48"/>
  <c r="X65" i="48"/>
  <c r="V65" i="48"/>
  <c r="R65" i="48"/>
  <c r="N65" i="48"/>
  <c r="L65" i="48"/>
  <c r="B65" i="48"/>
  <c r="X64" i="48"/>
  <c r="Z64" i="48" s="1"/>
  <c r="V64" i="48"/>
  <c r="N64" i="48"/>
  <c r="L64" i="48"/>
  <c r="B64" i="48"/>
  <c r="X63" i="48"/>
  <c r="Z63" i="48" s="1"/>
  <c r="T63" i="48"/>
  <c r="P63" i="48"/>
  <c r="H63" i="48"/>
  <c r="D63" i="48"/>
  <c r="L63" i="48" s="1"/>
  <c r="B63" i="48"/>
  <c r="Z62" i="48"/>
  <c r="X62" i="48"/>
  <c r="R62" i="48"/>
  <c r="N62" i="48"/>
  <c r="L62" i="48"/>
  <c r="B62" i="48"/>
  <c r="V61" i="48"/>
  <c r="T61" i="48"/>
  <c r="P61" i="48"/>
  <c r="X61" i="48" s="1"/>
  <c r="H61" i="48"/>
  <c r="D61" i="48"/>
  <c r="L61" i="48" s="1"/>
  <c r="N61" i="48" s="1"/>
  <c r="B61" i="48"/>
  <c r="Z60" i="48"/>
  <c r="X60" i="48"/>
  <c r="N60" i="48"/>
  <c r="L60" i="48"/>
  <c r="B60" i="48"/>
  <c r="X59" i="48"/>
  <c r="Z59" i="48" s="1"/>
  <c r="L59" i="48"/>
  <c r="N59" i="48" s="1"/>
  <c r="B59" i="48"/>
  <c r="Z58" i="48"/>
  <c r="X58" i="48"/>
  <c r="R58" i="48"/>
  <c r="N58" i="48"/>
  <c r="L58" i="48"/>
  <c r="B58" i="48"/>
  <c r="T57" i="48"/>
  <c r="P57" i="48"/>
  <c r="H57" i="48"/>
  <c r="D57" i="48"/>
  <c r="L57" i="48" s="1"/>
  <c r="N57" i="48" s="1"/>
  <c r="B57" i="48"/>
  <c r="Z56" i="48"/>
  <c r="X56" i="48"/>
  <c r="L56" i="48"/>
  <c r="N56" i="48" s="1"/>
  <c r="B56" i="48"/>
  <c r="T55" i="48"/>
  <c r="P55" i="48"/>
  <c r="L55" i="48"/>
  <c r="H55" i="48"/>
  <c r="N55" i="48" s="1"/>
  <c r="D55" i="48"/>
  <c r="B55" i="48"/>
  <c r="Z54" i="48"/>
  <c r="X54" i="48"/>
  <c r="N54" i="48"/>
  <c r="L54" i="48"/>
  <c r="B54" i="48"/>
  <c r="X53" i="48"/>
  <c r="T53" i="48"/>
  <c r="Z53" i="48" s="1"/>
  <c r="P53" i="48"/>
  <c r="N53" i="48"/>
  <c r="L53" i="48"/>
  <c r="H53" i="48"/>
  <c r="D53" i="48"/>
  <c r="B53" i="48"/>
  <c r="X52" i="48"/>
  <c r="Z52" i="48" s="1"/>
  <c r="V52" i="48"/>
  <c r="N52" i="48"/>
  <c r="L52" i="48"/>
  <c r="B52" i="48"/>
  <c r="Z51" i="48"/>
  <c r="X51" i="48"/>
  <c r="T51" i="48"/>
  <c r="P51" i="48"/>
  <c r="H51" i="48"/>
  <c r="D51" i="48"/>
  <c r="L51" i="48" s="1"/>
  <c r="B51" i="48"/>
  <c r="Z50" i="48"/>
  <c r="X50" i="48"/>
  <c r="R50" i="48"/>
  <c r="N50" i="48"/>
  <c r="L50" i="48"/>
  <c r="B50" i="48"/>
  <c r="Z49" i="48"/>
  <c r="X49" i="48"/>
  <c r="V49" i="48"/>
  <c r="R49" i="48"/>
  <c r="N49" i="48"/>
  <c r="L49" i="48"/>
  <c r="B49" i="48"/>
  <c r="X48" i="48"/>
  <c r="V48" i="48"/>
  <c r="T48" i="48"/>
  <c r="R48" i="48"/>
  <c r="P48" i="48"/>
  <c r="H48" i="48"/>
  <c r="F48" i="48"/>
  <c r="D48" i="48"/>
  <c r="B48" i="48"/>
  <c r="X47" i="48"/>
  <c r="Z47" i="48" s="1"/>
  <c r="L47" i="48"/>
  <c r="N47" i="48" s="1"/>
  <c r="B47" i="48"/>
  <c r="T46" i="48"/>
  <c r="R46" i="48"/>
  <c r="P46" i="48"/>
  <c r="H46" i="48"/>
  <c r="D46" i="48"/>
  <c r="L46" i="48" s="1"/>
  <c r="N46" i="48" s="1"/>
  <c r="B46" i="48"/>
  <c r="X45" i="48"/>
  <c r="Z45" i="48" s="1"/>
  <c r="R45" i="48"/>
  <c r="L45" i="48"/>
  <c r="N45" i="48" s="1"/>
  <c r="J45" i="48"/>
  <c r="B45" i="48"/>
  <c r="T44" i="48"/>
  <c r="P44" i="48"/>
  <c r="X44" i="48" s="1"/>
  <c r="Z44" i="48" s="1"/>
  <c r="N44" i="48"/>
  <c r="H44" i="48"/>
  <c r="L44" i="48" s="1"/>
  <c r="D44" i="48"/>
  <c r="B44" i="48"/>
  <c r="X43" i="48"/>
  <c r="Z43" i="48" s="1"/>
  <c r="R43" i="48"/>
  <c r="L43" i="48"/>
  <c r="N43" i="48" s="1"/>
  <c r="B43" i="48"/>
  <c r="T42" i="48"/>
  <c r="X42" i="48" s="1"/>
  <c r="Z42" i="48" s="1"/>
  <c r="R42" i="48"/>
  <c r="P42" i="48"/>
  <c r="L42" i="48"/>
  <c r="H42" i="48"/>
  <c r="D42" i="48"/>
  <c r="B42" i="48"/>
  <c r="Z41" i="48"/>
  <c r="X41" i="48"/>
  <c r="V41" i="48"/>
  <c r="R41" i="48"/>
  <c r="N41" i="48"/>
  <c r="L41" i="48"/>
  <c r="B41" i="48"/>
  <c r="Z40" i="48"/>
  <c r="X40" i="48"/>
  <c r="V40" i="48"/>
  <c r="N40" i="48"/>
  <c r="L40" i="48"/>
  <c r="B40" i="48"/>
  <c r="X39" i="48"/>
  <c r="Z39" i="48" s="1"/>
  <c r="R39" i="48"/>
  <c r="L39" i="48"/>
  <c r="N39" i="48" s="1"/>
  <c r="B39" i="48"/>
  <c r="Z38" i="48"/>
  <c r="X38" i="48"/>
  <c r="N38" i="48"/>
  <c r="L38" i="48"/>
  <c r="F38" i="48"/>
  <c r="B38" i="48"/>
  <c r="Z37" i="48"/>
  <c r="X37" i="48"/>
  <c r="R37" i="48"/>
  <c r="N37" i="48"/>
  <c r="L37" i="48"/>
  <c r="F37" i="48"/>
  <c r="B37" i="48"/>
  <c r="Z36" i="48"/>
  <c r="X36" i="48"/>
  <c r="N36" i="48"/>
  <c r="L36" i="48"/>
  <c r="B36" i="48"/>
  <c r="X35" i="48"/>
  <c r="Z35" i="48" s="1"/>
  <c r="L35" i="48"/>
  <c r="N35" i="48" s="1"/>
  <c r="B35" i="48"/>
  <c r="Z34" i="48"/>
  <c r="X34" i="48"/>
  <c r="R34" i="48"/>
  <c r="N34" i="48"/>
  <c r="L34" i="48"/>
  <c r="B34" i="48"/>
  <c r="X33" i="48"/>
  <c r="Z33" i="48" s="1"/>
  <c r="V33" i="48"/>
  <c r="R33" i="48"/>
  <c r="L33" i="48"/>
  <c r="N33" i="48" s="1"/>
  <c r="B33" i="48"/>
  <c r="X32" i="48"/>
  <c r="Z32" i="48" s="1"/>
  <c r="V32" i="48"/>
  <c r="N32" i="48"/>
  <c r="L32" i="48"/>
  <c r="B32" i="48"/>
  <c r="X31" i="48"/>
  <c r="Z31" i="48" s="1"/>
  <c r="T31" i="48"/>
  <c r="P31" i="48"/>
  <c r="J31" i="48"/>
  <c r="H31" i="48"/>
  <c r="D31" i="48"/>
  <c r="L31" i="48" s="1"/>
  <c r="B31" i="48"/>
  <c r="Z30" i="48"/>
  <c r="X30" i="48"/>
  <c r="R30" i="48"/>
  <c r="N30" i="48"/>
  <c r="L30" i="48"/>
  <c r="B30" i="48"/>
  <c r="X29" i="48"/>
  <c r="Z29" i="48" s="1"/>
  <c r="V29" i="48"/>
  <c r="R29" i="48"/>
  <c r="L29" i="48"/>
  <c r="N29" i="48" s="1"/>
  <c r="B29" i="48"/>
  <c r="X28" i="48"/>
  <c r="Z28" i="48" s="1"/>
  <c r="V28" i="48"/>
  <c r="N28" i="48"/>
  <c r="L28" i="48"/>
  <c r="B28" i="48"/>
  <c r="Z27" i="48"/>
  <c r="X27" i="48"/>
  <c r="R27" i="48"/>
  <c r="N27" i="48"/>
  <c r="L27" i="48"/>
  <c r="B27" i="48"/>
  <c r="Z26" i="48"/>
  <c r="X26" i="48"/>
  <c r="N26" i="48"/>
  <c r="L26" i="48"/>
  <c r="B26" i="48"/>
  <c r="X25" i="48"/>
  <c r="Z25" i="48" s="1"/>
  <c r="R25" i="48"/>
  <c r="L25" i="48"/>
  <c r="N25" i="48" s="1"/>
  <c r="J25" i="48"/>
  <c r="B25" i="48"/>
  <c r="Z24" i="48"/>
  <c r="X24" i="48"/>
  <c r="L24" i="48"/>
  <c r="N24" i="48" s="1"/>
  <c r="B24" i="48"/>
  <c r="X23" i="48"/>
  <c r="Z23" i="48" s="1"/>
  <c r="L23" i="48"/>
  <c r="N23" i="48" s="1"/>
  <c r="B23" i="48"/>
  <c r="Z22" i="48"/>
  <c r="X22" i="48"/>
  <c r="R22" i="48"/>
  <c r="N22" i="48"/>
  <c r="L22" i="48"/>
  <c r="B22" i="48"/>
  <c r="X21" i="48"/>
  <c r="Z21" i="48" s="1"/>
  <c r="V21" i="48"/>
  <c r="R21" i="48"/>
  <c r="L21" i="48"/>
  <c r="N21" i="48" s="1"/>
  <c r="B21" i="48"/>
  <c r="X20" i="48"/>
  <c r="V20" i="48"/>
  <c r="T20" i="48"/>
  <c r="R20" i="48"/>
  <c r="P20" i="48"/>
  <c r="H20" i="48"/>
  <c r="F20" i="48"/>
  <c r="D20" i="48"/>
  <c r="L20" i="48" s="1"/>
  <c r="B20" i="48"/>
  <c r="T19" i="48" a="1"/>
  <c r="T19" i="48"/>
  <c r="R19" i="48"/>
  <c r="P19" i="48" a="1"/>
  <c r="P19" i="48"/>
  <c r="H19" i="48" a="1"/>
  <c r="H19" i="48"/>
  <c r="F19" i="48"/>
  <c r="D19" i="48" a="1"/>
  <c r="D19" i="48"/>
  <c r="P17" i="48"/>
  <c r="Z15" i="48"/>
  <c r="X15" i="48"/>
  <c r="T15" i="48"/>
  <c r="P15" i="48"/>
  <c r="R15" i="48" s="1"/>
  <c r="J15" i="48"/>
  <c r="H15" i="48"/>
  <c r="N15" i="48" s="1"/>
  <c r="D15" i="48"/>
  <c r="L15" i="48" s="1"/>
  <c r="X13" i="48"/>
  <c r="Z13" i="48" s="1"/>
  <c r="P13" i="48"/>
  <c r="L13" i="48"/>
  <c r="N13" i="48" s="1"/>
  <c r="D13" i="48"/>
  <c r="D12" i="48" s="1"/>
  <c r="F70" i="48" s="1"/>
  <c r="B13" i="48"/>
  <c r="T12" i="48"/>
  <c r="V67" i="48" s="1"/>
  <c r="P12" i="48"/>
  <c r="H12" i="48"/>
  <c r="J67" i="48" s="1"/>
  <c r="D4" i="48"/>
  <c r="B39" i="47"/>
  <c r="B38" i="47"/>
  <c r="T34" i="47"/>
  <c r="Z34" i="47" s="1"/>
  <c r="P34" i="47"/>
  <c r="H34" i="47"/>
  <c r="N34" i="47" s="1"/>
  <c r="D34" i="47"/>
  <c r="T33" i="47"/>
  <c r="Z33" i="47" s="1"/>
  <c r="P33" i="47"/>
  <c r="H33" i="47"/>
  <c r="N33" i="47" s="1"/>
  <c r="D33" i="47"/>
  <c r="T29" i="47"/>
  <c r="Z29" i="47" s="1"/>
  <c r="P29" i="47"/>
  <c r="H29" i="47"/>
  <c r="N29" i="47" s="1"/>
  <c r="D29" i="47"/>
  <c r="T25" i="47"/>
  <c r="Z25" i="47" s="1"/>
  <c r="P25" i="47"/>
  <c r="H25" i="47"/>
  <c r="N25" i="47" s="1"/>
  <c r="D25" i="47"/>
  <c r="B25" i="47"/>
  <c r="T24" i="47"/>
  <c r="Z24" i="47" s="1"/>
  <c r="P24" i="47"/>
  <c r="H24" i="47"/>
  <c r="N24" i="47" s="1"/>
  <c r="D24" i="47"/>
  <c r="T22" i="47"/>
  <c r="Z22" i="47" s="1"/>
  <c r="P22" i="47"/>
  <c r="H22" i="47"/>
  <c r="N22" i="47" s="1"/>
  <c r="D22" i="47"/>
  <c r="B22" i="47"/>
  <c r="T21" i="47"/>
  <c r="Z21" i="47" s="1"/>
  <c r="P21" i="47"/>
  <c r="H21" i="47"/>
  <c r="N21" i="47" s="1"/>
  <c r="D21" i="47"/>
  <c r="B21" i="47"/>
  <c r="T20" i="47"/>
  <c r="Z20" i="47" s="1"/>
  <c r="P20" i="47"/>
  <c r="H20" i="47"/>
  <c r="N20" i="47" s="1"/>
  <c r="D20" i="47"/>
  <c r="T16" i="47"/>
  <c r="Z16" i="47" s="1"/>
  <c r="P16" i="47"/>
  <c r="H16" i="47"/>
  <c r="N16" i="47" s="1"/>
  <c r="D16" i="47"/>
  <c r="B16" i="47"/>
  <c r="T15" i="47"/>
  <c r="Z15" i="47" s="1"/>
  <c r="P15" i="47"/>
  <c r="H15" i="47"/>
  <c r="N15" i="47" s="1"/>
  <c r="D15" i="47"/>
  <c r="T13" i="47"/>
  <c r="P13" i="47"/>
  <c r="H13" i="47"/>
  <c r="N13" i="47" s="1"/>
  <c r="D13" i="47"/>
  <c r="B13" i="47"/>
  <c r="T12" i="47"/>
  <c r="V20" i="47" s="1"/>
  <c r="P12" i="47"/>
  <c r="R36" i="47" s="1"/>
  <c r="H12" i="47"/>
  <c r="J16" i="47" s="1"/>
  <c r="D12" i="47"/>
  <c r="F34" i="47" s="1"/>
  <c r="D5" i="47"/>
  <c r="D4" i="47"/>
  <c r="B39" i="46"/>
  <c r="B38" i="46"/>
  <c r="T34" i="46"/>
  <c r="Z34" i="46" s="1"/>
  <c r="P34" i="46"/>
  <c r="H34" i="46"/>
  <c r="N34" i="46" s="1"/>
  <c r="D34" i="46"/>
  <c r="T33" i="46"/>
  <c r="Z33" i="46" s="1"/>
  <c r="P33" i="46"/>
  <c r="H33" i="46"/>
  <c r="N33" i="46" s="1"/>
  <c r="D33" i="46"/>
  <c r="T29" i="46"/>
  <c r="Z29" i="46" s="1"/>
  <c r="P29" i="46"/>
  <c r="H29" i="46"/>
  <c r="N29" i="46" s="1"/>
  <c r="D29" i="46"/>
  <c r="T25" i="46"/>
  <c r="Z25" i="46" s="1"/>
  <c r="P25" i="46"/>
  <c r="H25" i="46"/>
  <c r="N25" i="46" s="1"/>
  <c r="D25" i="46"/>
  <c r="B25" i="46"/>
  <c r="T24" i="46"/>
  <c r="Z24" i="46" s="1"/>
  <c r="P24" i="46"/>
  <c r="H24" i="46"/>
  <c r="N24" i="46" s="1"/>
  <c r="D24" i="46"/>
  <c r="T22" i="46"/>
  <c r="Z22" i="46" s="1"/>
  <c r="P22" i="46"/>
  <c r="H22" i="46"/>
  <c r="N22" i="46" s="1"/>
  <c r="D22" i="46"/>
  <c r="B22" i="46"/>
  <c r="T21" i="46"/>
  <c r="Z21" i="46" s="1"/>
  <c r="P21" i="46"/>
  <c r="H21" i="46"/>
  <c r="N21" i="46" s="1"/>
  <c r="D21" i="46"/>
  <c r="B21" i="46"/>
  <c r="T20" i="46"/>
  <c r="Z20" i="46" s="1"/>
  <c r="P20" i="46"/>
  <c r="H20" i="46"/>
  <c r="N20" i="46" s="1"/>
  <c r="D20" i="46"/>
  <c r="T16" i="46"/>
  <c r="Z16" i="46" s="1"/>
  <c r="P16" i="46"/>
  <c r="H16" i="46"/>
  <c r="N16" i="46" s="1"/>
  <c r="D16" i="46"/>
  <c r="B16" i="46"/>
  <c r="T15" i="46"/>
  <c r="Z15" i="46" s="1"/>
  <c r="P15" i="46"/>
  <c r="H15" i="46"/>
  <c r="N15" i="46" s="1"/>
  <c r="D15" i="46"/>
  <c r="T13" i="46"/>
  <c r="P13" i="46"/>
  <c r="H13" i="46"/>
  <c r="N13" i="46" s="1"/>
  <c r="D13" i="46"/>
  <c r="B13" i="46"/>
  <c r="T12" i="46"/>
  <c r="V33" i="46" s="1"/>
  <c r="P12" i="46"/>
  <c r="R22" i="46" s="1"/>
  <c r="H12" i="46"/>
  <c r="D12" i="46"/>
  <c r="F29" i="46" s="1"/>
  <c r="D5" i="46"/>
  <c r="D4" i="46"/>
  <c r="X104" i="45"/>
  <c r="Z104" i="45" s="1"/>
  <c r="L104" i="45"/>
  <c r="N104" i="45" s="1"/>
  <c r="X100" i="45"/>
  <c r="T100" i="45"/>
  <c r="Z100" i="45" s="1"/>
  <c r="P100" i="45"/>
  <c r="N100" i="45"/>
  <c r="H100" i="45"/>
  <c r="D100" i="45"/>
  <c r="L100" i="45" s="1"/>
  <c r="Z98" i="45"/>
  <c r="X98" i="45"/>
  <c r="N98" i="45"/>
  <c r="L98" i="45"/>
  <c r="B98" i="45"/>
  <c r="Z97" i="45"/>
  <c r="X97" i="45"/>
  <c r="N97" i="45"/>
  <c r="L97" i="45"/>
  <c r="B97" i="45"/>
  <c r="T96" i="45"/>
  <c r="Z96" i="45" s="1"/>
  <c r="P96" i="45"/>
  <c r="X96" i="45" s="1"/>
  <c r="H96" i="45"/>
  <c r="N96" i="45" s="1"/>
  <c r="D96" i="45"/>
  <c r="B96" i="45"/>
  <c r="Z95" i="45"/>
  <c r="X95" i="45"/>
  <c r="N95" i="45"/>
  <c r="L95" i="45"/>
  <c r="B95" i="45"/>
  <c r="T94" i="45"/>
  <c r="P94" i="45"/>
  <c r="L94" i="45"/>
  <c r="N94" i="45" s="1"/>
  <c r="H94" i="45"/>
  <c r="D94" i="45"/>
  <c r="B94" i="45"/>
  <c r="Z93" i="45"/>
  <c r="X93" i="45"/>
  <c r="L93" i="45"/>
  <c r="N93" i="45" s="1"/>
  <c r="B93" i="45"/>
  <c r="X92" i="45"/>
  <c r="Z92" i="45" s="1"/>
  <c r="L92" i="45"/>
  <c r="N92" i="45" s="1"/>
  <c r="B92" i="45"/>
  <c r="Z91" i="45"/>
  <c r="T91" i="45"/>
  <c r="P91" i="45"/>
  <c r="X91" i="45" s="1"/>
  <c r="H91" i="45"/>
  <c r="D91" i="45"/>
  <c r="L91" i="45" s="1"/>
  <c r="N91" i="45" s="1"/>
  <c r="B91" i="45"/>
  <c r="X90" i="45"/>
  <c r="Z90" i="45" s="1"/>
  <c r="N90" i="45"/>
  <c r="L90" i="45"/>
  <c r="B90" i="45"/>
  <c r="Z89" i="45"/>
  <c r="X89" i="45"/>
  <c r="N89" i="45"/>
  <c r="L89" i="45"/>
  <c r="B89" i="45"/>
  <c r="X88" i="45"/>
  <c r="Z88" i="45" s="1"/>
  <c r="N88" i="45"/>
  <c r="L88" i="45"/>
  <c r="B88" i="45"/>
  <c r="Z87" i="45"/>
  <c r="X87" i="45"/>
  <c r="N87" i="45"/>
  <c r="L87" i="45"/>
  <c r="B87" i="45"/>
  <c r="Z86" i="45"/>
  <c r="X86" i="45"/>
  <c r="L86" i="45"/>
  <c r="N86" i="45" s="1"/>
  <c r="B86" i="45"/>
  <c r="X85" i="45"/>
  <c r="Z85" i="45" s="1"/>
  <c r="N85" i="45"/>
  <c r="L85" i="45"/>
  <c r="B85" i="45"/>
  <c r="Z84" i="45"/>
  <c r="X84" i="45"/>
  <c r="L84" i="45"/>
  <c r="N84" i="45" s="1"/>
  <c r="B84" i="45"/>
  <c r="Z83" i="45"/>
  <c r="X83" i="45"/>
  <c r="N83" i="45"/>
  <c r="L83" i="45"/>
  <c r="B83" i="45"/>
  <c r="X82" i="45"/>
  <c r="Z82" i="45" s="1"/>
  <c r="L82" i="45"/>
  <c r="N82" i="45" s="1"/>
  <c r="B82" i="45"/>
  <c r="Z81" i="45"/>
  <c r="T81" i="45"/>
  <c r="P81" i="45"/>
  <c r="X81" i="45" s="1"/>
  <c r="N81" i="45"/>
  <c r="L81" i="45"/>
  <c r="J81" i="45"/>
  <c r="H81" i="45"/>
  <c r="D81" i="45"/>
  <c r="B81" i="45"/>
  <c r="Z80" i="45"/>
  <c r="X80" i="45"/>
  <c r="N80" i="45"/>
  <c r="L80" i="45"/>
  <c r="B80" i="45"/>
  <c r="Z79" i="45"/>
  <c r="X79" i="45"/>
  <c r="T79" i="45"/>
  <c r="P79" i="45"/>
  <c r="L79" i="45"/>
  <c r="H79" i="45"/>
  <c r="N79" i="45" s="1"/>
  <c r="D79" i="45"/>
  <c r="B79" i="45"/>
  <c r="Z78" i="45"/>
  <c r="X78" i="45"/>
  <c r="L78" i="45"/>
  <c r="N78" i="45" s="1"/>
  <c r="B78" i="45"/>
  <c r="X77" i="45"/>
  <c r="Z77" i="45" s="1"/>
  <c r="N77" i="45"/>
  <c r="L77" i="45"/>
  <c r="B77" i="45"/>
  <c r="X76" i="45"/>
  <c r="Z76" i="45" s="1"/>
  <c r="L76" i="45"/>
  <c r="N76" i="45" s="1"/>
  <c r="B76" i="45"/>
  <c r="Z75" i="45"/>
  <c r="X75" i="45"/>
  <c r="N75" i="45"/>
  <c r="L75" i="45"/>
  <c r="B75" i="45"/>
  <c r="X74" i="45"/>
  <c r="T74" i="45"/>
  <c r="P74" i="45"/>
  <c r="H74" i="45"/>
  <c r="D74" i="45"/>
  <c r="L74" i="45" s="1"/>
  <c r="N74" i="45" s="1"/>
  <c r="B74" i="45"/>
  <c r="X73" i="45"/>
  <c r="Z73" i="45" s="1"/>
  <c r="N73" i="45"/>
  <c r="L73" i="45"/>
  <c r="B73" i="45"/>
  <c r="Z72" i="45"/>
  <c r="X72" i="45"/>
  <c r="N72" i="45"/>
  <c r="L72" i="45"/>
  <c r="B72" i="45"/>
  <c r="Z71" i="45"/>
  <c r="X71" i="45"/>
  <c r="N71" i="45"/>
  <c r="L71" i="45"/>
  <c r="B71" i="45"/>
  <c r="X70" i="45"/>
  <c r="T70" i="45"/>
  <c r="P70" i="45"/>
  <c r="H70" i="45"/>
  <c r="D70" i="45"/>
  <c r="B70" i="45"/>
  <c r="X69" i="45"/>
  <c r="Z69" i="45" s="1"/>
  <c r="N69" i="45"/>
  <c r="L69" i="45"/>
  <c r="B69" i="45"/>
  <c r="X68" i="45"/>
  <c r="T68" i="45"/>
  <c r="Z68" i="45" s="1"/>
  <c r="P68" i="45"/>
  <c r="H68" i="45"/>
  <c r="D68" i="45"/>
  <c r="B68" i="45"/>
  <c r="Z67" i="45"/>
  <c r="X67" i="45"/>
  <c r="N67" i="45"/>
  <c r="L67" i="45"/>
  <c r="B67" i="45"/>
  <c r="V66" i="45"/>
  <c r="T66" i="45"/>
  <c r="P66" i="45"/>
  <c r="X66" i="45" s="1"/>
  <c r="L66" i="45"/>
  <c r="N66" i="45" s="1"/>
  <c r="H66" i="45"/>
  <c r="D66" i="45"/>
  <c r="B66" i="45"/>
  <c r="Z65" i="45"/>
  <c r="X65" i="45"/>
  <c r="L65" i="45"/>
  <c r="N65" i="45" s="1"/>
  <c r="B65" i="45"/>
  <c r="T64" i="45"/>
  <c r="P64" i="45"/>
  <c r="X64" i="45" s="1"/>
  <c r="Z64" i="45" s="1"/>
  <c r="H64" i="45"/>
  <c r="L64" i="45" s="1"/>
  <c r="N64" i="45" s="1"/>
  <c r="D64" i="45"/>
  <c r="B64" i="45"/>
  <c r="Z63" i="45"/>
  <c r="X63" i="45"/>
  <c r="N63" i="45"/>
  <c r="L63" i="45"/>
  <c r="B63" i="45"/>
  <c r="X62" i="45"/>
  <c r="T62" i="45"/>
  <c r="Z62" i="45" s="1"/>
  <c r="P62" i="45"/>
  <c r="H62" i="45"/>
  <c r="D62" i="45"/>
  <c r="L62" i="45" s="1"/>
  <c r="N62" i="45" s="1"/>
  <c r="B62" i="45"/>
  <c r="X61" i="45"/>
  <c r="Z61" i="45" s="1"/>
  <c r="N61" i="45"/>
  <c r="L61" i="45"/>
  <c r="B61" i="45"/>
  <c r="T60" i="45"/>
  <c r="X60" i="45" s="1"/>
  <c r="Z60" i="45" s="1"/>
  <c r="P60" i="45"/>
  <c r="H60" i="45"/>
  <c r="D60" i="45"/>
  <c r="L60" i="45" s="1"/>
  <c r="B60" i="45"/>
  <c r="Z59" i="45"/>
  <c r="X59" i="45"/>
  <c r="N59" i="45"/>
  <c r="L59" i="45"/>
  <c r="J59" i="45"/>
  <c r="B59" i="45"/>
  <c r="X58" i="45"/>
  <c r="T58" i="45"/>
  <c r="P58" i="45"/>
  <c r="N58" i="45"/>
  <c r="H58" i="45"/>
  <c r="L58" i="45" s="1"/>
  <c r="D58" i="45"/>
  <c r="B58" i="45"/>
  <c r="Z57" i="45"/>
  <c r="X57" i="45"/>
  <c r="V57" i="45"/>
  <c r="L57" i="45"/>
  <c r="N57" i="45" s="1"/>
  <c r="J57" i="45"/>
  <c r="B57" i="45"/>
  <c r="V56" i="45"/>
  <c r="T56" i="45"/>
  <c r="P56" i="45"/>
  <c r="X56" i="45" s="1"/>
  <c r="Z56" i="45" s="1"/>
  <c r="H56" i="45"/>
  <c r="N56" i="45" s="1"/>
  <c r="D56" i="45"/>
  <c r="L56" i="45" s="1"/>
  <c r="B56" i="45"/>
  <c r="Z55" i="45"/>
  <c r="X55" i="45"/>
  <c r="L55" i="45"/>
  <c r="N55" i="45" s="1"/>
  <c r="B55" i="45"/>
  <c r="T54" i="45"/>
  <c r="Z54" i="45" s="1"/>
  <c r="P54" i="45"/>
  <c r="X54" i="45" s="1"/>
  <c r="N54" i="45"/>
  <c r="L54" i="45"/>
  <c r="H54" i="45"/>
  <c r="D54" i="45"/>
  <c r="B54" i="45"/>
  <c r="X53" i="45"/>
  <c r="Z53" i="45" s="1"/>
  <c r="L53" i="45"/>
  <c r="N53" i="45" s="1"/>
  <c r="B53" i="45"/>
  <c r="Z52" i="45"/>
  <c r="X52" i="45"/>
  <c r="T52" i="45"/>
  <c r="P52" i="45"/>
  <c r="N52" i="45"/>
  <c r="J52" i="45"/>
  <c r="H52" i="45"/>
  <c r="L52" i="45" s="1"/>
  <c r="D52" i="45"/>
  <c r="B52" i="45"/>
  <c r="X51" i="45"/>
  <c r="Z51" i="45" s="1"/>
  <c r="N51" i="45"/>
  <c r="L51" i="45"/>
  <c r="B51" i="45"/>
  <c r="Z50" i="45"/>
  <c r="T50" i="45"/>
  <c r="X50" i="45" s="1"/>
  <c r="P50" i="45"/>
  <c r="J50" i="45"/>
  <c r="H50" i="45"/>
  <c r="N50" i="45" s="1"/>
  <c r="D50" i="45"/>
  <c r="L50" i="45" s="1"/>
  <c r="B50" i="45"/>
  <c r="Z49" i="45"/>
  <c r="X49" i="45"/>
  <c r="N49" i="45"/>
  <c r="L49" i="45"/>
  <c r="J49" i="45"/>
  <c r="B49" i="45"/>
  <c r="Z48" i="45"/>
  <c r="X48" i="45"/>
  <c r="V48" i="45"/>
  <c r="N48" i="45"/>
  <c r="L48" i="45"/>
  <c r="B48" i="45"/>
  <c r="X47" i="45"/>
  <c r="Z47" i="45" s="1"/>
  <c r="N47" i="45"/>
  <c r="L47" i="45"/>
  <c r="B47" i="45"/>
  <c r="Z46" i="45"/>
  <c r="X46" i="45"/>
  <c r="N46" i="45"/>
  <c r="L46" i="45"/>
  <c r="B46" i="45"/>
  <c r="Z45" i="45"/>
  <c r="X45" i="45"/>
  <c r="N45" i="45"/>
  <c r="L45" i="45"/>
  <c r="B45" i="45"/>
  <c r="Z44" i="45"/>
  <c r="X44" i="45"/>
  <c r="N44" i="45"/>
  <c r="L44" i="45"/>
  <c r="J44" i="45"/>
  <c r="B44" i="45"/>
  <c r="Z43" i="45"/>
  <c r="X43" i="45"/>
  <c r="L43" i="45"/>
  <c r="N43" i="45" s="1"/>
  <c r="B43" i="45"/>
  <c r="Z42" i="45"/>
  <c r="X42" i="45"/>
  <c r="N42" i="45"/>
  <c r="L42" i="45"/>
  <c r="J42" i="45"/>
  <c r="B42" i="45"/>
  <c r="X41" i="45"/>
  <c r="Z41" i="45" s="1"/>
  <c r="L41" i="45"/>
  <c r="N41" i="45" s="1"/>
  <c r="J41" i="45"/>
  <c r="B41" i="45"/>
  <c r="Z40" i="45"/>
  <c r="X40" i="45"/>
  <c r="V40" i="45"/>
  <c r="N40" i="45"/>
  <c r="L40" i="45"/>
  <c r="B40" i="45"/>
  <c r="X39" i="45"/>
  <c r="T39" i="45"/>
  <c r="Z39" i="45" s="1"/>
  <c r="P39" i="45"/>
  <c r="H39" i="45"/>
  <c r="D39" i="45"/>
  <c r="L39" i="45" s="1"/>
  <c r="B39" i="45"/>
  <c r="X38" i="45"/>
  <c r="Z38" i="45" s="1"/>
  <c r="N38" i="45"/>
  <c r="L38" i="45"/>
  <c r="J38" i="45"/>
  <c r="B38" i="45"/>
  <c r="X37" i="45"/>
  <c r="Z37" i="45" s="1"/>
  <c r="L37" i="45"/>
  <c r="N37" i="45" s="1"/>
  <c r="J37" i="45"/>
  <c r="B37" i="45"/>
  <c r="Z36" i="45"/>
  <c r="X36" i="45"/>
  <c r="V36" i="45"/>
  <c r="N36" i="45"/>
  <c r="L36" i="45"/>
  <c r="B36" i="45"/>
  <c r="Z35" i="45"/>
  <c r="X35" i="45"/>
  <c r="N35" i="45"/>
  <c r="L35" i="45"/>
  <c r="B35" i="45"/>
  <c r="Z34" i="45"/>
  <c r="X34" i="45"/>
  <c r="N34" i="45"/>
  <c r="L34" i="45"/>
  <c r="B34" i="45"/>
  <c r="X33" i="45"/>
  <c r="Z33" i="45" s="1"/>
  <c r="L33" i="45"/>
  <c r="N33" i="45" s="1"/>
  <c r="B33" i="45"/>
  <c r="Z32" i="45"/>
  <c r="X32" i="45"/>
  <c r="N32" i="45"/>
  <c r="L32" i="45"/>
  <c r="J32" i="45"/>
  <c r="B32" i="45"/>
  <c r="Z31" i="45"/>
  <c r="X31" i="45"/>
  <c r="L31" i="45"/>
  <c r="N31" i="45" s="1"/>
  <c r="B31" i="45"/>
  <c r="X30" i="45"/>
  <c r="Z30" i="45" s="1"/>
  <c r="N30" i="45"/>
  <c r="L30" i="45"/>
  <c r="J30" i="45"/>
  <c r="B30" i="45"/>
  <c r="X29" i="45"/>
  <c r="Z29" i="45" s="1"/>
  <c r="L29" i="45"/>
  <c r="N29" i="45" s="1"/>
  <c r="J29" i="45"/>
  <c r="B29" i="45"/>
  <c r="V28" i="45"/>
  <c r="T28" i="45"/>
  <c r="Z28" i="45" s="1"/>
  <c r="P28" i="45"/>
  <c r="X28" i="45" s="1"/>
  <c r="H28" i="45"/>
  <c r="N28" i="45" s="1"/>
  <c r="D28" i="45"/>
  <c r="L28" i="45" s="1"/>
  <c r="B28" i="45"/>
  <c r="T27" i="45" a="1"/>
  <c r="T27" i="45" s="1"/>
  <c r="P27" i="45" a="1"/>
  <c r="P27" i="45"/>
  <c r="H27" i="45" a="1"/>
  <c r="H27" i="45" s="1"/>
  <c r="D27" i="45" a="1"/>
  <c r="D27" i="45"/>
  <c r="L27" i="45" s="1"/>
  <c r="Z23" i="45"/>
  <c r="X23" i="45"/>
  <c r="N23" i="45"/>
  <c r="L23" i="45"/>
  <c r="B23" i="45"/>
  <c r="Z22" i="45"/>
  <c r="X22" i="45"/>
  <c r="N22" i="45"/>
  <c r="L22" i="45"/>
  <c r="B22" i="45"/>
  <c r="X21" i="45"/>
  <c r="Z21" i="45" s="1"/>
  <c r="L21" i="45"/>
  <c r="N21" i="45" s="1"/>
  <c r="B21" i="45"/>
  <c r="Z20" i="45"/>
  <c r="X20" i="45"/>
  <c r="T20" i="45"/>
  <c r="P20" i="45"/>
  <c r="J20" i="45"/>
  <c r="H20" i="45"/>
  <c r="L20" i="45" s="1"/>
  <c r="N20" i="45" s="1"/>
  <c r="D20" i="45"/>
  <c r="Z18" i="45"/>
  <c r="P18" i="45"/>
  <c r="N18" i="45"/>
  <c r="L18" i="45"/>
  <c r="D18" i="45"/>
  <c r="B18" i="45"/>
  <c r="Z17" i="45"/>
  <c r="X17" i="45"/>
  <c r="P17" i="45"/>
  <c r="N17" i="45"/>
  <c r="D17" i="45"/>
  <c r="L17" i="45" s="1"/>
  <c r="B17" i="45"/>
  <c r="Z16" i="45"/>
  <c r="P16" i="45"/>
  <c r="X16" i="45" s="1"/>
  <c r="N16" i="45"/>
  <c r="L16" i="45"/>
  <c r="D16" i="45"/>
  <c r="B16" i="45"/>
  <c r="P15" i="45"/>
  <c r="X15" i="45" s="1"/>
  <c r="Z15" i="45" s="1"/>
  <c r="D15" i="45"/>
  <c r="L15" i="45" s="1"/>
  <c r="N15" i="45" s="1"/>
  <c r="B15" i="45"/>
  <c r="Z14" i="45"/>
  <c r="X14" i="45"/>
  <c r="P14" i="45"/>
  <c r="N14" i="45"/>
  <c r="L14" i="45"/>
  <c r="D14" i="45"/>
  <c r="B14" i="45"/>
  <c r="Z13" i="45"/>
  <c r="X13" i="45"/>
  <c r="P13" i="45"/>
  <c r="N13" i="45"/>
  <c r="D13" i="45"/>
  <c r="L13" i="45" s="1"/>
  <c r="B13" i="45"/>
  <c r="T12" i="45"/>
  <c r="V85" i="45" s="1"/>
  <c r="H12" i="45"/>
  <c r="J82" i="45" s="1"/>
  <c r="D4" i="45"/>
  <c r="B39" i="44"/>
  <c r="B38" i="44"/>
  <c r="T34" i="44"/>
  <c r="Z34" i="44" s="1"/>
  <c r="P34" i="44"/>
  <c r="H34" i="44"/>
  <c r="N34" i="44" s="1"/>
  <c r="D34" i="44"/>
  <c r="T33" i="44"/>
  <c r="Z33" i="44" s="1"/>
  <c r="P33" i="44"/>
  <c r="H33" i="44"/>
  <c r="N33" i="44" s="1"/>
  <c r="D33" i="44"/>
  <c r="T29" i="44"/>
  <c r="Z29" i="44" s="1"/>
  <c r="P29" i="44"/>
  <c r="H29" i="44"/>
  <c r="N29" i="44" s="1"/>
  <c r="D29" i="44"/>
  <c r="T25" i="44"/>
  <c r="Z25" i="44" s="1"/>
  <c r="P25" i="44"/>
  <c r="H25" i="44"/>
  <c r="N25" i="44" s="1"/>
  <c r="D25" i="44"/>
  <c r="B25" i="44"/>
  <c r="T24" i="44"/>
  <c r="P24" i="44"/>
  <c r="H24" i="44"/>
  <c r="N24" i="44" s="1"/>
  <c r="D24" i="44"/>
  <c r="T22" i="44"/>
  <c r="Z22" i="44" s="1"/>
  <c r="P22" i="44"/>
  <c r="H22" i="44"/>
  <c r="N22" i="44" s="1"/>
  <c r="D22" i="44"/>
  <c r="B22" i="44"/>
  <c r="T21" i="44"/>
  <c r="Z21" i="44" s="1"/>
  <c r="P21" i="44"/>
  <c r="H21" i="44"/>
  <c r="N21" i="44" s="1"/>
  <c r="D21" i="44"/>
  <c r="B21" i="44"/>
  <c r="T20" i="44"/>
  <c r="Z20" i="44" s="1"/>
  <c r="P20" i="44"/>
  <c r="H20" i="44"/>
  <c r="N20" i="44" s="1"/>
  <c r="D20" i="44"/>
  <c r="T16" i="44"/>
  <c r="Z16" i="44" s="1"/>
  <c r="P16" i="44"/>
  <c r="H16" i="44"/>
  <c r="N16" i="44" s="1"/>
  <c r="D16" i="44"/>
  <c r="B16" i="44"/>
  <c r="T15" i="44"/>
  <c r="Z15" i="44" s="1"/>
  <c r="P15" i="44"/>
  <c r="H15" i="44"/>
  <c r="N15" i="44" s="1"/>
  <c r="D15" i="44"/>
  <c r="T13" i="44"/>
  <c r="Z13" i="44" s="1"/>
  <c r="P13" i="44"/>
  <c r="H13" i="44"/>
  <c r="N13" i="44" s="1"/>
  <c r="D13" i="44"/>
  <c r="B13" i="44"/>
  <c r="T12" i="44"/>
  <c r="V34" i="44" s="1"/>
  <c r="P12" i="44"/>
  <c r="H12" i="44"/>
  <c r="J21" i="44" s="1"/>
  <c r="D12" i="44"/>
  <c r="F18" i="44" s="1"/>
  <c r="D5" i="44"/>
  <c r="D4" i="44"/>
  <c r="B39" i="43"/>
  <c r="B38" i="43"/>
  <c r="T34" i="43"/>
  <c r="P34" i="43"/>
  <c r="H34" i="43"/>
  <c r="N34" i="43" s="1"/>
  <c r="D34" i="43"/>
  <c r="T33" i="43"/>
  <c r="Z33" i="43" s="1"/>
  <c r="P33" i="43"/>
  <c r="H33" i="43"/>
  <c r="N33" i="43" s="1"/>
  <c r="D33" i="43"/>
  <c r="T29" i="43"/>
  <c r="Z29" i="43" s="1"/>
  <c r="P29" i="43"/>
  <c r="H29" i="43"/>
  <c r="N29" i="43" s="1"/>
  <c r="D29" i="43"/>
  <c r="T25" i="43"/>
  <c r="Z25" i="43" s="1"/>
  <c r="P25" i="43"/>
  <c r="H25" i="43"/>
  <c r="N25" i="43" s="1"/>
  <c r="D25" i="43"/>
  <c r="B25" i="43"/>
  <c r="T24" i="43"/>
  <c r="Z24" i="43" s="1"/>
  <c r="P24" i="43"/>
  <c r="H24" i="43"/>
  <c r="N24" i="43" s="1"/>
  <c r="D24" i="43"/>
  <c r="T22" i="43"/>
  <c r="Z22" i="43" s="1"/>
  <c r="P22" i="43"/>
  <c r="H22" i="43"/>
  <c r="N22" i="43" s="1"/>
  <c r="D22" i="43"/>
  <c r="B22" i="43"/>
  <c r="T21" i="43"/>
  <c r="Z21" i="43" s="1"/>
  <c r="P21" i="43"/>
  <c r="H21" i="43"/>
  <c r="D21" i="43"/>
  <c r="B21" i="43"/>
  <c r="T20" i="43"/>
  <c r="Z20" i="43" s="1"/>
  <c r="P20" i="43"/>
  <c r="H20" i="43"/>
  <c r="N20" i="43" s="1"/>
  <c r="D20" i="43"/>
  <c r="T16" i="43"/>
  <c r="Z16" i="43" s="1"/>
  <c r="P16" i="43"/>
  <c r="H16" i="43"/>
  <c r="N16" i="43" s="1"/>
  <c r="D16" i="43"/>
  <c r="B16" i="43"/>
  <c r="T15" i="43"/>
  <c r="Z15" i="43" s="1"/>
  <c r="P15" i="43"/>
  <c r="H15" i="43"/>
  <c r="N15" i="43" s="1"/>
  <c r="D15" i="43"/>
  <c r="T13" i="43"/>
  <c r="Z13" i="43" s="1"/>
  <c r="P13" i="43"/>
  <c r="H13" i="43"/>
  <c r="N13" i="43" s="1"/>
  <c r="D13" i="43"/>
  <c r="B13" i="43"/>
  <c r="T12" i="43"/>
  <c r="V20" i="43" s="1"/>
  <c r="P12" i="43"/>
  <c r="R34" i="43" s="1"/>
  <c r="H12" i="43"/>
  <c r="J36" i="43" s="1"/>
  <c r="D12" i="43"/>
  <c r="D5" i="43"/>
  <c r="D4" i="43"/>
  <c r="Z116" i="42"/>
  <c r="X116" i="42"/>
  <c r="L116" i="42"/>
  <c r="N116" i="42" s="1"/>
  <c r="J116" i="42"/>
  <c r="Z112" i="42"/>
  <c r="X112" i="42"/>
  <c r="P112" i="42"/>
  <c r="N112" i="42"/>
  <c r="J112" i="42"/>
  <c r="D112" i="42"/>
  <c r="L112" i="42" s="1"/>
  <c r="B112" i="42"/>
  <c r="Z111" i="42"/>
  <c r="X111" i="42"/>
  <c r="P111" i="42"/>
  <c r="L111" i="42"/>
  <c r="N111" i="42" s="1"/>
  <c r="J111" i="42"/>
  <c r="D111" i="42"/>
  <c r="B111" i="42"/>
  <c r="P110" i="42"/>
  <c r="X110" i="42" s="1"/>
  <c r="Z110" i="42" s="1"/>
  <c r="N110" i="42"/>
  <c r="L110" i="42"/>
  <c r="D110" i="42"/>
  <c r="B110" i="42"/>
  <c r="Z109" i="42"/>
  <c r="X109" i="42"/>
  <c r="P109" i="42"/>
  <c r="N109" i="42"/>
  <c r="D109" i="42"/>
  <c r="L109" i="42" s="1"/>
  <c r="B109" i="42"/>
  <c r="T108" i="42"/>
  <c r="P108" i="42"/>
  <c r="X108" i="42" s="1"/>
  <c r="Z108" i="42" s="1"/>
  <c r="J108" i="42"/>
  <c r="H108" i="42"/>
  <c r="X106" i="42"/>
  <c r="Z106" i="42" s="1"/>
  <c r="N106" i="42"/>
  <c r="L106" i="42"/>
  <c r="B106" i="42"/>
  <c r="Z105" i="42"/>
  <c r="T105" i="42"/>
  <c r="X105" i="42" s="1"/>
  <c r="P105" i="42"/>
  <c r="J105" i="42"/>
  <c r="H105" i="42"/>
  <c r="N105" i="42" s="1"/>
  <c r="D105" i="42"/>
  <c r="L105" i="42" s="1"/>
  <c r="B105" i="42"/>
  <c r="Z104" i="42"/>
  <c r="X104" i="42"/>
  <c r="N104" i="42"/>
  <c r="L104" i="42"/>
  <c r="J104" i="42"/>
  <c r="B104" i="42"/>
  <c r="Z103" i="42"/>
  <c r="X103" i="42"/>
  <c r="V103" i="42"/>
  <c r="N103" i="42"/>
  <c r="L103" i="42"/>
  <c r="B103" i="42"/>
  <c r="X102" i="42"/>
  <c r="T102" i="42"/>
  <c r="P102" i="42"/>
  <c r="H102" i="42"/>
  <c r="D102" i="42"/>
  <c r="L102" i="42" s="1"/>
  <c r="B102" i="42"/>
  <c r="X101" i="42"/>
  <c r="Z101" i="42" s="1"/>
  <c r="N101" i="42"/>
  <c r="L101" i="42"/>
  <c r="J101" i="42"/>
  <c r="B101" i="42"/>
  <c r="T100" i="42"/>
  <c r="P100" i="42"/>
  <c r="X100" i="42" s="1"/>
  <c r="H100" i="42"/>
  <c r="J100" i="42" s="1"/>
  <c r="D100" i="42"/>
  <c r="L100" i="42" s="1"/>
  <c r="N100" i="42" s="1"/>
  <c r="B100" i="42"/>
  <c r="Z99" i="42"/>
  <c r="X99" i="42"/>
  <c r="N99" i="42"/>
  <c r="L99" i="42"/>
  <c r="J99" i="42"/>
  <c r="B99" i="42"/>
  <c r="Z98" i="42"/>
  <c r="X98" i="42"/>
  <c r="L98" i="42"/>
  <c r="N98" i="42" s="1"/>
  <c r="J98" i="42"/>
  <c r="B98" i="42"/>
  <c r="T97" i="42"/>
  <c r="P97" i="42"/>
  <c r="X97" i="42" s="1"/>
  <c r="Z97" i="42" s="1"/>
  <c r="N97" i="42"/>
  <c r="L97" i="42"/>
  <c r="H97" i="42"/>
  <c r="D97" i="42"/>
  <c r="B97" i="42"/>
  <c r="X96" i="42"/>
  <c r="Z96" i="42" s="1"/>
  <c r="N96" i="42"/>
  <c r="L96" i="42"/>
  <c r="B96" i="42"/>
  <c r="Z95" i="42"/>
  <c r="X95" i="42"/>
  <c r="N95" i="42"/>
  <c r="L95" i="42"/>
  <c r="J95" i="42"/>
  <c r="B95" i="42"/>
  <c r="Z94" i="42"/>
  <c r="X94" i="42"/>
  <c r="L94" i="42"/>
  <c r="N94" i="42" s="1"/>
  <c r="J94" i="42"/>
  <c r="B94" i="42"/>
  <c r="X93" i="42"/>
  <c r="Z93" i="42" s="1"/>
  <c r="N93" i="42"/>
  <c r="L93" i="42"/>
  <c r="J93" i="42"/>
  <c r="B93" i="42"/>
  <c r="X92" i="42"/>
  <c r="Z92" i="42" s="1"/>
  <c r="L92" i="42"/>
  <c r="N92" i="42" s="1"/>
  <c r="J92" i="42"/>
  <c r="B92" i="42"/>
  <c r="Z91" i="42"/>
  <c r="X91" i="42"/>
  <c r="V91" i="42"/>
  <c r="N91" i="42"/>
  <c r="L91" i="42"/>
  <c r="B91" i="42"/>
  <c r="X90" i="42"/>
  <c r="Z90" i="42" s="1"/>
  <c r="N90" i="42"/>
  <c r="L90" i="42"/>
  <c r="J90" i="42"/>
  <c r="B90" i="42"/>
  <c r="Z89" i="42"/>
  <c r="X89" i="42"/>
  <c r="L89" i="42"/>
  <c r="N89" i="42" s="1"/>
  <c r="J89" i="42"/>
  <c r="B89" i="42"/>
  <c r="X88" i="42"/>
  <c r="Z88" i="42" s="1"/>
  <c r="L88" i="42"/>
  <c r="N88" i="42" s="1"/>
  <c r="F88" i="42"/>
  <c r="B88" i="42"/>
  <c r="Z87" i="42"/>
  <c r="X87" i="42"/>
  <c r="N87" i="42"/>
  <c r="L87" i="42"/>
  <c r="J87" i="42"/>
  <c r="B87" i="42"/>
  <c r="T86" i="42"/>
  <c r="P86" i="42"/>
  <c r="X86" i="42" s="1"/>
  <c r="Z86" i="42" s="1"/>
  <c r="L86" i="42"/>
  <c r="N86" i="42" s="1"/>
  <c r="J86" i="42"/>
  <c r="H86" i="42"/>
  <c r="D86" i="42"/>
  <c r="B86" i="42"/>
  <c r="Z85" i="42"/>
  <c r="X85" i="42"/>
  <c r="L85" i="42"/>
  <c r="N85" i="42" s="1"/>
  <c r="J85" i="42"/>
  <c r="B85" i="42"/>
  <c r="X84" i="42"/>
  <c r="Z84" i="42" s="1"/>
  <c r="T84" i="42"/>
  <c r="P84" i="42"/>
  <c r="L84" i="42"/>
  <c r="H84" i="42"/>
  <c r="J84" i="42" s="1"/>
  <c r="D84" i="42"/>
  <c r="B84" i="42"/>
  <c r="Z83" i="42"/>
  <c r="X83" i="42"/>
  <c r="V83" i="42"/>
  <c r="N83" i="42"/>
  <c r="L83" i="42"/>
  <c r="B83" i="42"/>
  <c r="X82" i="42"/>
  <c r="Z82" i="42" s="1"/>
  <c r="N82" i="42"/>
  <c r="L82" i="42"/>
  <c r="J82" i="42"/>
  <c r="B82" i="42"/>
  <c r="Z81" i="42"/>
  <c r="X81" i="42"/>
  <c r="L81" i="42"/>
  <c r="N81" i="42" s="1"/>
  <c r="J81" i="42"/>
  <c r="B81" i="42"/>
  <c r="X80" i="42"/>
  <c r="Z80" i="42" s="1"/>
  <c r="L80" i="42"/>
  <c r="N80" i="42" s="1"/>
  <c r="B80" i="42"/>
  <c r="Z79" i="42"/>
  <c r="X79" i="42"/>
  <c r="N79" i="42"/>
  <c r="L79" i="42"/>
  <c r="J79" i="42"/>
  <c r="B79" i="42"/>
  <c r="T78" i="42"/>
  <c r="P78" i="42"/>
  <c r="X78" i="42" s="1"/>
  <c r="Z78" i="42" s="1"/>
  <c r="L78" i="42"/>
  <c r="N78" i="42" s="1"/>
  <c r="J78" i="42"/>
  <c r="H78" i="42"/>
  <c r="D78" i="42"/>
  <c r="B78" i="42"/>
  <c r="Z77" i="42"/>
  <c r="X77" i="42"/>
  <c r="N77" i="42"/>
  <c r="L77" i="42"/>
  <c r="J77" i="42"/>
  <c r="B77" i="42"/>
  <c r="Z76" i="42"/>
  <c r="X76" i="42"/>
  <c r="T76" i="42"/>
  <c r="P76" i="42"/>
  <c r="L76" i="42"/>
  <c r="H76" i="42"/>
  <c r="J76" i="42" s="1"/>
  <c r="D76" i="42"/>
  <c r="B76" i="42"/>
  <c r="Z75" i="42"/>
  <c r="X75" i="42"/>
  <c r="V75" i="42"/>
  <c r="N75" i="42"/>
  <c r="L75" i="42"/>
  <c r="B75" i="42"/>
  <c r="X74" i="42"/>
  <c r="Z74" i="42" s="1"/>
  <c r="N74" i="42"/>
  <c r="L74" i="42"/>
  <c r="J74" i="42"/>
  <c r="B74" i="42"/>
  <c r="Z73" i="42"/>
  <c r="X73" i="42"/>
  <c r="N73" i="42"/>
  <c r="L73" i="42"/>
  <c r="J73" i="42"/>
  <c r="B73" i="42"/>
  <c r="Z72" i="42"/>
  <c r="X72" i="42"/>
  <c r="N72" i="42"/>
  <c r="L72" i="42"/>
  <c r="B72" i="42"/>
  <c r="Z71" i="42"/>
  <c r="X71" i="42"/>
  <c r="T71" i="42"/>
  <c r="P71" i="42"/>
  <c r="N71" i="42"/>
  <c r="J71" i="42"/>
  <c r="H71" i="42"/>
  <c r="L71" i="42" s="1"/>
  <c r="D71" i="42"/>
  <c r="B71" i="42"/>
  <c r="X70" i="42"/>
  <c r="Z70" i="42" s="1"/>
  <c r="N70" i="42"/>
  <c r="L70" i="42"/>
  <c r="J70" i="42"/>
  <c r="B70" i="42"/>
  <c r="T69" i="42"/>
  <c r="X69" i="42" s="1"/>
  <c r="Z69" i="42" s="1"/>
  <c r="P69" i="42"/>
  <c r="J69" i="42"/>
  <c r="H69" i="42"/>
  <c r="N69" i="42" s="1"/>
  <c r="D69" i="42"/>
  <c r="L69" i="42" s="1"/>
  <c r="B69" i="42"/>
  <c r="X68" i="42"/>
  <c r="Z68" i="42" s="1"/>
  <c r="L68" i="42"/>
  <c r="N68" i="42" s="1"/>
  <c r="J68" i="42"/>
  <c r="B68" i="42"/>
  <c r="V67" i="42"/>
  <c r="T67" i="42"/>
  <c r="P67" i="42"/>
  <c r="X67" i="42" s="1"/>
  <c r="J67" i="42"/>
  <c r="H67" i="42"/>
  <c r="F67" i="42"/>
  <c r="D67" i="42"/>
  <c r="L67" i="42" s="1"/>
  <c r="B67" i="42"/>
  <c r="Z66" i="42"/>
  <c r="X66" i="42"/>
  <c r="L66" i="42"/>
  <c r="N66" i="42" s="1"/>
  <c r="J66" i="42"/>
  <c r="B66" i="42"/>
  <c r="T65" i="42"/>
  <c r="Z65" i="42" s="1"/>
  <c r="P65" i="42"/>
  <c r="X65" i="42" s="1"/>
  <c r="N65" i="42"/>
  <c r="L65" i="42"/>
  <c r="H65" i="42"/>
  <c r="D65" i="42"/>
  <c r="B65" i="42"/>
  <c r="X64" i="42"/>
  <c r="Z64" i="42" s="1"/>
  <c r="N64" i="42"/>
  <c r="L64" i="42"/>
  <c r="B64" i="42"/>
  <c r="Z63" i="42"/>
  <c r="X63" i="42"/>
  <c r="N63" i="42"/>
  <c r="L63" i="42"/>
  <c r="J63" i="42"/>
  <c r="B63" i="42"/>
  <c r="T62" i="42"/>
  <c r="P62" i="42"/>
  <c r="X62" i="42" s="1"/>
  <c r="Z62" i="42" s="1"/>
  <c r="L62" i="42"/>
  <c r="N62" i="42" s="1"/>
  <c r="J62" i="42"/>
  <c r="H62" i="42"/>
  <c r="D62" i="42"/>
  <c r="B62" i="42"/>
  <c r="Z61" i="42"/>
  <c r="X61" i="42"/>
  <c r="L61" i="42"/>
  <c r="N61" i="42" s="1"/>
  <c r="J61" i="42"/>
  <c r="B61" i="42"/>
  <c r="X60" i="42"/>
  <c r="Z60" i="42" s="1"/>
  <c r="T60" i="42"/>
  <c r="P60" i="42"/>
  <c r="L60" i="42"/>
  <c r="H60" i="42"/>
  <c r="J60" i="42" s="1"/>
  <c r="D60" i="42"/>
  <c r="B60" i="42"/>
  <c r="Z59" i="42"/>
  <c r="X59" i="42"/>
  <c r="V59" i="42"/>
  <c r="N59" i="42"/>
  <c r="L59" i="42"/>
  <c r="B59" i="42"/>
  <c r="X58" i="42"/>
  <c r="T58" i="42"/>
  <c r="Z58" i="42" s="1"/>
  <c r="P58" i="42"/>
  <c r="H58" i="42"/>
  <c r="D58" i="42"/>
  <c r="L58" i="42" s="1"/>
  <c r="B58" i="42"/>
  <c r="X57" i="42"/>
  <c r="Z57" i="42" s="1"/>
  <c r="N57" i="42"/>
  <c r="L57" i="42"/>
  <c r="J57" i="42"/>
  <c r="B57" i="42"/>
  <c r="Z56" i="42"/>
  <c r="X56" i="42"/>
  <c r="N56" i="42"/>
  <c r="L56" i="42"/>
  <c r="J56" i="42"/>
  <c r="B56" i="42"/>
  <c r="V55" i="42"/>
  <c r="T55" i="42"/>
  <c r="P55" i="42"/>
  <c r="X55" i="42" s="1"/>
  <c r="J55" i="42"/>
  <c r="H55" i="42"/>
  <c r="N55" i="42" s="1"/>
  <c r="D55" i="42"/>
  <c r="L55" i="42" s="1"/>
  <c r="B55" i="42"/>
  <c r="Z54" i="42"/>
  <c r="X54" i="42"/>
  <c r="L54" i="42"/>
  <c r="N54" i="42" s="1"/>
  <c r="J54" i="42"/>
  <c r="B54" i="42"/>
  <c r="T53" i="42"/>
  <c r="P53" i="42"/>
  <c r="X53" i="42" s="1"/>
  <c r="N53" i="42"/>
  <c r="L53" i="42"/>
  <c r="H53" i="42"/>
  <c r="D53" i="42"/>
  <c r="B53" i="42"/>
  <c r="X52" i="42"/>
  <c r="Z52" i="42" s="1"/>
  <c r="N52" i="42"/>
  <c r="L52" i="42"/>
  <c r="B52" i="42"/>
  <c r="Z51" i="42"/>
  <c r="X51" i="42"/>
  <c r="T51" i="42"/>
  <c r="P51" i="42"/>
  <c r="N51" i="42"/>
  <c r="J51" i="42"/>
  <c r="H51" i="42"/>
  <c r="L51" i="42" s="1"/>
  <c r="D51" i="42"/>
  <c r="B51" i="42"/>
  <c r="Z50" i="42"/>
  <c r="X50" i="42"/>
  <c r="N50" i="42"/>
  <c r="L50" i="42"/>
  <c r="J50" i="42"/>
  <c r="B50" i="42"/>
  <c r="Z49" i="42"/>
  <c r="T49" i="42"/>
  <c r="X49" i="42" s="1"/>
  <c r="P49" i="42"/>
  <c r="J49" i="42"/>
  <c r="H49" i="42"/>
  <c r="N49" i="42" s="1"/>
  <c r="D49" i="42"/>
  <c r="L49" i="42" s="1"/>
  <c r="B49" i="42"/>
  <c r="Z48" i="42"/>
  <c r="X48" i="42"/>
  <c r="N48" i="42"/>
  <c r="L48" i="42"/>
  <c r="J48" i="42"/>
  <c r="B48" i="42"/>
  <c r="Z47" i="42"/>
  <c r="X47" i="42"/>
  <c r="V47" i="42"/>
  <c r="N47" i="42"/>
  <c r="L47" i="42"/>
  <c r="B47" i="42"/>
  <c r="X46" i="42"/>
  <c r="Z46" i="42" s="1"/>
  <c r="N46" i="42"/>
  <c r="L46" i="42"/>
  <c r="J46" i="42"/>
  <c r="B46" i="42"/>
  <c r="Z45" i="42"/>
  <c r="X45" i="42"/>
  <c r="L45" i="42"/>
  <c r="N45" i="42" s="1"/>
  <c r="J45" i="42"/>
  <c r="B45" i="42"/>
  <c r="Z44" i="42"/>
  <c r="X44" i="42"/>
  <c r="N44" i="42"/>
  <c r="L44" i="42"/>
  <c r="B44" i="42"/>
  <c r="Z43" i="42"/>
  <c r="X43" i="42"/>
  <c r="N43" i="42"/>
  <c r="L43" i="42"/>
  <c r="J43" i="42"/>
  <c r="B43" i="42"/>
  <c r="Z42" i="42"/>
  <c r="X42" i="42"/>
  <c r="L42" i="42"/>
  <c r="N42" i="42" s="1"/>
  <c r="J42" i="42"/>
  <c r="B42" i="42"/>
  <c r="Z41" i="42"/>
  <c r="X41" i="42"/>
  <c r="N41" i="42"/>
  <c r="L41" i="42"/>
  <c r="J41" i="42"/>
  <c r="B41" i="42"/>
  <c r="X40" i="42"/>
  <c r="Z40" i="42" s="1"/>
  <c r="L40" i="42"/>
  <c r="N40" i="42" s="1"/>
  <c r="J40" i="42"/>
  <c r="B40" i="42"/>
  <c r="Z39" i="42"/>
  <c r="X39" i="42"/>
  <c r="V39" i="42"/>
  <c r="N39" i="42"/>
  <c r="L39" i="42"/>
  <c r="B39" i="42"/>
  <c r="X38" i="42"/>
  <c r="T38" i="42"/>
  <c r="Z38" i="42" s="1"/>
  <c r="P38" i="42"/>
  <c r="H38" i="42"/>
  <c r="D38" i="42"/>
  <c r="L38" i="42" s="1"/>
  <c r="B38" i="42"/>
  <c r="X37" i="42"/>
  <c r="Z37" i="42" s="1"/>
  <c r="N37" i="42"/>
  <c r="L37" i="42"/>
  <c r="J37" i="42"/>
  <c r="B37" i="42"/>
  <c r="X36" i="42"/>
  <c r="Z36" i="42" s="1"/>
  <c r="L36" i="42"/>
  <c r="N36" i="42" s="1"/>
  <c r="J36" i="42"/>
  <c r="B36" i="42"/>
  <c r="Z35" i="42"/>
  <c r="X35" i="42"/>
  <c r="V35" i="42"/>
  <c r="N35" i="42"/>
  <c r="L35" i="42"/>
  <c r="B35" i="42"/>
  <c r="Z34" i="42"/>
  <c r="X34" i="42"/>
  <c r="N34" i="42"/>
  <c r="L34" i="42"/>
  <c r="J34" i="42"/>
  <c r="B34" i="42"/>
  <c r="Z33" i="42"/>
  <c r="X33" i="42"/>
  <c r="V33" i="42"/>
  <c r="N33" i="42"/>
  <c r="L33" i="42"/>
  <c r="J33" i="42"/>
  <c r="B33" i="42"/>
  <c r="X32" i="42"/>
  <c r="Z32" i="42" s="1"/>
  <c r="L32" i="42"/>
  <c r="N32" i="42" s="1"/>
  <c r="B32" i="42"/>
  <c r="Z31" i="42"/>
  <c r="X31" i="42"/>
  <c r="N31" i="42"/>
  <c r="L31" i="42"/>
  <c r="J31" i="42"/>
  <c r="B31" i="42"/>
  <c r="Z30" i="42"/>
  <c r="X30" i="42"/>
  <c r="L30" i="42"/>
  <c r="N30" i="42" s="1"/>
  <c r="J30" i="42"/>
  <c r="B30" i="42"/>
  <c r="X29" i="42"/>
  <c r="Z29" i="42" s="1"/>
  <c r="N29" i="42"/>
  <c r="L29" i="42"/>
  <c r="J29" i="42"/>
  <c r="B29" i="42"/>
  <c r="X28" i="42"/>
  <c r="Z28" i="42" s="1"/>
  <c r="L28" i="42"/>
  <c r="N28" i="42" s="1"/>
  <c r="J28" i="42"/>
  <c r="B28" i="42"/>
  <c r="V27" i="42"/>
  <c r="T27" i="42"/>
  <c r="P27" i="42"/>
  <c r="X27" i="42" s="1"/>
  <c r="J27" i="42"/>
  <c r="H27" i="42"/>
  <c r="F27" i="42"/>
  <c r="D27" i="42"/>
  <c r="L27" i="42" s="1"/>
  <c r="B27" i="42"/>
  <c r="T26" i="42" a="1"/>
  <c r="T26" i="42" s="1"/>
  <c r="Z26" i="42" s="1"/>
  <c r="P26" i="42" a="1"/>
  <c r="P26" i="42"/>
  <c r="X26" i="42" s="1"/>
  <c r="H26" i="42" a="1"/>
  <c r="H26" i="42" s="1"/>
  <c r="F26" i="42"/>
  <c r="D26" i="42" a="1"/>
  <c r="D26" i="42"/>
  <c r="Z22" i="42"/>
  <c r="X22" i="42"/>
  <c r="N22" i="42"/>
  <c r="L22" i="42"/>
  <c r="J22" i="42"/>
  <c r="B22" i="42"/>
  <c r="Z21" i="42"/>
  <c r="X21" i="42"/>
  <c r="V21" i="42"/>
  <c r="N21" i="42"/>
  <c r="L21" i="42"/>
  <c r="J21" i="42"/>
  <c r="B21" i="42"/>
  <c r="X20" i="42"/>
  <c r="Z20" i="42" s="1"/>
  <c r="L20" i="42"/>
  <c r="N20" i="42" s="1"/>
  <c r="B20" i="42"/>
  <c r="Z19" i="42"/>
  <c r="X19" i="42"/>
  <c r="T19" i="42"/>
  <c r="P19" i="42"/>
  <c r="N19" i="42"/>
  <c r="J19" i="42"/>
  <c r="H19" i="42"/>
  <c r="L19" i="42" s="1"/>
  <c r="D19" i="42"/>
  <c r="Z17" i="42"/>
  <c r="P17" i="42"/>
  <c r="X17" i="42" s="1"/>
  <c r="N17" i="42"/>
  <c r="L17" i="42"/>
  <c r="D17" i="42"/>
  <c r="B17" i="42"/>
  <c r="X16" i="42"/>
  <c r="Z16" i="42" s="1"/>
  <c r="P16" i="42"/>
  <c r="D16" i="42"/>
  <c r="L16" i="42" s="1"/>
  <c r="N16" i="42" s="1"/>
  <c r="B16" i="42"/>
  <c r="Z15" i="42"/>
  <c r="P15" i="42"/>
  <c r="X15" i="42" s="1"/>
  <c r="N15" i="42"/>
  <c r="L15" i="42"/>
  <c r="D15" i="42"/>
  <c r="B15" i="42"/>
  <c r="Z14" i="42"/>
  <c r="P14" i="42"/>
  <c r="X14" i="42" s="1"/>
  <c r="N14" i="42"/>
  <c r="D14" i="42"/>
  <c r="L14" i="42" s="1"/>
  <c r="B14" i="42"/>
  <c r="Z13" i="42"/>
  <c r="X13" i="42"/>
  <c r="P13" i="42"/>
  <c r="L13" i="42"/>
  <c r="N13" i="42" s="1"/>
  <c r="D13" i="42"/>
  <c r="B13" i="42"/>
  <c r="T12" i="42"/>
  <c r="H12" i="42"/>
  <c r="J110" i="42" s="1"/>
  <c r="D12" i="42"/>
  <c r="F32" i="42" s="1"/>
  <c r="D4" i="42"/>
  <c r="B39" i="41"/>
  <c r="B38" i="41"/>
  <c r="T34" i="41"/>
  <c r="Z34" i="41" s="1"/>
  <c r="P34" i="41"/>
  <c r="H34" i="41"/>
  <c r="N34" i="41" s="1"/>
  <c r="D34" i="41"/>
  <c r="T33" i="41"/>
  <c r="Z33" i="41" s="1"/>
  <c r="P33" i="41"/>
  <c r="H33" i="41"/>
  <c r="N33" i="41" s="1"/>
  <c r="D33" i="41"/>
  <c r="T29" i="41"/>
  <c r="Z29" i="41" s="1"/>
  <c r="P29" i="41"/>
  <c r="H29" i="41"/>
  <c r="N29" i="41" s="1"/>
  <c r="D29" i="41"/>
  <c r="T25" i="41"/>
  <c r="Z25" i="41" s="1"/>
  <c r="P25" i="41"/>
  <c r="H25" i="41"/>
  <c r="N25" i="41" s="1"/>
  <c r="D25" i="41"/>
  <c r="B25" i="41"/>
  <c r="T24" i="41"/>
  <c r="P24" i="41"/>
  <c r="H24" i="41"/>
  <c r="N24" i="41" s="1"/>
  <c r="D24" i="41"/>
  <c r="T22" i="41"/>
  <c r="Z22" i="41" s="1"/>
  <c r="P22" i="41"/>
  <c r="H22" i="41"/>
  <c r="N22" i="41" s="1"/>
  <c r="D22" i="41"/>
  <c r="B22" i="41"/>
  <c r="T21" i="41"/>
  <c r="Z21" i="41" s="1"/>
  <c r="P21" i="41"/>
  <c r="H21" i="41"/>
  <c r="N21" i="41" s="1"/>
  <c r="D21" i="41"/>
  <c r="B21" i="41"/>
  <c r="T20" i="41"/>
  <c r="Z20" i="41" s="1"/>
  <c r="P20" i="41"/>
  <c r="H20" i="41"/>
  <c r="N20" i="41" s="1"/>
  <c r="D20" i="41"/>
  <c r="T16" i="41"/>
  <c r="Z16" i="41" s="1"/>
  <c r="P16" i="41"/>
  <c r="H16" i="41"/>
  <c r="N16" i="41" s="1"/>
  <c r="D16" i="41"/>
  <c r="B16" i="41"/>
  <c r="T15" i="41"/>
  <c r="Z15" i="41" s="1"/>
  <c r="P15" i="41"/>
  <c r="H15" i="41"/>
  <c r="N15" i="41" s="1"/>
  <c r="D15" i="41"/>
  <c r="T13" i="41"/>
  <c r="Z13" i="41" s="1"/>
  <c r="P13" i="41"/>
  <c r="H13" i="41"/>
  <c r="N13" i="41" s="1"/>
  <c r="D13" i="41"/>
  <c r="B13" i="41"/>
  <c r="T12" i="41"/>
  <c r="V20" i="41" s="1"/>
  <c r="P12" i="41"/>
  <c r="R15" i="41" s="1"/>
  <c r="H12" i="41"/>
  <c r="J24" i="41" s="1"/>
  <c r="D12" i="41"/>
  <c r="D5" i="41"/>
  <c r="D4" i="41"/>
  <c r="B39" i="40"/>
  <c r="B38" i="40"/>
  <c r="T34" i="40"/>
  <c r="Z34" i="40" s="1"/>
  <c r="P34" i="40"/>
  <c r="H34" i="40"/>
  <c r="N34" i="40" s="1"/>
  <c r="D34" i="40"/>
  <c r="T33" i="40"/>
  <c r="Z33" i="40" s="1"/>
  <c r="P33" i="40"/>
  <c r="H33" i="40"/>
  <c r="N33" i="40" s="1"/>
  <c r="D33" i="40"/>
  <c r="T29" i="40"/>
  <c r="Z29" i="40" s="1"/>
  <c r="P29" i="40"/>
  <c r="H29" i="40"/>
  <c r="N29" i="40" s="1"/>
  <c r="D29" i="40"/>
  <c r="T25" i="40"/>
  <c r="Z25" i="40" s="1"/>
  <c r="P25" i="40"/>
  <c r="H25" i="40"/>
  <c r="N25" i="40" s="1"/>
  <c r="D25" i="40"/>
  <c r="B25" i="40"/>
  <c r="T24" i="40"/>
  <c r="Z24" i="40" s="1"/>
  <c r="P24" i="40"/>
  <c r="H24" i="40"/>
  <c r="N24" i="40" s="1"/>
  <c r="D24" i="40"/>
  <c r="T22" i="40"/>
  <c r="Z22" i="40" s="1"/>
  <c r="P22" i="40"/>
  <c r="H22" i="40"/>
  <c r="N22" i="40" s="1"/>
  <c r="D22" i="40"/>
  <c r="B22" i="40"/>
  <c r="T21" i="40"/>
  <c r="Z21" i="40" s="1"/>
  <c r="P21" i="40"/>
  <c r="H21" i="40"/>
  <c r="N21" i="40" s="1"/>
  <c r="D21" i="40"/>
  <c r="B21" i="40"/>
  <c r="T20" i="40"/>
  <c r="Z20" i="40" s="1"/>
  <c r="P20" i="40"/>
  <c r="H20" i="40"/>
  <c r="N20" i="40" s="1"/>
  <c r="D20" i="40"/>
  <c r="T16" i="40"/>
  <c r="Z16" i="40" s="1"/>
  <c r="P16" i="40"/>
  <c r="H16" i="40"/>
  <c r="N16" i="40" s="1"/>
  <c r="D16" i="40"/>
  <c r="B16" i="40"/>
  <c r="T15" i="40"/>
  <c r="Z15" i="40" s="1"/>
  <c r="P15" i="40"/>
  <c r="H15" i="40"/>
  <c r="N15" i="40" s="1"/>
  <c r="D15" i="40"/>
  <c r="T13" i="40"/>
  <c r="Z13" i="40" s="1"/>
  <c r="P13" i="40"/>
  <c r="H13" i="40"/>
  <c r="N13" i="40" s="1"/>
  <c r="D13" i="40"/>
  <c r="B13" i="40"/>
  <c r="T12" i="40"/>
  <c r="V24" i="40" s="1"/>
  <c r="P12" i="40"/>
  <c r="R20" i="40" s="1"/>
  <c r="H12" i="40"/>
  <c r="J16" i="40" s="1"/>
  <c r="D12" i="40"/>
  <c r="F16" i="40" s="1"/>
  <c r="D5" i="40"/>
  <c r="D4" i="40"/>
  <c r="X118" i="39"/>
  <c r="Z118" i="39" s="1"/>
  <c r="V118" i="39"/>
  <c r="N118" i="39"/>
  <c r="L118" i="39"/>
  <c r="Z114" i="39"/>
  <c r="X114" i="39"/>
  <c r="V114" i="39"/>
  <c r="P114" i="39"/>
  <c r="N114" i="39"/>
  <c r="D114" i="39"/>
  <c r="L114" i="39" s="1"/>
  <c r="B114" i="39"/>
  <c r="P113" i="39"/>
  <c r="X113" i="39" s="1"/>
  <c r="Z113" i="39" s="1"/>
  <c r="L113" i="39"/>
  <c r="N113" i="39" s="1"/>
  <c r="J113" i="39"/>
  <c r="D113" i="39"/>
  <c r="B113" i="39"/>
  <c r="V112" i="39"/>
  <c r="P112" i="39"/>
  <c r="X112" i="39" s="1"/>
  <c r="Z112" i="39" s="1"/>
  <c r="D112" i="39"/>
  <c r="L112" i="39" s="1"/>
  <c r="N112" i="39" s="1"/>
  <c r="B112" i="39"/>
  <c r="X111" i="39"/>
  <c r="Z111" i="39" s="1"/>
  <c r="V111" i="39"/>
  <c r="P111" i="39"/>
  <c r="N111" i="39"/>
  <c r="D111" i="39"/>
  <c r="B111" i="39"/>
  <c r="V110" i="39"/>
  <c r="T110" i="39"/>
  <c r="P110" i="39"/>
  <c r="X110" i="39" s="1"/>
  <c r="H110" i="39"/>
  <c r="X108" i="39"/>
  <c r="Z108" i="39" s="1"/>
  <c r="V108" i="39"/>
  <c r="L108" i="39"/>
  <c r="N108" i="39" s="1"/>
  <c r="B108" i="39"/>
  <c r="Z107" i="39"/>
  <c r="X107" i="39"/>
  <c r="V107" i="39"/>
  <c r="T107" i="39"/>
  <c r="P107" i="39"/>
  <c r="H107" i="39"/>
  <c r="D107" i="39"/>
  <c r="B107" i="39"/>
  <c r="Z106" i="39"/>
  <c r="X106" i="39"/>
  <c r="V106" i="39"/>
  <c r="N106" i="39"/>
  <c r="L106" i="39"/>
  <c r="B106" i="39"/>
  <c r="X105" i="39"/>
  <c r="Z105" i="39" s="1"/>
  <c r="V105" i="39"/>
  <c r="N105" i="39"/>
  <c r="L105" i="39"/>
  <c r="B105" i="39"/>
  <c r="Z104" i="39"/>
  <c r="X104" i="39"/>
  <c r="V104" i="39"/>
  <c r="T104" i="39"/>
  <c r="P104" i="39"/>
  <c r="H104" i="39"/>
  <c r="D104" i="39"/>
  <c r="B104" i="39"/>
  <c r="X103" i="39"/>
  <c r="Z103" i="39" s="1"/>
  <c r="L103" i="39"/>
  <c r="N103" i="39" s="1"/>
  <c r="J103" i="39"/>
  <c r="B103" i="39"/>
  <c r="V102" i="39"/>
  <c r="T102" i="39"/>
  <c r="Z102" i="39" s="1"/>
  <c r="P102" i="39"/>
  <c r="X102" i="39" s="1"/>
  <c r="H102" i="39"/>
  <c r="N102" i="39" s="1"/>
  <c r="D102" i="39"/>
  <c r="L102" i="39" s="1"/>
  <c r="B102" i="39"/>
  <c r="Z101" i="39"/>
  <c r="X101" i="39"/>
  <c r="V101" i="39"/>
  <c r="L101" i="39"/>
  <c r="N101" i="39" s="1"/>
  <c r="B101" i="39"/>
  <c r="X100" i="39"/>
  <c r="Z100" i="39" s="1"/>
  <c r="V100" i="39"/>
  <c r="L100" i="39"/>
  <c r="N100" i="39" s="1"/>
  <c r="J100" i="39"/>
  <c r="B100" i="39"/>
  <c r="X99" i="39"/>
  <c r="T99" i="39"/>
  <c r="P99" i="39"/>
  <c r="H99" i="39"/>
  <c r="D99" i="39"/>
  <c r="B99" i="39"/>
  <c r="Z98" i="39"/>
  <c r="X98" i="39"/>
  <c r="N98" i="39"/>
  <c r="L98" i="39"/>
  <c r="B98" i="39"/>
  <c r="Z97" i="39"/>
  <c r="X97" i="39"/>
  <c r="V97" i="39"/>
  <c r="L97" i="39"/>
  <c r="N97" i="39" s="1"/>
  <c r="B97" i="39"/>
  <c r="X96" i="39"/>
  <c r="Z96" i="39" s="1"/>
  <c r="V96" i="39"/>
  <c r="L96" i="39"/>
  <c r="N96" i="39" s="1"/>
  <c r="B96" i="39"/>
  <c r="X95" i="39"/>
  <c r="Z95" i="39" s="1"/>
  <c r="N95" i="39"/>
  <c r="L95" i="39"/>
  <c r="B95" i="39"/>
  <c r="Z94" i="39"/>
  <c r="X94" i="39"/>
  <c r="V94" i="39"/>
  <c r="N94" i="39"/>
  <c r="L94" i="39"/>
  <c r="B94" i="39"/>
  <c r="X93" i="39"/>
  <c r="Z93" i="39" s="1"/>
  <c r="V93" i="39"/>
  <c r="N93" i="39"/>
  <c r="L93" i="39"/>
  <c r="B93" i="39"/>
  <c r="Z92" i="39"/>
  <c r="X92" i="39"/>
  <c r="V92" i="39"/>
  <c r="N92" i="39"/>
  <c r="L92" i="39"/>
  <c r="J92" i="39"/>
  <c r="B92" i="39"/>
  <c r="Z91" i="39"/>
  <c r="X91" i="39"/>
  <c r="V91" i="39"/>
  <c r="L91" i="39"/>
  <c r="N91" i="39" s="1"/>
  <c r="B91" i="39"/>
  <c r="Z90" i="39"/>
  <c r="X90" i="39"/>
  <c r="N90" i="39"/>
  <c r="L90" i="39"/>
  <c r="J90" i="39"/>
  <c r="B90" i="39"/>
  <c r="Z89" i="39"/>
  <c r="X89" i="39"/>
  <c r="V89" i="39"/>
  <c r="L89" i="39"/>
  <c r="N89" i="39" s="1"/>
  <c r="J89" i="39"/>
  <c r="B89" i="39"/>
  <c r="V88" i="39"/>
  <c r="T88" i="39"/>
  <c r="Z88" i="39" s="1"/>
  <c r="P88" i="39"/>
  <c r="X88" i="39" s="1"/>
  <c r="L88" i="39"/>
  <c r="N88" i="39" s="1"/>
  <c r="H88" i="39"/>
  <c r="D88" i="39"/>
  <c r="B88" i="39"/>
  <c r="X87" i="39"/>
  <c r="Z87" i="39" s="1"/>
  <c r="V87" i="39"/>
  <c r="L87" i="39"/>
  <c r="N87" i="39" s="1"/>
  <c r="B87" i="39"/>
  <c r="X86" i="39"/>
  <c r="Z86" i="39" s="1"/>
  <c r="T86" i="39"/>
  <c r="P86" i="39"/>
  <c r="L86" i="39"/>
  <c r="N86" i="39" s="1"/>
  <c r="J86" i="39"/>
  <c r="H86" i="39"/>
  <c r="D86" i="39"/>
  <c r="B86" i="39"/>
  <c r="X85" i="39"/>
  <c r="Z85" i="39" s="1"/>
  <c r="V85" i="39"/>
  <c r="N85" i="39"/>
  <c r="L85" i="39"/>
  <c r="B85" i="39"/>
  <c r="X84" i="39"/>
  <c r="Z84" i="39" s="1"/>
  <c r="V84" i="39"/>
  <c r="L84" i="39"/>
  <c r="N84" i="39" s="1"/>
  <c r="J84" i="39"/>
  <c r="B84" i="39"/>
  <c r="Z83" i="39"/>
  <c r="X83" i="39"/>
  <c r="V83" i="39"/>
  <c r="L83" i="39"/>
  <c r="N83" i="39" s="1"/>
  <c r="B83" i="39"/>
  <c r="Z82" i="39"/>
  <c r="X82" i="39"/>
  <c r="N82" i="39"/>
  <c r="L82" i="39"/>
  <c r="B82" i="39"/>
  <c r="Z81" i="39"/>
  <c r="X81" i="39"/>
  <c r="V81" i="39"/>
  <c r="L81" i="39"/>
  <c r="N81" i="39" s="1"/>
  <c r="J81" i="39"/>
  <c r="B81" i="39"/>
  <c r="V80" i="39"/>
  <c r="T80" i="39"/>
  <c r="Z80" i="39" s="1"/>
  <c r="P80" i="39"/>
  <c r="X80" i="39" s="1"/>
  <c r="L80" i="39"/>
  <c r="N80" i="39" s="1"/>
  <c r="H80" i="39"/>
  <c r="D80" i="39"/>
  <c r="B80" i="39"/>
  <c r="X79" i="39"/>
  <c r="Z79" i="39" s="1"/>
  <c r="V79" i="39"/>
  <c r="L79" i="39"/>
  <c r="N79" i="39" s="1"/>
  <c r="B79" i="39"/>
  <c r="Z78" i="39"/>
  <c r="X78" i="39"/>
  <c r="N78" i="39"/>
  <c r="L78" i="39"/>
  <c r="B78" i="39"/>
  <c r="T77" i="39"/>
  <c r="V77" i="39" s="1"/>
  <c r="P77" i="39"/>
  <c r="L77" i="39"/>
  <c r="N77" i="39" s="1"/>
  <c r="H77" i="39"/>
  <c r="D77" i="39"/>
  <c r="B77" i="39"/>
  <c r="Z76" i="39"/>
  <c r="X76" i="39"/>
  <c r="V76" i="39"/>
  <c r="L76" i="39"/>
  <c r="N76" i="39" s="1"/>
  <c r="J76" i="39"/>
  <c r="B76" i="39"/>
  <c r="X75" i="39"/>
  <c r="Z75" i="39" s="1"/>
  <c r="V75" i="39"/>
  <c r="L75" i="39"/>
  <c r="N75" i="39" s="1"/>
  <c r="B75" i="39"/>
  <c r="X74" i="39"/>
  <c r="Z74" i="39" s="1"/>
  <c r="N74" i="39"/>
  <c r="L74" i="39"/>
  <c r="J74" i="39"/>
  <c r="B74" i="39"/>
  <c r="Z73" i="39"/>
  <c r="X73" i="39"/>
  <c r="V73" i="39"/>
  <c r="N73" i="39"/>
  <c r="L73" i="39"/>
  <c r="B73" i="39"/>
  <c r="V72" i="39"/>
  <c r="T72" i="39"/>
  <c r="P72" i="39"/>
  <c r="X72" i="39" s="1"/>
  <c r="N72" i="39"/>
  <c r="L72" i="39"/>
  <c r="H72" i="39"/>
  <c r="D72" i="39"/>
  <c r="B72" i="39"/>
  <c r="X71" i="39"/>
  <c r="Z71" i="39" s="1"/>
  <c r="V71" i="39"/>
  <c r="L71" i="39"/>
  <c r="N71" i="39" s="1"/>
  <c r="B71" i="39"/>
  <c r="T70" i="39"/>
  <c r="P70" i="39"/>
  <c r="H70" i="39"/>
  <c r="J70" i="39" s="1"/>
  <c r="D70" i="39"/>
  <c r="L70" i="39" s="1"/>
  <c r="N70" i="39" s="1"/>
  <c r="B70" i="39"/>
  <c r="X69" i="39"/>
  <c r="Z69" i="39" s="1"/>
  <c r="V69" i="39"/>
  <c r="N69" i="39"/>
  <c r="L69" i="39"/>
  <c r="J69" i="39"/>
  <c r="B69" i="39"/>
  <c r="V68" i="39"/>
  <c r="T68" i="39"/>
  <c r="P68" i="39"/>
  <c r="X68" i="39" s="1"/>
  <c r="Z68" i="39" s="1"/>
  <c r="H68" i="39"/>
  <c r="D68" i="39"/>
  <c r="B68" i="39"/>
  <c r="X67" i="39"/>
  <c r="Z67" i="39" s="1"/>
  <c r="L67" i="39"/>
  <c r="N67" i="39" s="1"/>
  <c r="J67" i="39"/>
  <c r="B67" i="39"/>
  <c r="T66" i="39"/>
  <c r="V66" i="39" s="1"/>
  <c r="P66" i="39"/>
  <c r="X66" i="39" s="1"/>
  <c r="Z66" i="39" s="1"/>
  <c r="L66" i="39"/>
  <c r="J66" i="39"/>
  <c r="H66" i="39"/>
  <c r="D66" i="39"/>
  <c r="B66" i="39"/>
  <c r="Z65" i="39"/>
  <c r="X65" i="39"/>
  <c r="V65" i="39"/>
  <c r="N65" i="39"/>
  <c r="L65" i="39"/>
  <c r="B65" i="39"/>
  <c r="X64" i="39"/>
  <c r="Z64" i="39" s="1"/>
  <c r="V64" i="39"/>
  <c r="N64" i="39"/>
  <c r="L64" i="39"/>
  <c r="J64" i="39"/>
  <c r="B64" i="39"/>
  <c r="T63" i="39"/>
  <c r="P63" i="39"/>
  <c r="N63" i="39"/>
  <c r="H63" i="39"/>
  <c r="D63" i="39"/>
  <c r="L63" i="39" s="1"/>
  <c r="B63" i="39"/>
  <c r="Z62" i="39"/>
  <c r="X62" i="39"/>
  <c r="N62" i="39"/>
  <c r="L62" i="39"/>
  <c r="J62" i="39"/>
  <c r="B62" i="39"/>
  <c r="Z61" i="39"/>
  <c r="V61" i="39"/>
  <c r="T61" i="39"/>
  <c r="P61" i="39"/>
  <c r="X61" i="39" s="1"/>
  <c r="J61" i="39"/>
  <c r="H61" i="39"/>
  <c r="D61" i="39"/>
  <c r="L61" i="39" s="1"/>
  <c r="N61" i="39" s="1"/>
  <c r="B61" i="39"/>
  <c r="Z60" i="39"/>
  <c r="X60" i="39"/>
  <c r="V60" i="39"/>
  <c r="L60" i="39"/>
  <c r="N60" i="39" s="1"/>
  <c r="J60" i="39"/>
  <c r="B60" i="39"/>
  <c r="V59" i="39"/>
  <c r="T59" i="39"/>
  <c r="P59" i="39"/>
  <c r="X59" i="39" s="1"/>
  <c r="Z59" i="39" s="1"/>
  <c r="L59" i="39"/>
  <c r="J59" i="39"/>
  <c r="H59" i="39"/>
  <c r="D59" i="39"/>
  <c r="B59" i="39"/>
  <c r="Z58" i="39"/>
  <c r="X58" i="39"/>
  <c r="V58" i="39"/>
  <c r="L58" i="39"/>
  <c r="N58" i="39" s="1"/>
  <c r="B58" i="39"/>
  <c r="Z57" i="39"/>
  <c r="X57" i="39"/>
  <c r="V57" i="39"/>
  <c r="N57" i="39"/>
  <c r="L57" i="39"/>
  <c r="B57" i="39"/>
  <c r="X56" i="39"/>
  <c r="Z56" i="39" s="1"/>
  <c r="V56" i="39"/>
  <c r="T56" i="39"/>
  <c r="P56" i="39"/>
  <c r="J56" i="39"/>
  <c r="H56" i="39"/>
  <c r="N56" i="39" s="1"/>
  <c r="D56" i="39"/>
  <c r="L56" i="39" s="1"/>
  <c r="B56" i="39"/>
  <c r="X55" i="39"/>
  <c r="Z55" i="39" s="1"/>
  <c r="N55" i="39"/>
  <c r="L55" i="39"/>
  <c r="J55" i="39"/>
  <c r="B55" i="39"/>
  <c r="T54" i="39"/>
  <c r="V54" i="39" s="1"/>
  <c r="P54" i="39"/>
  <c r="L54" i="39"/>
  <c r="J54" i="39"/>
  <c r="H54" i="39"/>
  <c r="N54" i="39" s="1"/>
  <c r="D54" i="39"/>
  <c r="B54" i="39"/>
  <c r="Z53" i="39"/>
  <c r="X53" i="39"/>
  <c r="V53" i="39"/>
  <c r="N53" i="39"/>
  <c r="L53" i="39"/>
  <c r="B53" i="39"/>
  <c r="V52" i="39"/>
  <c r="T52" i="39"/>
  <c r="P52" i="39"/>
  <c r="X52" i="39" s="1"/>
  <c r="N52" i="39"/>
  <c r="L52" i="39"/>
  <c r="H52" i="39"/>
  <c r="D52" i="39"/>
  <c r="B52" i="39"/>
  <c r="Z51" i="39"/>
  <c r="X51" i="39"/>
  <c r="V51" i="39"/>
  <c r="N51" i="39"/>
  <c r="L51" i="39"/>
  <c r="B51" i="39"/>
  <c r="X50" i="39"/>
  <c r="T50" i="39"/>
  <c r="Z50" i="39" s="1"/>
  <c r="P50" i="39"/>
  <c r="H50" i="39"/>
  <c r="N50" i="39" s="1"/>
  <c r="D50" i="39"/>
  <c r="L50" i="39" s="1"/>
  <c r="B50" i="39"/>
  <c r="Z49" i="39"/>
  <c r="X49" i="39"/>
  <c r="V49" i="39"/>
  <c r="N49" i="39"/>
  <c r="L49" i="39"/>
  <c r="J49" i="39"/>
  <c r="B49" i="39"/>
  <c r="Z48" i="39"/>
  <c r="X48" i="39"/>
  <c r="V48" i="39"/>
  <c r="N48" i="39"/>
  <c r="L48" i="39"/>
  <c r="J48" i="39"/>
  <c r="B48" i="39"/>
  <c r="Z47" i="39"/>
  <c r="X47" i="39"/>
  <c r="V47" i="39"/>
  <c r="L47" i="39"/>
  <c r="N47" i="39" s="1"/>
  <c r="B47" i="39"/>
  <c r="X46" i="39"/>
  <c r="Z46" i="39" s="1"/>
  <c r="N46" i="39"/>
  <c r="L46" i="39"/>
  <c r="J46" i="39"/>
  <c r="B46" i="39"/>
  <c r="Z45" i="39"/>
  <c r="X45" i="39"/>
  <c r="V45" i="39"/>
  <c r="N45" i="39"/>
  <c r="L45" i="39"/>
  <c r="J45" i="39"/>
  <c r="B45" i="39"/>
  <c r="X44" i="39"/>
  <c r="Z44" i="39" s="1"/>
  <c r="V44" i="39"/>
  <c r="L44" i="39"/>
  <c r="N44" i="39" s="1"/>
  <c r="J44" i="39"/>
  <c r="B44" i="39"/>
  <c r="X43" i="39"/>
  <c r="Z43" i="39" s="1"/>
  <c r="L43" i="39"/>
  <c r="N43" i="39" s="1"/>
  <c r="J43" i="39"/>
  <c r="B43" i="39"/>
  <c r="Z42" i="39"/>
  <c r="X42" i="39"/>
  <c r="V42" i="39"/>
  <c r="N42" i="39"/>
  <c r="L42" i="39"/>
  <c r="B42" i="39"/>
  <c r="X41" i="39"/>
  <c r="Z41" i="39" s="1"/>
  <c r="V41" i="39"/>
  <c r="N41" i="39"/>
  <c r="L41" i="39"/>
  <c r="J41" i="39"/>
  <c r="B41" i="39"/>
  <c r="Z40" i="39"/>
  <c r="X40" i="39"/>
  <c r="V40" i="39"/>
  <c r="L40" i="39"/>
  <c r="N40" i="39" s="1"/>
  <c r="J40" i="39"/>
  <c r="B40" i="39"/>
  <c r="Z39" i="39"/>
  <c r="X39" i="39"/>
  <c r="V39" i="39"/>
  <c r="T39" i="39"/>
  <c r="P39" i="39"/>
  <c r="H39" i="39"/>
  <c r="D39" i="39"/>
  <c r="B39" i="39"/>
  <c r="Z38" i="39"/>
  <c r="X38" i="39"/>
  <c r="V38" i="39"/>
  <c r="N38" i="39"/>
  <c r="L38" i="39"/>
  <c r="B38" i="39"/>
  <c r="X37" i="39"/>
  <c r="Z37" i="39" s="1"/>
  <c r="V37" i="39"/>
  <c r="N37" i="39"/>
  <c r="L37" i="39"/>
  <c r="J37" i="39"/>
  <c r="B37" i="39"/>
  <c r="X36" i="39"/>
  <c r="Z36" i="39" s="1"/>
  <c r="V36" i="39"/>
  <c r="L36" i="39"/>
  <c r="N36" i="39" s="1"/>
  <c r="J36" i="39"/>
  <c r="B36" i="39"/>
  <c r="Z35" i="39"/>
  <c r="X35" i="39"/>
  <c r="V35" i="39"/>
  <c r="N35" i="39"/>
  <c r="L35" i="39"/>
  <c r="B35" i="39"/>
  <c r="Z34" i="39"/>
  <c r="X34" i="39"/>
  <c r="N34" i="39"/>
  <c r="L34" i="39"/>
  <c r="J34" i="39"/>
  <c r="B34" i="39"/>
  <c r="Z33" i="39"/>
  <c r="X33" i="39"/>
  <c r="V33" i="39"/>
  <c r="L33" i="39"/>
  <c r="N33" i="39" s="1"/>
  <c r="J33" i="39"/>
  <c r="B33" i="39"/>
  <c r="X32" i="39"/>
  <c r="Z32" i="39" s="1"/>
  <c r="V32" i="39"/>
  <c r="L32" i="39"/>
  <c r="N32" i="39" s="1"/>
  <c r="J32" i="39"/>
  <c r="B32" i="39"/>
  <c r="Z31" i="39"/>
  <c r="X31" i="39"/>
  <c r="L31" i="39"/>
  <c r="N31" i="39" s="1"/>
  <c r="J31" i="39"/>
  <c r="B31" i="39"/>
  <c r="Z30" i="39"/>
  <c r="X30" i="39"/>
  <c r="V30" i="39"/>
  <c r="L30" i="39"/>
  <c r="N30" i="39" s="1"/>
  <c r="B30" i="39"/>
  <c r="X29" i="39"/>
  <c r="Z29" i="39" s="1"/>
  <c r="V29" i="39"/>
  <c r="N29" i="39"/>
  <c r="L29" i="39"/>
  <c r="J29" i="39"/>
  <c r="B29" i="39"/>
  <c r="T28" i="39"/>
  <c r="P28" i="39"/>
  <c r="H28" i="39"/>
  <c r="N28" i="39" s="1"/>
  <c r="D28" i="39"/>
  <c r="L28" i="39" s="1"/>
  <c r="B28" i="39"/>
  <c r="T27" i="39" a="1"/>
  <c r="T27" i="39" s="1"/>
  <c r="P27" i="39" a="1"/>
  <c r="P27" i="39" s="1"/>
  <c r="H27" i="39" a="1"/>
  <c r="H27" i="39" s="1"/>
  <c r="D27" i="39" a="1"/>
  <c r="D27" i="39" s="1"/>
  <c r="L27" i="39" s="1"/>
  <c r="T25" i="39"/>
  <c r="Z23" i="39"/>
  <c r="X23" i="39"/>
  <c r="V23" i="39"/>
  <c r="N23" i="39"/>
  <c r="L23" i="39"/>
  <c r="B23" i="39"/>
  <c r="Z22" i="39"/>
  <c r="X22" i="39"/>
  <c r="N22" i="39"/>
  <c r="L22" i="39"/>
  <c r="B22" i="39"/>
  <c r="Z21" i="39"/>
  <c r="X21" i="39"/>
  <c r="V21" i="39"/>
  <c r="L21" i="39"/>
  <c r="N21" i="39" s="1"/>
  <c r="B21" i="39"/>
  <c r="V20" i="39"/>
  <c r="T20" i="39"/>
  <c r="P20" i="39"/>
  <c r="X20" i="39" s="1"/>
  <c r="H20" i="39"/>
  <c r="D20" i="39"/>
  <c r="Z18" i="39"/>
  <c r="P18" i="39"/>
  <c r="X18" i="39" s="1"/>
  <c r="N18" i="39"/>
  <c r="D18" i="39"/>
  <c r="L18" i="39" s="1"/>
  <c r="B18" i="39"/>
  <c r="Z17" i="39"/>
  <c r="X17" i="39"/>
  <c r="P17" i="39"/>
  <c r="N17" i="39"/>
  <c r="L17" i="39"/>
  <c r="D17" i="39"/>
  <c r="B17" i="39"/>
  <c r="Z16" i="39"/>
  <c r="P16" i="39"/>
  <c r="X16" i="39" s="1"/>
  <c r="N16" i="39"/>
  <c r="L16" i="39"/>
  <c r="D16" i="39"/>
  <c r="B16" i="39"/>
  <c r="Z15" i="39"/>
  <c r="X15" i="39"/>
  <c r="P15" i="39"/>
  <c r="N15" i="39"/>
  <c r="L15" i="39"/>
  <c r="D15" i="39"/>
  <c r="B15" i="39"/>
  <c r="Z14" i="39"/>
  <c r="P14" i="39"/>
  <c r="X14" i="39" s="1"/>
  <c r="N14" i="39"/>
  <c r="D14" i="39"/>
  <c r="B14" i="39"/>
  <c r="P13" i="39"/>
  <c r="D13" i="39"/>
  <c r="L13" i="39" s="1"/>
  <c r="N13" i="39" s="1"/>
  <c r="B13" i="39"/>
  <c r="T12" i="39"/>
  <c r="V98" i="39" s="1"/>
  <c r="H12" i="39"/>
  <c r="D4" i="39"/>
  <c r="B39" i="38"/>
  <c r="B38" i="38"/>
  <c r="T34" i="38"/>
  <c r="Z34" i="38" s="1"/>
  <c r="P34" i="38"/>
  <c r="H34" i="38"/>
  <c r="N34" i="38" s="1"/>
  <c r="D34" i="38"/>
  <c r="T33" i="38"/>
  <c r="Z33" i="38" s="1"/>
  <c r="P33" i="38"/>
  <c r="H33" i="38"/>
  <c r="N33" i="38" s="1"/>
  <c r="D33" i="38"/>
  <c r="T29" i="38"/>
  <c r="Z29" i="38" s="1"/>
  <c r="P29" i="38"/>
  <c r="H29" i="38"/>
  <c r="N29" i="38" s="1"/>
  <c r="D29" i="38"/>
  <c r="T25" i="38"/>
  <c r="Z25" i="38" s="1"/>
  <c r="P25" i="38"/>
  <c r="H25" i="38"/>
  <c r="N25" i="38" s="1"/>
  <c r="D25" i="38"/>
  <c r="B25" i="38"/>
  <c r="T24" i="38"/>
  <c r="P24" i="38"/>
  <c r="H24" i="38"/>
  <c r="D24" i="38"/>
  <c r="T22" i="38"/>
  <c r="Z22" i="38" s="1"/>
  <c r="P22" i="38"/>
  <c r="H22" i="38"/>
  <c r="N22" i="38" s="1"/>
  <c r="D22" i="38"/>
  <c r="B22" i="38"/>
  <c r="T21" i="38"/>
  <c r="Z21" i="38" s="1"/>
  <c r="P21" i="38"/>
  <c r="H21" i="38"/>
  <c r="N21" i="38" s="1"/>
  <c r="D21" i="38"/>
  <c r="B21" i="38"/>
  <c r="T20" i="38"/>
  <c r="Z20" i="38" s="1"/>
  <c r="P20" i="38"/>
  <c r="H20" i="38"/>
  <c r="N20" i="38" s="1"/>
  <c r="D20" i="38"/>
  <c r="T16" i="38"/>
  <c r="Z16" i="38" s="1"/>
  <c r="P16" i="38"/>
  <c r="H16" i="38"/>
  <c r="N16" i="38" s="1"/>
  <c r="D16" i="38"/>
  <c r="B16" i="38"/>
  <c r="T15" i="38"/>
  <c r="Z15" i="38" s="1"/>
  <c r="P15" i="38"/>
  <c r="H15" i="38"/>
  <c r="N15" i="38" s="1"/>
  <c r="D15" i="38"/>
  <c r="T13" i="38"/>
  <c r="P13" i="38"/>
  <c r="H13" i="38"/>
  <c r="N13" i="38" s="1"/>
  <c r="D13" i="38"/>
  <c r="B13" i="38"/>
  <c r="T12" i="38"/>
  <c r="V24" i="38" s="1"/>
  <c r="P12" i="38"/>
  <c r="R34" i="38" s="1"/>
  <c r="H12" i="38"/>
  <c r="J18" i="38" s="1"/>
  <c r="D12" i="38"/>
  <c r="F27" i="38" s="1"/>
  <c r="D5" i="38"/>
  <c r="D4" i="38"/>
  <c r="B39" i="37"/>
  <c r="B38" i="37"/>
  <c r="T34" i="37"/>
  <c r="P34" i="37"/>
  <c r="H34" i="37"/>
  <c r="N34" i="37" s="1"/>
  <c r="D34" i="37"/>
  <c r="T33" i="37"/>
  <c r="Z33" i="37" s="1"/>
  <c r="P33" i="37"/>
  <c r="H33" i="37"/>
  <c r="N33" i="37" s="1"/>
  <c r="D33" i="37"/>
  <c r="T29" i="37"/>
  <c r="Z29" i="37" s="1"/>
  <c r="P29" i="37"/>
  <c r="H29" i="37"/>
  <c r="N29" i="37" s="1"/>
  <c r="D29" i="37"/>
  <c r="T25" i="37"/>
  <c r="Z25" i="37" s="1"/>
  <c r="P25" i="37"/>
  <c r="H25" i="37"/>
  <c r="N25" i="37" s="1"/>
  <c r="D25" i="37"/>
  <c r="B25" i="37"/>
  <c r="T24" i="37"/>
  <c r="Z24" i="37" s="1"/>
  <c r="P24" i="37"/>
  <c r="H24" i="37"/>
  <c r="N24" i="37" s="1"/>
  <c r="D24" i="37"/>
  <c r="T22" i="37"/>
  <c r="Z22" i="37" s="1"/>
  <c r="P22" i="37"/>
  <c r="H22" i="37"/>
  <c r="N22" i="37" s="1"/>
  <c r="D22" i="37"/>
  <c r="B22" i="37"/>
  <c r="T21" i="37"/>
  <c r="Z21" i="37" s="1"/>
  <c r="P21" i="37"/>
  <c r="H21" i="37"/>
  <c r="D21" i="37"/>
  <c r="B21" i="37"/>
  <c r="T20" i="37"/>
  <c r="Z20" i="37" s="1"/>
  <c r="P20" i="37"/>
  <c r="H20" i="37"/>
  <c r="N20" i="37" s="1"/>
  <c r="D20" i="37"/>
  <c r="T16" i="37"/>
  <c r="Z16" i="37" s="1"/>
  <c r="P16" i="37"/>
  <c r="H16" i="37"/>
  <c r="N16" i="37" s="1"/>
  <c r="D16" i="37"/>
  <c r="B16" i="37"/>
  <c r="T15" i="37"/>
  <c r="Z15" i="37" s="1"/>
  <c r="P15" i="37"/>
  <c r="H15" i="37"/>
  <c r="N15" i="37" s="1"/>
  <c r="D15" i="37"/>
  <c r="T13" i="37"/>
  <c r="Z13" i="37" s="1"/>
  <c r="P13" i="37"/>
  <c r="H13" i="37"/>
  <c r="N13" i="37" s="1"/>
  <c r="D13" i="37"/>
  <c r="B13" i="37"/>
  <c r="T12" i="37"/>
  <c r="V33" i="37" s="1"/>
  <c r="P12" i="37"/>
  <c r="R34" i="37" s="1"/>
  <c r="H12" i="37"/>
  <c r="J22" i="37" s="1"/>
  <c r="D12" i="37"/>
  <c r="F21" i="37" s="1"/>
  <c r="D5" i="37"/>
  <c r="D4" i="37"/>
  <c r="Z124" i="36"/>
  <c r="X124" i="36"/>
  <c r="L124" i="36"/>
  <c r="N124" i="36" s="1"/>
  <c r="Z120" i="36"/>
  <c r="P120" i="36"/>
  <c r="X120" i="36" s="1"/>
  <c r="N120" i="36"/>
  <c r="J120" i="36"/>
  <c r="D120" i="36"/>
  <c r="L120" i="36" s="1"/>
  <c r="B120" i="36"/>
  <c r="X119" i="36"/>
  <c r="Z119" i="36" s="1"/>
  <c r="P119" i="36"/>
  <c r="D119" i="36"/>
  <c r="L119" i="36" s="1"/>
  <c r="N119" i="36" s="1"/>
  <c r="B119" i="36"/>
  <c r="X118" i="36"/>
  <c r="Z118" i="36" s="1"/>
  <c r="P118" i="36"/>
  <c r="L118" i="36"/>
  <c r="N118" i="36" s="1"/>
  <c r="D118" i="36"/>
  <c r="B118" i="36"/>
  <c r="P117" i="36"/>
  <c r="P116" i="36" s="1"/>
  <c r="X116" i="36" s="1"/>
  <c r="Z116" i="36" s="1"/>
  <c r="N117" i="36"/>
  <c r="L117" i="36"/>
  <c r="D117" i="36"/>
  <c r="B117" i="36"/>
  <c r="T116" i="36"/>
  <c r="J116" i="36"/>
  <c r="H116" i="36"/>
  <c r="X114" i="36"/>
  <c r="Z114" i="36" s="1"/>
  <c r="N114" i="36"/>
  <c r="L114" i="36"/>
  <c r="B114" i="36"/>
  <c r="T113" i="36"/>
  <c r="P113" i="36"/>
  <c r="H113" i="36"/>
  <c r="D113" i="36"/>
  <c r="L113" i="36" s="1"/>
  <c r="N113" i="36" s="1"/>
  <c r="B113" i="36"/>
  <c r="Z112" i="36"/>
  <c r="X112" i="36"/>
  <c r="N112" i="36"/>
  <c r="L112" i="36"/>
  <c r="J112" i="36"/>
  <c r="B112" i="36"/>
  <c r="Z111" i="36"/>
  <c r="X111" i="36"/>
  <c r="L111" i="36"/>
  <c r="N111" i="36" s="1"/>
  <c r="B111" i="36"/>
  <c r="T110" i="36"/>
  <c r="P110" i="36"/>
  <c r="X110" i="36" s="1"/>
  <c r="L110" i="36"/>
  <c r="H110" i="36"/>
  <c r="N110" i="36" s="1"/>
  <c r="D110" i="36"/>
  <c r="B110" i="36"/>
  <c r="Z109" i="36"/>
  <c r="X109" i="36"/>
  <c r="V109" i="36"/>
  <c r="L109" i="36"/>
  <c r="N109" i="36" s="1"/>
  <c r="B109" i="36"/>
  <c r="X108" i="36"/>
  <c r="T108" i="36"/>
  <c r="P108" i="36"/>
  <c r="H108" i="36"/>
  <c r="L108" i="36" s="1"/>
  <c r="D108" i="36"/>
  <c r="B108" i="36"/>
  <c r="X107" i="36"/>
  <c r="Z107" i="36" s="1"/>
  <c r="N107" i="36"/>
  <c r="L107" i="36"/>
  <c r="B107" i="36"/>
  <c r="Z106" i="36"/>
  <c r="X106" i="36"/>
  <c r="L106" i="36"/>
  <c r="N106" i="36" s="1"/>
  <c r="B106" i="36"/>
  <c r="V105" i="36"/>
  <c r="T105" i="36"/>
  <c r="P105" i="36"/>
  <c r="X105" i="36" s="1"/>
  <c r="Z105" i="36" s="1"/>
  <c r="L105" i="36"/>
  <c r="N105" i="36" s="1"/>
  <c r="H105" i="36"/>
  <c r="D105" i="36"/>
  <c r="B105" i="36"/>
  <c r="X104" i="36"/>
  <c r="Z104" i="36" s="1"/>
  <c r="V104" i="36"/>
  <c r="L104" i="36"/>
  <c r="N104" i="36" s="1"/>
  <c r="B104" i="36"/>
  <c r="X103" i="36"/>
  <c r="Z103" i="36" s="1"/>
  <c r="N103" i="36"/>
  <c r="L103" i="36"/>
  <c r="B103" i="36"/>
  <c r="Z102" i="36"/>
  <c r="X102" i="36"/>
  <c r="L102" i="36"/>
  <c r="N102" i="36" s="1"/>
  <c r="B102" i="36"/>
  <c r="Z101" i="36"/>
  <c r="X101" i="36"/>
  <c r="V101" i="36"/>
  <c r="L101" i="36"/>
  <c r="N101" i="36" s="1"/>
  <c r="B101" i="36"/>
  <c r="X100" i="36"/>
  <c r="Z100" i="36" s="1"/>
  <c r="L100" i="36"/>
  <c r="N100" i="36" s="1"/>
  <c r="J100" i="36"/>
  <c r="B100" i="36"/>
  <c r="Z99" i="36"/>
  <c r="X99" i="36"/>
  <c r="L99" i="36"/>
  <c r="N99" i="36" s="1"/>
  <c r="B99" i="36"/>
  <c r="X98" i="36"/>
  <c r="Z98" i="36" s="1"/>
  <c r="N98" i="36"/>
  <c r="L98" i="36"/>
  <c r="B98" i="36"/>
  <c r="X97" i="36"/>
  <c r="Z97" i="36" s="1"/>
  <c r="V97" i="36"/>
  <c r="N97" i="36"/>
  <c r="L97" i="36"/>
  <c r="J97" i="36"/>
  <c r="B97" i="36"/>
  <c r="X96" i="36"/>
  <c r="Z96" i="36" s="1"/>
  <c r="V96" i="36"/>
  <c r="L96" i="36"/>
  <c r="N96" i="36" s="1"/>
  <c r="B96" i="36"/>
  <c r="X95" i="36"/>
  <c r="Z95" i="36" s="1"/>
  <c r="V95" i="36"/>
  <c r="N95" i="36"/>
  <c r="L95" i="36"/>
  <c r="B95" i="36"/>
  <c r="Z94" i="36"/>
  <c r="T94" i="36"/>
  <c r="X94" i="36" s="1"/>
  <c r="P94" i="36"/>
  <c r="J94" i="36"/>
  <c r="H94" i="36"/>
  <c r="N94" i="36" s="1"/>
  <c r="D94" i="36"/>
  <c r="L94" i="36" s="1"/>
  <c r="B94" i="36"/>
  <c r="X93" i="36"/>
  <c r="Z93" i="36" s="1"/>
  <c r="V93" i="36"/>
  <c r="N93" i="36"/>
  <c r="L93" i="36"/>
  <c r="J93" i="36"/>
  <c r="B93" i="36"/>
  <c r="X92" i="36"/>
  <c r="Z92" i="36" s="1"/>
  <c r="V92" i="36"/>
  <c r="N92" i="36"/>
  <c r="L92" i="36"/>
  <c r="B92" i="36"/>
  <c r="X91" i="36"/>
  <c r="Z91" i="36" s="1"/>
  <c r="V91" i="36"/>
  <c r="T91" i="36"/>
  <c r="P91" i="36"/>
  <c r="H91" i="36"/>
  <c r="D91" i="36"/>
  <c r="B91" i="36"/>
  <c r="X90" i="36"/>
  <c r="Z90" i="36" s="1"/>
  <c r="V90" i="36"/>
  <c r="N90" i="36"/>
  <c r="L90" i="36"/>
  <c r="B90" i="36"/>
  <c r="X89" i="36"/>
  <c r="Z89" i="36" s="1"/>
  <c r="V89" i="36"/>
  <c r="N89" i="36"/>
  <c r="L89" i="36"/>
  <c r="J89" i="36"/>
  <c r="B89" i="36"/>
  <c r="X88" i="36"/>
  <c r="Z88" i="36" s="1"/>
  <c r="V88" i="36"/>
  <c r="L88" i="36"/>
  <c r="N88" i="36" s="1"/>
  <c r="B88" i="36"/>
  <c r="X87" i="36"/>
  <c r="Z87" i="36" s="1"/>
  <c r="V87" i="36"/>
  <c r="N87" i="36"/>
  <c r="L87" i="36"/>
  <c r="B87" i="36"/>
  <c r="Z86" i="36"/>
  <c r="X86" i="36"/>
  <c r="L86" i="36"/>
  <c r="N86" i="36" s="1"/>
  <c r="B86" i="36"/>
  <c r="V85" i="36"/>
  <c r="T85" i="36"/>
  <c r="P85" i="36"/>
  <c r="X85" i="36" s="1"/>
  <c r="Z85" i="36" s="1"/>
  <c r="L85" i="36"/>
  <c r="N85" i="36" s="1"/>
  <c r="H85" i="36"/>
  <c r="D85" i="36"/>
  <c r="B85" i="36"/>
  <c r="Z84" i="36"/>
  <c r="X84" i="36"/>
  <c r="V84" i="36"/>
  <c r="N84" i="36"/>
  <c r="L84" i="36"/>
  <c r="B84" i="36"/>
  <c r="Z83" i="36"/>
  <c r="X83" i="36"/>
  <c r="V83" i="36"/>
  <c r="T83" i="36"/>
  <c r="P83" i="36"/>
  <c r="H83" i="36"/>
  <c r="D83" i="36"/>
  <c r="B83" i="36"/>
  <c r="X82" i="36"/>
  <c r="Z82" i="36" s="1"/>
  <c r="V82" i="36"/>
  <c r="N82" i="36"/>
  <c r="L82" i="36"/>
  <c r="B82" i="36"/>
  <c r="X81" i="36"/>
  <c r="Z81" i="36" s="1"/>
  <c r="V81" i="36"/>
  <c r="N81" i="36"/>
  <c r="L81" i="36"/>
  <c r="J81" i="36"/>
  <c r="B81" i="36"/>
  <c r="X80" i="36"/>
  <c r="Z80" i="36" s="1"/>
  <c r="V80" i="36"/>
  <c r="N80" i="36"/>
  <c r="L80" i="36"/>
  <c r="B80" i="36"/>
  <c r="X79" i="36"/>
  <c r="Z79" i="36" s="1"/>
  <c r="V79" i="36"/>
  <c r="N79" i="36"/>
  <c r="L79" i="36"/>
  <c r="B79" i="36"/>
  <c r="Z78" i="36"/>
  <c r="T78" i="36"/>
  <c r="X78" i="36" s="1"/>
  <c r="P78" i="36"/>
  <c r="J78" i="36"/>
  <c r="H78" i="36"/>
  <c r="D78" i="36"/>
  <c r="L78" i="36" s="1"/>
  <c r="N78" i="36" s="1"/>
  <c r="B78" i="36"/>
  <c r="X77" i="36"/>
  <c r="Z77" i="36" s="1"/>
  <c r="V77" i="36"/>
  <c r="N77" i="36"/>
  <c r="L77" i="36"/>
  <c r="J77" i="36"/>
  <c r="B77" i="36"/>
  <c r="V76" i="36"/>
  <c r="T76" i="36"/>
  <c r="P76" i="36"/>
  <c r="X76" i="36" s="1"/>
  <c r="Z76" i="36" s="1"/>
  <c r="H76" i="36"/>
  <c r="D76" i="36"/>
  <c r="L76" i="36" s="1"/>
  <c r="B76" i="36"/>
  <c r="Z75" i="36"/>
  <c r="X75" i="36"/>
  <c r="V75" i="36"/>
  <c r="L75" i="36"/>
  <c r="N75" i="36" s="1"/>
  <c r="B75" i="36"/>
  <c r="T74" i="36"/>
  <c r="P74" i="36"/>
  <c r="X74" i="36" s="1"/>
  <c r="L74" i="36"/>
  <c r="H74" i="36"/>
  <c r="D74" i="36"/>
  <c r="B74" i="36"/>
  <c r="Z73" i="36"/>
  <c r="X73" i="36"/>
  <c r="V73" i="36"/>
  <c r="L73" i="36"/>
  <c r="N73" i="36" s="1"/>
  <c r="B73" i="36"/>
  <c r="X72" i="36"/>
  <c r="T72" i="36"/>
  <c r="Z72" i="36" s="1"/>
  <c r="P72" i="36"/>
  <c r="H72" i="36"/>
  <c r="L72" i="36" s="1"/>
  <c r="D72" i="36"/>
  <c r="B72" i="36"/>
  <c r="X71" i="36"/>
  <c r="Z71" i="36" s="1"/>
  <c r="V71" i="36"/>
  <c r="N71" i="36"/>
  <c r="L71" i="36"/>
  <c r="B71" i="36"/>
  <c r="T70" i="36"/>
  <c r="X70" i="36" s="1"/>
  <c r="P70" i="36"/>
  <c r="J70" i="36"/>
  <c r="H70" i="36"/>
  <c r="D70" i="36"/>
  <c r="L70" i="36" s="1"/>
  <c r="N70" i="36" s="1"/>
  <c r="B70" i="36"/>
  <c r="X69" i="36"/>
  <c r="Z69" i="36" s="1"/>
  <c r="V69" i="36"/>
  <c r="N69" i="36"/>
  <c r="L69" i="36"/>
  <c r="J69" i="36"/>
  <c r="B69" i="36"/>
  <c r="X68" i="36"/>
  <c r="Z68" i="36" s="1"/>
  <c r="V68" i="36"/>
  <c r="L68" i="36"/>
  <c r="N68" i="36" s="1"/>
  <c r="B68" i="36"/>
  <c r="X67" i="36"/>
  <c r="Z67" i="36" s="1"/>
  <c r="V67" i="36"/>
  <c r="T67" i="36"/>
  <c r="P67" i="36"/>
  <c r="H67" i="36"/>
  <c r="D67" i="36"/>
  <c r="B67" i="36"/>
  <c r="X66" i="36"/>
  <c r="Z66" i="36" s="1"/>
  <c r="V66" i="36"/>
  <c r="N66" i="36"/>
  <c r="L66" i="36"/>
  <c r="B66" i="36"/>
  <c r="T65" i="36"/>
  <c r="P65" i="36"/>
  <c r="N65" i="36"/>
  <c r="H65" i="36"/>
  <c r="D65" i="36"/>
  <c r="L65" i="36" s="1"/>
  <c r="B65" i="36"/>
  <c r="X64" i="36"/>
  <c r="Z64" i="36" s="1"/>
  <c r="L64" i="36"/>
  <c r="N64" i="36" s="1"/>
  <c r="J64" i="36"/>
  <c r="B64" i="36"/>
  <c r="Z63" i="36"/>
  <c r="T63" i="36"/>
  <c r="V63" i="36" s="1"/>
  <c r="P63" i="36"/>
  <c r="X63" i="36" s="1"/>
  <c r="J63" i="36"/>
  <c r="H63" i="36"/>
  <c r="D63" i="36"/>
  <c r="L63" i="36" s="1"/>
  <c r="N63" i="36" s="1"/>
  <c r="B63" i="36"/>
  <c r="Z62" i="36"/>
  <c r="X62" i="36"/>
  <c r="L62" i="36"/>
  <c r="N62" i="36" s="1"/>
  <c r="B62" i="36"/>
  <c r="V61" i="36"/>
  <c r="T61" i="36"/>
  <c r="P61" i="36"/>
  <c r="X61" i="36" s="1"/>
  <c r="Z61" i="36" s="1"/>
  <c r="L61" i="36"/>
  <c r="N61" i="36" s="1"/>
  <c r="H61" i="36"/>
  <c r="D61" i="36"/>
  <c r="B61" i="36"/>
  <c r="X60" i="36"/>
  <c r="Z60" i="36" s="1"/>
  <c r="V60" i="36"/>
  <c r="L60" i="36"/>
  <c r="N60" i="36" s="1"/>
  <c r="B60" i="36"/>
  <c r="Z59" i="36"/>
  <c r="X59" i="36"/>
  <c r="V59" i="36"/>
  <c r="N59" i="36"/>
  <c r="L59" i="36"/>
  <c r="B59" i="36"/>
  <c r="T58" i="36"/>
  <c r="X58" i="36" s="1"/>
  <c r="P58" i="36"/>
  <c r="J58" i="36"/>
  <c r="H58" i="36"/>
  <c r="D58" i="36"/>
  <c r="L58" i="36" s="1"/>
  <c r="N58" i="36" s="1"/>
  <c r="B58" i="36"/>
  <c r="X57" i="36"/>
  <c r="Z57" i="36" s="1"/>
  <c r="V57" i="36"/>
  <c r="N57" i="36"/>
  <c r="L57" i="36"/>
  <c r="J57" i="36"/>
  <c r="B57" i="36"/>
  <c r="V56" i="36"/>
  <c r="T56" i="36"/>
  <c r="P56" i="36"/>
  <c r="X56" i="36" s="1"/>
  <c r="Z56" i="36" s="1"/>
  <c r="H56" i="36"/>
  <c r="N56" i="36" s="1"/>
  <c r="D56" i="36"/>
  <c r="L56" i="36" s="1"/>
  <c r="B56" i="36"/>
  <c r="Z55" i="36"/>
  <c r="X55" i="36"/>
  <c r="V55" i="36"/>
  <c r="L55" i="36"/>
  <c r="N55" i="36" s="1"/>
  <c r="B55" i="36"/>
  <c r="T54" i="36"/>
  <c r="Z54" i="36" s="1"/>
  <c r="P54" i="36"/>
  <c r="X54" i="36" s="1"/>
  <c r="L54" i="36"/>
  <c r="H54" i="36"/>
  <c r="D54" i="36"/>
  <c r="B54" i="36"/>
  <c r="Z53" i="36"/>
  <c r="X53" i="36"/>
  <c r="V53" i="36"/>
  <c r="L53" i="36"/>
  <c r="N53" i="36" s="1"/>
  <c r="B53" i="36"/>
  <c r="X52" i="36"/>
  <c r="T52" i="36"/>
  <c r="Z52" i="36" s="1"/>
  <c r="P52" i="36"/>
  <c r="N52" i="36"/>
  <c r="H52" i="36"/>
  <c r="L52" i="36" s="1"/>
  <c r="D52" i="36"/>
  <c r="B52" i="36"/>
  <c r="Z51" i="36"/>
  <c r="X51" i="36"/>
  <c r="V51" i="36"/>
  <c r="N51" i="36"/>
  <c r="L51" i="36"/>
  <c r="B51" i="36"/>
  <c r="Z50" i="36"/>
  <c r="X50" i="36"/>
  <c r="N50" i="36"/>
  <c r="L50" i="36"/>
  <c r="B50" i="36"/>
  <c r="Z49" i="36"/>
  <c r="X49" i="36"/>
  <c r="V49" i="36"/>
  <c r="L49" i="36"/>
  <c r="N49" i="36" s="1"/>
  <c r="B49" i="36"/>
  <c r="X48" i="36"/>
  <c r="Z48" i="36" s="1"/>
  <c r="L48" i="36"/>
  <c r="N48" i="36" s="1"/>
  <c r="J48" i="36"/>
  <c r="B48" i="36"/>
  <c r="Z47" i="36"/>
  <c r="X47" i="36"/>
  <c r="V47" i="36"/>
  <c r="N47" i="36"/>
  <c r="L47" i="36"/>
  <c r="B47" i="36"/>
  <c r="X46" i="36"/>
  <c r="Z46" i="36" s="1"/>
  <c r="V46" i="36"/>
  <c r="N46" i="36"/>
  <c r="L46" i="36"/>
  <c r="B46" i="36"/>
  <c r="X45" i="36"/>
  <c r="Z45" i="36" s="1"/>
  <c r="V45" i="36"/>
  <c r="N45" i="36"/>
  <c r="L45" i="36"/>
  <c r="J45" i="36"/>
  <c r="B45" i="36"/>
  <c r="Z44" i="36"/>
  <c r="X44" i="36"/>
  <c r="V44" i="36"/>
  <c r="N44" i="36"/>
  <c r="L44" i="36"/>
  <c r="B44" i="36"/>
  <c r="X43" i="36"/>
  <c r="Z43" i="36" s="1"/>
  <c r="V43" i="36"/>
  <c r="N43" i="36"/>
  <c r="L43" i="36"/>
  <c r="B43" i="36"/>
  <c r="Z42" i="36"/>
  <c r="X42" i="36"/>
  <c r="L42" i="36"/>
  <c r="N42" i="36" s="1"/>
  <c r="B42" i="36"/>
  <c r="V41" i="36"/>
  <c r="T41" i="36"/>
  <c r="P41" i="36"/>
  <c r="X41" i="36" s="1"/>
  <c r="Z41" i="36" s="1"/>
  <c r="L41" i="36"/>
  <c r="N41" i="36" s="1"/>
  <c r="H41" i="36"/>
  <c r="D41" i="36"/>
  <c r="B41" i="36"/>
  <c r="X40" i="36"/>
  <c r="Z40" i="36" s="1"/>
  <c r="V40" i="36"/>
  <c r="L40" i="36"/>
  <c r="N40" i="36" s="1"/>
  <c r="B40" i="36"/>
  <c r="X39" i="36"/>
  <c r="Z39" i="36" s="1"/>
  <c r="V39" i="36"/>
  <c r="N39" i="36"/>
  <c r="L39" i="36"/>
  <c r="B39" i="36"/>
  <c r="Z38" i="36"/>
  <c r="X38" i="36"/>
  <c r="L38" i="36"/>
  <c r="N38" i="36" s="1"/>
  <c r="B38" i="36"/>
  <c r="Z37" i="36"/>
  <c r="X37" i="36"/>
  <c r="V37" i="36"/>
  <c r="N37" i="36"/>
  <c r="L37" i="36"/>
  <c r="B37" i="36"/>
  <c r="Z36" i="36"/>
  <c r="X36" i="36"/>
  <c r="N36" i="36"/>
  <c r="L36" i="36"/>
  <c r="J36" i="36"/>
  <c r="B36" i="36"/>
  <c r="Z35" i="36"/>
  <c r="X35" i="36"/>
  <c r="V35" i="36"/>
  <c r="L35" i="36"/>
  <c r="N35" i="36" s="1"/>
  <c r="B35" i="36"/>
  <c r="X34" i="36"/>
  <c r="Z34" i="36" s="1"/>
  <c r="V34" i="36"/>
  <c r="N34" i="36"/>
  <c r="L34" i="36"/>
  <c r="B34" i="36"/>
  <c r="X33" i="36"/>
  <c r="Z33" i="36" s="1"/>
  <c r="V33" i="36"/>
  <c r="N33" i="36"/>
  <c r="L33" i="36"/>
  <c r="J33" i="36"/>
  <c r="B33" i="36"/>
  <c r="X32" i="36"/>
  <c r="Z32" i="36" s="1"/>
  <c r="V32" i="36"/>
  <c r="L32" i="36"/>
  <c r="N32" i="36" s="1"/>
  <c r="B32" i="36"/>
  <c r="X31" i="36"/>
  <c r="Z31" i="36" s="1"/>
  <c r="V31" i="36"/>
  <c r="N31" i="36"/>
  <c r="L31" i="36"/>
  <c r="B31" i="36"/>
  <c r="T30" i="36"/>
  <c r="P30" i="36"/>
  <c r="J30" i="36"/>
  <c r="H30" i="36"/>
  <c r="D30" i="36"/>
  <c r="L30" i="36" s="1"/>
  <c r="N30" i="36" s="1"/>
  <c r="B30" i="36"/>
  <c r="T29" i="36" a="1"/>
  <c r="T29" i="36" s="1"/>
  <c r="P29" i="36" a="1"/>
  <c r="P29" i="36" s="1"/>
  <c r="X29" i="36" s="1"/>
  <c r="H29" i="36" a="1"/>
  <c r="H29" i="36" s="1"/>
  <c r="D29" i="36" a="1"/>
  <c r="D29" i="36" s="1"/>
  <c r="T27" i="36"/>
  <c r="T122" i="36" s="1"/>
  <c r="Z25" i="36"/>
  <c r="X25" i="36"/>
  <c r="V25" i="36"/>
  <c r="N25" i="36"/>
  <c r="L25" i="36"/>
  <c r="B25" i="36"/>
  <c r="Z24" i="36"/>
  <c r="X24" i="36"/>
  <c r="N24" i="36"/>
  <c r="L24" i="36"/>
  <c r="J24" i="36"/>
  <c r="B24" i="36"/>
  <c r="Z23" i="36"/>
  <c r="X23" i="36"/>
  <c r="V23" i="36"/>
  <c r="L23" i="36"/>
  <c r="N23" i="36" s="1"/>
  <c r="B23" i="36"/>
  <c r="T22" i="36"/>
  <c r="Z22" i="36" s="1"/>
  <c r="P22" i="36"/>
  <c r="X22" i="36" s="1"/>
  <c r="L22" i="36"/>
  <c r="H22" i="36"/>
  <c r="N22" i="36" s="1"/>
  <c r="D22" i="36"/>
  <c r="Z20" i="36"/>
  <c r="X20" i="36"/>
  <c r="P20" i="36"/>
  <c r="N20" i="36"/>
  <c r="D20" i="36"/>
  <c r="L20" i="36" s="1"/>
  <c r="B20" i="36"/>
  <c r="Z19" i="36"/>
  <c r="X19" i="36"/>
  <c r="P19" i="36"/>
  <c r="N19" i="36"/>
  <c r="L19" i="36"/>
  <c r="D19" i="36"/>
  <c r="B19" i="36"/>
  <c r="Z18" i="36"/>
  <c r="P18" i="36"/>
  <c r="X18" i="36" s="1"/>
  <c r="N18" i="36"/>
  <c r="D18" i="36"/>
  <c r="L18" i="36" s="1"/>
  <c r="B18" i="36"/>
  <c r="P17" i="36"/>
  <c r="X17" i="36" s="1"/>
  <c r="Z17" i="36" s="1"/>
  <c r="N17" i="36"/>
  <c r="L17" i="36"/>
  <c r="D17" i="36"/>
  <c r="B17" i="36"/>
  <c r="Z16" i="36"/>
  <c r="P16" i="36"/>
  <c r="X16" i="36" s="1"/>
  <c r="N16" i="36"/>
  <c r="L16" i="36"/>
  <c r="D16" i="36"/>
  <c r="B16" i="36"/>
  <c r="Z15" i="36"/>
  <c r="P15" i="36"/>
  <c r="X15" i="36" s="1"/>
  <c r="N15" i="36"/>
  <c r="D15" i="36"/>
  <c r="B15" i="36"/>
  <c r="Z14" i="36"/>
  <c r="X14" i="36"/>
  <c r="P14" i="36"/>
  <c r="N14" i="36"/>
  <c r="D14" i="36"/>
  <c r="L14" i="36" s="1"/>
  <c r="B14" i="36"/>
  <c r="P13" i="36"/>
  <c r="X13" i="36" s="1"/>
  <c r="Z13" i="36" s="1"/>
  <c r="D13" i="36"/>
  <c r="L13" i="36" s="1"/>
  <c r="N13" i="36" s="1"/>
  <c r="B13" i="36"/>
  <c r="T12" i="36"/>
  <c r="V119" i="36" s="1"/>
  <c r="H12" i="36"/>
  <c r="J118" i="36" s="1"/>
  <c r="D4" i="36"/>
  <c r="B39" i="35"/>
  <c r="B38" i="35"/>
  <c r="T34" i="35"/>
  <c r="Z34" i="35" s="1"/>
  <c r="P34" i="35"/>
  <c r="H34" i="35"/>
  <c r="D34" i="35"/>
  <c r="T33" i="35"/>
  <c r="Z33" i="35" s="1"/>
  <c r="P33" i="35"/>
  <c r="H33" i="35"/>
  <c r="N33" i="35" s="1"/>
  <c r="D33" i="35"/>
  <c r="T29" i="35"/>
  <c r="Z29" i="35" s="1"/>
  <c r="P29" i="35"/>
  <c r="H29" i="35"/>
  <c r="N29" i="35" s="1"/>
  <c r="D29" i="35"/>
  <c r="T25" i="35"/>
  <c r="Z25" i="35" s="1"/>
  <c r="P25" i="35"/>
  <c r="H25" i="35"/>
  <c r="N25" i="35" s="1"/>
  <c r="D25" i="35"/>
  <c r="B25" i="35"/>
  <c r="T24" i="35"/>
  <c r="P24" i="35"/>
  <c r="H24" i="35"/>
  <c r="N24" i="35" s="1"/>
  <c r="D24" i="35"/>
  <c r="T22" i="35"/>
  <c r="Z22" i="35" s="1"/>
  <c r="P22" i="35"/>
  <c r="H22" i="35"/>
  <c r="N22" i="35" s="1"/>
  <c r="D22" i="35"/>
  <c r="B22" i="35"/>
  <c r="T21" i="35"/>
  <c r="Z21" i="35" s="1"/>
  <c r="P21" i="35"/>
  <c r="H21" i="35"/>
  <c r="N21" i="35" s="1"/>
  <c r="D21" i="35"/>
  <c r="B21" i="35"/>
  <c r="T20" i="35"/>
  <c r="Z20" i="35" s="1"/>
  <c r="P20" i="35"/>
  <c r="H20" i="35"/>
  <c r="N20" i="35" s="1"/>
  <c r="D20" i="35"/>
  <c r="T16" i="35"/>
  <c r="Z16" i="35" s="1"/>
  <c r="P16" i="35"/>
  <c r="H16" i="35"/>
  <c r="N16" i="35" s="1"/>
  <c r="D16" i="35"/>
  <c r="B16" i="35"/>
  <c r="T15" i="35"/>
  <c r="P15" i="35"/>
  <c r="H15" i="35"/>
  <c r="N15" i="35" s="1"/>
  <c r="D15" i="35"/>
  <c r="T13" i="35"/>
  <c r="Z13" i="35" s="1"/>
  <c r="P13" i="35"/>
  <c r="H13" i="35"/>
  <c r="N13" i="35" s="1"/>
  <c r="D13" i="35"/>
  <c r="B13" i="35"/>
  <c r="T12" i="35"/>
  <c r="V24" i="35" s="1"/>
  <c r="P12" i="35"/>
  <c r="H12" i="35"/>
  <c r="J21" i="35" s="1"/>
  <c r="D12" i="35"/>
  <c r="F34" i="35" s="1"/>
  <c r="D5" i="35"/>
  <c r="D4" i="35"/>
  <c r="X131" i="34"/>
  <c r="Z131" i="34" s="1"/>
  <c r="N131" i="34"/>
  <c r="L131" i="34"/>
  <c r="J131" i="34"/>
  <c r="Z127" i="34"/>
  <c r="X127" i="34"/>
  <c r="V127" i="34"/>
  <c r="P127" i="34"/>
  <c r="N127" i="34"/>
  <c r="D127" i="34"/>
  <c r="L127" i="34" s="1"/>
  <c r="B127" i="34"/>
  <c r="V126" i="34"/>
  <c r="P126" i="34"/>
  <c r="X126" i="34" s="1"/>
  <c r="Z126" i="34" s="1"/>
  <c r="N126" i="34"/>
  <c r="L126" i="34"/>
  <c r="J126" i="34"/>
  <c r="D126" i="34"/>
  <c r="B126" i="34"/>
  <c r="P125" i="34"/>
  <c r="N125" i="34"/>
  <c r="D125" i="34"/>
  <c r="L125" i="34" s="1"/>
  <c r="B125" i="34"/>
  <c r="T124" i="34"/>
  <c r="H124" i="34"/>
  <c r="Z122" i="34"/>
  <c r="X122" i="34"/>
  <c r="L122" i="34"/>
  <c r="N122" i="34" s="1"/>
  <c r="B122" i="34"/>
  <c r="T121" i="34"/>
  <c r="Z121" i="34" s="1"/>
  <c r="P121" i="34"/>
  <c r="X121" i="34" s="1"/>
  <c r="L121" i="34"/>
  <c r="H121" i="34"/>
  <c r="D121" i="34"/>
  <c r="B121" i="34"/>
  <c r="Z120" i="34"/>
  <c r="X120" i="34"/>
  <c r="V120" i="34"/>
  <c r="L120" i="34"/>
  <c r="N120" i="34" s="1"/>
  <c r="B120" i="34"/>
  <c r="X119" i="34"/>
  <c r="Z119" i="34" s="1"/>
  <c r="N119" i="34"/>
  <c r="L119" i="34"/>
  <c r="J119" i="34"/>
  <c r="B119" i="34"/>
  <c r="T118" i="34"/>
  <c r="P118" i="34"/>
  <c r="X118" i="34" s="1"/>
  <c r="Z118" i="34" s="1"/>
  <c r="H118" i="34"/>
  <c r="D118" i="34"/>
  <c r="L118" i="34" s="1"/>
  <c r="N118" i="34" s="1"/>
  <c r="B118" i="34"/>
  <c r="Z117" i="34"/>
  <c r="X117" i="34"/>
  <c r="N117" i="34"/>
  <c r="L117" i="34"/>
  <c r="B117" i="34"/>
  <c r="Z116" i="34"/>
  <c r="V116" i="34"/>
  <c r="T116" i="34"/>
  <c r="P116" i="34"/>
  <c r="X116" i="34" s="1"/>
  <c r="N116" i="34"/>
  <c r="L116" i="34"/>
  <c r="H116" i="34"/>
  <c r="D116" i="34"/>
  <c r="B116" i="34"/>
  <c r="Z115" i="34"/>
  <c r="X115" i="34"/>
  <c r="V115" i="34"/>
  <c r="L115" i="34"/>
  <c r="N115" i="34" s="1"/>
  <c r="B115" i="34"/>
  <c r="X114" i="34"/>
  <c r="Z114" i="34" s="1"/>
  <c r="T114" i="34"/>
  <c r="P114" i="34"/>
  <c r="H114" i="34"/>
  <c r="D114" i="34"/>
  <c r="B114" i="34"/>
  <c r="X113" i="34"/>
  <c r="Z113" i="34" s="1"/>
  <c r="N113" i="34"/>
  <c r="L113" i="34"/>
  <c r="B113" i="34"/>
  <c r="Z112" i="34"/>
  <c r="X112" i="34"/>
  <c r="N112" i="34"/>
  <c r="L112" i="34"/>
  <c r="J112" i="34"/>
  <c r="B112" i="34"/>
  <c r="Z111" i="34"/>
  <c r="X111" i="34"/>
  <c r="V111" i="34"/>
  <c r="L111" i="34"/>
  <c r="N111" i="34" s="1"/>
  <c r="B111" i="34"/>
  <c r="X110" i="34"/>
  <c r="Z110" i="34" s="1"/>
  <c r="N110" i="34"/>
  <c r="L110" i="34"/>
  <c r="B110" i="34"/>
  <c r="Z109" i="34"/>
  <c r="X109" i="34"/>
  <c r="L109" i="34"/>
  <c r="N109" i="34" s="1"/>
  <c r="B109" i="34"/>
  <c r="Z108" i="34"/>
  <c r="X108" i="34"/>
  <c r="V108" i="34"/>
  <c r="N108" i="34"/>
  <c r="L108" i="34"/>
  <c r="B108" i="34"/>
  <c r="X107" i="34"/>
  <c r="T107" i="34"/>
  <c r="Z107" i="34" s="1"/>
  <c r="P107" i="34"/>
  <c r="N107" i="34"/>
  <c r="H107" i="34"/>
  <c r="L107" i="34" s="1"/>
  <c r="D107" i="34"/>
  <c r="B107" i="34"/>
  <c r="X106" i="34"/>
  <c r="Z106" i="34" s="1"/>
  <c r="N106" i="34"/>
  <c r="L106" i="34"/>
  <c r="B106" i="34"/>
  <c r="Z105" i="34"/>
  <c r="X105" i="34"/>
  <c r="N105" i="34"/>
  <c r="L105" i="34"/>
  <c r="B105" i="34"/>
  <c r="V104" i="34"/>
  <c r="T104" i="34"/>
  <c r="P104" i="34"/>
  <c r="X104" i="34" s="1"/>
  <c r="Z104" i="34" s="1"/>
  <c r="L104" i="34"/>
  <c r="N104" i="34" s="1"/>
  <c r="H104" i="34"/>
  <c r="D104" i="34"/>
  <c r="B104" i="34"/>
  <c r="Z103" i="34"/>
  <c r="X103" i="34"/>
  <c r="V103" i="34"/>
  <c r="N103" i="34"/>
  <c r="L103" i="34"/>
  <c r="B103" i="34"/>
  <c r="X102" i="34"/>
  <c r="Z102" i="34" s="1"/>
  <c r="N102" i="34"/>
  <c r="L102" i="34"/>
  <c r="B102" i="34"/>
  <c r="Z101" i="34"/>
  <c r="X101" i="34"/>
  <c r="N101" i="34"/>
  <c r="L101" i="34"/>
  <c r="B101" i="34"/>
  <c r="V100" i="34"/>
  <c r="T100" i="34"/>
  <c r="P100" i="34"/>
  <c r="X100" i="34" s="1"/>
  <c r="Z100" i="34" s="1"/>
  <c r="L100" i="34"/>
  <c r="N100" i="34" s="1"/>
  <c r="H100" i="34"/>
  <c r="D100" i="34"/>
  <c r="B100" i="34"/>
  <c r="Z99" i="34"/>
  <c r="X99" i="34"/>
  <c r="V99" i="34"/>
  <c r="L99" i="34"/>
  <c r="N99" i="34" s="1"/>
  <c r="B99" i="34"/>
  <c r="X98" i="34"/>
  <c r="Z98" i="34" s="1"/>
  <c r="N98" i="34"/>
  <c r="L98" i="34"/>
  <c r="B98" i="34"/>
  <c r="Z97" i="34"/>
  <c r="X97" i="34"/>
  <c r="L97" i="34"/>
  <c r="N97" i="34" s="1"/>
  <c r="B97" i="34"/>
  <c r="V96" i="34"/>
  <c r="T96" i="34"/>
  <c r="P96" i="34"/>
  <c r="X96" i="34" s="1"/>
  <c r="Z96" i="34" s="1"/>
  <c r="L96" i="34"/>
  <c r="N96" i="34" s="1"/>
  <c r="H96" i="34"/>
  <c r="D96" i="34"/>
  <c r="B96" i="34"/>
  <c r="Z95" i="34"/>
  <c r="X95" i="34"/>
  <c r="V95" i="34"/>
  <c r="N95" i="34"/>
  <c r="L95" i="34"/>
  <c r="B95" i="34"/>
  <c r="X94" i="34"/>
  <c r="Z94" i="34" s="1"/>
  <c r="N94" i="34"/>
  <c r="L94" i="34"/>
  <c r="B94" i="34"/>
  <c r="Z93" i="34"/>
  <c r="T93" i="34"/>
  <c r="X93" i="34" s="1"/>
  <c r="P93" i="34"/>
  <c r="H93" i="34"/>
  <c r="D93" i="34"/>
  <c r="L93" i="34" s="1"/>
  <c r="N93" i="34" s="1"/>
  <c r="B93" i="34"/>
  <c r="X92" i="34"/>
  <c r="Z92" i="34" s="1"/>
  <c r="N92" i="34"/>
  <c r="L92" i="34"/>
  <c r="B92" i="34"/>
  <c r="V91" i="34"/>
  <c r="T91" i="34"/>
  <c r="P91" i="34"/>
  <c r="X91" i="34" s="1"/>
  <c r="Z91" i="34" s="1"/>
  <c r="H91" i="34"/>
  <c r="N91" i="34" s="1"/>
  <c r="D91" i="34"/>
  <c r="L91" i="34" s="1"/>
  <c r="B91" i="34"/>
  <c r="Z90" i="34"/>
  <c r="X90" i="34"/>
  <c r="N90" i="34"/>
  <c r="L90" i="34"/>
  <c r="B90" i="34"/>
  <c r="T89" i="34"/>
  <c r="Z89" i="34" s="1"/>
  <c r="P89" i="34"/>
  <c r="X89" i="34" s="1"/>
  <c r="L89" i="34"/>
  <c r="H89" i="34"/>
  <c r="N89" i="34" s="1"/>
  <c r="D89" i="34"/>
  <c r="B89" i="34"/>
  <c r="Z88" i="34"/>
  <c r="X88" i="34"/>
  <c r="V88" i="34"/>
  <c r="L88" i="34"/>
  <c r="N88" i="34" s="1"/>
  <c r="B88" i="34"/>
  <c r="X87" i="34"/>
  <c r="T87" i="34"/>
  <c r="Z87" i="34" s="1"/>
  <c r="P87" i="34"/>
  <c r="H87" i="34"/>
  <c r="L87" i="34" s="1"/>
  <c r="D87" i="34"/>
  <c r="B87" i="34"/>
  <c r="X86" i="34"/>
  <c r="Z86" i="34" s="1"/>
  <c r="N86" i="34"/>
  <c r="L86" i="34"/>
  <c r="B86" i="34"/>
  <c r="T85" i="34"/>
  <c r="X85" i="34" s="1"/>
  <c r="P85" i="34"/>
  <c r="J85" i="34"/>
  <c r="H85" i="34"/>
  <c r="D85" i="34"/>
  <c r="L85" i="34" s="1"/>
  <c r="N85" i="34" s="1"/>
  <c r="B85" i="34"/>
  <c r="Z84" i="34"/>
  <c r="X84" i="34"/>
  <c r="N84" i="34"/>
  <c r="L84" i="34"/>
  <c r="J84" i="34"/>
  <c r="B84" i="34"/>
  <c r="Z83" i="34"/>
  <c r="X83" i="34"/>
  <c r="V83" i="34"/>
  <c r="N83" i="34"/>
  <c r="L83" i="34"/>
  <c r="B83" i="34"/>
  <c r="X82" i="34"/>
  <c r="Z82" i="34" s="1"/>
  <c r="T82" i="34"/>
  <c r="P82" i="34"/>
  <c r="H82" i="34"/>
  <c r="D82" i="34"/>
  <c r="B82" i="34"/>
  <c r="Z81" i="34"/>
  <c r="X81" i="34"/>
  <c r="N81" i="34"/>
  <c r="L81" i="34"/>
  <c r="B81" i="34"/>
  <c r="X80" i="34"/>
  <c r="Z80" i="34" s="1"/>
  <c r="N80" i="34"/>
  <c r="L80" i="34"/>
  <c r="B80" i="34"/>
  <c r="V79" i="34"/>
  <c r="T79" i="34"/>
  <c r="P79" i="34"/>
  <c r="X79" i="34" s="1"/>
  <c r="Z79" i="34" s="1"/>
  <c r="H79" i="34"/>
  <c r="D79" i="34"/>
  <c r="L79" i="34" s="1"/>
  <c r="B79" i="34"/>
  <c r="Z78" i="34"/>
  <c r="X78" i="34"/>
  <c r="N78" i="34"/>
  <c r="L78" i="34"/>
  <c r="B78" i="34"/>
  <c r="T77" i="34"/>
  <c r="Z77" i="34" s="1"/>
  <c r="P77" i="34"/>
  <c r="X77" i="34" s="1"/>
  <c r="L77" i="34"/>
  <c r="H77" i="34"/>
  <c r="N77" i="34" s="1"/>
  <c r="D77" i="34"/>
  <c r="B77" i="34"/>
  <c r="Z76" i="34"/>
  <c r="X76" i="34"/>
  <c r="V76" i="34"/>
  <c r="L76" i="34"/>
  <c r="N76" i="34" s="1"/>
  <c r="B76" i="34"/>
  <c r="X75" i="34"/>
  <c r="T75" i="34"/>
  <c r="Z75" i="34" s="1"/>
  <c r="P75" i="34"/>
  <c r="N75" i="34"/>
  <c r="H75" i="34"/>
  <c r="L75" i="34" s="1"/>
  <c r="D75" i="34"/>
  <c r="B75" i="34"/>
  <c r="Z74" i="34"/>
  <c r="X74" i="34"/>
  <c r="N74" i="34"/>
  <c r="L74" i="34"/>
  <c r="B74" i="34"/>
  <c r="Z73" i="34"/>
  <c r="X73" i="34"/>
  <c r="N73" i="34"/>
  <c r="L73" i="34"/>
  <c r="B73" i="34"/>
  <c r="Z72" i="34"/>
  <c r="V72" i="34"/>
  <c r="T72" i="34"/>
  <c r="P72" i="34"/>
  <c r="X72" i="34" s="1"/>
  <c r="N72" i="34"/>
  <c r="L72" i="34"/>
  <c r="H72" i="34"/>
  <c r="D72" i="34"/>
  <c r="B72" i="34"/>
  <c r="Z71" i="34"/>
  <c r="X71" i="34"/>
  <c r="V71" i="34"/>
  <c r="L71" i="34"/>
  <c r="N71" i="34" s="1"/>
  <c r="B71" i="34"/>
  <c r="X70" i="34"/>
  <c r="Z70" i="34" s="1"/>
  <c r="T70" i="34"/>
  <c r="P70" i="34"/>
  <c r="H70" i="34"/>
  <c r="D70" i="34"/>
  <c r="B70" i="34"/>
  <c r="X69" i="34"/>
  <c r="Z69" i="34" s="1"/>
  <c r="N69" i="34"/>
  <c r="L69" i="34"/>
  <c r="B69" i="34"/>
  <c r="T68" i="34"/>
  <c r="P68" i="34"/>
  <c r="N68" i="34"/>
  <c r="H68" i="34"/>
  <c r="D68" i="34"/>
  <c r="L68" i="34" s="1"/>
  <c r="B68" i="34"/>
  <c r="X67" i="34"/>
  <c r="Z67" i="34" s="1"/>
  <c r="N67" i="34"/>
  <c r="L67" i="34"/>
  <c r="J67" i="34"/>
  <c r="B67" i="34"/>
  <c r="Z66" i="34"/>
  <c r="T66" i="34"/>
  <c r="P66" i="34"/>
  <c r="X66" i="34" s="1"/>
  <c r="J66" i="34"/>
  <c r="H66" i="34"/>
  <c r="D66" i="34"/>
  <c r="L66" i="34" s="1"/>
  <c r="N66" i="34" s="1"/>
  <c r="B66" i="34"/>
  <c r="Z65" i="34"/>
  <c r="X65" i="34"/>
  <c r="N65" i="34"/>
  <c r="L65" i="34"/>
  <c r="B65" i="34"/>
  <c r="Z64" i="34"/>
  <c r="X64" i="34"/>
  <c r="V64" i="34"/>
  <c r="N64" i="34"/>
  <c r="L64" i="34"/>
  <c r="B64" i="34"/>
  <c r="X63" i="34"/>
  <c r="Z63" i="34" s="1"/>
  <c r="N63" i="34"/>
  <c r="L63" i="34"/>
  <c r="J63" i="34"/>
  <c r="B63" i="34"/>
  <c r="Z62" i="34"/>
  <c r="X62" i="34"/>
  <c r="L62" i="34"/>
  <c r="N62" i="34" s="1"/>
  <c r="B62" i="34"/>
  <c r="Z61" i="34"/>
  <c r="X61" i="34"/>
  <c r="N61" i="34"/>
  <c r="L61" i="34"/>
  <c r="B61" i="34"/>
  <c r="Z60" i="34"/>
  <c r="X60" i="34"/>
  <c r="N60" i="34"/>
  <c r="L60" i="34"/>
  <c r="J60" i="34"/>
  <c r="B60" i="34"/>
  <c r="Z59" i="34"/>
  <c r="X59" i="34"/>
  <c r="V59" i="34"/>
  <c r="L59" i="34"/>
  <c r="N59" i="34" s="1"/>
  <c r="B59" i="34"/>
  <c r="Z58" i="34"/>
  <c r="X58" i="34"/>
  <c r="N58" i="34"/>
  <c r="L58" i="34"/>
  <c r="B58" i="34"/>
  <c r="Z57" i="34"/>
  <c r="X57" i="34"/>
  <c r="L57" i="34"/>
  <c r="N57" i="34" s="1"/>
  <c r="B57" i="34"/>
  <c r="Z56" i="34"/>
  <c r="X56" i="34"/>
  <c r="V56" i="34"/>
  <c r="N56" i="34"/>
  <c r="L56" i="34"/>
  <c r="B56" i="34"/>
  <c r="X55" i="34"/>
  <c r="T55" i="34"/>
  <c r="Z55" i="34" s="1"/>
  <c r="P55" i="34"/>
  <c r="N55" i="34"/>
  <c r="H55" i="34"/>
  <c r="L55" i="34" s="1"/>
  <c r="D55" i="34"/>
  <c r="B55" i="34"/>
  <c r="X54" i="34"/>
  <c r="Z54" i="34" s="1"/>
  <c r="N54" i="34"/>
  <c r="L54" i="34"/>
  <c r="B54" i="34"/>
  <c r="Z53" i="34"/>
  <c r="X53" i="34"/>
  <c r="L53" i="34"/>
  <c r="N53" i="34" s="1"/>
  <c r="B53" i="34"/>
  <c r="Z52" i="34"/>
  <c r="X52" i="34"/>
  <c r="V52" i="34"/>
  <c r="L52" i="34"/>
  <c r="N52" i="34" s="1"/>
  <c r="B52" i="34"/>
  <c r="Z51" i="34"/>
  <c r="X51" i="34"/>
  <c r="N51" i="34"/>
  <c r="L51" i="34"/>
  <c r="B51" i="34"/>
  <c r="Z50" i="34"/>
  <c r="X50" i="34"/>
  <c r="L50" i="34"/>
  <c r="N50" i="34" s="1"/>
  <c r="B50" i="34"/>
  <c r="X49" i="34"/>
  <c r="Z49" i="34" s="1"/>
  <c r="N49" i="34"/>
  <c r="L49" i="34"/>
  <c r="B49" i="34"/>
  <c r="X48" i="34"/>
  <c r="Z48" i="34" s="1"/>
  <c r="N48" i="34"/>
  <c r="L48" i="34"/>
  <c r="J48" i="34"/>
  <c r="B48" i="34"/>
  <c r="Z47" i="34"/>
  <c r="X47" i="34"/>
  <c r="V47" i="34"/>
  <c r="L47" i="34"/>
  <c r="N47" i="34" s="1"/>
  <c r="B47" i="34"/>
  <c r="X46" i="34"/>
  <c r="Z46" i="34" s="1"/>
  <c r="N46" i="34"/>
  <c r="L46" i="34"/>
  <c r="B46" i="34"/>
  <c r="Z45" i="34"/>
  <c r="T45" i="34"/>
  <c r="X45" i="34" s="1"/>
  <c r="P45" i="34"/>
  <c r="J45" i="34"/>
  <c r="H45" i="34"/>
  <c r="D45" i="34"/>
  <c r="L45" i="34" s="1"/>
  <c r="B45" i="34"/>
  <c r="T44" i="34" a="1"/>
  <c r="T44" i="34" s="1"/>
  <c r="P44" i="34" a="1"/>
  <c r="P44" i="34" s="1"/>
  <c r="H44" i="34" a="1"/>
  <c r="H44" i="34" s="1"/>
  <c r="D44" i="34" a="1"/>
  <c r="D44" i="34" s="1"/>
  <c r="L44" i="34" s="1"/>
  <c r="T42" i="34"/>
  <c r="Z40" i="34"/>
  <c r="X40" i="34"/>
  <c r="V40" i="34"/>
  <c r="N40" i="34"/>
  <c r="L40" i="34"/>
  <c r="B40" i="34"/>
  <c r="Z39" i="34"/>
  <c r="X39" i="34"/>
  <c r="N39" i="34"/>
  <c r="L39" i="34"/>
  <c r="J39" i="34"/>
  <c r="B39" i="34"/>
  <c r="Z38" i="34"/>
  <c r="X38" i="34"/>
  <c r="N38" i="34"/>
  <c r="L38" i="34"/>
  <c r="B38" i="34"/>
  <c r="Z37" i="34"/>
  <c r="X37" i="34"/>
  <c r="N37" i="34"/>
  <c r="L37" i="34"/>
  <c r="B37" i="34"/>
  <c r="Z36" i="34"/>
  <c r="X36" i="34"/>
  <c r="N36" i="34"/>
  <c r="L36" i="34"/>
  <c r="J36" i="34"/>
  <c r="B36" i="34"/>
  <c r="Z35" i="34"/>
  <c r="X35" i="34"/>
  <c r="V35" i="34"/>
  <c r="N35" i="34"/>
  <c r="L35" i="34"/>
  <c r="B35" i="34"/>
  <c r="Z34" i="34"/>
  <c r="X34" i="34"/>
  <c r="N34" i="34"/>
  <c r="L34" i="34"/>
  <c r="B34" i="34"/>
  <c r="Z33" i="34"/>
  <c r="X33" i="34"/>
  <c r="N33" i="34"/>
  <c r="L33" i="34"/>
  <c r="B33" i="34"/>
  <c r="Z32" i="34"/>
  <c r="X32" i="34"/>
  <c r="V32" i="34"/>
  <c r="N32" i="34"/>
  <c r="L32" i="34"/>
  <c r="B32" i="34"/>
  <c r="Z31" i="34"/>
  <c r="X31" i="34"/>
  <c r="N31" i="34"/>
  <c r="L31" i="34"/>
  <c r="J31" i="34"/>
  <c r="B31" i="34"/>
  <c r="Z30" i="34"/>
  <c r="X30" i="34"/>
  <c r="N30" i="34"/>
  <c r="L30" i="34"/>
  <c r="B30" i="34"/>
  <c r="Z29" i="34"/>
  <c r="X29" i="34"/>
  <c r="N29" i="34"/>
  <c r="L29" i="34"/>
  <c r="B29" i="34"/>
  <c r="Z28" i="34"/>
  <c r="X28" i="34"/>
  <c r="N28" i="34"/>
  <c r="L28" i="34"/>
  <c r="J28" i="34"/>
  <c r="B28" i="34"/>
  <c r="Z27" i="34"/>
  <c r="X27" i="34"/>
  <c r="V27" i="34"/>
  <c r="N27" i="34"/>
  <c r="L27" i="34"/>
  <c r="B27" i="34"/>
  <c r="Z26" i="34"/>
  <c r="X26" i="34"/>
  <c r="N26" i="34"/>
  <c r="L26" i="34"/>
  <c r="B26" i="34"/>
  <c r="Z25" i="34"/>
  <c r="X25" i="34"/>
  <c r="N25" i="34"/>
  <c r="L25" i="34"/>
  <c r="B25" i="34"/>
  <c r="Z24" i="34"/>
  <c r="X24" i="34"/>
  <c r="V24" i="34"/>
  <c r="N24" i="34"/>
  <c r="L24" i="34"/>
  <c r="B24" i="34"/>
  <c r="Z23" i="34"/>
  <c r="X23" i="34"/>
  <c r="N23" i="34"/>
  <c r="L23" i="34"/>
  <c r="J23" i="34"/>
  <c r="B23" i="34"/>
  <c r="Z22" i="34"/>
  <c r="X22" i="34"/>
  <c r="N22" i="34"/>
  <c r="L22" i="34"/>
  <c r="B22" i="34"/>
  <c r="Z21" i="34"/>
  <c r="X21" i="34"/>
  <c r="N21" i="34"/>
  <c r="L21" i="34"/>
  <c r="B21" i="34"/>
  <c r="X20" i="34"/>
  <c r="Z20" i="34" s="1"/>
  <c r="N20" i="34"/>
  <c r="L20" i="34"/>
  <c r="J20" i="34"/>
  <c r="B20" i="34"/>
  <c r="V19" i="34"/>
  <c r="T19" i="34"/>
  <c r="Z19" i="34" s="1"/>
  <c r="P19" i="34"/>
  <c r="X19" i="34" s="1"/>
  <c r="H19" i="34"/>
  <c r="N19" i="34" s="1"/>
  <c r="D19" i="34"/>
  <c r="L19" i="34" s="1"/>
  <c r="Z17" i="34"/>
  <c r="X17" i="34"/>
  <c r="P17" i="34"/>
  <c r="N17" i="34"/>
  <c r="L17" i="34"/>
  <c r="D17" i="34"/>
  <c r="B17" i="34"/>
  <c r="Z16" i="34"/>
  <c r="P16" i="34"/>
  <c r="X16" i="34" s="1"/>
  <c r="N16" i="34"/>
  <c r="D16" i="34"/>
  <c r="L16" i="34" s="1"/>
  <c r="B16" i="34"/>
  <c r="Z15" i="34"/>
  <c r="X15" i="34"/>
  <c r="P15" i="34"/>
  <c r="N15" i="34"/>
  <c r="D15" i="34"/>
  <c r="L15" i="34" s="1"/>
  <c r="B15" i="34"/>
  <c r="X14" i="34"/>
  <c r="Z14" i="34" s="1"/>
  <c r="P14" i="34"/>
  <c r="L14" i="34"/>
  <c r="N14" i="34" s="1"/>
  <c r="D14" i="34"/>
  <c r="B14" i="34"/>
  <c r="P13" i="34"/>
  <c r="X13" i="34" s="1"/>
  <c r="Z13" i="34" s="1"/>
  <c r="D13" i="34"/>
  <c r="B13" i="34"/>
  <c r="T12" i="34"/>
  <c r="V124" i="34" s="1"/>
  <c r="H12" i="34"/>
  <c r="J125" i="34" s="1"/>
  <c r="D4" i="34"/>
  <c r="B39" i="33"/>
  <c r="B38" i="33"/>
  <c r="T34" i="33"/>
  <c r="Z34" i="33" s="1"/>
  <c r="P34" i="33"/>
  <c r="H34" i="33"/>
  <c r="N34" i="33" s="1"/>
  <c r="D34" i="33"/>
  <c r="T33" i="33"/>
  <c r="Z33" i="33" s="1"/>
  <c r="P33" i="33"/>
  <c r="H33" i="33"/>
  <c r="N33" i="33" s="1"/>
  <c r="D33" i="33"/>
  <c r="T29" i="33"/>
  <c r="Z29" i="33" s="1"/>
  <c r="P29" i="33"/>
  <c r="H29" i="33"/>
  <c r="N29" i="33" s="1"/>
  <c r="D29" i="33"/>
  <c r="T25" i="33"/>
  <c r="Z25" i="33" s="1"/>
  <c r="P25" i="33"/>
  <c r="H25" i="33"/>
  <c r="N25" i="33" s="1"/>
  <c r="D25" i="33"/>
  <c r="B25" i="33"/>
  <c r="T24" i="33"/>
  <c r="P24" i="33"/>
  <c r="H24" i="33"/>
  <c r="N24" i="33" s="1"/>
  <c r="D24" i="33"/>
  <c r="T22" i="33"/>
  <c r="Z22" i="33" s="1"/>
  <c r="P22" i="33"/>
  <c r="H22" i="33"/>
  <c r="N22" i="33" s="1"/>
  <c r="D22" i="33"/>
  <c r="B22" i="33"/>
  <c r="T21" i="33"/>
  <c r="Z21" i="33" s="1"/>
  <c r="P21" i="33"/>
  <c r="H21" i="33"/>
  <c r="N21" i="33" s="1"/>
  <c r="D21" i="33"/>
  <c r="B21" i="33"/>
  <c r="T20" i="33"/>
  <c r="Z20" i="33" s="1"/>
  <c r="P20" i="33"/>
  <c r="H20" i="33"/>
  <c r="N20" i="33" s="1"/>
  <c r="D20" i="33"/>
  <c r="T16" i="33"/>
  <c r="Z16" i="33" s="1"/>
  <c r="P16" i="33"/>
  <c r="H16" i="33"/>
  <c r="N16" i="33" s="1"/>
  <c r="D16" i="33"/>
  <c r="B16" i="33"/>
  <c r="T15" i="33"/>
  <c r="Z15" i="33" s="1"/>
  <c r="P15" i="33"/>
  <c r="H15" i="33"/>
  <c r="N15" i="33" s="1"/>
  <c r="D15" i="33"/>
  <c r="T13" i="33"/>
  <c r="Z13" i="33" s="1"/>
  <c r="P13" i="33"/>
  <c r="H13" i="33"/>
  <c r="N13" i="33" s="1"/>
  <c r="D13" i="33"/>
  <c r="B13" i="33"/>
  <c r="T12" i="33"/>
  <c r="V18" i="33" s="1"/>
  <c r="P12" i="33"/>
  <c r="R16" i="33" s="1"/>
  <c r="H12" i="33"/>
  <c r="J16" i="33" s="1"/>
  <c r="D12" i="33"/>
  <c r="F36" i="33" s="1"/>
  <c r="D5" i="33"/>
  <c r="D4" i="33"/>
  <c r="B39" i="32"/>
  <c r="B38" i="32"/>
  <c r="T34" i="32"/>
  <c r="Z34" i="32" s="1"/>
  <c r="P34" i="32"/>
  <c r="H34" i="32"/>
  <c r="N34" i="32" s="1"/>
  <c r="D34" i="32"/>
  <c r="T33" i="32"/>
  <c r="Z33" i="32" s="1"/>
  <c r="P33" i="32"/>
  <c r="H33" i="32"/>
  <c r="N33" i="32" s="1"/>
  <c r="D33" i="32"/>
  <c r="T29" i="32"/>
  <c r="Z29" i="32" s="1"/>
  <c r="P29" i="32"/>
  <c r="H29" i="32"/>
  <c r="N29" i="32" s="1"/>
  <c r="D29" i="32"/>
  <c r="T25" i="32"/>
  <c r="Z25" i="32" s="1"/>
  <c r="P25" i="32"/>
  <c r="H25" i="32"/>
  <c r="N25" i="32" s="1"/>
  <c r="D25" i="32"/>
  <c r="B25" i="32"/>
  <c r="T24" i="32"/>
  <c r="Z24" i="32" s="1"/>
  <c r="P24" i="32"/>
  <c r="H24" i="32"/>
  <c r="N24" i="32" s="1"/>
  <c r="D24" i="32"/>
  <c r="T22" i="32"/>
  <c r="Z22" i="32" s="1"/>
  <c r="P22" i="32"/>
  <c r="H22" i="32"/>
  <c r="N22" i="32" s="1"/>
  <c r="D22" i="32"/>
  <c r="B22" i="32"/>
  <c r="T21" i="32"/>
  <c r="Z21" i="32" s="1"/>
  <c r="P21" i="32"/>
  <c r="H21" i="32"/>
  <c r="D21" i="32"/>
  <c r="B21" i="32"/>
  <c r="T20" i="32"/>
  <c r="Z20" i="32" s="1"/>
  <c r="P20" i="32"/>
  <c r="H20" i="32"/>
  <c r="N20" i="32" s="1"/>
  <c r="D20" i="32"/>
  <c r="T16" i="32"/>
  <c r="Z16" i="32" s="1"/>
  <c r="P16" i="32"/>
  <c r="H16" i="32"/>
  <c r="N16" i="32" s="1"/>
  <c r="D16" i="32"/>
  <c r="B16" i="32"/>
  <c r="T15" i="32"/>
  <c r="Z15" i="32" s="1"/>
  <c r="P15" i="32"/>
  <c r="H15" i="32"/>
  <c r="N15" i="32" s="1"/>
  <c r="D15" i="32"/>
  <c r="T13" i="32"/>
  <c r="P13" i="32"/>
  <c r="H13" i="32"/>
  <c r="N13" i="32" s="1"/>
  <c r="D13" i="32"/>
  <c r="B13" i="32"/>
  <c r="T12" i="32"/>
  <c r="V33" i="32" s="1"/>
  <c r="P12" i="32"/>
  <c r="R33" i="32" s="1"/>
  <c r="H12" i="32"/>
  <c r="J22" i="32" s="1"/>
  <c r="D12" i="32"/>
  <c r="F33" i="32" s="1"/>
  <c r="D5" i="32"/>
  <c r="D4" i="32"/>
  <c r="X79" i="31"/>
  <c r="Z79" i="31" s="1"/>
  <c r="L79" i="31"/>
  <c r="N79" i="31" s="1"/>
  <c r="J79" i="31"/>
  <c r="P75" i="31"/>
  <c r="P74" i="31" s="1"/>
  <c r="X74" i="31" s="1"/>
  <c r="Z74" i="31" s="1"/>
  <c r="N75" i="31"/>
  <c r="J75" i="31"/>
  <c r="D75" i="31"/>
  <c r="B75" i="31"/>
  <c r="V74" i="31"/>
  <c r="T74" i="31"/>
  <c r="N74" i="31"/>
  <c r="H74" i="31"/>
  <c r="Z72" i="31"/>
  <c r="X72" i="31"/>
  <c r="N72" i="31"/>
  <c r="L72" i="31"/>
  <c r="B72" i="31"/>
  <c r="T71" i="31"/>
  <c r="P71" i="31"/>
  <c r="X71" i="31" s="1"/>
  <c r="H71" i="31"/>
  <c r="D71" i="31"/>
  <c r="L71" i="31" s="1"/>
  <c r="B71" i="31"/>
  <c r="Z70" i="31"/>
  <c r="X70" i="31"/>
  <c r="L70" i="31"/>
  <c r="N70" i="31" s="1"/>
  <c r="F70" i="31"/>
  <c r="B70" i="31"/>
  <c r="X69" i="31"/>
  <c r="Z69" i="31" s="1"/>
  <c r="N69" i="31"/>
  <c r="L69" i="31"/>
  <c r="J69" i="31"/>
  <c r="B69" i="31"/>
  <c r="Z68" i="31"/>
  <c r="X68" i="31"/>
  <c r="L68" i="31"/>
  <c r="N68" i="31" s="1"/>
  <c r="B68" i="31"/>
  <c r="X67" i="31"/>
  <c r="Z67" i="31" s="1"/>
  <c r="N67" i="31"/>
  <c r="L67" i="31"/>
  <c r="B67" i="31"/>
  <c r="Z66" i="31"/>
  <c r="T66" i="31"/>
  <c r="X66" i="31" s="1"/>
  <c r="P66" i="31"/>
  <c r="H66" i="31"/>
  <c r="D66" i="31"/>
  <c r="B66" i="31"/>
  <c r="Z65" i="31"/>
  <c r="X65" i="31"/>
  <c r="N65" i="31"/>
  <c r="L65" i="31"/>
  <c r="J65" i="31"/>
  <c r="B65" i="31"/>
  <c r="Z64" i="31"/>
  <c r="T64" i="31"/>
  <c r="P64" i="31"/>
  <c r="X64" i="31" s="1"/>
  <c r="N64" i="31"/>
  <c r="H64" i="31"/>
  <c r="F64" i="31"/>
  <c r="D64" i="31"/>
  <c r="L64" i="31" s="1"/>
  <c r="B64" i="31"/>
  <c r="X63" i="31"/>
  <c r="Z63" i="31" s="1"/>
  <c r="L63" i="31"/>
  <c r="N63" i="31" s="1"/>
  <c r="J63" i="31"/>
  <c r="F63" i="31"/>
  <c r="B63" i="31"/>
  <c r="Z62" i="31"/>
  <c r="T62" i="31"/>
  <c r="P62" i="31"/>
  <c r="X62" i="31" s="1"/>
  <c r="L62" i="31"/>
  <c r="N62" i="31" s="1"/>
  <c r="H62" i="31"/>
  <c r="D62" i="31"/>
  <c r="B62" i="31"/>
  <c r="Z61" i="31"/>
  <c r="X61" i="31"/>
  <c r="V61" i="31"/>
  <c r="N61" i="31"/>
  <c r="L61" i="31"/>
  <c r="B61" i="31"/>
  <c r="X60" i="31"/>
  <c r="Z60" i="31" s="1"/>
  <c r="N60" i="31"/>
  <c r="L60" i="31"/>
  <c r="B60" i="31"/>
  <c r="X59" i="31"/>
  <c r="Z59" i="31" s="1"/>
  <c r="N59" i="31"/>
  <c r="L59" i="31"/>
  <c r="F59" i="31"/>
  <c r="B59" i="31"/>
  <c r="T58" i="31"/>
  <c r="P58" i="31"/>
  <c r="X58" i="31" s="1"/>
  <c r="Z58" i="31" s="1"/>
  <c r="L58" i="31"/>
  <c r="N58" i="31" s="1"/>
  <c r="J58" i="31"/>
  <c r="H58" i="31"/>
  <c r="D58" i="31"/>
  <c r="B58" i="31"/>
  <c r="Z57" i="31"/>
  <c r="X57" i="31"/>
  <c r="V57" i="31"/>
  <c r="N57" i="31"/>
  <c r="L57" i="31"/>
  <c r="F57" i="31"/>
  <c r="B57" i="31"/>
  <c r="Z56" i="31"/>
  <c r="X56" i="31"/>
  <c r="V56" i="31"/>
  <c r="T56" i="31"/>
  <c r="P56" i="31"/>
  <c r="N56" i="31"/>
  <c r="L56" i="31"/>
  <c r="J56" i="31"/>
  <c r="H56" i="31"/>
  <c r="D56" i="31"/>
  <c r="B56" i="31"/>
  <c r="X55" i="31"/>
  <c r="Z55" i="31" s="1"/>
  <c r="V55" i="31"/>
  <c r="N55" i="31"/>
  <c r="L55" i="31"/>
  <c r="F55" i="31"/>
  <c r="B55" i="31"/>
  <c r="X54" i="31"/>
  <c r="Z54" i="31" s="1"/>
  <c r="V54" i="31"/>
  <c r="N54" i="31"/>
  <c r="L54" i="31"/>
  <c r="J54" i="31"/>
  <c r="B54" i="31"/>
  <c r="X53" i="31"/>
  <c r="V53" i="31"/>
  <c r="T53" i="31"/>
  <c r="Z53" i="31" s="1"/>
  <c r="P53" i="31"/>
  <c r="J53" i="31"/>
  <c r="H53" i="31"/>
  <c r="N53" i="31" s="1"/>
  <c r="D53" i="31"/>
  <c r="L53" i="31" s="1"/>
  <c r="B53" i="31"/>
  <c r="Z52" i="31"/>
  <c r="X52" i="31"/>
  <c r="N52" i="31"/>
  <c r="L52" i="31"/>
  <c r="J52" i="31"/>
  <c r="B52" i="31"/>
  <c r="T51" i="31"/>
  <c r="P51" i="31"/>
  <c r="X51" i="31" s="1"/>
  <c r="H51" i="31"/>
  <c r="D51" i="31"/>
  <c r="B51" i="31"/>
  <c r="Z50" i="31"/>
  <c r="X50" i="31"/>
  <c r="N50" i="31"/>
  <c r="L50" i="31"/>
  <c r="J50" i="31"/>
  <c r="B50" i="31"/>
  <c r="X49" i="31"/>
  <c r="T49" i="31"/>
  <c r="P49" i="31"/>
  <c r="H49" i="31"/>
  <c r="D49" i="31"/>
  <c r="L49" i="31" s="1"/>
  <c r="N49" i="31" s="1"/>
  <c r="B49" i="31"/>
  <c r="X48" i="31"/>
  <c r="Z48" i="31" s="1"/>
  <c r="N48" i="31"/>
  <c r="L48" i="31"/>
  <c r="J48" i="31"/>
  <c r="B48" i="31"/>
  <c r="Z47" i="31"/>
  <c r="X47" i="31"/>
  <c r="T47" i="31"/>
  <c r="P47" i="31"/>
  <c r="N47" i="31"/>
  <c r="H47" i="31"/>
  <c r="L47" i="31" s="1"/>
  <c r="F47" i="31"/>
  <c r="D47" i="31"/>
  <c r="B47" i="31"/>
  <c r="Z46" i="31"/>
  <c r="X46" i="31"/>
  <c r="N46" i="31"/>
  <c r="L46" i="31"/>
  <c r="J46" i="31"/>
  <c r="B46" i="31"/>
  <c r="Z45" i="31"/>
  <c r="X45" i="31"/>
  <c r="N45" i="31"/>
  <c r="L45" i="31"/>
  <c r="J45" i="31"/>
  <c r="B45" i="31"/>
  <c r="Z44" i="31"/>
  <c r="X44" i="31"/>
  <c r="V44" i="31"/>
  <c r="N44" i="31"/>
  <c r="L44" i="31"/>
  <c r="F44" i="31"/>
  <c r="B44" i="31"/>
  <c r="X43" i="31"/>
  <c r="Z43" i="31" s="1"/>
  <c r="V43" i="31"/>
  <c r="N43" i="31"/>
  <c r="L43" i="31"/>
  <c r="J43" i="31"/>
  <c r="B43" i="31"/>
  <c r="Z42" i="31"/>
  <c r="X42" i="31"/>
  <c r="N42" i="31"/>
  <c r="L42" i="31"/>
  <c r="J42" i="31"/>
  <c r="B42" i="31"/>
  <c r="Z41" i="31"/>
  <c r="X41" i="31"/>
  <c r="N41" i="31"/>
  <c r="L41" i="31"/>
  <c r="F41" i="31"/>
  <c r="B41" i="31"/>
  <c r="X40" i="31"/>
  <c r="Z40" i="31" s="1"/>
  <c r="N40" i="31"/>
  <c r="L40" i="31"/>
  <c r="J40" i="31"/>
  <c r="B40" i="31"/>
  <c r="Z39" i="31"/>
  <c r="X39" i="31"/>
  <c r="V39" i="31"/>
  <c r="N39" i="31"/>
  <c r="L39" i="31"/>
  <c r="J39" i="31"/>
  <c r="B39" i="31"/>
  <c r="X38" i="31"/>
  <c r="Z38" i="31" s="1"/>
  <c r="L38" i="31"/>
  <c r="N38" i="31" s="1"/>
  <c r="J38" i="31"/>
  <c r="B38" i="31"/>
  <c r="Z37" i="31"/>
  <c r="X37" i="31"/>
  <c r="N37" i="31"/>
  <c r="L37" i="31"/>
  <c r="J37" i="31"/>
  <c r="B37" i="31"/>
  <c r="T36" i="31"/>
  <c r="P36" i="31"/>
  <c r="X36" i="31" s="1"/>
  <c r="J36" i="31"/>
  <c r="H36" i="31"/>
  <c r="D36" i="31"/>
  <c r="L36" i="31" s="1"/>
  <c r="N36" i="31" s="1"/>
  <c r="B36" i="31"/>
  <c r="Z35" i="31"/>
  <c r="X35" i="31"/>
  <c r="L35" i="31"/>
  <c r="N35" i="31" s="1"/>
  <c r="J35" i="31"/>
  <c r="B35" i="31"/>
  <c r="X34" i="31"/>
  <c r="Z34" i="31" s="1"/>
  <c r="L34" i="31"/>
  <c r="N34" i="31" s="1"/>
  <c r="J34" i="31"/>
  <c r="B34" i="31"/>
  <c r="Z33" i="31"/>
  <c r="X33" i="31"/>
  <c r="N33" i="31"/>
  <c r="L33" i="31"/>
  <c r="J33" i="31"/>
  <c r="B33" i="31"/>
  <c r="Z32" i="31"/>
  <c r="X32" i="31"/>
  <c r="V32" i="31"/>
  <c r="N32" i="31"/>
  <c r="L32" i="31"/>
  <c r="B32" i="31"/>
  <c r="X31" i="31"/>
  <c r="Z31" i="31" s="1"/>
  <c r="V31" i="31"/>
  <c r="N31" i="31"/>
  <c r="L31" i="31"/>
  <c r="J31" i="31"/>
  <c r="B31" i="31"/>
  <c r="X30" i="31"/>
  <c r="Z30" i="31" s="1"/>
  <c r="L30" i="31"/>
  <c r="N30" i="31" s="1"/>
  <c r="J30" i="31"/>
  <c r="B30" i="31"/>
  <c r="Z29" i="31"/>
  <c r="X29" i="31"/>
  <c r="N29" i="31"/>
  <c r="L29" i="31"/>
  <c r="F29" i="31"/>
  <c r="B29" i="31"/>
  <c r="X28" i="31"/>
  <c r="Z28" i="31" s="1"/>
  <c r="N28" i="31"/>
  <c r="L28" i="31"/>
  <c r="J28" i="31"/>
  <c r="B28" i="31"/>
  <c r="Z27" i="31"/>
  <c r="X27" i="31"/>
  <c r="V27" i="31"/>
  <c r="L27" i="31"/>
  <c r="N27" i="31" s="1"/>
  <c r="J27" i="31"/>
  <c r="B27" i="31"/>
  <c r="T26" i="31"/>
  <c r="P26" i="31"/>
  <c r="X26" i="31" s="1"/>
  <c r="H26" i="31"/>
  <c r="D26" i="31"/>
  <c r="B26" i="31"/>
  <c r="T25" i="31" a="1"/>
  <c r="T25" i="31"/>
  <c r="P25" i="31" a="1"/>
  <c r="P25" i="31"/>
  <c r="H25" i="31" a="1"/>
  <c r="H25" i="31"/>
  <c r="J25" i="31" s="1"/>
  <c r="D25" i="31" a="1"/>
  <c r="D25" i="31"/>
  <c r="L25" i="31" s="1"/>
  <c r="J23" i="31"/>
  <c r="Z21" i="31"/>
  <c r="X21" i="31"/>
  <c r="N21" i="31"/>
  <c r="L21" i="31"/>
  <c r="J21" i="31"/>
  <c r="B21" i="31"/>
  <c r="Z20" i="31"/>
  <c r="X20" i="31"/>
  <c r="V20" i="31"/>
  <c r="N20" i="31"/>
  <c r="L20" i="31"/>
  <c r="B20" i="31"/>
  <c r="X19" i="31"/>
  <c r="V19" i="31"/>
  <c r="T19" i="31"/>
  <c r="Z19" i="31" s="1"/>
  <c r="P19" i="31"/>
  <c r="N19" i="31"/>
  <c r="L19" i="31"/>
  <c r="H19" i="31"/>
  <c r="H23" i="31" s="1"/>
  <c r="F19" i="31"/>
  <c r="D19" i="31"/>
  <c r="Z17" i="31"/>
  <c r="P17" i="31"/>
  <c r="X17" i="31" s="1"/>
  <c r="N17" i="31"/>
  <c r="D17" i="31"/>
  <c r="L17" i="31" s="1"/>
  <c r="B17" i="31"/>
  <c r="Z16" i="31"/>
  <c r="X16" i="31"/>
  <c r="P16" i="31"/>
  <c r="N16" i="31"/>
  <c r="L16" i="31"/>
  <c r="D16" i="31"/>
  <c r="B16" i="31"/>
  <c r="Z15" i="31"/>
  <c r="P15" i="31"/>
  <c r="X15" i="31" s="1"/>
  <c r="N15" i="31"/>
  <c r="D15" i="31"/>
  <c r="L15" i="31" s="1"/>
  <c r="B15" i="31"/>
  <c r="X14" i="31"/>
  <c r="Z14" i="31" s="1"/>
  <c r="P14" i="31"/>
  <c r="D14" i="31"/>
  <c r="L14" i="31" s="1"/>
  <c r="N14" i="31" s="1"/>
  <c r="B14" i="31"/>
  <c r="P13" i="31"/>
  <c r="X13" i="31" s="1"/>
  <c r="Z13" i="31" s="1"/>
  <c r="L13" i="31"/>
  <c r="N13" i="31" s="1"/>
  <c r="D13" i="31"/>
  <c r="B13" i="31"/>
  <c r="T12" i="31"/>
  <c r="P12" i="31"/>
  <c r="H12" i="31"/>
  <c r="J64" i="31" s="1"/>
  <c r="D12" i="31"/>
  <c r="F51" i="31" s="1"/>
  <c r="D4" i="31"/>
  <c r="B39" i="30"/>
  <c r="B38" i="30"/>
  <c r="T34" i="30"/>
  <c r="Z34" i="30" s="1"/>
  <c r="P34" i="30"/>
  <c r="H34" i="30"/>
  <c r="N34" i="30" s="1"/>
  <c r="D34" i="30"/>
  <c r="T33" i="30"/>
  <c r="Z33" i="30" s="1"/>
  <c r="P33" i="30"/>
  <c r="H33" i="30"/>
  <c r="N33" i="30" s="1"/>
  <c r="D33" i="30"/>
  <c r="T29" i="30"/>
  <c r="Z29" i="30" s="1"/>
  <c r="P29" i="30"/>
  <c r="H29" i="30"/>
  <c r="N29" i="30" s="1"/>
  <c r="D29" i="30"/>
  <c r="T25" i="30"/>
  <c r="Z25" i="30" s="1"/>
  <c r="P25" i="30"/>
  <c r="H25" i="30"/>
  <c r="N25" i="30" s="1"/>
  <c r="D25" i="30"/>
  <c r="B25" i="30"/>
  <c r="T24" i="30"/>
  <c r="Z24" i="30" s="1"/>
  <c r="P24" i="30"/>
  <c r="H24" i="30"/>
  <c r="N24" i="30" s="1"/>
  <c r="D24" i="30"/>
  <c r="T22" i="30"/>
  <c r="P22" i="30"/>
  <c r="H22" i="30"/>
  <c r="N22" i="30" s="1"/>
  <c r="D22" i="30"/>
  <c r="B22" i="30"/>
  <c r="T21" i="30"/>
  <c r="Z21" i="30" s="1"/>
  <c r="P21" i="30"/>
  <c r="H21" i="30"/>
  <c r="N21" i="30" s="1"/>
  <c r="D21" i="30"/>
  <c r="B21" i="30"/>
  <c r="T20" i="30"/>
  <c r="Z20" i="30" s="1"/>
  <c r="P20" i="30"/>
  <c r="H20" i="30"/>
  <c r="N20" i="30" s="1"/>
  <c r="D20" i="30"/>
  <c r="T16" i="30"/>
  <c r="Z16" i="30" s="1"/>
  <c r="P16" i="30"/>
  <c r="H16" i="30"/>
  <c r="N16" i="30" s="1"/>
  <c r="D16" i="30"/>
  <c r="B16" i="30"/>
  <c r="T15" i="30"/>
  <c r="Z15" i="30" s="1"/>
  <c r="P15" i="30"/>
  <c r="H15" i="30"/>
  <c r="N15" i="30" s="1"/>
  <c r="D15" i="30"/>
  <c r="T13" i="30"/>
  <c r="Z13" i="30" s="1"/>
  <c r="P13" i="30"/>
  <c r="H13" i="30"/>
  <c r="N13" i="30" s="1"/>
  <c r="D13" i="30"/>
  <c r="B13" i="30"/>
  <c r="T12" i="30"/>
  <c r="P12" i="30"/>
  <c r="H12" i="30"/>
  <c r="J20" i="30" s="1"/>
  <c r="D12" i="30"/>
  <c r="F16" i="30" s="1"/>
  <c r="D5" i="30"/>
  <c r="D4" i="30"/>
  <c r="B39" i="29"/>
  <c r="B38" i="29"/>
  <c r="T34" i="29"/>
  <c r="Z34" i="29" s="1"/>
  <c r="P34" i="29"/>
  <c r="H34" i="29"/>
  <c r="N34" i="29" s="1"/>
  <c r="D34" i="29"/>
  <c r="T33" i="29"/>
  <c r="Z33" i="29" s="1"/>
  <c r="P33" i="29"/>
  <c r="H33" i="29"/>
  <c r="N33" i="29" s="1"/>
  <c r="D33" i="29"/>
  <c r="T29" i="29"/>
  <c r="Z29" i="29" s="1"/>
  <c r="P29" i="29"/>
  <c r="H29" i="29"/>
  <c r="N29" i="29" s="1"/>
  <c r="D29" i="29"/>
  <c r="T25" i="29"/>
  <c r="Z25" i="29" s="1"/>
  <c r="P25" i="29"/>
  <c r="H25" i="29"/>
  <c r="N25" i="29" s="1"/>
  <c r="D25" i="29"/>
  <c r="B25" i="29"/>
  <c r="T24" i="29"/>
  <c r="Z24" i="29" s="1"/>
  <c r="P24" i="29"/>
  <c r="H24" i="29"/>
  <c r="N24" i="29" s="1"/>
  <c r="D24" i="29"/>
  <c r="T22" i="29"/>
  <c r="Z22" i="29" s="1"/>
  <c r="P22" i="29"/>
  <c r="H22" i="29"/>
  <c r="N22" i="29" s="1"/>
  <c r="D22" i="29"/>
  <c r="B22" i="29"/>
  <c r="T21" i="29"/>
  <c r="Z21" i="29" s="1"/>
  <c r="P21" i="29"/>
  <c r="H21" i="29"/>
  <c r="N21" i="29" s="1"/>
  <c r="D21" i="29"/>
  <c r="B21" i="29"/>
  <c r="T20" i="29"/>
  <c r="Z20" i="29" s="1"/>
  <c r="P20" i="29"/>
  <c r="H20" i="29"/>
  <c r="N20" i="29" s="1"/>
  <c r="D20" i="29"/>
  <c r="T16" i="29"/>
  <c r="Z16" i="29" s="1"/>
  <c r="P16" i="29"/>
  <c r="H16" i="29"/>
  <c r="N16" i="29" s="1"/>
  <c r="D16" i="29"/>
  <c r="B16" i="29"/>
  <c r="T15" i="29"/>
  <c r="Z15" i="29" s="1"/>
  <c r="P15" i="29"/>
  <c r="H15" i="29"/>
  <c r="N15" i="29" s="1"/>
  <c r="D15" i="29"/>
  <c r="T13" i="29"/>
  <c r="Z13" i="29" s="1"/>
  <c r="P13" i="29"/>
  <c r="H13" i="29"/>
  <c r="N13" i="29" s="1"/>
  <c r="D13" i="29"/>
  <c r="B13" i="29"/>
  <c r="T12" i="29"/>
  <c r="V31" i="29" s="1"/>
  <c r="P12" i="29"/>
  <c r="R33" i="29" s="1"/>
  <c r="H12" i="29"/>
  <c r="J24" i="29" s="1"/>
  <c r="D12" i="29"/>
  <c r="F27" i="29" s="1"/>
  <c r="D5" i="29"/>
  <c r="D4" i="29"/>
  <c r="X126" i="28"/>
  <c r="Z126" i="28" s="1"/>
  <c r="N126" i="28"/>
  <c r="L126" i="28"/>
  <c r="Z122" i="28"/>
  <c r="P122" i="28"/>
  <c r="X122" i="28" s="1"/>
  <c r="N122" i="28"/>
  <c r="L122" i="28"/>
  <c r="D122" i="28"/>
  <c r="B122" i="28"/>
  <c r="X121" i="28"/>
  <c r="Z121" i="28" s="1"/>
  <c r="P121" i="28"/>
  <c r="J121" i="28"/>
  <c r="D121" i="28"/>
  <c r="L121" i="28" s="1"/>
  <c r="N121" i="28" s="1"/>
  <c r="B121" i="28"/>
  <c r="P120" i="28"/>
  <c r="P119" i="28" s="1"/>
  <c r="X119" i="28" s="1"/>
  <c r="N120" i="28"/>
  <c r="L120" i="28"/>
  <c r="D120" i="28"/>
  <c r="B120" i="28"/>
  <c r="T119" i="28"/>
  <c r="H119" i="28"/>
  <c r="D119" i="28"/>
  <c r="L119" i="28" s="1"/>
  <c r="X117" i="28"/>
  <c r="Z117" i="28" s="1"/>
  <c r="L117" i="28"/>
  <c r="N117" i="28" s="1"/>
  <c r="B117" i="28"/>
  <c r="T116" i="28"/>
  <c r="X116" i="28" s="1"/>
  <c r="Z116" i="28" s="1"/>
  <c r="P116" i="28"/>
  <c r="H116" i="28"/>
  <c r="D116" i="28"/>
  <c r="L116" i="28" s="1"/>
  <c r="N116" i="28" s="1"/>
  <c r="B116" i="28"/>
  <c r="X115" i="28"/>
  <c r="Z115" i="28" s="1"/>
  <c r="N115" i="28"/>
  <c r="L115" i="28"/>
  <c r="B115" i="28"/>
  <c r="Z114" i="28"/>
  <c r="X114" i="28"/>
  <c r="L114" i="28"/>
  <c r="N114" i="28" s="1"/>
  <c r="J114" i="28"/>
  <c r="B114" i="28"/>
  <c r="T113" i="28"/>
  <c r="P113" i="28"/>
  <c r="X113" i="28" s="1"/>
  <c r="Z113" i="28" s="1"/>
  <c r="L113" i="28"/>
  <c r="H113" i="28"/>
  <c r="D113" i="28"/>
  <c r="B113" i="28"/>
  <c r="Z112" i="28"/>
  <c r="X112" i="28"/>
  <c r="N112" i="28"/>
  <c r="L112" i="28"/>
  <c r="B112" i="28"/>
  <c r="X111" i="28"/>
  <c r="T111" i="28"/>
  <c r="Z111" i="28" s="1"/>
  <c r="P111" i="28"/>
  <c r="H111" i="28"/>
  <c r="D111" i="28"/>
  <c r="B111" i="28"/>
  <c r="X110" i="28"/>
  <c r="Z110" i="28" s="1"/>
  <c r="N110" i="28"/>
  <c r="L110" i="28"/>
  <c r="B110" i="28"/>
  <c r="T109" i="28"/>
  <c r="P109" i="28"/>
  <c r="H109" i="28"/>
  <c r="D109" i="28"/>
  <c r="L109" i="28" s="1"/>
  <c r="B109" i="28"/>
  <c r="Z108" i="28"/>
  <c r="X108" i="28"/>
  <c r="N108" i="28"/>
  <c r="L108" i="28"/>
  <c r="J108" i="28"/>
  <c r="B108" i="28"/>
  <c r="Z107" i="28"/>
  <c r="X107" i="28"/>
  <c r="N107" i="28"/>
  <c r="L107" i="28"/>
  <c r="B107" i="28"/>
  <c r="X106" i="28"/>
  <c r="Z106" i="28" s="1"/>
  <c r="N106" i="28"/>
  <c r="L106" i="28"/>
  <c r="B106" i="28"/>
  <c r="X105" i="28"/>
  <c r="Z105" i="28" s="1"/>
  <c r="L105" i="28"/>
  <c r="N105" i="28" s="1"/>
  <c r="B105" i="28"/>
  <c r="Z104" i="28"/>
  <c r="X104" i="28"/>
  <c r="N104" i="28"/>
  <c r="L104" i="28"/>
  <c r="B104" i="28"/>
  <c r="X103" i="28"/>
  <c r="T103" i="28"/>
  <c r="P103" i="28"/>
  <c r="H103" i="28"/>
  <c r="D103" i="28"/>
  <c r="B103" i="28"/>
  <c r="X102" i="28"/>
  <c r="Z102" i="28" s="1"/>
  <c r="N102" i="28"/>
  <c r="L102" i="28"/>
  <c r="B102" i="28"/>
  <c r="X101" i="28"/>
  <c r="Z101" i="28" s="1"/>
  <c r="N101" i="28"/>
  <c r="L101" i="28"/>
  <c r="B101" i="28"/>
  <c r="T100" i="28"/>
  <c r="P100" i="28"/>
  <c r="X100" i="28" s="1"/>
  <c r="Z100" i="28" s="1"/>
  <c r="L100" i="28"/>
  <c r="N100" i="28" s="1"/>
  <c r="J100" i="28"/>
  <c r="H100" i="28"/>
  <c r="D100" i="28"/>
  <c r="B100" i="28"/>
  <c r="Z99" i="28"/>
  <c r="X99" i="28"/>
  <c r="N99" i="28"/>
  <c r="L99" i="28"/>
  <c r="B99" i="28"/>
  <c r="X98" i="28"/>
  <c r="Z98" i="28" s="1"/>
  <c r="N98" i="28"/>
  <c r="L98" i="28"/>
  <c r="B98" i="28"/>
  <c r="T97" i="28"/>
  <c r="P97" i="28"/>
  <c r="H97" i="28"/>
  <c r="N97" i="28" s="1"/>
  <c r="D97" i="28"/>
  <c r="L97" i="28" s="1"/>
  <c r="B97" i="28"/>
  <c r="Z96" i="28"/>
  <c r="X96" i="28"/>
  <c r="N96" i="28"/>
  <c r="L96" i="28"/>
  <c r="J96" i="28"/>
  <c r="B96" i="28"/>
  <c r="Z95" i="28"/>
  <c r="X95" i="28"/>
  <c r="N95" i="28"/>
  <c r="L95" i="28"/>
  <c r="B95" i="28"/>
  <c r="X94" i="28"/>
  <c r="Z94" i="28" s="1"/>
  <c r="N94" i="28"/>
  <c r="L94" i="28"/>
  <c r="B94" i="28"/>
  <c r="T93" i="28"/>
  <c r="P93" i="28"/>
  <c r="H93" i="28"/>
  <c r="D93" i="28"/>
  <c r="L93" i="28" s="1"/>
  <c r="B93" i="28"/>
  <c r="Z92" i="28"/>
  <c r="X92" i="28"/>
  <c r="N92" i="28"/>
  <c r="L92" i="28"/>
  <c r="J92" i="28"/>
  <c r="B92" i="28"/>
  <c r="Z91" i="28"/>
  <c r="X91" i="28"/>
  <c r="L91" i="28"/>
  <c r="N91" i="28" s="1"/>
  <c r="B91" i="28"/>
  <c r="X90" i="28"/>
  <c r="T90" i="28"/>
  <c r="Z90" i="28" s="1"/>
  <c r="P90" i="28"/>
  <c r="H90" i="28"/>
  <c r="L90" i="28" s="1"/>
  <c r="N90" i="28" s="1"/>
  <c r="D90" i="28"/>
  <c r="B90" i="28"/>
  <c r="X89" i="28"/>
  <c r="Z89" i="28" s="1"/>
  <c r="L89" i="28"/>
  <c r="N89" i="28" s="1"/>
  <c r="B89" i="28"/>
  <c r="T88" i="28"/>
  <c r="X88" i="28" s="1"/>
  <c r="Z88" i="28" s="1"/>
  <c r="P88" i="28"/>
  <c r="N88" i="28"/>
  <c r="J88" i="28"/>
  <c r="H88" i="28"/>
  <c r="D88" i="28"/>
  <c r="L88" i="28" s="1"/>
  <c r="B88" i="28"/>
  <c r="X87" i="28"/>
  <c r="Z87" i="28" s="1"/>
  <c r="N87" i="28"/>
  <c r="L87" i="28"/>
  <c r="B87" i="28"/>
  <c r="Z86" i="28"/>
  <c r="T86" i="28"/>
  <c r="P86" i="28"/>
  <c r="X86" i="28" s="1"/>
  <c r="N86" i="28"/>
  <c r="J86" i="28"/>
  <c r="H86" i="28"/>
  <c r="D86" i="28"/>
  <c r="L86" i="28" s="1"/>
  <c r="B86" i="28"/>
  <c r="X85" i="28"/>
  <c r="Z85" i="28" s="1"/>
  <c r="L85" i="28"/>
  <c r="N85" i="28" s="1"/>
  <c r="B85" i="28"/>
  <c r="T84" i="28"/>
  <c r="P84" i="28"/>
  <c r="X84" i="28" s="1"/>
  <c r="Z84" i="28" s="1"/>
  <c r="L84" i="28"/>
  <c r="J84" i="28"/>
  <c r="H84" i="28"/>
  <c r="N84" i="28" s="1"/>
  <c r="D84" i="28"/>
  <c r="B84" i="28"/>
  <c r="Z83" i="28"/>
  <c r="X83" i="28"/>
  <c r="L83" i="28"/>
  <c r="N83" i="28" s="1"/>
  <c r="B83" i="28"/>
  <c r="X82" i="28"/>
  <c r="T82" i="28"/>
  <c r="Z82" i="28" s="1"/>
  <c r="P82" i="28"/>
  <c r="H82" i="28"/>
  <c r="L82" i="28" s="1"/>
  <c r="N82" i="28" s="1"/>
  <c r="D82" i="28"/>
  <c r="B82" i="28"/>
  <c r="Z81" i="28"/>
  <c r="X81" i="28"/>
  <c r="N81" i="28"/>
  <c r="L81" i="28"/>
  <c r="B81" i="28"/>
  <c r="Z80" i="28"/>
  <c r="X80" i="28"/>
  <c r="N80" i="28"/>
  <c r="L80" i="28"/>
  <c r="J80" i="28"/>
  <c r="B80" i="28"/>
  <c r="T79" i="28"/>
  <c r="Z79" i="28" s="1"/>
  <c r="P79" i="28"/>
  <c r="X79" i="28" s="1"/>
  <c r="N79" i="28"/>
  <c r="H79" i="28"/>
  <c r="D79" i="28"/>
  <c r="L79" i="28" s="1"/>
  <c r="B79" i="28"/>
  <c r="Z78" i="28"/>
  <c r="X78" i="28"/>
  <c r="N78" i="28"/>
  <c r="L78" i="28"/>
  <c r="J78" i="28"/>
  <c r="B78" i="28"/>
  <c r="X77" i="28"/>
  <c r="Z77" i="28" s="1"/>
  <c r="L77" i="28"/>
  <c r="N77" i="28" s="1"/>
  <c r="B77" i="28"/>
  <c r="T76" i="28"/>
  <c r="X76" i="28" s="1"/>
  <c r="Z76" i="28" s="1"/>
  <c r="P76" i="28"/>
  <c r="N76" i="28"/>
  <c r="J76" i="28"/>
  <c r="H76" i="28"/>
  <c r="D76" i="28"/>
  <c r="L76" i="28" s="1"/>
  <c r="B76" i="28"/>
  <c r="Z75" i="28"/>
  <c r="X75" i="28"/>
  <c r="N75" i="28"/>
  <c r="L75" i="28"/>
  <c r="J75" i="28"/>
  <c r="B75" i="28"/>
  <c r="Z74" i="28"/>
  <c r="T74" i="28"/>
  <c r="P74" i="28"/>
  <c r="X74" i="28" s="1"/>
  <c r="N74" i="28"/>
  <c r="J74" i="28"/>
  <c r="H74" i="28"/>
  <c r="D74" i="28"/>
  <c r="L74" i="28" s="1"/>
  <c r="B74" i="28"/>
  <c r="X73" i="28"/>
  <c r="Z73" i="28" s="1"/>
  <c r="L73" i="28"/>
  <c r="N73" i="28" s="1"/>
  <c r="B73" i="28"/>
  <c r="T72" i="28"/>
  <c r="P72" i="28"/>
  <c r="X72" i="28" s="1"/>
  <c r="Z72" i="28" s="1"/>
  <c r="L72" i="28"/>
  <c r="J72" i="28"/>
  <c r="H72" i="28"/>
  <c r="N72" i="28" s="1"/>
  <c r="D72" i="28"/>
  <c r="B72" i="28"/>
  <c r="Z71" i="28"/>
  <c r="X71" i="28"/>
  <c r="N71" i="28"/>
  <c r="L71" i="28"/>
  <c r="B71" i="28"/>
  <c r="X70" i="28"/>
  <c r="T70" i="28"/>
  <c r="Z70" i="28" s="1"/>
  <c r="P70" i="28"/>
  <c r="H70" i="28"/>
  <c r="N70" i="28" s="1"/>
  <c r="D70" i="28"/>
  <c r="B70" i="28"/>
  <c r="X69" i="28"/>
  <c r="Z69" i="28" s="1"/>
  <c r="L69" i="28"/>
  <c r="N69" i="28" s="1"/>
  <c r="B69" i="28"/>
  <c r="T68" i="28"/>
  <c r="P68" i="28"/>
  <c r="N68" i="28"/>
  <c r="J68" i="28"/>
  <c r="H68" i="28"/>
  <c r="D68" i="28"/>
  <c r="L68" i="28" s="1"/>
  <c r="B68" i="28"/>
  <c r="X67" i="28"/>
  <c r="Z67" i="28" s="1"/>
  <c r="N67" i="28"/>
  <c r="L67" i="28"/>
  <c r="J67" i="28"/>
  <c r="B67" i="28"/>
  <c r="T66" i="28"/>
  <c r="P66" i="28"/>
  <c r="X66" i="28" s="1"/>
  <c r="Z66" i="28" s="1"/>
  <c r="J66" i="28"/>
  <c r="H66" i="28"/>
  <c r="D66" i="28"/>
  <c r="L66" i="28" s="1"/>
  <c r="N66" i="28" s="1"/>
  <c r="B66" i="28"/>
  <c r="X65" i="28"/>
  <c r="Z65" i="28" s="1"/>
  <c r="L65" i="28"/>
  <c r="N65" i="28" s="1"/>
  <c r="J65" i="28"/>
  <c r="B65" i="28"/>
  <c r="T64" i="28"/>
  <c r="P64" i="28"/>
  <c r="X64" i="28" s="1"/>
  <c r="Z64" i="28" s="1"/>
  <c r="L64" i="28"/>
  <c r="J64" i="28"/>
  <c r="H64" i="28"/>
  <c r="N64" i="28" s="1"/>
  <c r="D64" i="28"/>
  <c r="B64" i="28"/>
  <c r="Z63" i="28"/>
  <c r="X63" i="28"/>
  <c r="N63" i="28"/>
  <c r="L63" i="28"/>
  <c r="B63" i="28"/>
  <c r="Z62" i="28"/>
  <c r="X62" i="28"/>
  <c r="N62" i="28"/>
  <c r="L62" i="28"/>
  <c r="J62" i="28"/>
  <c r="B62" i="28"/>
  <c r="X61" i="28"/>
  <c r="Z61" i="28" s="1"/>
  <c r="L61" i="28"/>
  <c r="N61" i="28" s="1"/>
  <c r="J61" i="28"/>
  <c r="B61" i="28"/>
  <c r="Z60" i="28"/>
  <c r="X60" i="28"/>
  <c r="N60" i="28"/>
  <c r="L60" i="28"/>
  <c r="B60" i="28"/>
  <c r="Z59" i="28"/>
  <c r="X59" i="28"/>
  <c r="N59" i="28"/>
  <c r="L59" i="28"/>
  <c r="J59" i="28"/>
  <c r="B59" i="28"/>
  <c r="Z58" i="28"/>
  <c r="X58" i="28"/>
  <c r="N58" i="28"/>
  <c r="L58" i="28"/>
  <c r="J58" i="28"/>
  <c r="B58" i="28"/>
  <c r="X57" i="28"/>
  <c r="Z57" i="28" s="1"/>
  <c r="L57" i="28"/>
  <c r="N57" i="28" s="1"/>
  <c r="B57" i="28"/>
  <c r="Z56" i="28"/>
  <c r="X56" i="28"/>
  <c r="N56" i="28"/>
  <c r="L56" i="28"/>
  <c r="J56" i="28"/>
  <c r="B56" i="28"/>
  <c r="Z55" i="28"/>
  <c r="X55" i="28"/>
  <c r="L55" i="28"/>
  <c r="N55" i="28" s="1"/>
  <c r="J55" i="28"/>
  <c r="B55" i="28"/>
  <c r="Z54" i="28"/>
  <c r="X54" i="28"/>
  <c r="N54" i="28"/>
  <c r="L54" i="28"/>
  <c r="J54" i="28"/>
  <c r="B54" i="28"/>
  <c r="T53" i="28"/>
  <c r="P53" i="28"/>
  <c r="H53" i="28"/>
  <c r="D53" i="28"/>
  <c r="L53" i="28" s="1"/>
  <c r="B53" i="28"/>
  <c r="Z52" i="28"/>
  <c r="X52" i="28"/>
  <c r="N52" i="28"/>
  <c r="L52" i="28"/>
  <c r="J52" i="28"/>
  <c r="B52" i="28"/>
  <c r="Z51" i="28"/>
  <c r="X51" i="28"/>
  <c r="L51" i="28"/>
  <c r="N51" i="28" s="1"/>
  <c r="J51" i="28"/>
  <c r="B51" i="28"/>
  <c r="X50" i="28"/>
  <c r="Z50" i="28" s="1"/>
  <c r="N50" i="28"/>
  <c r="L50" i="28"/>
  <c r="J50" i="28"/>
  <c r="B50" i="28"/>
  <c r="Z49" i="28"/>
  <c r="X49" i="28"/>
  <c r="N49" i="28"/>
  <c r="L49" i="28"/>
  <c r="J49" i="28"/>
  <c r="B49" i="28"/>
  <c r="Z48" i="28"/>
  <c r="X48" i="28"/>
  <c r="N48" i="28"/>
  <c r="L48" i="28"/>
  <c r="B48" i="28"/>
  <c r="X47" i="28"/>
  <c r="Z47" i="28" s="1"/>
  <c r="N47" i="28"/>
  <c r="L47" i="28"/>
  <c r="J47" i="28"/>
  <c r="B47" i="28"/>
  <c r="Z46" i="28"/>
  <c r="X46" i="28"/>
  <c r="L46" i="28"/>
  <c r="N46" i="28" s="1"/>
  <c r="J46" i="28"/>
  <c r="B46" i="28"/>
  <c r="X45" i="28"/>
  <c r="Z45" i="28" s="1"/>
  <c r="L45" i="28"/>
  <c r="N45" i="28" s="1"/>
  <c r="B45" i="28"/>
  <c r="Z44" i="28"/>
  <c r="X44" i="28"/>
  <c r="N44" i="28"/>
  <c r="L44" i="28"/>
  <c r="J44" i="28"/>
  <c r="B44" i="28"/>
  <c r="T43" i="28"/>
  <c r="Z43" i="28" s="1"/>
  <c r="P43" i="28"/>
  <c r="X43" i="28" s="1"/>
  <c r="J43" i="28"/>
  <c r="H43" i="28"/>
  <c r="D43" i="28"/>
  <c r="L43" i="28" s="1"/>
  <c r="N43" i="28" s="1"/>
  <c r="B43" i="28"/>
  <c r="T42" i="28" a="1"/>
  <c r="T42" i="28" s="1"/>
  <c r="Z42" i="28" s="1"/>
  <c r="P42" i="28" a="1"/>
  <c r="P42" i="28" s="1"/>
  <c r="X42" i="28" s="1"/>
  <c r="H42" i="28" a="1"/>
  <c r="H42" i="28" s="1"/>
  <c r="D42" i="28" a="1"/>
  <c r="D42" i="28" s="1"/>
  <c r="Z38" i="28"/>
  <c r="X38" i="28"/>
  <c r="N38" i="28"/>
  <c r="L38" i="28"/>
  <c r="J38" i="28"/>
  <c r="B38" i="28"/>
  <c r="Z37" i="28"/>
  <c r="X37" i="28"/>
  <c r="N37" i="28"/>
  <c r="L37" i="28"/>
  <c r="J37" i="28"/>
  <c r="B37" i="28"/>
  <c r="Z36" i="28"/>
  <c r="X36" i="28"/>
  <c r="N36" i="28"/>
  <c r="L36" i="28"/>
  <c r="B36" i="28"/>
  <c r="Z35" i="28"/>
  <c r="X35" i="28"/>
  <c r="N35" i="28"/>
  <c r="L35" i="28"/>
  <c r="J35" i="28"/>
  <c r="B35" i="28"/>
  <c r="Z34" i="28"/>
  <c r="X34" i="28"/>
  <c r="N34" i="28"/>
  <c r="L34" i="28"/>
  <c r="J34" i="28"/>
  <c r="B34" i="28"/>
  <c r="Z33" i="28"/>
  <c r="X33" i="28"/>
  <c r="N33" i="28"/>
  <c r="L33" i="28"/>
  <c r="B33" i="28"/>
  <c r="Z32" i="28"/>
  <c r="X32" i="28"/>
  <c r="N32" i="28"/>
  <c r="L32" i="28"/>
  <c r="J32" i="28"/>
  <c r="B32" i="28"/>
  <c r="Z31" i="28"/>
  <c r="X31" i="28"/>
  <c r="N31" i="28"/>
  <c r="L31" i="28"/>
  <c r="J31" i="28"/>
  <c r="B31" i="28"/>
  <c r="Z30" i="28"/>
  <c r="X30" i="28"/>
  <c r="N30" i="28"/>
  <c r="L30" i="28"/>
  <c r="J30" i="28"/>
  <c r="B30" i="28"/>
  <c r="Z29" i="28"/>
  <c r="X29" i="28"/>
  <c r="N29" i="28"/>
  <c r="L29" i="28"/>
  <c r="J29" i="28"/>
  <c r="B29" i="28"/>
  <c r="Z28" i="28"/>
  <c r="X28" i="28"/>
  <c r="N28" i="28"/>
  <c r="L28" i="28"/>
  <c r="B28" i="28"/>
  <c r="Z27" i="28"/>
  <c r="X27" i="28"/>
  <c r="N27" i="28"/>
  <c r="L27" i="28"/>
  <c r="J27" i="28"/>
  <c r="B27" i="28"/>
  <c r="Z26" i="28"/>
  <c r="X26" i="28"/>
  <c r="N26" i="28"/>
  <c r="L26" i="28"/>
  <c r="J26" i="28"/>
  <c r="B26" i="28"/>
  <c r="Z25" i="28"/>
  <c r="X25" i="28"/>
  <c r="N25" i="28"/>
  <c r="L25" i="28"/>
  <c r="B25" i="28"/>
  <c r="Z24" i="28"/>
  <c r="X24" i="28"/>
  <c r="N24" i="28"/>
  <c r="L24" i="28"/>
  <c r="J24" i="28"/>
  <c r="B24" i="28"/>
  <c r="Z23" i="28"/>
  <c r="X23" i="28"/>
  <c r="N23" i="28"/>
  <c r="L23" i="28"/>
  <c r="J23" i="28"/>
  <c r="B23" i="28"/>
  <c r="Z22" i="28"/>
  <c r="X22" i="28"/>
  <c r="N22" i="28"/>
  <c r="L22" i="28"/>
  <c r="J22" i="28"/>
  <c r="B22" i="28"/>
  <c r="Z21" i="28"/>
  <c r="X21" i="28"/>
  <c r="N21" i="28"/>
  <c r="L21" i="28"/>
  <c r="J21" i="28"/>
  <c r="B21" i="28"/>
  <c r="Z20" i="28"/>
  <c r="X20" i="28"/>
  <c r="L20" i="28"/>
  <c r="N20" i="28" s="1"/>
  <c r="B20" i="28"/>
  <c r="X19" i="28"/>
  <c r="T19" i="28"/>
  <c r="P19" i="28"/>
  <c r="H19" i="28"/>
  <c r="D19" i="28"/>
  <c r="Z17" i="28"/>
  <c r="P17" i="28"/>
  <c r="X17" i="28" s="1"/>
  <c r="N17" i="28"/>
  <c r="D17" i="28"/>
  <c r="L17" i="28" s="1"/>
  <c r="B17" i="28"/>
  <c r="Z16" i="28"/>
  <c r="X16" i="28"/>
  <c r="P16" i="28"/>
  <c r="N16" i="28"/>
  <c r="L16" i="28"/>
  <c r="D16" i="28"/>
  <c r="B16" i="28"/>
  <c r="Z15" i="28"/>
  <c r="P15" i="28"/>
  <c r="X15" i="28" s="1"/>
  <c r="N15" i="28"/>
  <c r="D15" i="28"/>
  <c r="L15" i="28" s="1"/>
  <c r="B15" i="28"/>
  <c r="Z14" i="28"/>
  <c r="P14" i="28"/>
  <c r="X14" i="28" s="1"/>
  <c r="N14" i="28"/>
  <c r="D14" i="28"/>
  <c r="L14" i="28" s="1"/>
  <c r="B14" i="28"/>
  <c r="X13" i="28"/>
  <c r="Z13" i="28" s="1"/>
  <c r="P13" i="28"/>
  <c r="L13" i="28"/>
  <c r="N13" i="28" s="1"/>
  <c r="D13" i="28"/>
  <c r="B13" i="28"/>
  <c r="T12" i="28"/>
  <c r="V64" i="28" s="1"/>
  <c r="H12" i="28"/>
  <c r="J126" i="28" s="1"/>
  <c r="D4" i="28"/>
  <c r="B39" i="27"/>
  <c r="B38" i="27"/>
  <c r="T34" i="27"/>
  <c r="P34" i="27"/>
  <c r="H34" i="27"/>
  <c r="N34" i="27" s="1"/>
  <c r="D34" i="27"/>
  <c r="T33" i="27"/>
  <c r="Z33" i="27" s="1"/>
  <c r="P33" i="27"/>
  <c r="H33" i="27"/>
  <c r="N33" i="27" s="1"/>
  <c r="D33" i="27"/>
  <c r="T29" i="27"/>
  <c r="Z29" i="27" s="1"/>
  <c r="P29" i="27"/>
  <c r="H29" i="27"/>
  <c r="N29" i="27" s="1"/>
  <c r="D29" i="27"/>
  <c r="T25" i="27"/>
  <c r="Z25" i="27" s="1"/>
  <c r="P25" i="27"/>
  <c r="H25" i="27"/>
  <c r="N25" i="27" s="1"/>
  <c r="D25" i="27"/>
  <c r="B25" i="27"/>
  <c r="T24" i="27"/>
  <c r="Z24" i="27" s="1"/>
  <c r="P24" i="27"/>
  <c r="H24" i="27"/>
  <c r="N24" i="27" s="1"/>
  <c r="D24" i="27"/>
  <c r="T22" i="27"/>
  <c r="Z22" i="27" s="1"/>
  <c r="P22" i="27"/>
  <c r="H22" i="27"/>
  <c r="N22" i="27" s="1"/>
  <c r="D22" i="27"/>
  <c r="B22" i="27"/>
  <c r="T21" i="27"/>
  <c r="Z21" i="27" s="1"/>
  <c r="P21" i="27"/>
  <c r="H21" i="27"/>
  <c r="D21" i="27"/>
  <c r="B21" i="27"/>
  <c r="T20" i="27"/>
  <c r="Z20" i="27" s="1"/>
  <c r="P20" i="27"/>
  <c r="H20" i="27"/>
  <c r="N20" i="27" s="1"/>
  <c r="D20" i="27"/>
  <c r="T16" i="27"/>
  <c r="Z16" i="27" s="1"/>
  <c r="P16" i="27"/>
  <c r="H16" i="27"/>
  <c r="N16" i="27" s="1"/>
  <c r="D16" i="27"/>
  <c r="B16" i="27"/>
  <c r="T15" i="27"/>
  <c r="Z15" i="27" s="1"/>
  <c r="P15" i="27"/>
  <c r="H15" i="27"/>
  <c r="D15" i="27"/>
  <c r="T13" i="27"/>
  <c r="Z13" i="27" s="1"/>
  <c r="P13" i="27"/>
  <c r="H13" i="27"/>
  <c r="N13" i="27" s="1"/>
  <c r="D13" i="27"/>
  <c r="B13" i="27"/>
  <c r="T12" i="27"/>
  <c r="P12" i="27"/>
  <c r="R34" i="27" s="1"/>
  <c r="H12" i="27"/>
  <c r="J20" i="27" s="1"/>
  <c r="D12" i="27"/>
  <c r="F21" i="27" s="1"/>
  <c r="D5" i="27"/>
  <c r="D4" i="27"/>
  <c r="B39" i="26"/>
  <c r="B38" i="26"/>
  <c r="T34" i="26"/>
  <c r="Z34" i="26" s="1"/>
  <c r="P34" i="26"/>
  <c r="H34" i="26"/>
  <c r="N34" i="26" s="1"/>
  <c r="D34" i="26"/>
  <c r="T33" i="26"/>
  <c r="Z33" i="26" s="1"/>
  <c r="P33" i="26"/>
  <c r="H33" i="26"/>
  <c r="N33" i="26" s="1"/>
  <c r="D33" i="26"/>
  <c r="T29" i="26"/>
  <c r="Z29" i="26" s="1"/>
  <c r="P29" i="26"/>
  <c r="H29" i="26"/>
  <c r="N29" i="26" s="1"/>
  <c r="D29" i="26"/>
  <c r="T25" i="26"/>
  <c r="Z25" i="26" s="1"/>
  <c r="P25" i="26"/>
  <c r="H25" i="26"/>
  <c r="N25" i="26" s="1"/>
  <c r="D25" i="26"/>
  <c r="B25" i="26"/>
  <c r="T24" i="26"/>
  <c r="Z24" i="26" s="1"/>
  <c r="P24" i="26"/>
  <c r="H24" i="26"/>
  <c r="D24" i="26"/>
  <c r="T22" i="26"/>
  <c r="Z22" i="26" s="1"/>
  <c r="P22" i="26"/>
  <c r="H22" i="26"/>
  <c r="N22" i="26" s="1"/>
  <c r="D22" i="26"/>
  <c r="B22" i="26"/>
  <c r="T21" i="26"/>
  <c r="Z21" i="26" s="1"/>
  <c r="P21" i="26"/>
  <c r="H21" i="26"/>
  <c r="N21" i="26" s="1"/>
  <c r="D21" i="26"/>
  <c r="B21" i="26"/>
  <c r="T20" i="26"/>
  <c r="P20" i="26"/>
  <c r="H20" i="26"/>
  <c r="N20" i="26" s="1"/>
  <c r="D20" i="26"/>
  <c r="T16" i="26"/>
  <c r="P16" i="26"/>
  <c r="H16" i="26"/>
  <c r="N16" i="26" s="1"/>
  <c r="D16" i="26"/>
  <c r="B16" i="26"/>
  <c r="T15" i="26"/>
  <c r="Z15" i="26" s="1"/>
  <c r="P15" i="26"/>
  <c r="H15" i="26"/>
  <c r="N15" i="26" s="1"/>
  <c r="D15" i="26"/>
  <c r="T13" i="26"/>
  <c r="Z13" i="26" s="1"/>
  <c r="P13" i="26"/>
  <c r="H13" i="26"/>
  <c r="N13" i="26" s="1"/>
  <c r="D13" i="26"/>
  <c r="B13" i="26"/>
  <c r="T12" i="26"/>
  <c r="V24" i="26" s="1"/>
  <c r="P12" i="26"/>
  <c r="R20" i="26" s="1"/>
  <c r="H12" i="26"/>
  <c r="J18" i="26" s="1"/>
  <c r="D12" i="26"/>
  <c r="F24" i="26" s="1"/>
  <c r="D5" i="26"/>
  <c r="D4" i="26"/>
  <c r="X95" i="25"/>
  <c r="Z95" i="25" s="1"/>
  <c r="L95" i="25"/>
  <c r="N95" i="25" s="1"/>
  <c r="Z91" i="25"/>
  <c r="X91" i="25"/>
  <c r="P91" i="25"/>
  <c r="N91" i="25"/>
  <c r="D91" i="25"/>
  <c r="L91" i="25" s="1"/>
  <c r="B91" i="25"/>
  <c r="Z90" i="25"/>
  <c r="X90" i="25"/>
  <c r="P90" i="25"/>
  <c r="N90" i="25"/>
  <c r="L90" i="25"/>
  <c r="D90" i="25"/>
  <c r="D87" i="25" s="1"/>
  <c r="B90" i="25"/>
  <c r="P89" i="25"/>
  <c r="X89" i="25" s="1"/>
  <c r="Z89" i="25" s="1"/>
  <c r="N89" i="25"/>
  <c r="L89" i="25"/>
  <c r="D89" i="25"/>
  <c r="B89" i="25"/>
  <c r="V88" i="25"/>
  <c r="P88" i="25"/>
  <c r="X88" i="25" s="1"/>
  <c r="Z88" i="25" s="1"/>
  <c r="D88" i="25"/>
  <c r="L88" i="25" s="1"/>
  <c r="N88" i="25" s="1"/>
  <c r="B88" i="25"/>
  <c r="T87" i="25"/>
  <c r="P87" i="25"/>
  <c r="X87" i="25" s="1"/>
  <c r="Z87" i="25" s="1"/>
  <c r="L87" i="25"/>
  <c r="H87" i="25"/>
  <c r="Z85" i="25"/>
  <c r="X85" i="25"/>
  <c r="N85" i="25"/>
  <c r="L85" i="25"/>
  <c r="B85" i="25"/>
  <c r="Z84" i="25"/>
  <c r="T84" i="25"/>
  <c r="P84" i="25"/>
  <c r="X84" i="25" s="1"/>
  <c r="L84" i="25"/>
  <c r="J84" i="25"/>
  <c r="H84" i="25"/>
  <c r="N84" i="25" s="1"/>
  <c r="D84" i="25"/>
  <c r="B84" i="25"/>
  <c r="Z83" i="25"/>
  <c r="X83" i="25"/>
  <c r="L83" i="25"/>
  <c r="N83" i="25" s="1"/>
  <c r="B83" i="25"/>
  <c r="Z82" i="25"/>
  <c r="X82" i="25"/>
  <c r="N82" i="25"/>
  <c r="L82" i="25"/>
  <c r="B82" i="25"/>
  <c r="T81" i="25"/>
  <c r="P81" i="25"/>
  <c r="H81" i="25"/>
  <c r="N81" i="25" s="1"/>
  <c r="D81" i="25"/>
  <c r="L81" i="25" s="1"/>
  <c r="B81" i="25"/>
  <c r="Z80" i="25"/>
  <c r="X80" i="25"/>
  <c r="N80" i="25"/>
  <c r="L80" i="25"/>
  <c r="J80" i="25"/>
  <c r="B80" i="25"/>
  <c r="Z79" i="25"/>
  <c r="X79" i="25"/>
  <c r="L79" i="25"/>
  <c r="N79" i="25" s="1"/>
  <c r="B79" i="25"/>
  <c r="X78" i="25"/>
  <c r="T78" i="25"/>
  <c r="Z78" i="25" s="1"/>
  <c r="P78" i="25"/>
  <c r="H78" i="25"/>
  <c r="D78" i="25"/>
  <c r="B78" i="25"/>
  <c r="X77" i="25"/>
  <c r="Z77" i="25" s="1"/>
  <c r="N77" i="25"/>
  <c r="L77" i="25"/>
  <c r="B77" i="25"/>
  <c r="Z76" i="25"/>
  <c r="X76" i="25"/>
  <c r="N76" i="25"/>
  <c r="L76" i="25"/>
  <c r="J76" i="25"/>
  <c r="B76" i="25"/>
  <c r="T75" i="25"/>
  <c r="P75" i="25"/>
  <c r="X75" i="25" s="1"/>
  <c r="H75" i="25"/>
  <c r="D75" i="25"/>
  <c r="L75" i="25" s="1"/>
  <c r="N75" i="25" s="1"/>
  <c r="B75" i="25"/>
  <c r="Z74" i="25"/>
  <c r="X74" i="25"/>
  <c r="L74" i="25"/>
  <c r="N74" i="25" s="1"/>
  <c r="J74" i="25"/>
  <c r="B74" i="25"/>
  <c r="X73" i="25"/>
  <c r="Z73" i="25" s="1"/>
  <c r="L73" i="25"/>
  <c r="N73" i="25" s="1"/>
  <c r="B73" i="25"/>
  <c r="Z72" i="25"/>
  <c r="X72" i="25"/>
  <c r="N72" i="25"/>
  <c r="L72" i="25"/>
  <c r="J72" i="25"/>
  <c r="B72" i="25"/>
  <c r="T71" i="25"/>
  <c r="Z71" i="25" s="1"/>
  <c r="P71" i="25"/>
  <c r="X71" i="25" s="1"/>
  <c r="H71" i="25"/>
  <c r="D71" i="25"/>
  <c r="L71" i="25" s="1"/>
  <c r="N71" i="25" s="1"/>
  <c r="B71" i="25"/>
  <c r="Z70" i="25"/>
  <c r="X70" i="25"/>
  <c r="L70" i="25"/>
  <c r="N70" i="25" s="1"/>
  <c r="J70" i="25"/>
  <c r="B70" i="25"/>
  <c r="T69" i="25"/>
  <c r="P69" i="25"/>
  <c r="X69" i="25" s="1"/>
  <c r="Z69" i="25" s="1"/>
  <c r="L69" i="25"/>
  <c r="H69" i="25"/>
  <c r="N69" i="25" s="1"/>
  <c r="D69" i="25"/>
  <c r="B69" i="25"/>
  <c r="Z68" i="25"/>
  <c r="X68" i="25"/>
  <c r="V68" i="25"/>
  <c r="N68" i="25"/>
  <c r="L68" i="25"/>
  <c r="B68" i="25"/>
  <c r="X67" i="25"/>
  <c r="T67" i="25"/>
  <c r="P67" i="25"/>
  <c r="H67" i="25"/>
  <c r="D67" i="25"/>
  <c r="B67" i="25"/>
  <c r="Z66" i="25"/>
  <c r="X66" i="25"/>
  <c r="N66" i="25"/>
  <c r="L66" i="25"/>
  <c r="J66" i="25"/>
  <c r="B66" i="25"/>
  <c r="X65" i="25"/>
  <c r="Z65" i="25" s="1"/>
  <c r="L65" i="25"/>
  <c r="N65" i="25" s="1"/>
  <c r="B65" i="25"/>
  <c r="V64" i="25"/>
  <c r="T64" i="25"/>
  <c r="P64" i="25"/>
  <c r="X64" i="25" s="1"/>
  <c r="Z64" i="25" s="1"/>
  <c r="L64" i="25"/>
  <c r="J64" i="25"/>
  <c r="H64" i="25"/>
  <c r="N64" i="25" s="1"/>
  <c r="D64" i="25"/>
  <c r="B64" i="25"/>
  <c r="Z63" i="25"/>
  <c r="X63" i="25"/>
  <c r="L63" i="25"/>
  <c r="N63" i="25" s="1"/>
  <c r="B63" i="25"/>
  <c r="X62" i="25"/>
  <c r="T62" i="25"/>
  <c r="Z62" i="25" s="1"/>
  <c r="P62" i="25"/>
  <c r="H62" i="25"/>
  <c r="D62" i="25"/>
  <c r="B62" i="25"/>
  <c r="X61" i="25"/>
  <c r="Z61" i="25" s="1"/>
  <c r="L61" i="25"/>
  <c r="N61" i="25" s="1"/>
  <c r="B61" i="25"/>
  <c r="T60" i="25"/>
  <c r="P60" i="25"/>
  <c r="N60" i="25"/>
  <c r="J60" i="25"/>
  <c r="H60" i="25"/>
  <c r="D60" i="25"/>
  <c r="L60" i="25" s="1"/>
  <c r="B60" i="25"/>
  <c r="Z59" i="25"/>
  <c r="X59" i="25"/>
  <c r="N59" i="25"/>
  <c r="L59" i="25"/>
  <c r="J59" i="25"/>
  <c r="B59" i="25"/>
  <c r="Z58" i="25"/>
  <c r="T58" i="25"/>
  <c r="P58" i="25"/>
  <c r="X58" i="25" s="1"/>
  <c r="N58" i="25"/>
  <c r="J58" i="25"/>
  <c r="H58" i="25"/>
  <c r="D58" i="25"/>
  <c r="L58" i="25" s="1"/>
  <c r="B58" i="25"/>
  <c r="X57" i="25"/>
  <c r="Z57" i="25" s="1"/>
  <c r="L57" i="25"/>
  <c r="N57" i="25" s="1"/>
  <c r="J57" i="25"/>
  <c r="B57" i="25"/>
  <c r="V56" i="25"/>
  <c r="T56" i="25"/>
  <c r="P56" i="25"/>
  <c r="X56" i="25" s="1"/>
  <c r="Z56" i="25" s="1"/>
  <c r="L56" i="25"/>
  <c r="J56" i="25"/>
  <c r="H56" i="25"/>
  <c r="N56" i="25" s="1"/>
  <c r="D56" i="25"/>
  <c r="B56" i="25"/>
  <c r="Z55" i="25"/>
  <c r="X55" i="25"/>
  <c r="N55" i="25"/>
  <c r="L55" i="25"/>
  <c r="B55" i="25"/>
  <c r="Z54" i="25"/>
  <c r="X54" i="25"/>
  <c r="N54" i="25"/>
  <c r="L54" i="25"/>
  <c r="J54" i="25"/>
  <c r="B54" i="25"/>
  <c r="X53" i="25"/>
  <c r="Z53" i="25" s="1"/>
  <c r="L53" i="25"/>
  <c r="N53" i="25" s="1"/>
  <c r="J53" i="25"/>
  <c r="B53" i="25"/>
  <c r="Z52" i="25"/>
  <c r="X52" i="25"/>
  <c r="V52" i="25"/>
  <c r="N52" i="25"/>
  <c r="L52" i="25"/>
  <c r="B52" i="25"/>
  <c r="Z51" i="25"/>
  <c r="X51" i="25"/>
  <c r="N51" i="25"/>
  <c r="L51" i="25"/>
  <c r="J51" i="25"/>
  <c r="B51" i="25"/>
  <c r="Z50" i="25"/>
  <c r="X50" i="25"/>
  <c r="L50" i="25"/>
  <c r="N50" i="25" s="1"/>
  <c r="J50" i="25"/>
  <c r="B50" i="25"/>
  <c r="X49" i="25"/>
  <c r="Z49" i="25" s="1"/>
  <c r="L49" i="25"/>
  <c r="N49" i="25" s="1"/>
  <c r="B49" i="25"/>
  <c r="Z48" i="25"/>
  <c r="X48" i="25"/>
  <c r="N48" i="25"/>
  <c r="L48" i="25"/>
  <c r="J48" i="25"/>
  <c r="B48" i="25"/>
  <c r="Z47" i="25"/>
  <c r="X47" i="25"/>
  <c r="L47" i="25"/>
  <c r="N47" i="25" s="1"/>
  <c r="B47" i="25"/>
  <c r="Z46" i="25"/>
  <c r="X46" i="25"/>
  <c r="N46" i="25"/>
  <c r="L46" i="25"/>
  <c r="J46" i="25"/>
  <c r="B46" i="25"/>
  <c r="T45" i="25"/>
  <c r="P45" i="25"/>
  <c r="H45" i="25"/>
  <c r="N45" i="25" s="1"/>
  <c r="D45" i="25"/>
  <c r="L45" i="25" s="1"/>
  <c r="B45" i="25"/>
  <c r="Z44" i="25"/>
  <c r="X44" i="25"/>
  <c r="N44" i="25"/>
  <c r="L44" i="25"/>
  <c r="J44" i="25"/>
  <c r="B44" i="25"/>
  <c r="Z43" i="25"/>
  <c r="X43" i="25"/>
  <c r="L43" i="25"/>
  <c r="N43" i="25" s="1"/>
  <c r="B43" i="25"/>
  <c r="X42" i="25"/>
  <c r="Z42" i="25" s="1"/>
  <c r="N42" i="25"/>
  <c r="L42" i="25"/>
  <c r="J42" i="25"/>
  <c r="B42" i="25"/>
  <c r="Z41" i="25"/>
  <c r="X41" i="25"/>
  <c r="N41" i="25"/>
  <c r="L41" i="25"/>
  <c r="J41" i="25"/>
  <c r="B41" i="25"/>
  <c r="Z40" i="25"/>
  <c r="X40" i="25"/>
  <c r="V40" i="25"/>
  <c r="N40" i="25"/>
  <c r="L40" i="25"/>
  <c r="B40" i="25"/>
  <c r="X39" i="25"/>
  <c r="Z39" i="25" s="1"/>
  <c r="N39" i="25"/>
  <c r="L39" i="25"/>
  <c r="J39" i="25"/>
  <c r="B39" i="25"/>
  <c r="Z38" i="25"/>
  <c r="X38" i="25"/>
  <c r="L38" i="25"/>
  <c r="N38" i="25" s="1"/>
  <c r="J38" i="25"/>
  <c r="B38" i="25"/>
  <c r="X37" i="25"/>
  <c r="Z37" i="25" s="1"/>
  <c r="L37" i="25"/>
  <c r="N37" i="25" s="1"/>
  <c r="B37" i="25"/>
  <c r="Z36" i="25"/>
  <c r="X36" i="25"/>
  <c r="N36" i="25"/>
  <c r="L36" i="25"/>
  <c r="J36" i="25"/>
  <c r="B36" i="25"/>
  <c r="Z35" i="25"/>
  <c r="X35" i="25"/>
  <c r="L35" i="25"/>
  <c r="N35" i="25" s="1"/>
  <c r="J35" i="25"/>
  <c r="B35" i="25"/>
  <c r="X34" i="25"/>
  <c r="Z34" i="25" s="1"/>
  <c r="T34" i="25"/>
  <c r="P34" i="25"/>
  <c r="H34" i="25"/>
  <c r="D34" i="25"/>
  <c r="B34" i="25"/>
  <c r="T33" i="25" a="1"/>
  <c r="T33" i="25"/>
  <c r="Z33" i="25" s="1"/>
  <c r="P33" i="25" a="1"/>
  <c r="P33" i="25"/>
  <c r="X33" i="25" s="1"/>
  <c r="H33" i="25" a="1"/>
  <c r="H33" i="25"/>
  <c r="D33" i="25" a="1"/>
  <c r="D33" i="25"/>
  <c r="L33" i="25" s="1"/>
  <c r="Z29" i="25"/>
  <c r="X29" i="25"/>
  <c r="N29" i="25"/>
  <c r="L29" i="25"/>
  <c r="J29" i="25"/>
  <c r="B29" i="25"/>
  <c r="Z28" i="25"/>
  <c r="X28" i="25"/>
  <c r="V28" i="25"/>
  <c r="N28" i="25"/>
  <c r="L28" i="25"/>
  <c r="B28" i="25"/>
  <c r="Z27" i="25"/>
  <c r="X27" i="25"/>
  <c r="N27" i="25"/>
  <c r="L27" i="25"/>
  <c r="J27" i="25"/>
  <c r="B27" i="25"/>
  <c r="Z26" i="25"/>
  <c r="X26" i="25"/>
  <c r="N26" i="25"/>
  <c r="L26" i="25"/>
  <c r="J26" i="25"/>
  <c r="B26" i="25"/>
  <c r="Z25" i="25"/>
  <c r="X25" i="25"/>
  <c r="N25" i="25"/>
  <c r="L25" i="25"/>
  <c r="B25" i="25"/>
  <c r="Z24" i="25"/>
  <c r="X24" i="25"/>
  <c r="N24" i="25"/>
  <c r="L24" i="25"/>
  <c r="J24" i="25"/>
  <c r="B24" i="25"/>
  <c r="Z23" i="25"/>
  <c r="X23" i="25"/>
  <c r="N23" i="25"/>
  <c r="L23" i="25"/>
  <c r="J23" i="25"/>
  <c r="B23" i="25"/>
  <c r="Z22" i="25"/>
  <c r="X22" i="25"/>
  <c r="V22" i="25"/>
  <c r="N22" i="25"/>
  <c r="L22" i="25"/>
  <c r="J22" i="25"/>
  <c r="B22" i="25"/>
  <c r="Z21" i="25"/>
  <c r="X21" i="25"/>
  <c r="N21" i="25"/>
  <c r="L21" i="25"/>
  <c r="J21" i="25"/>
  <c r="B21" i="25"/>
  <c r="Z20" i="25"/>
  <c r="X20" i="25"/>
  <c r="N20" i="25"/>
  <c r="L20" i="25"/>
  <c r="B20" i="25"/>
  <c r="X19" i="25"/>
  <c r="T19" i="25"/>
  <c r="P19" i="25"/>
  <c r="L19" i="25"/>
  <c r="H19" i="25"/>
  <c r="D19" i="25"/>
  <c r="Z17" i="25"/>
  <c r="P17" i="25"/>
  <c r="X17" i="25" s="1"/>
  <c r="N17" i="25"/>
  <c r="D17" i="25"/>
  <c r="L17" i="25" s="1"/>
  <c r="B17" i="25"/>
  <c r="Z16" i="25"/>
  <c r="X16" i="25"/>
  <c r="P16" i="25"/>
  <c r="N16" i="25"/>
  <c r="L16" i="25"/>
  <c r="D16" i="25"/>
  <c r="B16" i="25"/>
  <c r="Z15" i="25"/>
  <c r="X15" i="25"/>
  <c r="P15" i="25"/>
  <c r="N15" i="25"/>
  <c r="D15" i="25"/>
  <c r="B15" i="25"/>
  <c r="Z14" i="25"/>
  <c r="P14" i="25"/>
  <c r="X14" i="25" s="1"/>
  <c r="N14" i="25"/>
  <c r="D14" i="25"/>
  <c r="L14" i="25" s="1"/>
  <c r="B14" i="25"/>
  <c r="X13" i="25"/>
  <c r="Z13" i="25" s="1"/>
  <c r="P13" i="25"/>
  <c r="N13" i="25"/>
  <c r="L13" i="25"/>
  <c r="D13" i="25"/>
  <c r="B13" i="25"/>
  <c r="T12" i="25"/>
  <c r="H12" i="25"/>
  <c r="D4" i="25"/>
  <c r="B39" i="24"/>
  <c r="B38" i="24"/>
  <c r="T34" i="24"/>
  <c r="P34" i="24"/>
  <c r="H34" i="24"/>
  <c r="N34" i="24" s="1"/>
  <c r="D34" i="24"/>
  <c r="T33" i="24"/>
  <c r="Z33" i="24" s="1"/>
  <c r="P33" i="24"/>
  <c r="H33" i="24"/>
  <c r="N33" i="24" s="1"/>
  <c r="D33" i="24"/>
  <c r="T29" i="24"/>
  <c r="Z29" i="24" s="1"/>
  <c r="P29" i="24"/>
  <c r="H29" i="24"/>
  <c r="N29" i="24" s="1"/>
  <c r="D29" i="24"/>
  <c r="T25" i="24"/>
  <c r="Z25" i="24" s="1"/>
  <c r="P25" i="24"/>
  <c r="H25" i="24"/>
  <c r="N25" i="24" s="1"/>
  <c r="D25" i="24"/>
  <c r="B25" i="24"/>
  <c r="T24" i="24"/>
  <c r="Z24" i="24" s="1"/>
  <c r="P24" i="24"/>
  <c r="H24" i="24"/>
  <c r="N24" i="24" s="1"/>
  <c r="D24" i="24"/>
  <c r="T22" i="24"/>
  <c r="P22" i="24"/>
  <c r="H22" i="24"/>
  <c r="N22" i="24" s="1"/>
  <c r="D22" i="24"/>
  <c r="B22" i="24"/>
  <c r="T21" i="24"/>
  <c r="Z21" i="24" s="1"/>
  <c r="P21" i="24"/>
  <c r="H21" i="24"/>
  <c r="N21" i="24" s="1"/>
  <c r="D21" i="24"/>
  <c r="B21" i="24"/>
  <c r="T20" i="24"/>
  <c r="Z20" i="24" s="1"/>
  <c r="P20" i="24"/>
  <c r="H20" i="24"/>
  <c r="D20" i="24"/>
  <c r="T16" i="24"/>
  <c r="Z16" i="24" s="1"/>
  <c r="P16" i="24"/>
  <c r="H16" i="24"/>
  <c r="N16" i="24" s="1"/>
  <c r="D16" i="24"/>
  <c r="B16" i="24"/>
  <c r="T15" i="24"/>
  <c r="Z15" i="24" s="1"/>
  <c r="P15" i="24"/>
  <c r="H15" i="24"/>
  <c r="D15" i="24"/>
  <c r="T13" i="24"/>
  <c r="Z13" i="24" s="1"/>
  <c r="P13" i="24"/>
  <c r="H13" i="24"/>
  <c r="N13" i="24" s="1"/>
  <c r="D13" i="24"/>
  <c r="B13" i="24"/>
  <c r="T12" i="24"/>
  <c r="V20" i="24" s="1"/>
  <c r="P12" i="24"/>
  <c r="R34" i="24" s="1"/>
  <c r="H12" i="24"/>
  <c r="J36" i="24" s="1"/>
  <c r="D12" i="24"/>
  <c r="F21" i="24" s="1"/>
  <c r="D5" i="24"/>
  <c r="D4" i="24"/>
  <c r="B39" i="23"/>
  <c r="B38" i="23"/>
  <c r="T34" i="23"/>
  <c r="Z34" i="23" s="1"/>
  <c r="P34" i="23"/>
  <c r="H34" i="23"/>
  <c r="N34" i="23" s="1"/>
  <c r="D34" i="23"/>
  <c r="T33" i="23"/>
  <c r="Z33" i="23" s="1"/>
  <c r="P33" i="23"/>
  <c r="H33" i="23"/>
  <c r="N33" i="23" s="1"/>
  <c r="D33" i="23"/>
  <c r="T29" i="23"/>
  <c r="Z29" i="23" s="1"/>
  <c r="P29" i="23"/>
  <c r="H29" i="23"/>
  <c r="N29" i="23" s="1"/>
  <c r="D29" i="23"/>
  <c r="T25" i="23"/>
  <c r="Z25" i="23" s="1"/>
  <c r="P25" i="23"/>
  <c r="H25" i="23"/>
  <c r="N25" i="23" s="1"/>
  <c r="D25" i="23"/>
  <c r="B25" i="23"/>
  <c r="T24" i="23"/>
  <c r="Z24" i="23" s="1"/>
  <c r="P24" i="23"/>
  <c r="H24" i="23"/>
  <c r="N24" i="23" s="1"/>
  <c r="D24" i="23"/>
  <c r="T22" i="23"/>
  <c r="Z22" i="23" s="1"/>
  <c r="P22" i="23"/>
  <c r="H22" i="23"/>
  <c r="N22" i="23" s="1"/>
  <c r="D22" i="23"/>
  <c r="B22" i="23"/>
  <c r="T21" i="23"/>
  <c r="Z21" i="23" s="1"/>
  <c r="P21" i="23"/>
  <c r="H21" i="23"/>
  <c r="N21" i="23" s="1"/>
  <c r="D21" i="23"/>
  <c r="B21" i="23"/>
  <c r="T20" i="23"/>
  <c r="Z20" i="23" s="1"/>
  <c r="P20" i="23"/>
  <c r="H20" i="23"/>
  <c r="N20" i="23" s="1"/>
  <c r="D20" i="23"/>
  <c r="T16" i="23"/>
  <c r="Z16" i="23" s="1"/>
  <c r="P16" i="23"/>
  <c r="H16" i="23"/>
  <c r="N16" i="23" s="1"/>
  <c r="D16" i="23"/>
  <c r="B16" i="23"/>
  <c r="T15" i="23"/>
  <c r="Z15" i="23" s="1"/>
  <c r="P15" i="23"/>
  <c r="H15" i="23"/>
  <c r="N15" i="23" s="1"/>
  <c r="D15" i="23"/>
  <c r="T13" i="23"/>
  <c r="Z13" i="23" s="1"/>
  <c r="P13" i="23"/>
  <c r="H13" i="23"/>
  <c r="N13" i="23" s="1"/>
  <c r="D13" i="23"/>
  <c r="B13" i="23"/>
  <c r="T12" i="23"/>
  <c r="V24" i="23" s="1"/>
  <c r="P12" i="23"/>
  <c r="R20" i="23" s="1"/>
  <c r="H12" i="23"/>
  <c r="J18" i="23" s="1"/>
  <c r="D12" i="23"/>
  <c r="F31" i="23" s="1"/>
  <c r="D5" i="23"/>
  <c r="D4" i="23"/>
  <c r="B39" i="22"/>
  <c r="B38" i="22"/>
  <c r="T34" i="22"/>
  <c r="Z34" i="22" s="1"/>
  <c r="P34" i="22"/>
  <c r="H34" i="22"/>
  <c r="N34" i="22" s="1"/>
  <c r="D34" i="22"/>
  <c r="T33" i="22"/>
  <c r="Z33" i="22" s="1"/>
  <c r="P33" i="22"/>
  <c r="H33" i="22"/>
  <c r="N33" i="22" s="1"/>
  <c r="D33" i="22"/>
  <c r="T29" i="22"/>
  <c r="Z29" i="22" s="1"/>
  <c r="P29" i="22"/>
  <c r="H29" i="22"/>
  <c r="N29" i="22" s="1"/>
  <c r="D29" i="22"/>
  <c r="T25" i="22"/>
  <c r="Z25" i="22" s="1"/>
  <c r="P25" i="22"/>
  <c r="H25" i="22"/>
  <c r="N25" i="22" s="1"/>
  <c r="D25" i="22"/>
  <c r="B25" i="22"/>
  <c r="T24" i="22"/>
  <c r="Z24" i="22" s="1"/>
  <c r="P24" i="22"/>
  <c r="H24" i="22"/>
  <c r="N24" i="22" s="1"/>
  <c r="D24" i="22"/>
  <c r="T22" i="22"/>
  <c r="Z22" i="22" s="1"/>
  <c r="P22" i="22"/>
  <c r="H22" i="22"/>
  <c r="N22" i="22" s="1"/>
  <c r="D22" i="22"/>
  <c r="B22" i="22"/>
  <c r="T21" i="22"/>
  <c r="Z21" i="22" s="1"/>
  <c r="P21" i="22"/>
  <c r="H21" i="22"/>
  <c r="N21" i="22" s="1"/>
  <c r="D21" i="22"/>
  <c r="B21" i="22"/>
  <c r="T20" i="22"/>
  <c r="Z20" i="22" s="1"/>
  <c r="P20" i="22"/>
  <c r="H20" i="22"/>
  <c r="N20" i="22" s="1"/>
  <c r="D20" i="22"/>
  <c r="T16" i="22"/>
  <c r="Z16" i="22" s="1"/>
  <c r="P16" i="22"/>
  <c r="H16" i="22"/>
  <c r="N16" i="22" s="1"/>
  <c r="D16" i="22"/>
  <c r="B16" i="22"/>
  <c r="T15" i="22"/>
  <c r="P15" i="22"/>
  <c r="H15" i="22"/>
  <c r="N15" i="22" s="1"/>
  <c r="D15" i="22"/>
  <c r="T13" i="22"/>
  <c r="Z13" i="22" s="1"/>
  <c r="P13" i="22"/>
  <c r="H13" i="22"/>
  <c r="N13" i="22" s="1"/>
  <c r="D13" i="22"/>
  <c r="B13" i="22"/>
  <c r="T12" i="22"/>
  <c r="V34" i="22" s="1"/>
  <c r="P12" i="22"/>
  <c r="R34" i="22" s="1"/>
  <c r="H12" i="22"/>
  <c r="J16" i="22" s="1"/>
  <c r="D12" i="22"/>
  <c r="F34" i="22" s="1"/>
  <c r="D5" i="22"/>
  <c r="D4" i="22"/>
  <c r="Z98" i="21"/>
  <c r="X98" i="21"/>
  <c r="N98" i="21"/>
  <c r="L98" i="21"/>
  <c r="Z94" i="21"/>
  <c r="V94" i="21"/>
  <c r="T94" i="21"/>
  <c r="P94" i="21"/>
  <c r="X94" i="21" s="1"/>
  <c r="L94" i="21"/>
  <c r="H94" i="21"/>
  <c r="N94" i="21" s="1"/>
  <c r="D94" i="21"/>
  <c r="Z92" i="21"/>
  <c r="X92" i="21"/>
  <c r="N92" i="21"/>
  <c r="L92" i="21"/>
  <c r="B92" i="21"/>
  <c r="T91" i="21"/>
  <c r="Z91" i="21" s="1"/>
  <c r="P91" i="21"/>
  <c r="N91" i="21"/>
  <c r="H91" i="21"/>
  <c r="D91" i="21"/>
  <c r="L91" i="21" s="1"/>
  <c r="B91" i="21"/>
  <c r="Z90" i="21"/>
  <c r="X90" i="21"/>
  <c r="N90" i="21"/>
  <c r="L90" i="21"/>
  <c r="J90" i="21"/>
  <c r="B90" i="21"/>
  <c r="T89" i="21"/>
  <c r="P89" i="21"/>
  <c r="X89" i="21" s="1"/>
  <c r="Z89" i="21" s="1"/>
  <c r="L89" i="21"/>
  <c r="H89" i="21"/>
  <c r="N89" i="21" s="1"/>
  <c r="D89" i="21"/>
  <c r="B89" i="21"/>
  <c r="Z88" i="21"/>
  <c r="X88" i="21"/>
  <c r="V88" i="21"/>
  <c r="N88" i="21"/>
  <c r="L88" i="21"/>
  <c r="B88" i="21"/>
  <c r="X87" i="21"/>
  <c r="Z87" i="21" s="1"/>
  <c r="N87" i="21"/>
  <c r="L87" i="21"/>
  <c r="B87" i="21"/>
  <c r="Z86" i="21"/>
  <c r="T86" i="21"/>
  <c r="P86" i="21"/>
  <c r="X86" i="21" s="1"/>
  <c r="H86" i="21"/>
  <c r="D86" i="21"/>
  <c r="L86" i="21" s="1"/>
  <c r="N86" i="21" s="1"/>
  <c r="B86" i="21"/>
  <c r="X85" i="21"/>
  <c r="Z85" i="21" s="1"/>
  <c r="L85" i="21"/>
  <c r="N85" i="21" s="1"/>
  <c r="B85" i="21"/>
  <c r="Z84" i="21"/>
  <c r="X84" i="21"/>
  <c r="V84" i="21"/>
  <c r="N84" i="21"/>
  <c r="L84" i="21"/>
  <c r="B84" i="21"/>
  <c r="Z83" i="21"/>
  <c r="X83" i="21"/>
  <c r="N83" i="21"/>
  <c r="L83" i="21"/>
  <c r="B83" i="21"/>
  <c r="Z82" i="21"/>
  <c r="X82" i="21"/>
  <c r="N82" i="21"/>
  <c r="L82" i="21"/>
  <c r="B82" i="21"/>
  <c r="Z81" i="21"/>
  <c r="X81" i="21"/>
  <c r="N81" i="21"/>
  <c r="L81" i="21"/>
  <c r="B81" i="21"/>
  <c r="Z80" i="21"/>
  <c r="X80" i="21"/>
  <c r="N80" i="21"/>
  <c r="L80" i="21"/>
  <c r="J80" i="21"/>
  <c r="B80" i="21"/>
  <c r="T79" i="21"/>
  <c r="P79" i="21"/>
  <c r="X79" i="21" s="1"/>
  <c r="H79" i="21"/>
  <c r="D79" i="21"/>
  <c r="L79" i="21" s="1"/>
  <c r="N79" i="21" s="1"/>
  <c r="B79" i="21"/>
  <c r="Z78" i="21"/>
  <c r="X78" i="21"/>
  <c r="L78" i="21"/>
  <c r="N78" i="21" s="1"/>
  <c r="J78" i="21"/>
  <c r="B78" i="21"/>
  <c r="Z77" i="21"/>
  <c r="X77" i="21"/>
  <c r="N77" i="21"/>
  <c r="L77" i="21"/>
  <c r="B77" i="21"/>
  <c r="Z76" i="21"/>
  <c r="X76" i="21"/>
  <c r="N76" i="21"/>
  <c r="L76" i="21"/>
  <c r="J76" i="21"/>
  <c r="B76" i="21"/>
  <c r="T75" i="21"/>
  <c r="P75" i="21"/>
  <c r="H75" i="21"/>
  <c r="D75" i="21"/>
  <c r="L75" i="21" s="1"/>
  <c r="N75" i="21" s="1"/>
  <c r="B75" i="21"/>
  <c r="Z74" i="21"/>
  <c r="X74" i="21"/>
  <c r="L74" i="21"/>
  <c r="N74" i="21" s="1"/>
  <c r="J74" i="21"/>
  <c r="B74" i="21"/>
  <c r="T73" i="21"/>
  <c r="P73" i="21"/>
  <c r="X73" i="21" s="1"/>
  <c r="Z73" i="21" s="1"/>
  <c r="L73" i="21"/>
  <c r="H73" i="21"/>
  <c r="N73" i="21" s="1"/>
  <c r="D73" i="21"/>
  <c r="B73" i="21"/>
  <c r="Z72" i="21"/>
  <c r="X72" i="21"/>
  <c r="V72" i="21"/>
  <c r="N72" i="21"/>
  <c r="L72" i="21"/>
  <c r="B72" i="21"/>
  <c r="X71" i="21"/>
  <c r="Z71" i="21" s="1"/>
  <c r="N71" i="21"/>
  <c r="L71" i="21"/>
  <c r="B71" i="21"/>
  <c r="Z70" i="21"/>
  <c r="X70" i="21"/>
  <c r="N70" i="21"/>
  <c r="L70" i="21"/>
  <c r="J70" i="21"/>
  <c r="B70" i="21"/>
  <c r="T69" i="21"/>
  <c r="P69" i="21"/>
  <c r="X69" i="21" s="1"/>
  <c r="Z69" i="21" s="1"/>
  <c r="L69" i="21"/>
  <c r="H69" i="21"/>
  <c r="D69" i="21"/>
  <c r="B69" i="21"/>
  <c r="Z68" i="21"/>
  <c r="X68" i="21"/>
  <c r="V68" i="21"/>
  <c r="N68" i="21"/>
  <c r="L68" i="21"/>
  <c r="B68" i="21"/>
  <c r="X67" i="21"/>
  <c r="T67" i="21"/>
  <c r="P67" i="21"/>
  <c r="L67" i="21"/>
  <c r="H67" i="21"/>
  <c r="D67" i="21"/>
  <c r="B67" i="21"/>
  <c r="X66" i="21"/>
  <c r="Z66" i="21" s="1"/>
  <c r="V66" i="21"/>
  <c r="N66" i="21"/>
  <c r="L66" i="21"/>
  <c r="B66" i="21"/>
  <c r="T65" i="21"/>
  <c r="P65" i="21"/>
  <c r="H65" i="21"/>
  <c r="D65" i="21"/>
  <c r="L65" i="21" s="1"/>
  <c r="B65" i="21"/>
  <c r="Z64" i="21"/>
  <c r="X64" i="21"/>
  <c r="N64" i="21"/>
  <c r="L64" i="21"/>
  <c r="J64" i="21"/>
  <c r="B64" i="21"/>
  <c r="T63" i="21"/>
  <c r="P63" i="21"/>
  <c r="N63" i="21"/>
  <c r="H63" i="21"/>
  <c r="D63" i="21"/>
  <c r="L63" i="21" s="1"/>
  <c r="B63" i="21"/>
  <c r="Z62" i="21"/>
  <c r="X62" i="21"/>
  <c r="L62" i="21"/>
  <c r="N62" i="21" s="1"/>
  <c r="J62" i="21"/>
  <c r="B62" i="21"/>
  <c r="T61" i="21"/>
  <c r="P61" i="21"/>
  <c r="X61" i="21" s="1"/>
  <c r="Z61" i="21" s="1"/>
  <c r="L61" i="21"/>
  <c r="H61" i="21"/>
  <c r="N61" i="21" s="1"/>
  <c r="D61" i="21"/>
  <c r="B61" i="21"/>
  <c r="Z60" i="21"/>
  <c r="X60" i="21"/>
  <c r="V60" i="21"/>
  <c r="N60" i="21"/>
  <c r="L60" i="21"/>
  <c r="B60" i="21"/>
  <c r="X59" i="21"/>
  <c r="T59" i="21"/>
  <c r="Z59" i="21" s="1"/>
  <c r="P59" i="21"/>
  <c r="H59" i="21"/>
  <c r="N59" i="21" s="1"/>
  <c r="D59" i="21"/>
  <c r="B59" i="21"/>
  <c r="X58" i="21"/>
  <c r="Z58" i="21" s="1"/>
  <c r="V58" i="21"/>
  <c r="N58" i="21"/>
  <c r="L58" i="21"/>
  <c r="B58" i="21"/>
  <c r="Z57" i="21"/>
  <c r="X57" i="21"/>
  <c r="N57" i="21"/>
  <c r="L57" i="21"/>
  <c r="B57" i="21"/>
  <c r="Z56" i="21"/>
  <c r="V56" i="21"/>
  <c r="T56" i="21"/>
  <c r="P56" i="21"/>
  <c r="X56" i="21" s="1"/>
  <c r="L56" i="21"/>
  <c r="N56" i="21" s="1"/>
  <c r="J56" i="21"/>
  <c r="H56" i="21"/>
  <c r="D56" i="21"/>
  <c r="B56" i="21"/>
  <c r="Z55" i="21"/>
  <c r="X55" i="21"/>
  <c r="L55" i="21"/>
  <c r="N55" i="21" s="1"/>
  <c r="B55" i="21"/>
  <c r="X54" i="21"/>
  <c r="Z54" i="21" s="1"/>
  <c r="V54" i="21"/>
  <c r="T54" i="21"/>
  <c r="P54" i="21"/>
  <c r="H54" i="21"/>
  <c r="D54" i="21"/>
  <c r="B54" i="21"/>
  <c r="Z53" i="21"/>
  <c r="X53" i="21"/>
  <c r="N53" i="21"/>
  <c r="L53" i="21"/>
  <c r="B53" i="21"/>
  <c r="T52" i="21"/>
  <c r="Z52" i="21" s="1"/>
  <c r="P52" i="21"/>
  <c r="N52" i="21"/>
  <c r="H52" i="21"/>
  <c r="D52" i="21"/>
  <c r="L52" i="21" s="1"/>
  <c r="B52" i="21"/>
  <c r="Z51" i="21"/>
  <c r="X51" i="21"/>
  <c r="N51" i="21"/>
  <c r="L51" i="21"/>
  <c r="B51" i="21"/>
  <c r="Z50" i="21"/>
  <c r="T50" i="21"/>
  <c r="P50" i="21"/>
  <c r="X50" i="21" s="1"/>
  <c r="N50" i="21"/>
  <c r="J50" i="21"/>
  <c r="H50" i="21"/>
  <c r="D50" i="21"/>
  <c r="L50" i="21" s="1"/>
  <c r="B50" i="21"/>
  <c r="Z49" i="21"/>
  <c r="X49" i="21"/>
  <c r="N49" i="21"/>
  <c r="L49" i="21"/>
  <c r="B49" i="21"/>
  <c r="Z48" i="21"/>
  <c r="X48" i="21"/>
  <c r="V48" i="21"/>
  <c r="N48" i="21"/>
  <c r="L48" i="21"/>
  <c r="B48" i="21"/>
  <c r="X47" i="21"/>
  <c r="Z47" i="21" s="1"/>
  <c r="N47" i="21"/>
  <c r="L47" i="21"/>
  <c r="B47" i="21"/>
  <c r="Z46" i="21"/>
  <c r="X46" i="21"/>
  <c r="N46" i="21"/>
  <c r="L46" i="21"/>
  <c r="J46" i="21"/>
  <c r="B46" i="21"/>
  <c r="Z45" i="21"/>
  <c r="X45" i="21"/>
  <c r="N45" i="21"/>
  <c r="L45" i="21"/>
  <c r="B45" i="21"/>
  <c r="Z44" i="21"/>
  <c r="X44" i="21"/>
  <c r="N44" i="21"/>
  <c r="L44" i="21"/>
  <c r="J44" i="21"/>
  <c r="B44" i="21"/>
  <c r="Z43" i="21"/>
  <c r="X43" i="21"/>
  <c r="L43" i="21"/>
  <c r="N43" i="21" s="1"/>
  <c r="B43" i="21"/>
  <c r="Z42" i="21"/>
  <c r="X42" i="21"/>
  <c r="V42" i="21"/>
  <c r="N42" i="21"/>
  <c r="L42" i="21"/>
  <c r="B42" i="21"/>
  <c r="X41" i="21"/>
  <c r="Z41" i="21" s="1"/>
  <c r="L41" i="21"/>
  <c r="N41" i="21" s="1"/>
  <c r="B41" i="21"/>
  <c r="Z40" i="21"/>
  <c r="X40" i="21"/>
  <c r="V40" i="21"/>
  <c r="N40" i="21"/>
  <c r="L40" i="21"/>
  <c r="B40" i="21"/>
  <c r="X39" i="21"/>
  <c r="T39" i="21"/>
  <c r="Z39" i="21" s="1"/>
  <c r="P39" i="21"/>
  <c r="H39" i="21"/>
  <c r="D39" i="21"/>
  <c r="B39" i="21"/>
  <c r="Z38" i="21"/>
  <c r="X38" i="21"/>
  <c r="V38" i="21"/>
  <c r="N38" i="21"/>
  <c r="L38" i="21"/>
  <c r="B38" i="21"/>
  <c r="X37" i="21"/>
  <c r="Z37" i="21" s="1"/>
  <c r="L37" i="21"/>
  <c r="N37" i="21" s="1"/>
  <c r="B37" i="21"/>
  <c r="Z36" i="21"/>
  <c r="X36" i="21"/>
  <c r="V36" i="21"/>
  <c r="N36" i="21"/>
  <c r="L36" i="21"/>
  <c r="B36" i="21"/>
  <c r="Z35" i="21"/>
  <c r="X35" i="21"/>
  <c r="N35" i="21"/>
  <c r="L35" i="21"/>
  <c r="B35" i="21"/>
  <c r="Z34" i="21"/>
  <c r="X34" i="21"/>
  <c r="N34" i="21"/>
  <c r="L34" i="21"/>
  <c r="J34" i="21"/>
  <c r="B34" i="21"/>
  <c r="X33" i="21"/>
  <c r="Z33" i="21" s="1"/>
  <c r="L33" i="21"/>
  <c r="N33" i="21" s="1"/>
  <c r="B33" i="21"/>
  <c r="Z32" i="21"/>
  <c r="X32" i="21"/>
  <c r="N32" i="21"/>
  <c r="L32" i="21"/>
  <c r="B32" i="21"/>
  <c r="Z31" i="21"/>
  <c r="X31" i="21"/>
  <c r="L31" i="21"/>
  <c r="N31" i="21" s="1"/>
  <c r="B31" i="21"/>
  <c r="X30" i="21"/>
  <c r="Z30" i="21" s="1"/>
  <c r="V30" i="21"/>
  <c r="N30" i="21"/>
  <c r="L30" i="21"/>
  <c r="B30" i="21"/>
  <c r="X29" i="21"/>
  <c r="Z29" i="21" s="1"/>
  <c r="L29" i="21"/>
  <c r="N29" i="21" s="1"/>
  <c r="B29" i="21"/>
  <c r="V28" i="21"/>
  <c r="T28" i="21"/>
  <c r="P28" i="21"/>
  <c r="X28" i="21" s="1"/>
  <c r="Z28" i="21" s="1"/>
  <c r="L28" i="21"/>
  <c r="N28" i="21" s="1"/>
  <c r="J28" i="21"/>
  <c r="H28" i="21"/>
  <c r="D28" i="21"/>
  <c r="B28" i="21"/>
  <c r="T27" i="21" a="1"/>
  <c r="T27" i="21" s="1"/>
  <c r="P27" i="21" a="1"/>
  <c r="P27" i="21"/>
  <c r="H27" i="21" a="1"/>
  <c r="H27" i="21" s="1"/>
  <c r="D27" i="21" a="1"/>
  <c r="D27" i="21" s="1"/>
  <c r="T25" i="21"/>
  <c r="Z23" i="21"/>
  <c r="X23" i="21"/>
  <c r="N23" i="21"/>
  <c r="L23" i="21"/>
  <c r="B23" i="21"/>
  <c r="Z22" i="21"/>
  <c r="X22" i="21"/>
  <c r="N22" i="21"/>
  <c r="L22" i="21"/>
  <c r="J22" i="21"/>
  <c r="B22" i="21"/>
  <c r="Z21" i="21"/>
  <c r="X21" i="21"/>
  <c r="L21" i="21"/>
  <c r="N21" i="21" s="1"/>
  <c r="B21" i="21"/>
  <c r="T20" i="21"/>
  <c r="P20" i="21"/>
  <c r="N20" i="21"/>
  <c r="L20" i="21"/>
  <c r="H20" i="21"/>
  <c r="D20" i="21"/>
  <c r="Z18" i="21"/>
  <c r="P18" i="21"/>
  <c r="X18" i="21" s="1"/>
  <c r="N18" i="21"/>
  <c r="L18" i="21"/>
  <c r="D18" i="21"/>
  <c r="B18" i="21"/>
  <c r="Z17" i="21"/>
  <c r="X17" i="21"/>
  <c r="P17" i="21"/>
  <c r="N17" i="21"/>
  <c r="L17" i="21"/>
  <c r="D17" i="21"/>
  <c r="B17" i="21"/>
  <c r="P16" i="21"/>
  <c r="X16" i="21" s="1"/>
  <c r="Z16" i="21" s="1"/>
  <c r="L16" i="21"/>
  <c r="N16" i="21" s="1"/>
  <c r="D16" i="21"/>
  <c r="B16" i="21"/>
  <c r="Z15" i="21"/>
  <c r="P15" i="21"/>
  <c r="N15" i="21"/>
  <c r="D15" i="21"/>
  <c r="L15" i="21" s="1"/>
  <c r="B15" i="21"/>
  <c r="Z14" i="21"/>
  <c r="X14" i="21"/>
  <c r="P14" i="21"/>
  <c r="N14" i="21"/>
  <c r="L14" i="21"/>
  <c r="D14" i="21"/>
  <c r="B14" i="21"/>
  <c r="Z13" i="21"/>
  <c r="X13" i="21"/>
  <c r="P13" i="21"/>
  <c r="D13" i="21"/>
  <c r="B13" i="21"/>
  <c r="T12" i="21"/>
  <c r="V87" i="21" s="1"/>
  <c r="H12" i="21"/>
  <c r="D4" i="21"/>
  <c r="B39" i="20"/>
  <c r="B38" i="20"/>
  <c r="T34" i="20"/>
  <c r="Z34" i="20" s="1"/>
  <c r="P34" i="20"/>
  <c r="H34" i="20"/>
  <c r="N34" i="20" s="1"/>
  <c r="D34" i="20"/>
  <c r="T33" i="20"/>
  <c r="Z33" i="20" s="1"/>
  <c r="P33" i="20"/>
  <c r="H33" i="20"/>
  <c r="N33" i="20" s="1"/>
  <c r="D33" i="20"/>
  <c r="T29" i="20"/>
  <c r="Z29" i="20" s="1"/>
  <c r="P29" i="20"/>
  <c r="H29" i="20"/>
  <c r="N29" i="20" s="1"/>
  <c r="D29" i="20"/>
  <c r="T25" i="20"/>
  <c r="Z25" i="20" s="1"/>
  <c r="P25" i="20"/>
  <c r="H25" i="20"/>
  <c r="N25" i="20" s="1"/>
  <c r="D25" i="20"/>
  <c r="B25" i="20"/>
  <c r="T24" i="20"/>
  <c r="Z24" i="20" s="1"/>
  <c r="P24" i="20"/>
  <c r="H24" i="20"/>
  <c r="D24" i="20"/>
  <c r="T22" i="20"/>
  <c r="Z22" i="20" s="1"/>
  <c r="P22" i="20"/>
  <c r="H22" i="20"/>
  <c r="N22" i="20" s="1"/>
  <c r="D22" i="20"/>
  <c r="B22" i="20"/>
  <c r="T21" i="20"/>
  <c r="Z21" i="20" s="1"/>
  <c r="P21" i="20"/>
  <c r="H21" i="20"/>
  <c r="N21" i="20" s="1"/>
  <c r="D21" i="20"/>
  <c r="B21" i="20"/>
  <c r="T20" i="20"/>
  <c r="P20" i="20"/>
  <c r="H20" i="20"/>
  <c r="N20" i="20" s="1"/>
  <c r="D20" i="20"/>
  <c r="T16" i="20"/>
  <c r="P16" i="20"/>
  <c r="H16" i="20"/>
  <c r="N16" i="20" s="1"/>
  <c r="D16" i="20"/>
  <c r="B16" i="20"/>
  <c r="T15" i="20"/>
  <c r="Z15" i="20" s="1"/>
  <c r="P15" i="20"/>
  <c r="H15" i="20"/>
  <c r="N15" i="20" s="1"/>
  <c r="D15" i="20"/>
  <c r="T13" i="20"/>
  <c r="Z13" i="20" s="1"/>
  <c r="P13" i="20"/>
  <c r="H13" i="20"/>
  <c r="N13" i="20" s="1"/>
  <c r="D13" i="20"/>
  <c r="B13" i="20"/>
  <c r="T12" i="20"/>
  <c r="V34" i="20" s="1"/>
  <c r="P12" i="20"/>
  <c r="R34" i="20" s="1"/>
  <c r="H12" i="20"/>
  <c r="D12" i="20"/>
  <c r="F22" i="20" s="1"/>
  <c r="D5" i="20"/>
  <c r="D4" i="20"/>
  <c r="B39" i="19"/>
  <c r="B38" i="19"/>
  <c r="T34" i="19"/>
  <c r="Z34" i="19" s="1"/>
  <c r="P34" i="19"/>
  <c r="H34" i="19"/>
  <c r="D34" i="19"/>
  <c r="T33" i="19"/>
  <c r="Z33" i="19" s="1"/>
  <c r="P33" i="19"/>
  <c r="H33" i="19"/>
  <c r="N33" i="19" s="1"/>
  <c r="D33" i="19"/>
  <c r="T29" i="19"/>
  <c r="Z29" i="19" s="1"/>
  <c r="P29" i="19"/>
  <c r="H29" i="19"/>
  <c r="N29" i="19" s="1"/>
  <c r="D29" i="19"/>
  <c r="T25" i="19"/>
  <c r="Z25" i="19" s="1"/>
  <c r="P25" i="19"/>
  <c r="H25" i="19"/>
  <c r="N25" i="19" s="1"/>
  <c r="D25" i="19"/>
  <c r="B25" i="19"/>
  <c r="T24" i="19"/>
  <c r="Z24" i="19" s="1"/>
  <c r="P24" i="19"/>
  <c r="H24" i="19"/>
  <c r="N24" i="19" s="1"/>
  <c r="D24" i="19"/>
  <c r="T22" i="19"/>
  <c r="Z22" i="19" s="1"/>
  <c r="P22" i="19"/>
  <c r="H22" i="19"/>
  <c r="N22" i="19" s="1"/>
  <c r="D22" i="19"/>
  <c r="B22" i="19"/>
  <c r="T21" i="19"/>
  <c r="Z21" i="19" s="1"/>
  <c r="P21" i="19"/>
  <c r="H21" i="19"/>
  <c r="N21" i="19" s="1"/>
  <c r="D21" i="19"/>
  <c r="B21" i="19"/>
  <c r="T20" i="19"/>
  <c r="Z20" i="19" s="1"/>
  <c r="P20" i="19"/>
  <c r="H20" i="19"/>
  <c r="N20" i="19" s="1"/>
  <c r="D20" i="19"/>
  <c r="T16" i="19"/>
  <c r="Z16" i="19" s="1"/>
  <c r="P16" i="19"/>
  <c r="H16" i="19"/>
  <c r="D16" i="19"/>
  <c r="B16" i="19"/>
  <c r="T15" i="19"/>
  <c r="Z15" i="19" s="1"/>
  <c r="P15" i="19"/>
  <c r="H15" i="19"/>
  <c r="N15" i="19" s="1"/>
  <c r="D15" i="19"/>
  <c r="T13" i="19"/>
  <c r="Z13" i="19" s="1"/>
  <c r="P13" i="19"/>
  <c r="H13" i="19"/>
  <c r="N13" i="19" s="1"/>
  <c r="D13" i="19"/>
  <c r="B13" i="19"/>
  <c r="T12" i="19"/>
  <c r="V24" i="19" s="1"/>
  <c r="P12" i="19"/>
  <c r="R20" i="19" s="1"/>
  <c r="H12" i="19"/>
  <c r="J18" i="19" s="1"/>
  <c r="D12" i="19"/>
  <c r="F29" i="19" s="1"/>
  <c r="D5" i="19"/>
  <c r="D4" i="19"/>
  <c r="X161" i="18"/>
  <c r="Z161" i="18" s="1"/>
  <c r="L161" i="18"/>
  <c r="N161" i="18" s="1"/>
  <c r="Z157" i="18"/>
  <c r="X157" i="18"/>
  <c r="P157" i="18"/>
  <c r="N157" i="18"/>
  <c r="L157" i="18"/>
  <c r="D157" i="18"/>
  <c r="B157" i="18"/>
  <c r="P156" i="18"/>
  <c r="X156" i="18" s="1"/>
  <c r="Z156" i="18" s="1"/>
  <c r="L156" i="18"/>
  <c r="N156" i="18" s="1"/>
  <c r="D156" i="18"/>
  <c r="B156" i="18"/>
  <c r="Z155" i="18"/>
  <c r="X155" i="18"/>
  <c r="P155" i="18"/>
  <c r="N155" i="18"/>
  <c r="D155" i="18"/>
  <c r="L155" i="18" s="1"/>
  <c r="B155" i="18"/>
  <c r="X154" i="18"/>
  <c r="Z154" i="18" s="1"/>
  <c r="P154" i="18"/>
  <c r="N154" i="18"/>
  <c r="L154" i="18"/>
  <c r="D154" i="18"/>
  <c r="B154" i="18"/>
  <c r="P153" i="18"/>
  <c r="X153" i="18" s="1"/>
  <c r="Z153" i="18" s="1"/>
  <c r="N153" i="18"/>
  <c r="L153" i="18"/>
  <c r="D153" i="18"/>
  <c r="B153" i="18"/>
  <c r="Z152" i="18"/>
  <c r="P152" i="18"/>
  <c r="X152" i="18" s="1"/>
  <c r="N152" i="18"/>
  <c r="D152" i="18"/>
  <c r="L152" i="18" s="1"/>
  <c r="B152" i="18"/>
  <c r="Z151" i="18"/>
  <c r="P151" i="18"/>
  <c r="N151" i="18"/>
  <c r="D151" i="18"/>
  <c r="B151" i="18"/>
  <c r="T150" i="18"/>
  <c r="H150" i="18"/>
  <c r="Z148" i="18"/>
  <c r="X148" i="18"/>
  <c r="V148" i="18"/>
  <c r="L148" i="18"/>
  <c r="N148" i="18" s="1"/>
  <c r="B148" i="18"/>
  <c r="T147" i="18"/>
  <c r="P147" i="18"/>
  <c r="X147" i="18" s="1"/>
  <c r="Z147" i="18" s="1"/>
  <c r="L147" i="18"/>
  <c r="H147" i="18"/>
  <c r="D147" i="18"/>
  <c r="B147" i="18"/>
  <c r="Z146" i="18"/>
  <c r="X146" i="18"/>
  <c r="V146" i="18"/>
  <c r="N146" i="18"/>
  <c r="L146" i="18"/>
  <c r="B146" i="18"/>
  <c r="X145" i="18"/>
  <c r="Z145" i="18" s="1"/>
  <c r="L145" i="18"/>
  <c r="N145" i="18" s="1"/>
  <c r="B145" i="18"/>
  <c r="Z144" i="18"/>
  <c r="X144" i="18"/>
  <c r="L144" i="18"/>
  <c r="N144" i="18" s="1"/>
  <c r="B144" i="18"/>
  <c r="T143" i="18"/>
  <c r="P143" i="18"/>
  <c r="X143" i="18" s="1"/>
  <c r="Z143" i="18" s="1"/>
  <c r="N143" i="18"/>
  <c r="L143" i="18"/>
  <c r="H143" i="18"/>
  <c r="D143" i="18"/>
  <c r="B143" i="18"/>
  <c r="X142" i="18"/>
  <c r="Z142" i="18" s="1"/>
  <c r="V142" i="18"/>
  <c r="N142" i="18"/>
  <c r="L142" i="18"/>
  <c r="B142" i="18"/>
  <c r="X141" i="18"/>
  <c r="V141" i="18"/>
  <c r="T141" i="18"/>
  <c r="Z141" i="18" s="1"/>
  <c r="P141" i="18"/>
  <c r="N141" i="18"/>
  <c r="H141" i="18"/>
  <c r="D141" i="18"/>
  <c r="L141" i="18" s="1"/>
  <c r="B141" i="18"/>
  <c r="X140" i="18"/>
  <c r="Z140" i="18" s="1"/>
  <c r="N140" i="18"/>
  <c r="L140" i="18"/>
  <c r="B140" i="18"/>
  <c r="Z139" i="18"/>
  <c r="X139" i="18"/>
  <c r="N139" i="18"/>
  <c r="L139" i="18"/>
  <c r="F139" i="18"/>
  <c r="B139" i="18"/>
  <c r="X138" i="18"/>
  <c r="T138" i="18"/>
  <c r="Z138" i="18" s="1"/>
  <c r="P138" i="18"/>
  <c r="N138" i="18"/>
  <c r="L138" i="18"/>
  <c r="H138" i="18"/>
  <c r="D138" i="18"/>
  <c r="B138" i="18"/>
  <c r="X137" i="18"/>
  <c r="Z137" i="18" s="1"/>
  <c r="V137" i="18"/>
  <c r="L137" i="18"/>
  <c r="N137" i="18" s="1"/>
  <c r="B137" i="18"/>
  <c r="X136" i="18"/>
  <c r="Z136" i="18" s="1"/>
  <c r="V136" i="18"/>
  <c r="N136" i="18"/>
  <c r="L136" i="18"/>
  <c r="B136" i="18"/>
  <c r="Z135" i="18"/>
  <c r="X135" i="18"/>
  <c r="L135" i="18"/>
  <c r="N135" i="18" s="1"/>
  <c r="B135" i="18"/>
  <c r="Z134" i="18"/>
  <c r="X134" i="18"/>
  <c r="N134" i="18"/>
  <c r="L134" i="18"/>
  <c r="B134" i="18"/>
  <c r="X133" i="18"/>
  <c r="Z133" i="18" s="1"/>
  <c r="N133" i="18"/>
  <c r="L133" i="18"/>
  <c r="J133" i="18"/>
  <c r="B133" i="18"/>
  <c r="Z132" i="18"/>
  <c r="X132" i="18"/>
  <c r="L132" i="18"/>
  <c r="N132" i="18" s="1"/>
  <c r="B132" i="18"/>
  <c r="X131" i="18"/>
  <c r="Z131" i="18" s="1"/>
  <c r="N131" i="18"/>
  <c r="L131" i="18"/>
  <c r="B131" i="18"/>
  <c r="T130" i="18"/>
  <c r="P130" i="18"/>
  <c r="H130" i="18"/>
  <c r="D130" i="18"/>
  <c r="L130" i="18" s="1"/>
  <c r="N130" i="18" s="1"/>
  <c r="B130" i="18"/>
  <c r="X129" i="18"/>
  <c r="Z129" i="18" s="1"/>
  <c r="N129" i="18"/>
  <c r="L129" i="18"/>
  <c r="B129" i="18"/>
  <c r="Z128" i="18"/>
  <c r="X128" i="18"/>
  <c r="L128" i="18"/>
  <c r="N128" i="18" s="1"/>
  <c r="B128" i="18"/>
  <c r="T127" i="18"/>
  <c r="P127" i="18"/>
  <c r="X127" i="18" s="1"/>
  <c r="Z127" i="18" s="1"/>
  <c r="L127" i="18"/>
  <c r="H127" i="18"/>
  <c r="N127" i="18" s="1"/>
  <c r="D127" i="18"/>
  <c r="B127" i="18"/>
  <c r="Z126" i="18"/>
  <c r="X126" i="18"/>
  <c r="N126" i="18"/>
  <c r="L126" i="18"/>
  <c r="B126" i="18"/>
  <c r="X125" i="18"/>
  <c r="Z125" i="18" s="1"/>
  <c r="N125" i="18"/>
  <c r="L125" i="18"/>
  <c r="J125" i="18"/>
  <c r="B125" i="18"/>
  <c r="Z124" i="18"/>
  <c r="X124" i="18"/>
  <c r="L124" i="18"/>
  <c r="N124" i="18" s="1"/>
  <c r="B124" i="18"/>
  <c r="T123" i="18"/>
  <c r="P123" i="18"/>
  <c r="X123" i="18" s="1"/>
  <c r="L123" i="18"/>
  <c r="H123" i="18"/>
  <c r="N123" i="18" s="1"/>
  <c r="D123" i="18"/>
  <c r="B123" i="18"/>
  <c r="Z122" i="18"/>
  <c r="X122" i="18"/>
  <c r="N122" i="18"/>
  <c r="L122" i="18"/>
  <c r="F122" i="18"/>
  <c r="B122" i="18"/>
  <c r="X121" i="18"/>
  <c r="Z121" i="18" s="1"/>
  <c r="N121" i="18"/>
  <c r="L121" i="18"/>
  <c r="B121" i="18"/>
  <c r="Z120" i="18"/>
  <c r="X120" i="18"/>
  <c r="N120" i="18"/>
  <c r="L120" i="18"/>
  <c r="B120" i="18"/>
  <c r="X119" i="18"/>
  <c r="Z119" i="18" s="1"/>
  <c r="N119" i="18"/>
  <c r="L119" i="18"/>
  <c r="B119" i="18"/>
  <c r="T118" i="18"/>
  <c r="P118" i="18"/>
  <c r="H118" i="18"/>
  <c r="D118" i="18"/>
  <c r="L118" i="18" s="1"/>
  <c r="N118" i="18" s="1"/>
  <c r="B118" i="18"/>
  <c r="X117" i="18"/>
  <c r="Z117" i="18" s="1"/>
  <c r="N117" i="18"/>
  <c r="L117" i="18"/>
  <c r="B117" i="18"/>
  <c r="Z116" i="18"/>
  <c r="X116" i="18"/>
  <c r="L116" i="18"/>
  <c r="N116" i="18" s="1"/>
  <c r="B116" i="18"/>
  <c r="X115" i="18"/>
  <c r="Z115" i="18" s="1"/>
  <c r="N115" i="18"/>
  <c r="L115" i="18"/>
  <c r="B115" i="18"/>
  <c r="Z114" i="18"/>
  <c r="X114" i="18"/>
  <c r="N114" i="18"/>
  <c r="L114" i="18"/>
  <c r="B114" i="18"/>
  <c r="V113" i="18"/>
  <c r="T113" i="18"/>
  <c r="Z113" i="18" s="1"/>
  <c r="P113" i="18"/>
  <c r="X113" i="18" s="1"/>
  <c r="H113" i="18"/>
  <c r="D113" i="18"/>
  <c r="L113" i="18" s="1"/>
  <c r="N113" i="18" s="1"/>
  <c r="B113" i="18"/>
  <c r="Z112" i="18"/>
  <c r="X112" i="18"/>
  <c r="L112" i="18"/>
  <c r="N112" i="18" s="1"/>
  <c r="B112" i="18"/>
  <c r="T111" i="18"/>
  <c r="P111" i="18"/>
  <c r="X111" i="18" s="1"/>
  <c r="Z111" i="18" s="1"/>
  <c r="L111" i="18"/>
  <c r="H111" i="18"/>
  <c r="N111" i="18" s="1"/>
  <c r="D111" i="18"/>
  <c r="B111" i="18"/>
  <c r="Z110" i="18"/>
  <c r="X110" i="18"/>
  <c r="N110" i="18"/>
  <c r="L110" i="18"/>
  <c r="B110" i="18"/>
  <c r="X109" i="18"/>
  <c r="T109" i="18"/>
  <c r="Z109" i="18" s="1"/>
  <c r="P109" i="18"/>
  <c r="N109" i="18"/>
  <c r="L109" i="18"/>
  <c r="H109" i="18"/>
  <c r="D109" i="18"/>
  <c r="B109" i="18"/>
  <c r="X108" i="18"/>
  <c r="Z108" i="18" s="1"/>
  <c r="V108" i="18"/>
  <c r="N108" i="18"/>
  <c r="L108" i="18"/>
  <c r="B108" i="18"/>
  <c r="Z107" i="18"/>
  <c r="X107" i="18"/>
  <c r="T107" i="18"/>
  <c r="P107" i="18"/>
  <c r="H107" i="18"/>
  <c r="D107" i="18"/>
  <c r="L107" i="18" s="1"/>
  <c r="B107" i="18"/>
  <c r="Z106" i="18"/>
  <c r="X106" i="18"/>
  <c r="N106" i="18"/>
  <c r="L106" i="18"/>
  <c r="B106" i="18"/>
  <c r="T105" i="18"/>
  <c r="P105" i="18"/>
  <c r="H105" i="18"/>
  <c r="F105" i="18"/>
  <c r="D105" i="18"/>
  <c r="L105" i="18" s="1"/>
  <c r="B105" i="18"/>
  <c r="Z104" i="18"/>
  <c r="X104" i="18"/>
  <c r="L104" i="18"/>
  <c r="N104" i="18" s="1"/>
  <c r="B104" i="18"/>
  <c r="X103" i="18"/>
  <c r="Z103" i="18" s="1"/>
  <c r="N103" i="18"/>
  <c r="L103" i="18"/>
  <c r="B103" i="18"/>
  <c r="T102" i="18"/>
  <c r="P102" i="18"/>
  <c r="H102" i="18"/>
  <c r="D102" i="18"/>
  <c r="L102" i="18" s="1"/>
  <c r="N102" i="18" s="1"/>
  <c r="B102" i="18"/>
  <c r="X101" i="18"/>
  <c r="Z101" i="18" s="1"/>
  <c r="N101" i="18"/>
  <c r="L101" i="18"/>
  <c r="B101" i="18"/>
  <c r="Z100" i="18"/>
  <c r="X100" i="18"/>
  <c r="L100" i="18"/>
  <c r="N100" i="18" s="1"/>
  <c r="B100" i="18"/>
  <c r="T99" i="18"/>
  <c r="Z99" i="18" s="1"/>
  <c r="P99" i="18"/>
  <c r="X99" i="18" s="1"/>
  <c r="L99" i="18"/>
  <c r="H99" i="18"/>
  <c r="N99" i="18" s="1"/>
  <c r="D99" i="18"/>
  <c r="B99" i="18"/>
  <c r="Z98" i="18"/>
  <c r="X98" i="18"/>
  <c r="N98" i="18"/>
  <c r="L98" i="18"/>
  <c r="F98" i="18"/>
  <c r="B98" i="18"/>
  <c r="X97" i="18"/>
  <c r="T97" i="18"/>
  <c r="Z97" i="18" s="1"/>
  <c r="P97" i="18"/>
  <c r="N97" i="18"/>
  <c r="L97" i="18"/>
  <c r="H97" i="18"/>
  <c r="D97" i="18"/>
  <c r="B97" i="18"/>
  <c r="X96" i="18"/>
  <c r="Z96" i="18" s="1"/>
  <c r="V96" i="18"/>
  <c r="N96" i="18"/>
  <c r="L96" i="18"/>
  <c r="B96" i="18"/>
  <c r="X95" i="18"/>
  <c r="Z95" i="18" s="1"/>
  <c r="T95" i="18"/>
  <c r="P95" i="18"/>
  <c r="H95" i="18"/>
  <c r="D95" i="18"/>
  <c r="L95" i="18" s="1"/>
  <c r="B95" i="18"/>
  <c r="Z94" i="18"/>
  <c r="X94" i="18"/>
  <c r="N94" i="18"/>
  <c r="L94" i="18"/>
  <c r="B94" i="18"/>
  <c r="V93" i="18"/>
  <c r="T93" i="18"/>
  <c r="P93" i="18"/>
  <c r="H93" i="18"/>
  <c r="N93" i="18" s="1"/>
  <c r="F93" i="18"/>
  <c r="D93" i="18"/>
  <c r="L93" i="18" s="1"/>
  <c r="B93" i="18"/>
  <c r="Z92" i="18"/>
  <c r="X92" i="18"/>
  <c r="N92" i="18"/>
  <c r="L92" i="18"/>
  <c r="J92" i="18"/>
  <c r="B92" i="18"/>
  <c r="Z91" i="18"/>
  <c r="X91" i="18"/>
  <c r="N91" i="18"/>
  <c r="L91" i="18"/>
  <c r="B91" i="18"/>
  <c r="T90" i="18"/>
  <c r="Z90" i="18" s="1"/>
  <c r="P90" i="18"/>
  <c r="X90" i="18" s="1"/>
  <c r="N90" i="18"/>
  <c r="H90" i="18"/>
  <c r="D90" i="18"/>
  <c r="L90" i="18" s="1"/>
  <c r="B90" i="18"/>
  <c r="X89" i="18"/>
  <c r="Z89" i="18" s="1"/>
  <c r="N89" i="18"/>
  <c r="L89" i="18"/>
  <c r="B89" i="18"/>
  <c r="Z88" i="18"/>
  <c r="X88" i="18"/>
  <c r="N88" i="18"/>
  <c r="L88" i="18"/>
  <c r="J88" i="18"/>
  <c r="B88" i="18"/>
  <c r="T87" i="18"/>
  <c r="P87" i="18"/>
  <c r="X87" i="18" s="1"/>
  <c r="L87" i="18"/>
  <c r="H87" i="18"/>
  <c r="N87" i="18" s="1"/>
  <c r="D87" i="18"/>
  <c r="B87" i="18"/>
  <c r="Z86" i="18"/>
  <c r="X86" i="18"/>
  <c r="V86" i="18"/>
  <c r="N86" i="18"/>
  <c r="L86" i="18"/>
  <c r="B86" i="18"/>
  <c r="X85" i="18"/>
  <c r="T85" i="18"/>
  <c r="Z85" i="18" s="1"/>
  <c r="P85" i="18"/>
  <c r="L85" i="18"/>
  <c r="N85" i="18" s="1"/>
  <c r="H85" i="18"/>
  <c r="D85" i="18"/>
  <c r="B85" i="18"/>
  <c r="X84" i="18"/>
  <c r="Z84" i="18" s="1"/>
  <c r="V84" i="18"/>
  <c r="N84" i="18"/>
  <c r="L84" i="18"/>
  <c r="B84" i="18"/>
  <c r="Z83" i="18"/>
  <c r="X83" i="18"/>
  <c r="T83" i="18"/>
  <c r="P83" i="18"/>
  <c r="H83" i="18"/>
  <c r="D83" i="18"/>
  <c r="B83" i="18"/>
  <c r="Z82" i="18"/>
  <c r="X82" i="18"/>
  <c r="N82" i="18"/>
  <c r="L82" i="18"/>
  <c r="B82" i="18"/>
  <c r="T81" i="18"/>
  <c r="P81" i="18"/>
  <c r="X81" i="18" s="1"/>
  <c r="H81" i="18"/>
  <c r="D81" i="18"/>
  <c r="L81" i="18" s="1"/>
  <c r="B81" i="18"/>
  <c r="Z80" i="18"/>
  <c r="X80" i="18"/>
  <c r="N80" i="18"/>
  <c r="L80" i="18"/>
  <c r="B80" i="18"/>
  <c r="Z79" i="18"/>
  <c r="X79" i="18"/>
  <c r="N79" i="18"/>
  <c r="L79" i="18"/>
  <c r="B79" i="18"/>
  <c r="Z78" i="18"/>
  <c r="X78" i="18"/>
  <c r="N78" i="18"/>
  <c r="L78" i="18"/>
  <c r="B78" i="18"/>
  <c r="Z77" i="18"/>
  <c r="X77" i="18"/>
  <c r="V77" i="18"/>
  <c r="L77" i="18"/>
  <c r="N77" i="18" s="1"/>
  <c r="B77" i="18"/>
  <c r="Z76" i="18"/>
  <c r="X76" i="18"/>
  <c r="V76" i="18"/>
  <c r="N76" i="18"/>
  <c r="L76" i="18"/>
  <c r="B76" i="18"/>
  <c r="X75" i="18"/>
  <c r="Z75" i="18" s="1"/>
  <c r="L75" i="18"/>
  <c r="N75" i="18" s="1"/>
  <c r="B75" i="18"/>
  <c r="Z74" i="18"/>
  <c r="X74" i="18"/>
  <c r="V74" i="18"/>
  <c r="N74" i="18"/>
  <c r="L74" i="18"/>
  <c r="F74" i="18"/>
  <c r="B74" i="18"/>
  <c r="Z73" i="18"/>
  <c r="X73" i="18"/>
  <c r="N73" i="18"/>
  <c r="L73" i="18"/>
  <c r="B73" i="18"/>
  <c r="Z72" i="18"/>
  <c r="X72" i="18"/>
  <c r="L72" i="18"/>
  <c r="N72" i="18" s="1"/>
  <c r="B72" i="18"/>
  <c r="X71" i="18"/>
  <c r="Z71" i="18" s="1"/>
  <c r="L71" i="18"/>
  <c r="N71" i="18" s="1"/>
  <c r="B71" i="18"/>
  <c r="T70" i="18"/>
  <c r="P70" i="18"/>
  <c r="H70" i="18"/>
  <c r="D70" i="18"/>
  <c r="L70" i="18" s="1"/>
  <c r="N70" i="18" s="1"/>
  <c r="B70" i="18"/>
  <c r="X69" i="18"/>
  <c r="Z69" i="18" s="1"/>
  <c r="N69" i="18"/>
  <c r="L69" i="18"/>
  <c r="B69" i="18"/>
  <c r="Z68" i="18"/>
  <c r="X68" i="18"/>
  <c r="L68" i="18"/>
  <c r="N68" i="18" s="1"/>
  <c r="B68" i="18"/>
  <c r="X67" i="18"/>
  <c r="Z67" i="18" s="1"/>
  <c r="L67" i="18"/>
  <c r="N67" i="18" s="1"/>
  <c r="B67" i="18"/>
  <c r="Z66" i="18"/>
  <c r="X66" i="18"/>
  <c r="N66" i="18"/>
  <c r="L66" i="18"/>
  <c r="B66" i="18"/>
  <c r="Z65" i="18"/>
  <c r="X65" i="18"/>
  <c r="V65" i="18"/>
  <c r="N65" i="18"/>
  <c r="L65" i="18"/>
  <c r="B65" i="18"/>
  <c r="X64" i="18"/>
  <c r="Z64" i="18" s="1"/>
  <c r="V64" i="18"/>
  <c r="N64" i="18"/>
  <c r="L64" i="18"/>
  <c r="B64" i="18"/>
  <c r="Z63" i="18"/>
  <c r="X63" i="18"/>
  <c r="L63" i="18"/>
  <c r="N63" i="18" s="1"/>
  <c r="B63" i="18"/>
  <c r="Z62" i="18"/>
  <c r="X62" i="18"/>
  <c r="V62" i="18"/>
  <c r="N62" i="18"/>
  <c r="L62" i="18"/>
  <c r="B62" i="18"/>
  <c r="X61" i="18"/>
  <c r="Z61" i="18" s="1"/>
  <c r="N61" i="18"/>
  <c r="L61" i="18"/>
  <c r="F61" i="18"/>
  <c r="B61" i="18"/>
  <c r="Z60" i="18"/>
  <c r="X60" i="18"/>
  <c r="L60" i="18"/>
  <c r="N60" i="18" s="1"/>
  <c r="B60" i="18"/>
  <c r="T59" i="18"/>
  <c r="P59" i="18"/>
  <c r="X59" i="18" s="1"/>
  <c r="L59" i="18"/>
  <c r="H59" i="18"/>
  <c r="N59" i="18" s="1"/>
  <c r="D59" i="18"/>
  <c r="B59" i="18"/>
  <c r="Z58" i="18"/>
  <c r="V58" i="18"/>
  <c r="T58" i="18" a="1"/>
  <c r="T58" i="18"/>
  <c r="P58" i="18" a="1"/>
  <c r="P58" i="18"/>
  <c r="X58" i="18" s="1"/>
  <c r="H58" i="18" a="1"/>
  <c r="H58" i="18"/>
  <c r="D58" i="18" a="1"/>
  <c r="D58" i="18"/>
  <c r="L58" i="18" s="1"/>
  <c r="N58" i="18" s="1"/>
  <c r="Z54" i="18"/>
  <c r="X54" i="18"/>
  <c r="N54" i="18"/>
  <c r="L54" i="18"/>
  <c r="B54" i="18"/>
  <c r="Z53" i="18"/>
  <c r="X53" i="18"/>
  <c r="V53" i="18"/>
  <c r="N53" i="18"/>
  <c r="L53" i="18"/>
  <c r="B53" i="18"/>
  <c r="Z52" i="18"/>
  <c r="X52" i="18"/>
  <c r="V52" i="18"/>
  <c r="N52" i="18"/>
  <c r="L52" i="18"/>
  <c r="B52" i="18"/>
  <c r="Z51" i="18"/>
  <c r="X51" i="18"/>
  <c r="N51" i="18"/>
  <c r="L51" i="18"/>
  <c r="B51" i="18"/>
  <c r="Z50" i="18"/>
  <c r="X50" i="18"/>
  <c r="V50" i="18"/>
  <c r="N50" i="18"/>
  <c r="L50" i="18"/>
  <c r="F50" i="18"/>
  <c r="B50" i="18"/>
  <c r="Z49" i="18"/>
  <c r="X49" i="18"/>
  <c r="N49" i="18"/>
  <c r="L49" i="18"/>
  <c r="F49" i="18"/>
  <c r="B49" i="18"/>
  <c r="Z48" i="18"/>
  <c r="X48" i="18"/>
  <c r="N48" i="18"/>
  <c r="L48" i="18"/>
  <c r="B48" i="18"/>
  <c r="Z47" i="18"/>
  <c r="X47" i="18"/>
  <c r="N47" i="18"/>
  <c r="L47" i="18"/>
  <c r="B47" i="18"/>
  <c r="Z46" i="18"/>
  <c r="X46" i="18"/>
  <c r="N46" i="18"/>
  <c r="L46" i="18"/>
  <c r="B46" i="18"/>
  <c r="Z45" i="18"/>
  <c r="X45" i="18"/>
  <c r="V45" i="18"/>
  <c r="N45" i="18"/>
  <c r="L45" i="18"/>
  <c r="B45" i="18"/>
  <c r="Z44" i="18"/>
  <c r="X44" i="18"/>
  <c r="V44" i="18"/>
  <c r="N44" i="18"/>
  <c r="L44" i="18"/>
  <c r="B44" i="18"/>
  <c r="Z43" i="18"/>
  <c r="X43" i="18"/>
  <c r="N43" i="18"/>
  <c r="L43" i="18"/>
  <c r="B43" i="18"/>
  <c r="Z42" i="18"/>
  <c r="X42" i="18"/>
  <c r="V42" i="18"/>
  <c r="N42" i="18"/>
  <c r="L42" i="18"/>
  <c r="B42" i="18"/>
  <c r="Z41" i="18"/>
  <c r="X41" i="18"/>
  <c r="N41" i="18"/>
  <c r="L41" i="18"/>
  <c r="J41" i="18"/>
  <c r="F41" i="18"/>
  <c r="B41" i="18"/>
  <c r="Z40" i="18"/>
  <c r="X40" i="18"/>
  <c r="N40" i="18"/>
  <c r="L40" i="18"/>
  <c r="B40" i="18"/>
  <c r="Z39" i="18"/>
  <c r="X39" i="18"/>
  <c r="N39" i="18"/>
  <c r="L39" i="18"/>
  <c r="B39" i="18"/>
  <c r="Z38" i="18"/>
  <c r="X38" i="18"/>
  <c r="N38" i="18"/>
  <c r="L38" i="18"/>
  <c r="B38" i="18"/>
  <c r="Z37" i="18"/>
  <c r="X37" i="18"/>
  <c r="V37" i="18"/>
  <c r="N37" i="18"/>
  <c r="L37" i="18"/>
  <c r="B37" i="18"/>
  <c r="Z36" i="18"/>
  <c r="X36" i="18"/>
  <c r="V36" i="18"/>
  <c r="N36" i="18"/>
  <c r="L36" i="18"/>
  <c r="B36" i="18"/>
  <c r="Z35" i="18"/>
  <c r="X35" i="18"/>
  <c r="N35" i="18"/>
  <c r="L35" i="18"/>
  <c r="B35" i="18"/>
  <c r="Z34" i="18"/>
  <c r="X34" i="18"/>
  <c r="V34" i="18"/>
  <c r="N34" i="18"/>
  <c r="L34" i="18"/>
  <c r="B34" i="18"/>
  <c r="Z33" i="18"/>
  <c r="X33" i="18"/>
  <c r="N33" i="18"/>
  <c r="L33" i="18"/>
  <c r="B33" i="18"/>
  <c r="Z32" i="18"/>
  <c r="X32" i="18"/>
  <c r="N32" i="18"/>
  <c r="L32" i="18"/>
  <c r="J32" i="18"/>
  <c r="B32" i="18"/>
  <c r="Z31" i="18"/>
  <c r="X31" i="18"/>
  <c r="N31" i="18"/>
  <c r="L31" i="18"/>
  <c r="B31" i="18"/>
  <c r="Z30" i="18"/>
  <c r="X30" i="18"/>
  <c r="N30" i="18"/>
  <c r="L30" i="18"/>
  <c r="B30" i="18"/>
  <c r="Z29" i="18"/>
  <c r="X29" i="18"/>
  <c r="V29" i="18"/>
  <c r="N29" i="18"/>
  <c r="L29" i="18"/>
  <c r="B29" i="18"/>
  <c r="Z28" i="18"/>
  <c r="X28" i="18"/>
  <c r="V28" i="18"/>
  <c r="N28" i="18"/>
  <c r="L28" i="18"/>
  <c r="B28" i="18"/>
  <c r="Z27" i="18"/>
  <c r="X27" i="18"/>
  <c r="N27" i="18"/>
  <c r="L27" i="18"/>
  <c r="B27" i="18"/>
  <c r="Z26" i="18"/>
  <c r="X26" i="18"/>
  <c r="V26" i="18"/>
  <c r="N26" i="18"/>
  <c r="L26" i="18"/>
  <c r="B26" i="18"/>
  <c r="Z25" i="18"/>
  <c r="X25" i="18"/>
  <c r="N25" i="18"/>
  <c r="L25" i="18"/>
  <c r="B25" i="18"/>
  <c r="Z24" i="18"/>
  <c r="X24" i="18"/>
  <c r="N24" i="18"/>
  <c r="L24" i="18"/>
  <c r="B24" i="18"/>
  <c r="Z23" i="18"/>
  <c r="X23" i="18"/>
  <c r="N23" i="18"/>
  <c r="L23" i="18"/>
  <c r="B23" i="18"/>
  <c r="Z22" i="18"/>
  <c r="X22" i="18"/>
  <c r="N22" i="18"/>
  <c r="L22" i="18"/>
  <c r="B22" i="18"/>
  <c r="V21" i="18"/>
  <c r="T21" i="18"/>
  <c r="P21" i="18"/>
  <c r="X21" i="18" s="1"/>
  <c r="H21" i="18"/>
  <c r="N21" i="18" s="1"/>
  <c r="D21" i="18"/>
  <c r="L21" i="18" s="1"/>
  <c r="Z19" i="18"/>
  <c r="X19" i="18"/>
  <c r="P19" i="18"/>
  <c r="N19" i="18"/>
  <c r="L19" i="18"/>
  <c r="D19" i="18"/>
  <c r="B19" i="18"/>
  <c r="Z18" i="18"/>
  <c r="P18" i="18"/>
  <c r="X18" i="18" s="1"/>
  <c r="N18" i="18"/>
  <c r="L18" i="18"/>
  <c r="D18" i="18"/>
  <c r="B18" i="18"/>
  <c r="Z17" i="18"/>
  <c r="X17" i="18"/>
  <c r="P17" i="18"/>
  <c r="N17" i="18"/>
  <c r="D17" i="18"/>
  <c r="L17" i="18" s="1"/>
  <c r="B17" i="18"/>
  <c r="Z16" i="18"/>
  <c r="X16" i="18"/>
  <c r="P16" i="18"/>
  <c r="N16" i="18"/>
  <c r="L16" i="18"/>
  <c r="D16" i="18"/>
  <c r="B16" i="18"/>
  <c r="Z15" i="18"/>
  <c r="P15" i="18"/>
  <c r="N15" i="18"/>
  <c r="D15" i="18"/>
  <c r="L15" i="18" s="1"/>
  <c r="B15" i="18"/>
  <c r="Z14" i="18"/>
  <c r="X14" i="18"/>
  <c r="P14" i="18"/>
  <c r="N14" i="18"/>
  <c r="L14" i="18"/>
  <c r="D14" i="18"/>
  <c r="B14" i="18"/>
  <c r="X13" i="18"/>
  <c r="Z13" i="18" s="1"/>
  <c r="P13" i="18"/>
  <c r="D13" i="18"/>
  <c r="D12" i="18" s="1"/>
  <c r="F101" i="18" s="1"/>
  <c r="B13" i="18"/>
  <c r="T12" i="18"/>
  <c r="L12" i="18"/>
  <c r="H12" i="18"/>
  <c r="J140" i="18" s="1"/>
  <c r="D4" i="18"/>
  <c r="B39" i="17"/>
  <c r="B38" i="17"/>
  <c r="T34" i="17"/>
  <c r="Z34" i="17" s="1"/>
  <c r="P34" i="17"/>
  <c r="H34" i="17"/>
  <c r="N34" i="17" s="1"/>
  <c r="D34" i="17"/>
  <c r="T33" i="17"/>
  <c r="Z33" i="17" s="1"/>
  <c r="P33" i="17"/>
  <c r="H33" i="17"/>
  <c r="N33" i="17" s="1"/>
  <c r="D33" i="17"/>
  <c r="T29" i="17"/>
  <c r="Z29" i="17" s="1"/>
  <c r="P29" i="17"/>
  <c r="H29" i="17"/>
  <c r="N29" i="17" s="1"/>
  <c r="D29" i="17"/>
  <c r="T25" i="17"/>
  <c r="Z25" i="17" s="1"/>
  <c r="P25" i="17"/>
  <c r="H25" i="17"/>
  <c r="N25" i="17" s="1"/>
  <c r="D25" i="17"/>
  <c r="B25" i="17"/>
  <c r="T24" i="17"/>
  <c r="Z24" i="17" s="1"/>
  <c r="P24" i="17"/>
  <c r="H24" i="17"/>
  <c r="N24" i="17" s="1"/>
  <c r="D24" i="17"/>
  <c r="T22" i="17"/>
  <c r="Z22" i="17" s="1"/>
  <c r="P22" i="17"/>
  <c r="H22" i="17"/>
  <c r="N22" i="17" s="1"/>
  <c r="D22" i="17"/>
  <c r="B22" i="17"/>
  <c r="T21" i="17"/>
  <c r="Z21" i="17" s="1"/>
  <c r="P21" i="17"/>
  <c r="H21" i="17"/>
  <c r="N21" i="17" s="1"/>
  <c r="D21" i="17"/>
  <c r="B21" i="17"/>
  <c r="T20" i="17"/>
  <c r="Z20" i="17" s="1"/>
  <c r="P20" i="17"/>
  <c r="H20" i="17"/>
  <c r="N20" i="17" s="1"/>
  <c r="D20" i="17"/>
  <c r="T16" i="17"/>
  <c r="Z16" i="17" s="1"/>
  <c r="P16" i="17"/>
  <c r="H16" i="17"/>
  <c r="N16" i="17" s="1"/>
  <c r="D16" i="17"/>
  <c r="B16" i="17"/>
  <c r="T15" i="17"/>
  <c r="Z15" i="17" s="1"/>
  <c r="P15" i="17"/>
  <c r="H15" i="17"/>
  <c r="N15" i="17" s="1"/>
  <c r="D15" i="17"/>
  <c r="T13" i="17"/>
  <c r="Z13" i="17" s="1"/>
  <c r="P13" i="17"/>
  <c r="H13" i="17"/>
  <c r="N13" i="17" s="1"/>
  <c r="D13" i="17"/>
  <c r="B13" i="17"/>
  <c r="T12" i="17"/>
  <c r="V34" i="17" s="1"/>
  <c r="P12" i="17"/>
  <c r="R36" i="17" s="1"/>
  <c r="H12" i="17"/>
  <c r="J20" i="17" s="1"/>
  <c r="D12" i="17"/>
  <c r="F34" i="17" s="1"/>
  <c r="D5" i="17"/>
  <c r="D4" i="17"/>
  <c r="B39" i="16"/>
  <c r="B38" i="16"/>
  <c r="T34" i="16"/>
  <c r="Z34" i="16" s="1"/>
  <c r="P34" i="16"/>
  <c r="H34" i="16"/>
  <c r="N34" i="16" s="1"/>
  <c r="D34" i="16"/>
  <c r="T33" i="16"/>
  <c r="Z33" i="16" s="1"/>
  <c r="P33" i="16"/>
  <c r="H33" i="16"/>
  <c r="N33" i="16" s="1"/>
  <c r="D33" i="16"/>
  <c r="T29" i="16"/>
  <c r="Z29" i="16" s="1"/>
  <c r="P29" i="16"/>
  <c r="H29" i="16"/>
  <c r="N29" i="16" s="1"/>
  <c r="D29" i="16"/>
  <c r="T25" i="16"/>
  <c r="Z25" i="16" s="1"/>
  <c r="P25" i="16"/>
  <c r="H25" i="16"/>
  <c r="N25" i="16" s="1"/>
  <c r="D25" i="16"/>
  <c r="B25" i="16"/>
  <c r="T24" i="16"/>
  <c r="Z24" i="16" s="1"/>
  <c r="P24" i="16"/>
  <c r="H24" i="16"/>
  <c r="N24" i="16" s="1"/>
  <c r="D24" i="16"/>
  <c r="T22" i="16"/>
  <c r="Z22" i="16" s="1"/>
  <c r="P22" i="16"/>
  <c r="H22" i="16"/>
  <c r="N22" i="16" s="1"/>
  <c r="D22" i="16"/>
  <c r="B22" i="16"/>
  <c r="T21" i="16"/>
  <c r="Z21" i="16" s="1"/>
  <c r="P21" i="16"/>
  <c r="H21" i="16"/>
  <c r="N21" i="16" s="1"/>
  <c r="D21" i="16"/>
  <c r="B21" i="16"/>
  <c r="T20" i="16"/>
  <c r="Z20" i="16" s="1"/>
  <c r="P20" i="16"/>
  <c r="H20" i="16"/>
  <c r="N20" i="16" s="1"/>
  <c r="D20" i="16"/>
  <c r="T16" i="16"/>
  <c r="Z16" i="16" s="1"/>
  <c r="P16" i="16"/>
  <c r="H16" i="16"/>
  <c r="N16" i="16" s="1"/>
  <c r="D16" i="16"/>
  <c r="B16" i="16"/>
  <c r="T15" i="16"/>
  <c r="Z15" i="16" s="1"/>
  <c r="P15" i="16"/>
  <c r="H15" i="16"/>
  <c r="N15" i="16" s="1"/>
  <c r="D15" i="16"/>
  <c r="T13" i="16"/>
  <c r="Z13" i="16" s="1"/>
  <c r="P13" i="16"/>
  <c r="H13" i="16"/>
  <c r="N13" i="16" s="1"/>
  <c r="D13" i="16"/>
  <c r="L13" i="16" s="1"/>
  <c r="B13" i="16"/>
  <c r="T12" i="16"/>
  <c r="V20" i="16" s="1"/>
  <c r="P12" i="16"/>
  <c r="R22" i="16" s="1"/>
  <c r="H12" i="16"/>
  <c r="J20" i="16" s="1"/>
  <c r="D12" i="16"/>
  <c r="F22" i="16" s="1"/>
  <c r="D5" i="16"/>
  <c r="D4" i="16"/>
  <c r="Z153" i="15"/>
  <c r="X153" i="15"/>
  <c r="L153" i="15"/>
  <c r="N153" i="15" s="1"/>
  <c r="Z149" i="15"/>
  <c r="X149" i="15"/>
  <c r="P149" i="15"/>
  <c r="N149" i="15"/>
  <c r="L149" i="15"/>
  <c r="J149" i="15"/>
  <c r="D149" i="15"/>
  <c r="B149" i="15"/>
  <c r="P148" i="15"/>
  <c r="X148" i="15" s="1"/>
  <c r="Z148" i="15" s="1"/>
  <c r="L148" i="15"/>
  <c r="N148" i="15" s="1"/>
  <c r="D148" i="15"/>
  <c r="B148" i="15"/>
  <c r="Z147" i="15"/>
  <c r="X147" i="15"/>
  <c r="P147" i="15"/>
  <c r="N147" i="15"/>
  <c r="D147" i="15"/>
  <c r="B147" i="15"/>
  <c r="P146" i="15"/>
  <c r="X146" i="15" s="1"/>
  <c r="Z146" i="15" s="1"/>
  <c r="N146" i="15"/>
  <c r="L146" i="15"/>
  <c r="D146" i="15"/>
  <c r="B146" i="15"/>
  <c r="P145" i="15"/>
  <c r="P144" i="15" s="1"/>
  <c r="X144" i="15" s="1"/>
  <c r="Z144" i="15" s="1"/>
  <c r="D145" i="15"/>
  <c r="L145" i="15" s="1"/>
  <c r="N145" i="15" s="1"/>
  <c r="B145" i="15"/>
  <c r="T144" i="15"/>
  <c r="J144" i="15"/>
  <c r="H144" i="15"/>
  <c r="Z142" i="15"/>
  <c r="X142" i="15"/>
  <c r="N142" i="15"/>
  <c r="L142" i="15"/>
  <c r="B142" i="15"/>
  <c r="T141" i="15"/>
  <c r="P141" i="15"/>
  <c r="X141" i="15" s="1"/>
  <c r="H141" i="15"/>
  <c r="D141" i="15"/>
  <c r="L141" i="15" s="1"/>
  <c r="N141" i="15" s="1"/>
  <c r="B141" i="15"/>
  <c r="Z140" i="15"/>
  <c r="X140" i="15"/>
  <c r="L140" i="15"/>
  <c r="N140" i="15" s="1"/>
  <c r="J140" i="15"/>
  <c r="B140" i="15"/>
  <c r="X139" i="15"/>
  <c r="Z139" i="15" s="1"/>
  <c r="L139" i="15"/>
  <c r="N139" i="15" s="1"/>
  <c r="B139" i="15"/>
  <c r="Z138" i="15"/>
  <c r="X138" i="15"/>
  <c r="N138" i="15"/>
  <c r="L138" i="15"/>
  <c r="B138" i="15"/>
  <c r="T137" i="15"/>
  <c r="P137" i="15"/>
  <c r="H137" i="15"/>
  <c r="D137" i="15"/>
  <c r="L137" i="15" s="1"/>
  <c r="N137" i="15" s="1"/>
  <c r="B137" i="15"/>
  <c r="Z136" i="15"/>
  <c r="X136" i="15"/>
  <c r="N136" i="15"/>
  <c r="L136" i="15"/>
  <c r="J136" i="15"/>
  <c r="B136" i="15"/>
  <c r="T135" i="15"/>
  <c r="P135" i="15"/>
  <c r="X135" i="15" s="1"/>
  <c r="Z135" i="15" s="1"/>
  <c r="L135" i="15"/>
  <c r="H135" i="15"/>
  <c r="N135" i="15" s="1"/>
  <c r="D135" i="15"/>
  <c r="B135" i="15"/>
  <c r="Z134" i="15"/>
  <c r="X134" i="15"/>
  <c r="N134" i="15"/>
  <c r="L134" i="15"/>
  <c r="B134" i="15"/>
  <c r="Z133" i="15"/>
  <c r="X133" i="15"/>
  <c r="N133" i="15"/>
  <c r="L133" i="15"/>
  <c r="J133" i="15"/>
  <c r="B133" i="15"/>
  <c r="T132" i="15"/>
  <c r="P132" i="15"/>
  <c r="X132" i="15" s="1"/>
  <c r="Z132" i="15" s="1"/>
  <c r="N132" i="15"/>
  <c r="L132" i="15"/>
  <c r="H132" i="15"/>
  <c r="D132" i="15"/>
  <c r="B132" i="15"/>
  <c r="X131" i="15"/>
  <c r="Z131" i="15" s="1"/>
  <c r="L131" i="15"/>
  <c r="N131" i="15" s="1"/>
  <c r="B131" i="15"/>
  <c r="Z130" i="15"/>
  <c r="X130" i="15"/>
  <c r="N130" i="15"/>
  <c r="L130" i="15"/>
  <c r="B130" i="15"/>
  <c r="X129" i="15"/>
  <c r="Z129" i="15" s="1"/>
  <c r="L129" i="15"/>
  <c r="N129" i="15" s="1"/>
  <c r="J129" i="15"/>
  <c r="B129" i="15"/>
  <c r="Z128" i="15"/>
  <c r="X128" i="15"/>
  <c r="L128" i="15"/>
  <c r="N128" i="15" s="1"/>
  <c r="J128" i="15"/>
  <c r="B128" i="15"/>
  <c r="X127" i="15"/>
  <c r="Z127" i="15" s="1"/>
  <c r="N127" i="15"/>
  <c r="L127" i="15"/>
  <c r="B127" i="15"/>
  <c r="Z126" i="15"/>
  <c r="X126" i="15"/>
  <c r="N126" i="15"/>
  <c r="L126" i="15"/>
  <c r="B126" i="15"/>
  <c r="X125" i="15"/>
  <c r="Z125" i="15" s="1"/>
  <c r="L125" i="15"/>
  <c r="N125" i="15" s="1"/>
  <c r="B125" i="15"/>
  <c r="X124" i="15"/>
  <c r="T124" i="15"/>
  <c r="Z124" i="15" s="1"/>
  <c r="P124" i="15"/>
  <c r="H124" i="15"/>
  <c r="D124" i="15"/>
  <c r="L124" i="15" s="1"/>
  <c r="B124" i="15"/>
  <c r="X123" i="15"/>
  <c r="Z123" i="15" s="1"/>
  <c r="N123" i="15"/>
  <c r="L123" i="15"/>
  <c r="B123" i="15"/>
  <c r="Z122" i="15"/>
  <c r="X122" i="15"/>
  <c r="N122" i="15"/>
  <c r="L122" i="15"/>
  <c r="B122" i="15"/>
  <c r="T121" i="15"/>
  <c r="P121" i="15"/>
  <c r="H121" i="15"/>
  <c r="D121" i="15"/>
  <c r="L121" i="15" s="1"/>
  <c r="N121" i="15" s="1"/>
  <c r="B121" i="15"/>
  <c r="Z120" i="15"/>
  <c r="X120" i="15"/>
  <c r="N120" i="15"/>
  <c r="L120" i="15"/>
  <c r="J120" i="15"/>
  <c r="B120" i="15"/>
  <c r="X119" i="15"/>
  <c r="Z119" i="15" s="1"/>
  <c r="L119" i="15"/>
  <c r="N119" i="15" s="1"/>
  <c r="B119" i="15"/>
  <c r="Z118" i="15"/>
  <c r="X118" i="15"/>
  <c r="N118" i="15"/>
  <c r="L118" i="15"/>
  <c r="B118" i="15"/>
  <c r="T117" i="15"/>
  <c r="P117" i="15"/>
  <c r="H117" i="15"/>
  <c r="D117" i="15"/>
  <c r="L117" i="15" s="1"/>
  <c r="N117" i="15" s="1"/>
  <c r="B117" i="15"/>
  <c r="Z116" i="15"/>
  <c r="X116" i="15"/>
  <c r="L116" i="15"/>
  <c r="N116" i="15" s="1"/>
  <c r="J116" i="15"/>
  <c r="B116" i="15"/>
  <c r="X115" i="15"/>
  <c r="Z115" i="15" s="1"/>
  <c r="N115" i="15"/>
  <c r="L115" i="15"/>
  <c r="B115" i="15"/>
  <c r="Z114" i="15"/>
  <c r="X114" i="15"/>
  <c r="N114" i="15"/>
  <c r="L114" i="15"/>
  <c r="J114" i="15"/>
  <c r="B114" i="15"/>
  <c r="X113" i="15"/>
  <c r="Z113" i="15" s="1"/>
  <c r="L113" i="15"/>
  <c r="N113" i="15" s="1"/>
  <c r="B113" i="15"/>
  <c r="X112" i="15"/>
  <c r="T112" i="15"/>
  <c r="Z112" i="15" s="1"/>
  <c r="P112" i="15"/>
  <c r="H112" i="15"/>
  <c r="D112" i="15"/>
  <c r="B112" i="15"/>
  <c r="X111" i="15"/>
  <c r="Z111" i="15" s="1"/>
  <c r="N111" i="15"/>
  <c r="L111" i="15"/>
  <c r="B111" i="15"/>
  <c r="Z110" i="15"/>
  <c r="X110" i="15"/>
  <c r="N110" i="15"/>
  <c r="L110" i="15"/>
  <c r="J110" i="15"/>
  <c r="B110" i="15"/>
  <c r="Z109" i="15"/>
  <c r="X109" i="15"/>
  <c r="L109" i="15"/>
  <c r="N109" i="15" s="1"/>
  <c r="B109" i="15"/>
  <c r="X108" i="15"/>
  <c r="Z108" i="15" s="1"/>
  <c r="N108" i="15"/>
  <c r="L108" i="15"/>
  <c r="B108" i="15"/>
  <c r="Z107" i="15"/>
  <c r="X107" i="15"/>
  <c r="T107" i="15"/>
  <c r="P107" i="15"/>
  <c r="J107" i="15"/>
  <c r="H107" i="15"/>
  <c r="D107" i="15"/>
  <c r="L107" i="15" s="1"/>
  <c r="B107" i="15"/>
  <c r="Z106" i="15"/>
  <c r="X106" i="15"/>
  <c r="N106" i="15"/>
  <c r="L106" i="15"/>
  <c r="J106" i="15"/>
  <c r="B106" i="15"/>
  <c r="T105" i="15"/>
  <c r="P105" i="15"/>
  <c r="H105" i="15"/>
  <c r="D105" i="15"/>
  <c r="L105" i="15" s="1"/>
  <c r="N105" i="15" s="1"/>
  <c r="B105" i="15"/>
  <c r="Z104" i="15"/>
  <c r="X104" i="15"/>
  <c r="N104" i="15"/>
  <c r="L104" i="15"/>
  <c r="J104" i="15"/>
  <c r="B104" i="15"/>
  <c r="T103" i="15"/>
  <c r="P103" i="15"/>
  <c r="X103" i="15" s="1"/>
  <c r="Z103" i="15" s="1"/>
  <c r="L103" i="15"/>
  <c r="H103" i="15"/>
  <c r="N103" i="15" s="1"/>
  <c r="D103" i="15"/>
  <c r="B103" i="15"/>
  <c r="Z102" i="15"/>
  <c r="X102" i="15"/>
  <c r="N102" i="15"/>
  <c r="L102" i="15"/>
  <c r="B102" i="15"/>
  <c r="X101" i="15"/>
  <c r="T101" i="15"/>
  <c r="Z101" i="15" s="1"/>
  <c r="P101" i="15"/>
  <c r="N101" i="15"/>
  <c r="L101" i="15"/>
  <c r="H101" i="15"/>
  <c r="D101" i="15"/>
  <c r="B101" i="15"/>
  <c r="X100" i="15"/>
  <c r="Z100" i="15" s="1"/>
  <c r="N100" i="15"/>
  <c r="L100" i="15"/>
  <c r="B100" i="15"/>
  <c r="Z99" i="15"/>
  <c r="X99" i="15"/>
  <c r="T99" i="15"/>
  <c r="P99" i="15"/>
  <c r="H99" i="15"/>
  <c r="D99" i="15"/>
  <c r="B99" i="15"/>
  <c r="Z98" i="15"/>
  <c r="X98" i="15"/>
  <c r="N98" i="15"/>
  <c r="L98" i="15"/>
  <c r="J98" i="15"/>
  <c r="B98" i="15"/>
  <c r="X97" i="15"/>
  <c r="Z97" i="15" s="1"/>
  <c r="N97" i="15"/>
  <c r="L97" i="15"/>
  <c r="B97" i="15"/>
  <c r="X96" i="15"/>
  <c r="T96" i="15"/>
  <c r="P96" i="15"/>
  <c r="H96" i="15"/>
  <c r="D96" i="15"/>
  <c r="B96" i="15"/>
  <c r="X95" i="15"/>
  <c r="Z95" i="15" s="1"/>
  <c r="N95" i="15"/>
  <c r="L95" i="15"/>
  <c r="B95" i="15"/>
  <c r="Z94" i="15"/>
  <c r="X94" i="15"/>
  <c r="N94" i="15"/>
  <c r="L94" i="15"/>
  <c r="J94" i="15"/>
  <c r="B94" i="15"/>
  <c r="T93" i="15"/>
  <c r="P93" i="15"/>
  <c r="H93" i="15"/>
  <c r="D93" i="15"/>
  <c r="L93" i="15" s="1"/>
  <c r="N93" i="15" s="1"/>
  <c r="B93" i="15"/>
  <c r="Z92" i="15"/>
  <c r="X92" i="15"/>
  <c r="L92" i="15"/>
  <c r="N92" i="15" s="1"/>
  <c r="J92" i="15"/>
  <c r="B92" i="15"/>
  <c r="T91" i="15"/>
  <c r="P91" i="15"/>
  <c r="X91" i="15" s="1"/>
  <c r="Z91" i="15" s="1"/>
  <c r="L91" i="15"/>
  <c r="H91" i="15"/>
  <c r="N91" i="15" s="1"/>
  <c r="D91" i="15"/>
  <c r="B91" i="15"/>
  <c r="Z90" i="15"/>
  <c r="X90" i="15"/>
  <c r="N90" i="15"/>
  <c r="L90" i="15"/>
  <c r="B90" i="15"/>
  <c r="X89" i="15"/>
  <c r="T89" i="15"/>
  <c r="Z89" i="15" s="1"/>
  <c r="P89" i="15"/>
  <c r="L89" i="15"/>
  <c r="N89" i="15" s="1"/>
  <c r="H89" i="15"/>
  <c r="D89" i="15"/>
  <c r="B89" i="15"/>
  <c r="X88" i="15"/>
  <c r="Z88" i="15" s="1"/>
  <c r="N88" i="15"/>
  <c r="L88" i="15"/>
  <c r="B88" i="15"/>
  <c r="Z87" i="15"/>
  <c r="X87" i="15"/>
  <c r="T87" i="15"/>
  <c r="P87" i="15"/>
  <c r="J87" i="15"/>
  <c r="H87" i="15"/>
  <c r="D87" i="15"/>
  <c r="L87" i="15" s="1"/>
  <c r="B87" i="15"/>
  <c r="Z86" i="15"/>
  <c r="X86" i="15"/>
  <c r="N86" i="15"/>
  <c r="L86" i="15"/>
  <c r="J86" i="15"/>
  <c r="B86" i="15"/>
  <c r="Z85" i="15"/>
  <c r="X85" i="15"/>
  <c r="N85" i="15"/>
  <c r="L85" i="15"/>
  <c r="B85" i="15"/>
  <c r="X84" i="15"/>
  <c r="T84" i="15"/>
  <c r="Z84" i="15" s="1"/>
  <c r="P84" i="15"/>
  <c r="H84" i="15"/>
  <c r="N84" i="15" s="1"/>
  <c r="D84" i="15"/>
  <c r="B84" i="15"/>
  <c r="X83" i="15"/>
  <c r="Z83" i="15" s="1"/>
  <c r="N83" i="15"/>
  <c r="L83" i="15"/>
  <c r="B83" i="15"/>
  <c r="Z82" i="15"/>
  <c r="X82" i="15"/>
  <c r="N82" i="15"/>
  <c r="L82" i="15"/>
  <c r="J82" i="15"/>
  <c r="B82" i="15"/>
  <c r="T81" i="15"/>
  <c r="P81" i="15"/>
  <c r="H81" i="15"/>
  <c r="D81" i="15"/>
  <c r="L81" i="15" s="1"/>
  <c r="N81" i="15" s="1"/>
  <c r="B81" i="15"/>
  <c r="Z80" i="15"/>
  <c r="X80" i="15"/>
  <c r="L80" i="15"/>
  <c r="N80" i="15" s="1"/>
  <c r="J80" i="15"/>
  <c r="B80" i="15"/>
  <c r="T79" i="15"/>
  <c r="P79" i="15"/>
  <c r="X79" i="15" s="1"/>
  <c r="Z79" i="15" s="1"/>
  <c r="L79" i="15"/>
  <c r="H79" i="15"/>
  <c r="N79" i="15" s="1"/>
  <c r="D79" i="15"/>
  <c r="B79" i="15"/>
  <c r="Z78" i="15"/>
  <c r="X78" i="15"/>
  <c r="N78" i="15"/>
  <c r="L78" i="15"/>
  <c r="B78" i="15"/>
  <c r="X77" i="15"/>
  <c r="T77" i="15"/>
  <c r="Z77" i="15" s="1"/>
  <c r="P77" i="15"/>
  <c r="L77" i="15"/>
  <c r="N77" i="15" s="1"/>
  <c r="H77" i="15"/>
  <c r="D77" i="15"/>
  <c r="B77" i="15"/>
  <c r="X76" i="15"/>
  <c r="Z76" i="15" s="1"/>
  <c r="N76" i="15"/>
  <c r="L76" i="15"/>
  <c r="B76" i="15"/>
  <c r="Z75" i="15"/>
  <c r="X75" i="15"/>
  <c r="T75" i="15"/>
  <c r="P75" i="15"/>
  <c r="J75" i="15"/>
  <c r="H75" i="15"/>
  <c r="D75" i="15"/>
  <c r="B75" i="15"/>
  <c r="Z74" i="15"/>
  <c r="X74" i="15"/>
  <c r="N74" i="15"/>
  <c r="L74" i="15"/>
  <c r="J74" i="15"/>
  <c r="B74" i="15"/>
  <c r="Z73" i="15"/>
  <c r="X73" i="15"/>
  <c r="N73" i="15"/>
  <c r="L73" i="15"/>
  <c r="B73" i="15"/>
  <c r="X72" i="15"/>
  <c r="Z72" i="15" s="1"/>
  <c r="N72" i="15"/>
  <c r="L72" i="15"/>
  <c r="B72" i="15"/>
  <c r="Z71" i="15"/>
  <c r="X71" i="15"/>
  <c r="L71" i="15"/>
  <c r="N71" i="15" s="1"/>
  <c r="B71" i="15"/>
  <c r="Z70" i="15"/>
  <c r="X70" i="15"/>
  <c r="N70" i="15"/>
  <c r="L70" i="15"/>
  <c r="B70" i="15"/>
  <c r="X69" i="15"/>
  <c r="Z69" i="15" s="1"/>
  <c r="L69" i="15"/>
  <c r="N69" i="15" s="1"/>
  <c r="J69" i="15"/>
  <c r="B69" i="15"/>
  <c r="Z68" i="15"/>
  <c r="X68" i="15"/>
  <c r="L68" i="15"/>
  <c r="N68" i="15" s="1"/>
  <c r="J68" i="15"/>
  <c r="B68" i="15"/>
  <c r="Z67" i="15"/>
  <c r="X67" i="15"/>
  <c r="N67" i="15"/>
  <c r="L67" i="15"/>
  <c r="B67" i="15"/>
  <c r="Z66" i="15"/>
  <c r="X66" i="15"/>
  <c r="N66" i="15"/>
  <c r="L66" i="15"/>
  <c r="J66" i="15"/>
  <c r="B66" i="15"/>
  <c r="X65" i="15"/>
  <c r="Z65" i="15" s="1"/>
  <c r="L65" i="15"/>
  <c r="N65" i="15" s="1"/>
  <c r="B65" i="15"/>
  <c r="X64" i="15"/>
  <c r="T64" i="15"/>
  <c r="P64" i="15"/>
  <c r="H64" i="15"/>
  <c r="D64" i="15"/>
  <c r="B64" i="15"/>
  <c r="X63" i="15"/>
  <c r="Z63" i="15" s="1"/>
  <c r="N63" i="15"/>
  <c r="L63" i="15"/>
  <c r="B63" i="15"/>
  <c r="Z62" i="15"/>
  <c r="X62" i="15"/>
  <c r="N62" i="15"/>
  <c r="L62" i="15"/>
  <c r="J62" i="15"/>
  <c r="B62" i="15"/>
  <c r="X61" i="15"/>
  <c r="Z61" i="15" s="1"/>
  <c r="L61" i="15"/>
  <c r="N61" i="15" s="1"/>
  <c r="B61" i="15"/>
  <c r="Z60" i="15"/>
  <c r="X60" i="15"/>
  <c r="N60" i="15"/>
  <c r="L60" i="15"/>
  <c r="B60" i="15"/>
  <c r="Z59" i="15"/>
  <c r="X59" i="15"/>
  <c r="N59" i="15"/>
  <c r="L59" i="15"/>
  <c r="B59" i="15"/>
  <c r="Z58" i="15"/>
  <c r="X58" i="15"/>
  <c r="N58" i="15"/>
  <c r="L58" i="15"/>
  <c r="B58" i="15"/>
  <c r="X57" i="15"/>
  <c r="Z57" i="15" s="1"/>
  <c r="L57" i="15"/>
  <c r="N57" i="15" s="1"/>
  <c r="J57" i="15"/>
  <c r="B57" i="15"/>
  <c r="Z56" i="15"/>
  <c r="X56" i="15"/>
  <c r="L56" i="15"/>
  <c r="N56" i="15" s="1"/>
  <c r="J56" i="15"/>
  <c r="B56" i="15"/>
  <c r="X55" i="15"/>
  <c r="Z55" i="15" s="1"/>
  <c r="N55" i="15"/>
  <c r="L55" i="15"/>
  <c r="B55" i="15"/>
  <c r="Z54" i="15"/>
  <c r="X54" i="15"/>
  <c r="N54" i="15"/>
  <c r="L54" i="15"/>
  <c r="J54" i="15"/>
  <c r="B54" i="15"/>
  <c r="T53" i="15"/>
  <c r="P53" i="15"/>
  <c r="X53" i="15" s="1"/>
  <c r="H53" i="15"/>
  <c r="D53" i="15"/>
  <c r="L53" i="15" s="1"/>
  <c r="N53" i="15" s="1"/>
  <c r="B53" i="15"/>
  <c r="T52" i="15" a="1"/>
  <c r="T52" i="15" s="1"/>
  <c r="P52" i="15" a="1"/>
  <c r="P52" i="15" s="1"/>
  <c r="X52" i="15" s="1"/>
  <c r="H52" i="15" a="1"/>
  <c r="H52" i="15" s="1"/>
  <c r="D52" i="15" a="1"/>
  <c r="D52" i="15" s="1"/>
  <c r="Z48" i="15"/>
  <c r="X48" i="15"/>
  <c r="N48" i="15"/>
  <c r="L48" i="15"/>
  <c r="B48" i="15"/>
  <c r="Z47" i="15"/>
  <c r="X47" i="15"/>
  <c r="N47" i="15"/>
  <c r="L47" i="15"/>
  <c r="B47" i="15"/>
  <c r="Z46" i="15"/>
  <c r="X46" i="15"/>
  <c r="N46" i="15"/>
  <c r="L46" i="15"/>
  <c r="B46" i="15"/>
  <c r="Z45" i="15"/>
  <c r="X45" i="15"/>
  <c r="N45" i="15"/>
  <c r="L45" i="15"/>
  <c r="J45" i="15"/>
  <c r="B45" i="15"/>
  <c r="Z44" i="15"/>
  <c r="X44" i="15"/>
  <c r="N44" i="15"/>
  <c r="L44" i="15"/>
  <c r="J44" i="15"/>
  <c r="B44" i="15"/>
  <c r="Z43" i="15"/>
  <c r="X43" i="15"/>
  <c r="N43" i="15"/>
  <c r="L43" i="15"/>
  <c r="B43" i="15"/>
  <c r="Z42" i="15"/>
  <c r="X42" i="15"/>
  <c r="N42" i="15"/>
  <c r="L42" i="15"/>
  <c r="J42" i="15"/>
  <c r="B42" i="15"/>
  <c r="Z41" i="15"/>
  <c r="X41" i="15"/>
  <c r="N41" i="15"/>
  <c r="L41" i="15"/>
  <c r="B41" i="15"/>
  <c r="Z40" i="15"/>
  <c r="X40" i="15"/>
  <c r="N40" i="15"/>
  <c r="L40" i="15"/>
  <c r="B40" i="15"/>
  <c r="Z39" i="15"/>
  <c r="X39" i="15"/>
  <c r="N39" i="15"/>
  <c r="L39" i="15"/>
  <c r="B39" i="15"/>
  <c r="Z38" i="15"/>
  <c r="X38" i="15"/>
  <c r="N38" i="15"/>
  <c r="L38" i="15"/>
  <c r="B38" i="15"/>
  <c r="Z37" i="15"/>
  <c r="X37" i="15"/>
  <c r="N37" i="15"/>
  <c r="L37" i="15"/>
  <c r="J37" i="15"/>
  <c r="B37" i="15"/>
  <c r="Z36" i="15"/>
  <c r="X36" i="15"/>
  <c r="N36" i="15"/>
  <c r="L36" i="15"/>
  <c r="J36" i="15"/>
  <c r="B36" i="15"/>
  <c r="Z35" i="15"/>
  <c r="X35" i="15"/>
  <c r="N35" i="15"/>
  <c r="L35" i="15"/>
  <c r="B35" i="15"/>
  <c r="Z34" i="15"/>
  <c r="X34" i="15"/>
  <c r="N34" i="15"/>
  <c r="L34" i="15"/>
  <c r="J34" i="15"/>
  <c r="B34" i="15"/>
  <c r="Z33" i="15"/>
  <c r="X33" i="15"/>
  <c r="N33" i="15"/>
  <c r="L33" i="15"/>
  <c r="B33" i="15"/>
  <c r="Z32" i="15"/>
  <c r="X32" i="15"/>
  <c r="N32" i="15"/>
  <c r="L32" i="15"/>
  <c r="B32" i="15"/>
  <c r="Z31" i="15"/>
  <c r="X31" i="15"/>
  <c r="N31" i="15"/>
  <c r="L31" i="15"/>
  <c r="B31" i="15"/>
  <c r="Z30" i="15"/>
  <c r="X30" i="15"/>
  <c r="N30" i="15"/>
  <c r="L30" i="15"/>
  <c r="B30" i="15"/>
  <c r="Z29" i="15"/>
  <c r="X29" i="15"/>
  <c r="N29" i="15"/>
  <c r="L29" i="15"/>
  <c r="J29" i="15"/>
  <c r="B29" i="15"/>
  <c r="Z28" i="15"/>
  <c r="X28" i="15"/>
  <c r="N28" i="15"/>
  <c r="L28" i="15"/>
  <c r="J28" i="15"/>
  <c r="B28" i="15"/>
  <c r="Z27" i="15"/>
  <c r="X27" i="15"/>
  <c r="N27" i="15"/>
  <c r="L27" i="15"/>
  <c r="B27" i="15"/>
  <c r="Z26" i="15"/>
  <c r="X26" i="15"/>
  <c r="N26" i="15"/>
  <c r="L26" i="15"/>
  <c r="J26" i="15"/>
  <c r="B26" i="15"/>
  <c r="Z25" i="15"/>
  <c r="X25" i="15"/>
  <c r="N25" i="15"/>
  <c r="L25" i="15"/>
  <c r="B25" i="15"/>
  <c r="Z24" i="15"/>
  <c r="X24" i="15"/>
  <c r="N24" i="15"/>
  <c r="L24" i="15"/>
  <c r="B24" i="15"/>
  <c r="Z23" i="15"/>
  <c r="X23" i="15"/>
  <c r="N23" i="15"/>
  <c r="L23" i="15"/>
  <c r="B23" i="15"/>
  <c r="Z22" i="15"/>
  <c r="X22" i="15"/>
  <c r="N22" i="15"/>
  <c r="L22" i="15"/>
  <c r="B22" i="15"/>
  <c r="X21" i="15"/>
  <c r="T21" i="15"/>
  <c r="Z21" i="15" s="1"/>
  <c r="P21" i="15"/>
  <c r="N21" i="15"/>
  <c r="L21" i="15"/>
  <c r="H21" i="15"/>
  <c r="D21" i="15"/>
  <c r="Z19" i="15"/>
  <c r="P19" i="15"/>
  <c r="X19" i="15" s="1"/>
  <c r="N19" i="15"/>
  <c r="D19" i="15"/>
  <c r="L19" i="15" s="1"/>
  <c r="B19" i="15"/>
  <c r="Z18" i="15"/>
  <c r="X18" i="15"/>
  <c r="P18" i="15"/>
  <c r="N18" i="15"/>
  <c r="L18" i="15"/>
  <c r="D18" i="15"/>
  <c r="B18" i="15"/>
  <c r="Z17" i="15"/>
  <c r="X17" i="15"/>
  <c r="P17" i="15"/>
  <c r="N17" i="15"/>
  <c r="L17" i="15"/>
  <c r="D17" i="15"/>
  <c r="B17" i="15"/>
  <c r="Z16" i="15"/>
  <c r="P16" i="15"/>
  <c r="X16" i="15" s="1"/>
  <c r="N16" i="15"/>
  <c r="D16" i="15"/>
  <c r="L16" i="15" s="1"/>
  <c r="B16" i="15"/>
  <c r="Z15" i="15"/>
  <c r="X15" i="15"/>
  <c r="P15" i="15"/>
  <c r="N15" i="15"/>
  <c r="L15" i="15"/>
  <c r="D15" i="15"/>
  <c r="B15" i="15"/>
  <c r="P14" i="15"/>
  <c r="L14" i="15"/>
  <c r="N14" i="15" s="1"/>
  <c r="D14" i="15"/>
  <c r="B14" i="15"/>
  <c r="Z13" i="15"/>
  <c r="X13" i="15"/>
  <c r="P13" i="15"/>
  <c r="D13" i="15"/>
  <c r="L13" i="15" s="1"/>
  <c r="N13" i="15" s="1"/>
  <c r="B13" i="15"/>
  <c r="T12" i="15"/>
  <c r="H12" i="15"/>
  <c r="D4" i="15"/>
  <c r="B39" i="14"/>
  <c r="B38" i="14"/>
  <c r="T34" i="14"/>
  <c r="Z34" i="14" s="1"/>
  <c r="P34" i="14"/>
  <c r="H34" i="14"/>
  <c r="N34" i="14" s="1"/>
  <c r="D34" i="14"/>
  <c r="L34" i="14" s="1"/>
  <c r="T33" i="14"/>
  <c r="Z33" i="14" s="1"/>
  <c r="P33" i="14"/>
  <c r="H33" i="14"/>
  <c r="N33" i="14" s="1"/>
  <c r="D33" i="14"/>
  <c r="T29" i="14"/>
  <c r="Z29" i="14" s="1"/>
  <c r="P29" i="14"/>
  <c r="H29" i="14"/>
  <c r="N29" i="14" s="1"/>
  <c r="D29" i="14"/>
  <c r="L29" i="14" s="1"/>
  <c r="T25" i="14"/>
  <c r="Z25" i="14" s="1"/>
  <c r="P25" i="14"/>
  <c r="H25" i="14"/>
  <c r="N25" i="14" s="1"/>
  <c r="D25" i="14"/>
  <c r="B25" i="14"/>
  <c r="T24" i="14"/>
  <c r="Z24" i="14" s="1"/>
  <c r="P24" i="14"/>
  <c r="H24" i="14"/>
  <c r="D24" i="14"/>
  <c r="T22" i="14"/>
  <c r="Z22" i="14" s="1"/>
  <c r="P22" i="14"/>
  <c r="H22" i="14"/>
  <c r="N22" i="14" s="1"/>
  <c r="D22" i="14"/>
  <c r="B22" i="14"/>
  <c r="T21" i="14"/>
  <c r="Z21" i="14" s="1"/>
  <c r="P21" i="14"/>
  <c r="X21" i="14" s="1"/>
  <c r="H21" i="14"/>
  <c r="N21" i="14" s="1"/>
  <c r="D21" i="14"/>
  <c r="B21" i="14"/>
  <c r="T20" i="14"/>
  <c r="P20" i="14"/>
  <c r="H20" i="14"/>
  <c r="N20" i="14" s="1"/>
  <c r="D20" i="14"/>
  <c r="T16" i="14"/>
  <c r="P16" i="14"/>
  <c r="H16" i="14"/>
  <c r="N16" i="14" s="1"/>
  <c r="D16" i="14"/>
  <c r="B16" i="14"/>
  <c r="T15" i="14"/>
  <c r="Z15" i="14" s="1"/>
  <c r="P15" i="14"/>
  <c r="H15" i="14"/>
  <c r="N15" i="14" s="1"/>
  <c r="D15" i="14"/>
  <c r="L15" i="14" s="1"/>
  <c r="T13" i="14"/>
  <c r="Z13" i="14" s="1"/>
  <c r="P13" i="14"/>
  <c r="H13" i="14"/>
  <c r="N13" i="14" s="1"/>
  <c r="D13" i="14"/>
  <c r="B13" i="14"/>
  <c r="T12" i="14"/>
  <c r="V31" i="14" s="1"/>
  <c r="P12" i="14"/>
  <c r="R34" i="14" s="1"/>
  <c r="H12" i="14"/>
  <c r="J36" i="14" s="1"/>
  <c r="D12" i="14"/>
  <c r="F21" i="14" s="1"/>
  <c r="D5" i="14"/>
  <c r="D4" i="14"/>
  <c r="B39" i="13"/>
  <c r="B38" i="13"/>
  <c r="T34" i="13"/>
  <c r="Z34" i="13" s="1"/>
  <c r="P34" i="13"/>
  <c r="H34" i="13"/>
  <c r="D34" i="13"/>
  <c r="T33" i="13"/>
  <c r="Z33" i="13" s="1"/>
  <c r="P33" i="13"/>
  <c r="H33" i="13"/>
  <c r="N33" i="13" s="1"/>
  <c r="D33" i="13"/>
  <c r="T29" i="13"/>
  <c r="Z29" i="13" s="1"/>
  <c r="P29" i="13"/>
  <c r="H29" i="13"/>
  <c r="N29" i="13" s="1"/>
  <c r="D29" i="13"/>
  <c r="T25" i="13"/>
  <c r="Z25" i="13" s="1"/>
  <c r="P25" i="13"/>
  <c r="H25" i="13"/>
  <c r="N25" i="13" s="1"/>
  <c r="D25" i="13"/>
  <c r="B25" i="13"/>
  <c r="T24" i="13"/>
  <c r="Z24" i="13" s="1"/>
  <c r="P24" i="13"/>
  <c r="H24" i="13"/>
  <c r="N24" i="13" s="1"/>
  <c r="D24" i="13"/>
  <c r="T22" i="13"/>
  <c r="Z22" i="13" s="1"/>
  <c r="P22" i="13"/>
  <c r="H22" i="13"/>
  <c r="N22" i="13" s="1"/>
  <c r="D22" i="13"/>
  <c r="B22" i="13"/>
  <c r="T21" i="13"/>
  <c r="Z21" i="13" s="1"/>
  <c r="P21" i="13"/>
  <c r="H21" i="13"/>
  <c r="N21" i="13" s="1"/>
  <c r="D21" i="13"/>
  <c r="B21" i="13"/>
  <c r="T20" i="13"/>
  <c r="Z20" i="13" s="1"/>
  <c r="P20" i="13"/>
  <c r="H20" i="13"/>
  <c r="N20" i="13" s="1"/>
  <c r="D20" i="13"/>
  <c r="T16" i="13"/>
  <c r="Z16" i="13" s="1"/>
  <c r="P16" i="13"/>
  <c r="H16" i="13"/>
  <c r="N16" i="13" s="1"/>
  <c r="D16" i="13"/>
  <c r="B16" i="13"/>
  <c r="T15" i="13"/>
  <c r="Z15" i="13" s="1"/>
  <c r="P15" i="13"/>
  <c r="H15" i="13"/>
  <c r="N15" i="13" s="1"/>
  <c r="D15" i="13"/>
  <c r="T13" i="13"/>
  <c r="Z13" i="13" s="1"/>
  <c r="P13" i="13"/>
  <c r="H13" i="13"/>
  <c r="N13" i="13" s="1"/>
  <c r="D13" i="13"/>
  <c r="B13" i="13"/>
  <c r="T12" i="13"/>
  <c r="V24" i="13" s="1"/>
  <c r="P12" i="13"/>
  <c r="R27" i="13" s="1"/>
  <c r="H12" i="13"/>
  <c r="J18" i="13" s="1"/>
  <c r="D12" i="13"/>
  <c r="F24" i="13" s="1"/>
  <c r="D5" i="13"/>
  <c r="D4" i="13"/>
  <c r="X162" i="12"/>
  <c r="Z162" i="12" s="1"/>
  <c r="N162" i="12"/>
  <c r="L162" i="12"/>
  <c r="Z158" i="12"/>
  <c r="V158" i="12"/>
  <c r="P158" i="12"/>
  <c r="X158" i="12" s="1"/>
  <c r="N158" i="12"/>
  <c r="D158" i="12"/>
  <c r="L158" i="12" s="1"/>
  <c r="B158" i="12"/>
  <c r="V157" i="12"/>
  <c r="P157" i="12"/>
  <c r="X157" i="12" s="1"/>
  <c r="Z157" i="12" s="1"/>
  <c r="D157" i="12"/>
  <c r="L157" i="12" s="1"/>
  <c r="N157" i="12" s="1"/>
  <c r="B157" i="12"/>
  <c r="Z156" i="12"/>
  <c r="P156" i="12"/>
  <c r="X156" i="12" s="1"/>
  <c r="N156" i="12"/>
  <c r="J156" i="12"/>
  <c r="D156" i="12"/>
  <c r="L156" i="12" s="1"/>
  <c r="B156" i="12"/>
  <c r="X155" i="12"/>
  <c r="Z155" i="12" s="1"/>
  <c r="P155" i="12"/>
  <c r="N155" i="12"/>
  <c r="D155" i="12"/>
  <c r="L155" i="12" s="1"/>
  <c r="B155" i="12"/>
  <c r="X154" i="12"/>
  <c r="Z154" i="12" s="1"/>
  <c r="P154" i="12"/>
  <c r="L154" i="12"/>
  <c r="N154" i="12" s="1"/>
  <c r="D154" i="12"/>
  <c r="B154" i="12"/>
  <c r="T153" i="12"/>
  <c r="H153" i="12"/>
  <c r="Z151" i="12"/>
  <c r="X151" i="12"/>
  <c r="N151" i="12"/>
  <c r="L151" i="12"/>
  <c r="B151" i="12"/>
  <c r="X150" i="12"/>
  <c r="T150" i="12"/>
  <c r="Z150" i="12" s="1"/>
  <c r="P150" i="12"/>
  <c r="L150" i="12"/>
  <c r="H150" i="12"/>
  <c r="N150" i="12" s="1"/>
  <c r="D150" i="12"/>
  <c r="B150" i="12"/>
  <c r="X149" i="12"/>
  <c r="Z149" i="12" s="1"/>
  <c r="N149" i="12"/>
  <c r="L149" i="12"/>
  <c r="B149" i="12"/>
  <c r="Z148" i="12"/>
  <c r="X148" i="12"/>
  <c r="L148" i="12"/>
  <c r="N148" i="12" s="1"/>
  <c r="B148" i="12"/>
  <c r="Z147" i="12"/>
  <c r="X147" i="12"/>
  <c r="V147" i="12"/>
  <c r="N147" i="12"/>
  <c r="L147" i="12"/>
  <c r="B147" i="12"/>
  <c r="X146" i="12"/>
  <c r="T146" i="12"/>
  <c r="P146" i="12"/>
  <c r="N146" i="12"/>
  <c r="L146" i="12"/>
  <c r="H146" i="12"/>
  <c r="D146" i="12"/>
  <c r="B146" i="12"/>
  <c r="X145" i="12"/>
  <c r="Z145" i="12" s="1"/>
  <c r="N145" i="12"/>
  <c r="L145" i="12"/>
  <c r="B145" i="12"/>
  <c r="T144" i="12"/>
  <c r="P144" i="12"/>
  <c r="H144" i="12"/>
  <c r="N144" i="12" s="1"/>
  <c r="D144" i="12"/>
  <c r="L144" i="12" s="1"/>
  <c r="B144" i="12"/>
  <c r="Z143" i="12"/>
  <c r="X143" i="12"/>
  <c r="N143" i="12"/>
  <c r="L143" i="12"/>
  <c r="B143" i="12"/>
  <c r="Z142" i="12"/>
  <c r="X142" i="12"/>
  <c r="L142" i="12"/>
  <c r="N142" i="12" s="1"/>
  <c r="B142" i="12"/>
  <c r="X141" i="12"/>
  <c r="V141" i="12"/>
  <c r="T141" i="12"/>
  <c r="Z141" i="12" s="1"/>
  <c r="P141" i="12"/>
  <c r="H141" i="12"/>
  <c r="D141" i="12"/>
  <c r="B141" i="12"/>
  <c r="X140" i="12"/>
  <c r="Z140" i="12" s="1"/>
  <c r="N140" i="12"/>
  <c r="L140" i="12"/>
  <c r="B140" i="12"/>
  <c r="Z139" i="12"/>
  <c r="X139" i="12"/>
  <c r="N139" i="12"/>
  <c r="L139" i="12"/>
  <c r="B139" i="12"/>
  <c r="Z138" i="12"/>
  <c r="X138" i="12"/>
  <c r="L138" i="12"/>
  <c r="N138" i="12" s="1"/>
  <c r="B138" i="12"/>
  <c r="X137" i="12"/>
  <c r="Z137" i="12" s="1"/>
  <c r="N137" i="12"/>
  <c r="L137" i="12"/>
  <c r="B137" i="12"/>
  <c r="X136" i="12"/>
  <c r="Z136" i="12" s="1"/>
  <c r="L136" i="12"/>
  <c r="N136" i="12" s="1"/>
  <c r="B136" i="12"/>
  <c r="Z135" i="12"/>
  <c r="X135" i="12"/>
  <c r="N135" i="12"/>
  <c r="L135" i="12"/>
  <c r="B135" i="12"/>
  <c r="X134" i="12"/>
  <c r="Z134" i="12" s="1"/>
  <c r="N134" i="12"/>
  <c r="L134" i="12"/>
  <c r="B134" i="12"/>
  <c r="Z133" i="12"/>
  <c r="T133" i="12"/>
  <c r="P133" i="12"/>
  <c r="X133" i="12" s="1"/>
  <c r="N133" i="12"/>
  <c r="H133" i="12"/>
  <c r="D133" i="12"/>
  <c r="L133" i="12" s="1"/>
  <c r="B133" i="12"/>
  <c r="Z132" i="12"/>
  <c r="X132" i="12"/>
  <c r="L132" i="12"/>
  <c r="N132" i="12" s="1"/>
  <c r="B132" i="12"/>
  <c r="Z131" i="12"/>
  <c r="X131" i="12"/>
  <c r="V131" i="12"/>
  <c r="N131" i="12"/>
  <c r="L131" i="12"/>
  <c r="B131" i="12"/>
  <c r="X130" i="12"/>
  <c r="T130" i="12"/>
  <c r="P130" i="12"/>
  <c r="N130" i="12"/>
  <c r="L130" i="12"/>
  <c r="H130" i="12"/>
  <c r="D130" i="12"/>
  <c r="B130" i="12"/>
  <c r="X129" i="12"/>
  <c r="Z129" i="12" s="1"/>
  <c r="N129" i="12"/>
  <c r="L129" i="12"/>
  <c r="B129" i="12"/>
  <c r="Z128" i="12"/>
  <c r="X128" i="12"/>
  <c r="N128" i="12"/>
  <c r="L128" i="12"/>
  <c r="B128" i="12"/>
  <c r="Z127" i="12"/>
  <c r="X127" i="12"/>
  <c r="N127" i="12"/>
  <c r="L127" i="12"/>
  <c r="B127" i="12"/>
  <c r="X126" i="12"/>
  <c r="Z126" i="12" s="1"/>
  <c r="N126" i="12"/>
  <c r="L126" i="12"/>
  <c r="B126" i="12"/>
  <c r="Z125" i="12"/>
  <c r="T125" i="12"/>
  <c r="P125" i="12"/>
  <c r="X125" i="12" s="1"/>
  <c r="N125" i="12"/>
  <c r="J125" i="12"/>
  <c r="H125" i="12"/>
  <c r="D125" i="12"/>
  <c r="L125" i="12" s="1"/>
  <c r="B125" i="12"/>
  <c r="Z124" i="12"/>
  <c r="X124" i="12"/>
  <c r="L124" i="12"/>
  <c r="N124" i="12" s="1"/>
  <c r="B124" i="12"/>
  <c r="Z123" i="12"/>
  <c r="X123" i="12"/>
  <c r="N123" i="12"/>
  <c r="L123" i="12"/>
  <c r="B123" i="12"/>
  <c r="X122" i="12"/>
  <c r="Z122" i="12" s="1"/>
  <c r="N122" i="12"/>
  <c r="L122" i="12"/>
  <c r="B122" i="12"/>
  <c r="Z121" i="12"/>
  <c r="X121" i="12"/>
  <c r="L121" i="12"/>
  <c r="N121" i="12" s="1"/>
  <c r="B121" i="12"/>
  <c r="T120" i="12"/>
  <c r="Z120" i="12" s="1"/>
  <c r="P120" i="12"/>
  <c r="X120" i="12" s="1"/>
  <c r="L120" i="12"/>
  <c r="H120" i="12"/>
  <c r="N120" i="12" s="1"/>
  <c r="D120" i="12"/>
  <c r="B120" i="12"/>
  <c r="Z119" i="12"/>
  <c r="X119" i="12"/>
  <c r="N119" i="12"/>
  <c r="L119" i="12"/>
  <c r="B119" i="12"/>
  <c r="X118" i="12"/>
  <c r="Z118" i="12" s="1"/>
  <c r="N118" i="12"/>
  <c r="L118" i="12"/>
  <c r="B118" i="12"/>
  <c r="Z117" i="12"/>
  <c r="X117" i="12"/>
  <c r="L117" i="12"/>
  <c r="N117" i="12" s="1"/>
  <c r="B117" i="12"/>
  <c r="X116" i="12"/>
  <c r="Z116" i="12" s="1"/>
  <c r="N116" i="12"/>
  <c r="L116" i="12"/>
  <c r="B116" i="12"/>
  <c r="T115" i="12"/>
  <c r="P115" i="12"/>
  <c r="N115" i="12"/>
  <c r="H115" i="12"/>
  <c r="D115" i="12"/>
  <c r="L115" i="12" s="1"/>
  <c r="B115" i="12"/>
  <c r="X114" i="12"/>
  <c r="Z114" i="12" s="1"/>
  <c r="N114" i="12"/>
  <c r="L114" i="12"/>
  <c r="B114" i="12"/>
  <c r="T113" i="12"/>
  <c r="P113" i="12"/>
  <c r="X113" i="12" s="1"/>
  <c r="Z113" i="12" s="1"/>
  <c r="N113" i="12"/>
  <c r="L113" i="12"/>
  <c r="H113" i="12"/>
  <c r="D113" i="12"/>
  <c r="B113" i="12"/>
  <c r="Z112" i="12"/>
  <c r="X112" i="12"/>
  <c r="N112" i="12"/>
  <c r="L112" i="12"/>
  <c r="B112" i="12"/>
  <c r="Z111" i="12"/>
  <c r="X111" i="12"/>
  <c r="V111" i="12"/>
  <c r="T111" i="12"/>
  <c r="P111" i="12"/>
  <c r="L111" i="12"/>
  <c r="H111" i="12"/>
  <c r="N111" i="12" s="1"/>
  <c r="D111" i="12"/>
  <c r="B111" i="12"/>
  <c r="Z110" i="12"/>
  <c r="X110" i="12"/>
  <c r="L110" i="12"/>
  <c r="N110" i="12" s="1"/>
  <c r="B110" i="12"/>
  <c r="X109" i="12"/>
  <c r="V109" i="12"/>
  <c r="T109" i="12"/>
  <c r="Z109" i="12" s="1"/>
  <c r="P109" i="12"/>
  <c r="H109" i="12"/>
  <c r="D109" i="12"/>
  <c r="B109" i="12"/>
  <c r="X108" i="12"/>
  <c r="Z108" i="12" s="1"/>
  <c r="N108" i="12"/>
  <c r="L108" i="12"/>
  <c r="B108" i="12"/>
  <c r="T107" i="12"/>
  <c r="P107" i="12"/>
  <c r="N107" i="12"/>
  <c r="H107" i="12"/>
  <c r="D107" i="12"/>
  <c r="L107" i="12" s="1"/>
  <c r="B107" i="12"/>
  <c r="X106" i="12"/>
  <c r="Z106" i="12" s="1"/>
  <c r="N106" i="12"/>
  <c r="L106" i="12"/>
  <c r="B106" i="12"/>
  <c r="T105" i="12"/>
  <c r="P105" i="12"/>
  <c r="X105" i="12" s="1"/>
  <c r="Z105" i="12" s="1"/>
  <c r="N105" i="12"/>
  <c r="L105" i="12"/>
  <c r="H105" i="12"/>
  <c r="D105" i="12"/>
  <c r="B105" i="12"/>
  <c r="X104" i="12"/>
  <c r="Z104" i="12" s="1"/>
  <c r="L104" i="12"/>
  <c r="N104" i="12" s="1"/>
  <c r="B104" i="12"/>
  <c r="Z103" i="12"/>
  <c r="X103" i="12"/>
  <c r="N103" i="12"/>
  <c r="L103" i="12"/>
  <c r="B103" i="12"/>
  <c r="X102" i="12"/>
  <c r="T102" i="12"/>
  <c r="Z102" i="12" s="1"/>
  <c r="P102" i="12"/>
  <c r="H102" i="12"/>
  <c r="D102" i="12"/>
  <c r="B102" i="12"/>
  <c r="X101" i="12"/>
  <c r="Z101" i="12" s="1"/>
  <c r="V101" i="12"/>
  <c r="N101" i="12"/>
  <c r="L101" i="12"/>
  <c r="B101" i="12"/>
  <c r="Z100" i="12"/>
  <c r="X100" i="12"/>
  <c r="L100" i="12"/>
  <c r="N100" i="12" s="1"/>
  <c r="B100" i="12"/>
  <c r="Z99" i="12"/>
  <c r="X99" i="12"/>
  <c r="T99" i="12"/>
  <c r="P99" i="12"/>
  <c r="L99" i="12"/>
  <c r="J99" i="12"/>
  <c r="H99" i="12"/>
  <c r="D99" i="12"/>
  <c r="B99" i="12"/>
  <c r="Z98" i="12"/>
  <c r="X98" i="12"/>
  <c r="V98" i="12"/>
  <c r="L98" i="12"/>
  <c r="N98" i="12" s="1"/>
  <c r="B98" i="12"/>
  <c r="X97" i="12"/>
  <c r="T97" i="12"/>
  <c r="P97" i="12"/>
  <c r="H97" i="12"/>
  <c r="D97" i="12"/>
  <c r="L97" i="12" s="1"/>
  <c r="N97" i="12" s="1"/>
  <c r="B97" i="12"/>
  <c r="X96" i="12"/>
  <c r="Z96" i="12" s="1"/>
  <c r="N96" i="12"/>
  <c r="L96" i="12"/>
  <c r="B96" i="12"/>
  <c r="T95" i="12"/>
  <c r="P95" i="12"/>
  <c r="X95" i="12" s="1"/>
  <c r="Z95" i="12" s="1"/>
  <c r="H95" i="12"/>
  <c r="N95" i="12" s="1"/>
  <c r="D95" i="12"/>
  <c r="L95" i="12" s="1"/>
  <c r="B95" i="12"/>
  <c r="X94" i="12"/>
  <c r="Z94" i="12" s="1"/>
  <c r="N94" i="12"/>
  <c r="L94" i="12"/>
  <c r="B94" i="12"/>
  <c r="V93" i="12"/>
  <c r="T93" i="12"/>
  <c r="P93" i="12"/>
  <c r="J93" i="12"/>
  <c r="H93" i="12"/>
  <c r="D93" i="12"/>
  <c r="L93" i="12" s="1"/>
  <c r="N93" i="12" s="1"/>
  <c r="B93" i="12"/>
  <c r="Z92" i="12"/>
  <c r="X92" i="12"/>
  <c r="N92" i="12"/>
  <c r="L92" i="12"/>
  <c r="J92" i="12"/>
  <c r="B92" i="12"/>
  <c r="Z91" i="12"/>
  <c r="X91" i="12"/>
  <c r="N91" i="12"/>
  <c r="L91" i="12"/>
  <c r="B91" i="12"/>
  <c r="Z90" i="12"/>
  <c r="X90" i="12"/>
  <c r="T90" i="12"/>
  <c r="P90" i="12"/>
  <c r="J90" i="12"/>
  <c r="H90" i="12"/>
  <c r="N90" i="12" s="1"/>
  <c r="D90" i="12"/>
  <c r="L90" i="12" s="1"/>
  <c r="B90" i="12"/>
  <c r="X89" i="12"/>
  <c r="Z89" i="12" s="1"/>
  <c r="V89" i="12"/>
  <c r="N89" i="12"/>
  <c r="L89" i="12"/>
  <c r="J89" i="12"/>
  <c r="B89" i="12"/>
  <c r="Z88" i="12"/>
  <c r="X88" i="12"/>
  <c r="N88" i="12"/>
  <c r="L88" i="12"/>
  <c r="B88" i="12"/>
  <c r="T87" i="12"/>
  <c r="P87" i="12"/>
  <c r="X87" i="12" s="1"/>
  <c r="Z87" i="12" s="1"/>
  <c r="H87" i="12"/>
  <c r="D87" i="12"/>
  <c r="B87" i="12"/>
  <c r="Z86" i="12"/>
  <c r="X86" i="12"/>
  <c r="L86" i="12"/>
  <c r="N86" i="12" s="1"/>
  <c r="B86" i="12"/>
  <c r="Z85" i="12"/>
  <c r="X85" i="12"/>
  <c r="T85" i="12"/>
  <c r="P85" i="12"/>
  <c r="J85" i="12"/>
  <c r="H85" i="12"/>
  <c r="D85" i="12"/>
  <c r="B85" i="12"/>
  <c r="X84" i="12"/>
  <c r="Z84" i="12" s="1"/>
  <c r="N84" i="12"/>
  <c r="L84" i="12"/>
  <c r="B84" i="12"/>
  <c r="T83" i="12"/>
  <c r="P83" i="12"/>
  <c r="X83" i="12" s="1"/>
  <c r="J83" i="12"/>
  <c r="H83" i="12"/>
  <c r="D83" i="12"/>
  <c r="L83" i="12" s="1"/>
  <c r="B83" i="12"/>
  <c r="Z82" i="12"/>
  <c r="X82" i="12"/>
  <c r="N82" i="12"/>
  <c r="L82" i="12"/>
  <c r="J82" i="12"/>
  <c r="B82" i="12"/>
  <c r="V81" i="12"/>
  <c r="T81" i="12"/>
  <c r="Z81" i="12" s="1"/>
  <c r="P81" i="12"/>
  <c r="X81" i="12" s="1"/>
  <c r="H81" i="12"/>
  <c r="L81" i="12" s="1"/>
  <c r="N81" i="12" s="1"/>
  <c r="D81" i="12"/>
  <c r="B81" i="12"/>
  <c r="Z80" i="12"/>
  <c r="X80" i="12"/>
  <c r="N80" i="12"/>
  <c r="L80" i="12"/>
  <c r="B80" i="12"/>
  <c r="Z79" i="12"/>
  <c r="X79" i="12"/>
  <c r="N79" i="12"/>
  <c r="L79" i="12"/>
  <c r="B79" i="12"/>
  <c r="Z78" i="12"/>
  <c r="X78" i="12"/>
  <c r="N78" i="12"/>
  <c r="L78" i="12"/>
  <c r="J78" i="12"/>
  <c r="B78" i="12"/>
  <c r="X77" i="12"/>
  <c r="Z77" i="12" s="1"/>
  <c r="V77" i="12"/>
  <c r="L77" i="12"/>
  <c r="N77" i="12" s="1"/>
  <c r="J77" i="12"/>
  <c r="B77" i="12"/>
  <c r="Z76" i="12"/>
  <c r="X76" i="12"/>
  <c r="N76" i="12"/>
  <c r="L76" i="12"/>
  <c r="B76" i="12"/>
  <c r="Z75" i="12"/>
  <c r="X75" i="12"/>
  <c r="N75" i="12"/>
  <c r="L75" i="12"/>
  <c r="B75" i="12"/>
  <c r="Z74" i="12"/>
  <c r="X74" i="12"/>
  <c r="V74" i="12"/>
  <c r="N74" i="12"/>
  <c r="L74" i="12"/>
  <c r="B74" i="12"/>
  <c r="Z73" i="12"/>
  <c r="X73" i="12"/>
  <c r="V73" i="12"/>
  <c r="N73" i="12"/>
  <c r="L73" i="12"/>
  <c r="J73" i="12"/>
  <c r="B73" i="12"/>
  <c r="Z72" i="12"/>
  <c r="X72" i="12"/>
  <c r="L72" i="12"/>
  <c r="N72" i="12" s="1"/>
  <c r="B72" i="12"/>
  <c r="Z71" i="12"/>
  <c r="X71" i="12"/>
  <c r="N71" i="12"/>
  <c r="L71" i="12"/>
  <c r="B71" i="12"/>
  <c r="T70" i="12"/>
  <c r="Z70" i="12" s="1"/>
  <c r="P70" i="12"/>
  <c r="X70" i="12" s="1"/>
  <c r="N70" i="12"/>
  <c r="L70" i="12"/>
  <c r="H70" i="12"/>
  <c r="D70" i="12"/>
  <c r="B70" i="12"/>
  <c r="X69" i="12"/>
  <c r="Z69" i="12" s="1"/>
  <c r="V69" i="12"/>
  <c r="L69" i="12"/>
  <c r="N69" i="12" s="1"/>
  <c r="J69" i="12"/>
  <c r="B69" i="12"/>
  <c r="Z68" i="12"/>
  <c r="X68" i="12"/>
  <c r="L68" i="12"/>
  <c r="N68" i="12" s="1"/>
  <c r="B68" i="12"/>
  <c r="Z67" i="12"/>
  <c r="X67" i="12"/>
  <c r="N67" i="12"/>
  <c r="L67" i="12"/>
  <c r="B67" i="12"/>
  <c r="Z66" i="12"/>
  <c r="X66" i="12"/>
  <c r="N66" i="12"/>
  <c r="L66" i="12"/>
  <c r="J66" i="12"/>
  <c r="B66" i="12"/>
  <c r="Z65" i="12"/>
  <c r="X65" i="12"/>
  <c r="V65" i="12"/>
  <c r="N65" i="12"/>
  <c r="L65" i="12"/>
  <c r="J65" i="12"/>
  <c r="B65" i="12"/>
  <c r="X64" i="12"/>
  <c r="Z64" i="12" s="1"/>
  <c r="N64" i="12"/>
  <c r="L64" i="12"/>
  <c r="B64" i="12"/>
  <c r="Z63" i="12"/>
  <c r="X63" i="12"/>
  <c r="N63" i="12"/>
  <c r="L63" i="12"/>
  <c r="B63" i="12"/>
  <c r="Z62" i="12"/>
  <c r="X62" i="12"/>
  <c r="V62" i="12"/>
  <c r="N62" i="12"/>
  <c r="L62" i="12"/>
  <c r="B62" i="12"/>
  <c r="X61" i="12"/>
  <c r="Z61" i="12" s="1"/>
  <c r="V61" i="12"/>
  <c r="L61" i="12"/>
  <c r="N61" i="12" s="1"/>
  <c r="J61" i="12"/>
  <c r="B61" i="12"/>
  <c r="Z60" i="12"/>
  <c r="X60" i="12"/>
  <c r="L60" i="12"/>
  <c r="N60" i="12" s="1"/>
  <c r="B60" i="12"/>
  <c r="T59" i="12"/>
  <c r="P59" i="12"/>
  <c r="X59" i="12" s="1"/>
  <c r="Z59" i="12" s="1"/>
  <c r="L59" i="12"/>
  <c r="J59" i="12"/>
  <c r="H59" i="12"/>
  <c r="N59" i="12" s="1"/>
  <c r="D59" i="12"/>
  <c r="B59" i="12"/>
  <c r="T58" i="12" a="1"/>
  <c r="T58" i="12" s="1"/>
  <c r="P58" i="12" a="1"/>
  <c r="P58" i="12"/>
  <c r="X58" i="12" s="1"/>
  <c r="H58" i="12" a="1"/>
  <c r="H58" i="12" s="1"/>
  <c r="D58" i="12" a="1"/>
  <c r="D58" i="12"/>
  <c r="L58" i="12" s="1"/>
  <c r="V56" i="12"/>
  <c r="T56" i="12"/>
  <c r="Z54" i="12"/>
  <c r="X54" i="12"/>
  <c r="N54" i="12"/>
  <c r="L54" i="12"/>
  <c r="J54" i="12"/>
  <c r="B54" i="12"/>
  <c r="Z53" i="12"/>
  <c r="X53" i="12"/>
  <c r="V53" i="12"/>
  <c r="N53" i="12"/>
  <c r="L53" i="12"/>
  <c r="J53" i="12"/>
  <c r="B53" i="12"/>
  <c r="Z52" i="12"/>
  <c r="X52" i="12"/>
  <c r="N52" i="12"/>
  <c r="L52" i="12"/>
  <c r="B52" i="12"/>
  <c r="Z51" i="12"/>
  <c r="X51" i="12"/>
  <c r="N51" i="12"/>
  <c r="L51" i="12"/>
  <c r="B51" i="12"/>
  <c r="Z50" i="12"/>
  <c r="X50" i="12"/>
  <c r="V50" i="12"/>
  <c r="N50" i="12"/>
  <c r="L50" i="12"/>
  <c r="B50" i="12"/>
  <c r="Z49" i="12"/>
  <c r="X49" i="12"/>
  <c r="V49" i="12"/>
  <c r="N49" i="12"/>
  <c r="L49" i="12"/>
  <c r="J49" i="12"/>
  <c r="B49" i="12"/>
  <c r="Z48" i="12"/>
  <c r="X48" i="12"/>
  <c r="N48" i="12"/>
  <c r="L48" i="12"/>
  <c r="B48" i="12"/>
  <c r="Z47" i="12"/>
  <c r="X47" i="12"/>
  <c r="N47" i="12"/>
  <c r="L47" i="12"/>
  <c r="B47" i="12"/>
  <c r="Z46" i="12"/>
  <c r="X46" i="12"/>
  <c r="V46" i="12"/>
  <c r="N46" i="12"/>
  <c r="L46" i="12"/>
  <c r="J46" i="12"/>
  <c r="B46" i="12"/>
  <c r="Z45" i="12"/>
  <c r="X45" i="12"/>
  <c r="V45" i="12"/>
  <c r="N45" i="12"/>
  <c r="L45" i="12"/>
  <c r="J45" i="12"/>
  <c r="B45" i="12"/>
  <c r="Z44" i="12"/>
  <c r="X44" i="12"/>
  <c r="N44" i="12"/>
  <c r="L44" i="12"/>
  <c r="B44" i="12"/>
  <c r="Z43" i="12"/>
  <c r="X43" i="12"/>
  <c r="N43" i="12"/>
  <c r="L43" i="12"/>
  <c r="B43" i="12"/>
  <c r="Z42" i="12"/>
  <c r="X42" i="12"/>
  <c r="V42" i="12"/>
  <c r="N42" i="12"/>
  <c r="L42" i="12"/>
  <c r="J42" i="12"/>
  <c r="B42" i="12"/>
  <c r="Z41" i="12"/>
  <c r="X41" i="12"/>
  <c r="V41" i="12"/>
  <c r="N41" i="12"/>
  <c r="L41" i="12"/>
  <c r="J41" i="12"/>
  <c r="B41" i="12"/>
  <c r="Z40" i="12"/>
  <c r="X40" i="12"/>
  <c r="N40" i="12"/>
  <c r="L40" i="12"/>
  <c r="B40" i="12"/>
  <c r="Z39" i="12"/>
  <c r="X39" i="12"/>
  <c r="N39" i="12"/>
  <c r="L39" i="12"/>
  <c r="B39" i="12"/>
  <c r="Z38" i="12"/>
  <c r="X38" i="12"/>
  <c r="V38" i="12"/>
  <c r="N38" i="12"/>
  <c r="L38" i="12"/>
  <c r="J38" i="12"/>
  <c r="B38" i="12"/>
  <c r="Z37" i="12"/>
  <c r="X37" i="12"/>
  <c r="V37" i="12"/>
  <c r="N37" i="12"/>
  <c r="L37" i="12"/>
  <c r="J37" i="12"/>
  <c r="B37" i="12"/>
  <c r="Z36" i="12"/>
  <c r="X36" i="12"/>
  <c r="N36" i="12"/>
  <c r="L36" i="12"/>
  <c r="B36" i="12"/>
  <c r="Z35" i="12"/>
  <c r="X35" i="12"/>
  <c r="N35" i="12"/>
  <c r="L35" i="12"/>
  <c r="B35" i="12"/>
  <c r="Z34" i="12"/>
  <c r="X34" i="12"/>
  <c r="V34" i="12"/>
  <c r="N34" i="12"/>
  <c r="L34" i="12"/>
  <c r="J34" i="12"/>
  <c r="B34" i="12"/>
  <c r="Z33" i="12"/>
  <c r="X33" i="12"/>
  <c r="V33" i="12"/>
  <c r="N33" i="12"/>
  <c r="L33" i="12"/>
  <c r="J33" i="12"/>
  <c r="B33" i="12"/>
  <c r="Z32" i="12"/>
  <c r="X32" i="12"/>
  <c r="N32" i="12"/>
  <c r="L32" i="12"/>
  <c r="B32" i="12"/>
  <c r="Z31" i="12"/>
  <c r="X31" i="12"/>
  <c r="N31" i="12"/>
  <c r="L31" i="12"/>
  <c r="B31" i="12"/>
  <c r="Z30" i="12"/>
  <c r="X30" i="12"/>
  <c r="V30" i="12"/>
  <c r="N30" i="12"/>
  <c r="L30" i="12"/>
  <c r="J30" i="12"/>
  <c r="B30" i="12"/>
  <c r="Z29" i="12"/>
  <c r="X29" i="12"/>
  <c r="V29" i="12"/>
  <c r="N29" i="12"/>
  <c r="L29" i="12"/>
  <c r="J29" i="12"/>
  <c r="B29" i="12"/>
  <c r="Z28" i="12"/>
  <c r="X28" i="12"/>
  <c r="N28" i="12"/>
  <c r="L28" i="12"/>
  <c r="B28" i="12"/>
  <c r="Z27" i="12"/>
  <c r="X27" i="12"/>
  <c r="N27" i="12"/>
  <c r="L27" i="12"/>
  <c r="B27" i="12"/>
  <c r="Z26" i="12"/>
  <c r="X26" i="12"/>
  <c r="V26" i="12"/>
  <c r="N26" i="12"/>
  <c r="L26" i="12"/>
  <c r="J26" i="12"/>
  <c r="B26" i="12"/>
  <c r="X25" i="12"/>
  <c r="V25" i="12"/>
  <c r="T25" i="12"/>
  <c r="Z25" i="12" s="1"/>
  <c r="P25" i="12"/>
  <c r="H25" i="12"/>
  <c r="N25" i="12" s="1"/>
  <c r="D25" i="12"/>
  <c r="L25" i="12" s="1"/>
  <c r="Z23" i="12"/>
  <c r="P23" i="12"/>
  <c r="X23" i="12" s="1"/>
  <c r="N23" i="12"/>
  <c r="D23" i="12"/>
  <c r="L23" i="12" s="1"/>
  <c r="B23" i="12"/>
  <c r="Z22" i="12"/>
  <c r="P22" i="12"/>
  <c r="X22" i="12" s="1"/>
  <c r="N22" i="12"/>
  <c r="L22" i="12"/>
  <c r="D22" i="12"/>
  <c r="B22" i="12"/>
  <c r="Z21" i="12"/>
  <c r="X21" i="12"/>
  <c r="P21" i="12"/>
  <c r="N21" i="12"/>
  <c r="L21" i="12"/>
  <c r="D21" i="12"/>
  <c r="B21" i="12"/>
  <c r="Z20" i="12"/>
  <c r="X20" i="12"/>
  <c r="P20" i="12"/>
  <c r="N20" i="12"/>
  <c r="D20" i="12"/>
  <c r="L20" i="12" s="1"/>
  <c r="B20" i="12"/>
  <c r="Z19" i="12"/>
  <c r="X19" i="12"/>
  <c r="P19" i="12"/>
  <c r="N19" i="12"/>
  <c r="D19" i="12"/>
  <c r="L19" i="12" s="1"/>
  <c r="B19" i="12"/>
  <c r="Z18" i="12"/>
  <c r="P18" i="12"/>
  <c r="X18" i="12" s="1"/>
  <c r="N18" i="12"/>
  <c r="L18" i="12"/>
  <c r="D18" i="12"/>
  <c r="B18" i="12"/>
  <c r="Z17" i="12"/>
  <c r="X17" i="12"/>
  <c r="P17" i="12"/>
  <c r="N17" i="12"/>
  <c r="L17" i="12"/>
  <c r="D17" i="12"/>
  <c r="B17" i="12"/>
  <c r="X16" i="12"/>
  <c r="Z16" i="12" s="1"/>
  <c r="P16" i="12"/>
  <c r="L16" i="12"/>
  <c r="N16" i="12" s="1"/>
  <c r="D16" i="12"/>
  <c r="B16" i="12"/>
  <c r="Z15" i="12"/>
  <c r="P15" i="12"/>
  <c r="X15" i="12" s="1"/>
  <c r="N15" i="12"/>
  <c r="D15" i="12"/>
  <c r="L15" i="12" s="1"/>
  <c r="B15" i="12"/>
  <c r="Z14" i="12"/>
  <c r="P14" i="12"/>
  <c r="X14" i="12" s="1"/>
  <c r="N14" i="12"/>
  <c r="L14" i="12"/>
  <c r="D14" i="12"/>
  <c r="B14" i="12"/>
  <c r="Z13" i="12"/>
  <c r="X13" i="12"/>
  <c r="P13" i="12"/>
  <c r="L13" i="12"/>
  <c r="N13" i="12" s="1"/>
  <c r="D13" i="12"/>
  <c r="D12" i="12" s="1"/>
  <c r="B13" i="12"/>
  <c r="T12" i="12"/>
  <c r="V142" i="12" s="1"/>
  <c r="H12" i="12"/>
  <c r="J143" i="12" s="1"/>
  <c r="D4" i="12"/>
  <c r="B39" i="11"/>
  <c r="B38" i="11"/>
  <c r="T34" i="11"/>
  <c r="Z34" i="11" s="1"/>
  <c r="P34" i="11"/>
  <c r="H34" i="11"/>
  <c r="N34" i="11" s="1"/>
  <c r="D34" i="11"/>
  <c r="T33" i="11"/>
  <c r="Z33" i="11" s="1"/>
  <c r="P33" i="11"/>
  <c r="H33" i="11"/>
  <c r="N33" i="11" s="1"/>
  <c r="D33" i="11"/>
  <c r="T29" i="11"/>
  <c r="Z29" i="11" s="1"/>
  <c r="P29" i="11"/>
  <c r="H29" i="11"/>
  <c r="N29" i="11" s="1"/>
  <c r="D29" i="11"/>
  <c r="T25" i="11"/>
  <c r="Z25" i="11" s="1"/>
  <c r="P25" i="11"/>
  <c r="H25" i="11"/>
  <c r="N25" i="11" s="1"/>
  <c r="D25" i="11"/>
  <c r="B25" i="11"/>
  <c r="T24" i="11"/>
  <c r="Z24" i="11" s="1"/>
  <c r="P24" i="11"/>
  <c r="H24" i="11"/>
  <c r="N24" i="11" s="1"/>
  <c r="D24" i="11"/>
  <c r="T22" i="11"/>
  <c r="Z22" i="11" s="1"/>
  <c r="P22" i="11"/>
  <c r="H22" i="11"/>
  <c r="N22" i="11" s="1"/>
  <c r="D22" i="11"/>
  <c r="B22" i="11"/>
  <c r="T21" i="11"/>
  <c r="Z21" i="11" s="1"/>
  <c r="P21" i="11"/>
  <c r="H21" i="11"/>
  <c r="N21" i="11" s="1"/>
  <c r="D21" i="11"/>
  <c r="B21" i="11"/>
  <c r="T20" i="11"/>
  <c r="Z20" i="11" s="1"/>
  <c r="P20" i="11"/>
  <c r="H20" i="11"/>
  <c r="N20" i="11" s="1"/>
  <c r="D20" i="11"/>
  <c r="T16" i="11"/>
  <c r="Z16" i="11" s="1"/>
  <c r="P16" i="11"/>
  <c r="H16" i="11"/>
  <c r="N16" i="11" s="1"/>
  <c r="D16" i="11"/>
  <c r="B16" i="11"/>
  <c r="T15" i="11"/>
  <c r="Z15" i="11" s="1"/>
  <c r="P15" i="11"/>
  <c r="H15" i="11"/>
  <c r="N15" i="11" s="1"/>
  <c r="D15" i="11"/>
  <c r="T13" i="11"/>
  <c r="Z13" i="11" s="1"/>
  <c r="P13" i="11"/>
  <c r="H13" i="11"/>
  <c r="N13" i="11" s="1"/>
  <c r="D13" i="11"/>
  <c r="B13" i="11"/>
  <c r="T12" i="11"/>
  <c r="V24" i="11" s="1"/>
  <c r="P12" i="11"/>
  <c r="R34" i="11" s="1"/>
  <c r="H12" i="11"/>
  <c r="J18" i="11" s="1"/>
  <c r="D12" i="11"/>
  <c r="F21" i="11" s="1"/>
  <c r="D5" i="11"/>
  <c r="D4" i="11"/>
  <c r="B39" i="10"/>
  <c r="B38" i="10"/>
  <c r="T34" i="10"/>
  <c r="Z34" i="10" s="1"/>
  <c r="P34" i="10"/>
  <c r="H34" i="10"/>
  <c r="N34" i="10" s="1"/>
  <c r="D34" i="10"/>
  <c r="T33" i="10"/>
  <c r="Z33" i="10" s="1"/>
  <c r="P33" i="10"/>
  <c r="H33" i="10"/>
  <c r="N33" i="10" s="1"/>
  <c r="D33" i="10"/>
  <c r="T29" i="10"/>
  <c r="Z29" i="10" s="1"/>
  <c r="P29" i="10"/>
  <c r="H29" i="10"/>
  <c r="N29" i="10" s="1"/>
  <c r="D29" i="10"/>
  <c r="T25" i="10"/>
  <c r="Z25" i="10" s="1"/>
  <c r="P25" i="10"/>
  <c r="H25" i="10"/>
  <c r="N25" i="10" s="1"/>
  <c r="D25" i="10"/>
  <c r="B25" i="10"/>
  <c r="T24" i="10"/>
  <c r="Z24" i="10" s="1"/>
  <c r="P24" i="10"/>
  <c r="H24" i="10"/>
  <c r="N24" i="10" s="1"/>
  <c r="D24" i="10"/>
  <c r="T22" i="10"/>
  <c r="Z22" i="10" s="1"/>
  <c r="P22" i="10"/>
  <c r="H22" i="10"/>
  <c r="N22" i="10" s="1"/>
  <c r="D22" i="10"/>
  <c r="B22" i="10"/>
  <c r="T21" i="10"/>
  <c r="Z21" i="10" s="1"/>
  <c r="P21" i="10"/>
  <c r="H21" i="10"/>
  <c r="N21" i="10" s="1"/>
  <c r="D21" i="10"/>
  <c r="B21" i="10"/>
  <c r="T20" i="10"/>
  <c r="Z20" i="10" s="1"/>
  <c r="P20" i="10"/>
  <c r="H20" i="10"/>
  <c r="N20" i="10" s="1"/>
  <c r="D20" i="10"/>
  <c r="T16" i="10"/>
  <c r="Z16" i="10" s="1"/>
  <c r="P16" i="10"/>
  <c r="H16" i="10"/>
  <c r="N16" i="10" s="1"/>
  <c r="D16" i="10"/>
  <c r="B16" i="10"/>
  <c r="T15" i="10"/>
  <c r="Z15" i="10" s="1"/>
  <c r="P15" i="10"/>
  <c r="H15" i="10"/>
  <c r="N15" i="10" s="1"/>
  <c r="D15" i="10"/>
  <c r="T13" i="10"/>
  <c r="Z13" i="10" s="1"/>
  <c r="P13" i="10"/>
  <c r="H13" i="10"/>
  <c r="N13" i="10" s="1"/>
  <c r="D13" i="10"/>
  <c r="B13" i="10"/>
  <c r="T12" i="10"/>
  <c r="V24" i="10" s="1"/>
  <c r="P12" i="10"/>
  <c r="H12" i="10"/>
  <c r="J18" i="10" s="1"/>
  <c r="D12" i="10"/>
  <c r="F20" i="10" s="1"/>
  <c r="D5" i="10"/>
  <c r="D4" i="10"/>
  <c r="F101" i="9"/>
  <c r="Z99" i="9"/>
  <c r="X99" i="9"/>
  <c r="N99" i="9"/>
  <c r="L99" i="9"/>
  <c r="J99" i="9"/>
  <c r="X95" i="9"/>
  <c r="T95" i="9"/>
  <c r="Z95" i="9" s="1"/>
  <c r="P95" i="9"/>
  <c r="H95" i="9"/>
  <c r="N95" i="9" s="1"/>
  <c r="F95" i="9"/>
  <c r="D95" i="9"/>
  <c r="L95" i="9" s="1"/>
  <c r="X93" i="9"/>
  <c r="Z93" i="9" s="1"/>
  <c r="N93" i="9"/>
  <c r="L93" i="9"/>
  <c r="J93" i="9"/>
  <c r="B93" i="9"/>
  <c r="X92" i="9"/>
  <c r="Z92" i="9" s="1"/>
  <c r="N92" i="9"/>
  <c r="L92" i="9"/>
  <c r="B92" i="9"/>
  <c r="T91" i="9"/>
  <c r="P91" i="9"/>
  <c r="X91" i="9" s="1"/>
  <c r="H91" i="9"/>
  <c r="N91" i="9" s="1"/>
  <c r="D91" i="9"/>
  <c r="L91" i="9" s="1"/>
  <c r="B91" i="9"/>
  <c r="Z90" i="9"/>
  <c r="X90" i="9"/>
  <c r="N90" i="9"/>
  <c r="L90" i="9"/>
  <c r="J90" i="9"/>
  <c r="F90" i="9"/>
  <c r="B90" i="9"/>
  <c r="T89" i="9"/>
  <c r="P89" i="9"/>
  <c r="X89" i="9" s="1"/>
  <c r="H89" i="9"/>
  <c r="L89" i="9" s="1"/>
  <c r="N89" i="9" s="1"/>
  <c r="D89" i="9"/>
  <c r="B89" i="9"/>
  <c r="Z88" i="9"/>
  <c r="X88" i="9"/>
  <c r="L88" i="9"/>
  <c r="N88" i="9" s="1"/>
  <c r="B88" i="9"/>
  <c r="Z87" i="9"/>
  <c r="X87" i="9"/>
  <c r="N87" i="9"/>
  <c r="L87" i="9"/>
  <c r="F87" i="9"/>
  <c r="B87" i="9"/>
  <c r="T86" i="9"/>
  <c r="Z86" i="9" s="1"/>
  <c r="P86" i="9"/>
  <c r="X86" i="9" s="1"/>
  <c r="N86" i="9"/>
  <c r="L86" i="9"/>
  <c r="H86" i="9"/>
  <c r="D86" i="9"/>
  <c r="B86" i="9"/>
  <c r="Z85" i="9"/>
  <c r="X85" i="9"/>
  <c r="N85" i="9"/>
  <c r="L85" i="9"/>
  <c r="B85" i="9"/>
  <c r="Z84" i="9"/>
  <c r="X84" i="9"/>
  <c r="N84" i="9"/>
  <c r="L84" i="9"/>
  <c r="B84" i="9"/>
  <c r="Z83" i="9"/>
  <c r="X83" i="9"/>
  <c r="N83" i="9"/>
  <c r="L83" i="9"/>
  <c r="F83" i="9"/>
  <c r="B83" i="9"/>
  <c r="Z82" i="9"/>
  <c r="X82" i="9"/>
  <c r="N82" i="9"/>
  <c r="L82" i="9"/>
  <c r="J82" i="9"/>
  <c r="F82" i="9"/>
  <c r="B82" i="9"/>
  <c r="Z81" i="9"/>
  <c r="X81" i="9"/>
  <c r="N81" i="9"/>
  <c r="L81" i="9"/>
  <c r="J81" i="9"/>
  <c r="B81" i="9"/>
  <c r="X80" i="9"/>
  <c r="Z80" i="9" s="1"/>
  <c r="N80" i="9"/>
  <c r="L80" i="9"/>
  <c r="B80" i="9"/>
  <c r="T79" i="9"/>
  <c r="Z79" i="9" s="1"/>
  <c r="P79" i="9"/>
  <c r="X79" i="9" s="1"/>
  <c r="H79" i="9"/>
  <c r="D79" i="9"/>
  <c r="L79" i="9" s="1"/>
  <c r="B79" i="9"/>
  <c r="Z78" i="9"/>
  <c r="X78" i="9"/>
  <c r="N78" i="9"/>
  <c r="L78" i="9"/>
  <c r="J78" i="9"/>
  <c r="F78" i="9"/>
  <c r="B78" i="9"/>
  <c r="X77" i="9"/>
  <c r="Z77" i="9" s="1"/>
  <c r="N77" i="9"/>
  <c r="L77" i="9"/>
  <c r="J77" i="9"/>
  <c r="B77" i="9"/>
  <c r="T76" i="9"/>
  <c r="R76" i="9"/>
  <c r="P76" i="9"/>
  <c r="X76" i="9" s="1"/>
  <c r="Z76" i="9" s="1"/>
  <c r="H76" i="9"/>
  <c r="N76" i="9" s="1"/>
  <c r="D76" i="9"/>
  <c r="B76" i="9"/>
  <c r="Z75" i="9"/>
  <c r="X75" i="9"/>
  <c r="N75" i="9"/>
  <c r="L75" i="9"/>
  <c r="F75" i="9"/>
  <c r="B75" i="9"/>
  <c r="Z74" i="9"/>
  <c r="X74" i="9"/>
  <c r="N74" i="9"/>
  <c r="L74" i="9"/>
  <c r="J74" i="9"/>
  <c r="F74" i="9"/>
  <c r="B74" i="9"/>
  <c r="T73" i="9"/>
  <c r="P73" i="9"/>
  <c r="X73" i="9" s="1"/>
  <c r="H73" i="9"/>
  <c r="L73" i="9" s="1"/>
  <c r="N73" i="9" s="1"/>
  <c r="D73" i="9"/>
  <c r="B73" i="9"/>
  <c r="Z72" i="9"/>
  <c r="X72" i="9"/>
  <c r="L72" i="9"/>
  <c r="N72" i="9" s="1"/>
  <c r="B72" i="9"/>
  <c r="Z71" i="9"/>
  <c r="X71" i="9"/>
  <c r="N71" i="9"/>
  <c r="L71" i="9"/>
  <c r="F71" i="9"/>
  <c r="B71" i="9"/>
  <c r="Z70" i="9"/>
  <c r="X70" i="9"/>
  <c r="N70" i="9"/>
  <c r="L70" i="9"/>
  <c r="J70" i="9"/>
  <c r="F70" i="9"/>
  <c r="B70" i="9"/>
  <c r="X69" i="9"/>
  <c r="Z69" i="9" s="1"/>
  <c r="L69" i="9"/>
  <c r="N69" i="9" s="1"/>
  <c r="J69" i="9"/>
  <c r="B69" i="9"/>
  <c r="T68" i="9"/>
  <c r="R68" i="9"/>
  <c r="P68" i="9"/>
  <c r="X68" i="9" s="1"/>
  <c r="Z68" i="9" s="1"/>
  <c r="H68" i="9"/>
  <c r="D68" i="9"/>
  <c r="B68" i="9"/>
  <c r="Z67" i="9"/>
  <c r="X67" i="9"/>
  <c r="N67" i="9"/>
  <c r="L67" i="9"/>
  <c r="F67" i="9"/>
  <c r="B67" i="9"/>
  <c r="Z66" i="9"/>
  <c r="X66" i="9"/>
  <c r="N66" i="9"/>
  <c r="L66" i="9"/>
  <c r="J66" i="9"/>
  <c r="F66" i="9"/>
  <c r="B66" i="9"/>
  <c r="X65" i="9"/>
  <c r="Z65" i="9" s="1"/>
  <c r="L65" i="9"/>
  <c r="N65" i="9" s="1"/>
  <c r="J65" i="9"/>
  <c r="B65" i="9"/>
  <c r="X64" i="9"/>
  <c r="Z64" i="9" s="1"/>
  <c r="N64" i="9"/>
  <c r="L64" i="9"/>
  <c r="B64" i="9"/>
  <c r="T63" i="9"/>
  <c r="P63" i="9"/>
  <c r="X63" i="9" s="1"/>
  <c r="H63" i="9"/>
  <c r="N63" i="9" s="1"/>
  <c r="D63" i="9"/>
  <c r="L63" i="9" s="1"/>
  <c r="B63" i="9"/>
  <c r="Z62" i="9"/>
  <c r="X62" i="9"/>
  <c r="N62" i="9"/>
  <c r="L62" i="9"/>
  <c r="J62" i="9"/>
  <c r="F62" i="9"/>
  <c r="B62" i="9"/>
  <c r="T61" i="9"/>
  <c r="P61" i="9"/>
  <c r="X61" i="9" s="1"/>
  <c r="H61" i="9"/>
  <c r="L61" i="9" s="1"/>
  <c r="N61" i="9" s="1"/>
  <c r="D61" i="9"/>
  <c r="B61" i="9"/>
  <c r="Z60" i="9"/>
  <c r="X60" i="9"/>
  <c r="L60" i="9"/>
  <c r="N60" i="9" s="1"/>
  <c r="B60" i="9"/>
  <c r="T59" i="9"/>
  <c r="X59" i="9" s="1"/>
  <c r="Z59" i="9" s="1"/>
  <c r="P59" i="9"/>
  <c r="L59" i="9"/>
  <c r="J59" i="9"/>
  <c r="H59" i="9"/>
  <c r="N59" i="9" s="1"/>
  <c r="D59" i="9"/>
  <c r="B59" i="9"/>
  <c r="Z58" i="9"/>
  <c r="X58" i="9"/>
  <c r="N58" i="9"/>
  <c r="L58" i="9"/>
  <c r="B58" i="9"/>
  <c r="X57" i="9"/>
  <c r="T57" i="9"/>
  <c r="Z57" i="9" s="1"/>
  <c r="P57" i="9"/>
  <c r="H57" i="9"/>
  <c r="F57" i="9"/>
  <c r="D57" i="9"/>
  <c r="L57" i="9" s="1"/>
  <c r="B57" i="9"/>
  <c r="X56" i="9"/>
  <c r="Z56" i="9" s="1"/>
  <c r="N56" i="9"/>
  <c r="L56" i="9"/>
  <c r="B56" i="9"/>
  <c r="T55" i="9"/>
  <c r="P55" i="9"/>
  <c r="X55" i="9" s="1"/>
  <c r="H55" i="9"/>
  <c r="D55" i="9"/>
  <c r="L55" i="9" s="1"/>
  <c r="B55" i="9"/>
  <c r="Z54" i="9"/>
  <c r="X54" i="9"/>
  <c r="N54" i="9"/>
  <c r="L54" i="9"/>
  <c r="J54" i="9"/>
  <c r="F54" i="9"/>
  <c r="B54" i="9"/>
  <c r="T53" i="9"/>
  <c r="P53" i="9"/>
  <c r="X53" i="9" s="1"/>
  <c r="H53" i="9"/>
  <c r="L53" i="9" s="1"/>
  <c r="N53" i="9" s="1"/>
  <c r="D53" i="9"/>
  <c r="B53" i="9"/>
  <c r="Z52" i="9"/>
  <c r="X52" i="9"/>
  <c r="L52" i="9"/>
  <c r="N52" i="9" s="1"/>
  <c r="B52" i="9"/>
  <c r="T51" i="9"/>
  <c r="X51" i="9" s="1"/>
  <c r="Z51" i="9" s="1"/>
  <c r="P51" i="9"/>
  <c r="L51" i="9"/>
  <c r="J51" i="9"/>
  <c r="H51" i="9"/>
  <c r="N51" i="9" s="1"/>
  <c r="D51" i="9"/>
  <c r="B51" i="9"/>
  <c r="Z50" i="9"/>
  <c r="X50" i="9"/>
  <c r="N50" i="9"/>
  <c r="L50" i="9"/>
  <c r="B50" i="9"/>
  <c r="X49" i="9"/>
  <c r="Z49" i="9" s="1"/>
  <c r="L49" i="9"/>
  <c r="N49" i="9" s="1"/>
  <c r="B49" i="9"/>
  <c r="Z48" i="9"/>
  <c r="X48" i="9"/>
  <c r="T48" i="9"/>
  <c r="P48" i="9"/>
  <c r="J48" i="9"/>
  <c r="H48" i="9"/>
  <c r="D48" i="9"/>
  <c r="B48" i="9"/>
  <c r="Z47" i="9"/>
  <c r="X47" i="9"/>
  <c r="R47" i="9"/>
  <c r="N47" i="9"/>
  <c r="L47" i="9"/>
  <c r="B47" i="9"/>
  <c r="T46" i="9"/>
  <c r="P46" i="9"/>
  <c r="H46" i="9"/>
  <c r="F46" i="9"/>
  <c r="D46" i="9"/>
  <c r="L46" i="9" s="1"/>
  <c r="N46" i="9" s="1"/>
  <c r="B46" i="9"/>
  <c r="X45" i="9"/>
  <c r="Z45" i="9" s="1"/>
  <c r="L45" i="9"/>
  <c r="N45" i="9" s="1"/>
  <c r="J45" i="9"/>
  <c r="B45" i="9"/>
  <c r="T44" i="9"/>
  <c r="R44" i="9"/>
  <c r="P44" i="9"/>
  <c r="X44" i="9" s="1"/>
  <c r="Z44" i="9" s="1"/>
  <c r="H44" i="9"/>
  <c r="D44" i="9"/>
  <c r="L44" i="9" s="1"/>
  <c r="B44" i="9"/>
  <c r="Z43" i="9"/>
  <c r="X43" i="9"/>
  <c r="N43" i="9"/>
  <c r="L43" i="9"/>
  <c r="F43" i="9"/>
  <c r="B43" i="9"/>
  <c r="T42" i="9"/>
  <c r="P42" i="9"/>
  <c r="X42" i="9" s="1"/>
  <c r="N42" i="9"/>
  <c r="L42" i="9"/>
  <c r="H42" i="9"/>
  <c r="D42" i="9"/>
  <c r="B42" i="9"/>
  <c r="Z41" i="9"/>
  <c r="X41" i="9"/>
  <c r="N41" i="9"/>
  <c r="L41" i="9"/>
  <c r="B41" i="9"/>
  <c r="Z40" i="9"/>
  <c r="X40" i="9"/>
  <c r="N40" i="9"/>
  <c r="L40" i="9"/>
  <c r="B40" i="9"/>
  <c r="Z39" i="9"/>
  <c r="X39" i="9"/>
  <c r="N39" i="9"/>
  <c r="L39" i="9"/>
  <c r="F39" i="9"/>
  <c r="B39" i="9"/>
  <c r="Z38" i="9"/>
  <c r="X38" i="9"/>
  <c r="N38" i="9"/>
  <c r="L38" i="9"/>
  <c r="J38" i="9"/>
  <c r="F38" i="9"/>
  <c r="B38" i="9"/>
  <c r="Z37" i="9"/>
  <c r="X37" i="9"/>
  <c r="N37" i="9"/>
  <c r="L37" i="9"/>
  <c r="J37" i="9"/>
  <c r="B37" i="9"/>
  <c r="X36" i="9"/>
  <c r="Z36" i="9" s="1"/>
  <c r="N36" i="9"/>
  <c r="L36" i="9"/>
  <c r="B36" i="9"/>
  <c r="Z35" i="9"/>
  <c r="X35" i="9"/>
  <c r="R35" i="9"/>
  <c r="N35" i="9"/>
  <c r="L35" i="9"/>
  <c r="B35" i="9"/>
  <c r="Z34" i="9"/>
  <c r="X34" i="9"/>
  <c r="N34" i="9"/>
  <c r="L34" i="9"/>
  <c r="B34" i="9"/>
  <c r="X33" i="9"/>
  <c r="Z33" i="9" s="1"/>
  <c r="L33" i="9"/>
  <c r="N33" i="9" s="1"/>
  <c r="J33" i="9"/>
  <c r="B33" i="9"/>
  <c r="Z32" i="9"/>
  <c r="X32" i="9"/>
  <c r="L32" i="9"/>
  <c r="N32" i="9" s="1"/>
  <c r="B32" i="9"/>
  <c r="T31" i="9"/>
  <c r="P31" i="9"/>
  <c r="X31" i="9" s="1"/>
  <c r="Z31" i="9" s="1"/>
  <c r="L31" i="9"/>
  <c r="J31" i="9"/>
  <c r="H31" i="9"/>
  <c r="N31" i="9" s="1"/>
  <c r="D31" i="9"/>
  <c r="B31" i="9"/>
  <c r="Z30" i="9"/>
  <c r="X30" i="9"/>
  <c r="N30" i="9"/>
  <c r="L30" i="9"/>
  <c r="B30" i="9"/>
  <c r="X29" i="9"/>
  <c r="Z29" i="9" s="1"/>
  <c r="L29" i="9"/>
  <c r="N29" i="9" s="1"/>
  <c r="J29" i="9"/>
  <c r="B29" i="9"/>
  <c r="Z28" i="9"/>
  <c r="X28" i="9"/>
  <c r="L28" i="9"/>
  <c r="N28" i="9" s="1"/>
  <c r="B28" i="9"/>
  <c r="Z27" i="9"/>
  <c r="X27" i="9"/>
  <c r="N27" i="9"/>
  <c r="L27" i="9"/>
  <c r="F27" i="9"/>
  <c r="B27" i="9"/>
  <c r="Z26" i="9"/>
  <c r="X26" i="9"/>
  <c r="N26" i="9"/>
  <c r="L26" i="9"/>
  <c r="J26" i="9"/>
  <c r="F26" i="9"/>
  <c r="B26" i="9"/>
  <c r="X25" i="9"/>
  <c r="Z25" i="9" s="1"/>
  <c r="L25" i="9"/>
  <c r="N25" i="9" s="1"/>
  <c r="J25" i="9"/>
  <c r="B25" i="9"/>
  <c r="X24" i="9"/>
  <c r="Z24" i="9" s="1"/>
  <c r="N24" i="9"/>
  <c r="L24" i="9"/>
  <c r="B24" i="9"/>
  <c r="Z23" i="9"/>
  <c r="X23" i="9"/>
  <c r="R23" i="9"/>
  <c r="N23" i="9"/>
  <c r="L23" i="9"/>
  <c r="B23" i="9"/>
  <c r="Z22" i="9"/>
  <c r="X22" i="9"/>
  <c r="N22" i="9"/>
  <c r="L22" i="9"/>
  <c r="B22" i="9"/>
  <c r="X21" i="9"/>
  <c r="Z21" i="9" s="1"/>
  <c r="L21" i="9"/>
  <c r="N21" i="9" s="1"/>
  <c r="J21" i="9"/>
  <c r="B21" i="9"/>
  <c r="Z20" i="9"/>
  <c r="X20" i="9"/>
  <c r="L20" i="9"/>
  <c r="N20" i="9" s="1"/>
  <c r="B20" i="9"/>
  <c r="T19" i="9"/>
  <c r="P19" i="9"/>
  <c r="X19" i="9" s="1"/>
  <c r="Z19" i="9" s="1"/>
  <c r="L19" i="9"/>
  <c r="J19" i="9"/>
  <c r="H19" i="9"/>
  <c r="N19" i="9" s="1"/>
  <c r="D19" i="9"/>
  <c r="B19" i="9"/>
  <c r="T18" i="9" a="1"/>
  <c r="T18" i="9" s="1"/>
  <c r="P18" i="9" a="1"/>
  <c r="P18" i="9"/>
  <c r="J18" i="9"/>
  <c r="H18" i="9" a="1"/>
  <c r="H18" i="9" s="1"/>
  <c r="D18" i="9" a="1"/>
  <c r="D18" i="9"/>
  <c r="F16" i="9"/>
  <c r="D16" i="9"/>
  <c r="T14" i="9"/>
  <c r="Z14" i="9" s="1"/>
  <c r="P14" i="9"/>
  <c r="X14" i="9" s="1"/>
  <c r="N14" i="9"/>
  <c r="L14" i="9"/>
  <c r="H14" i="9"/>
  <c r="D14" i="9"/>
  <c r="T12" i="9"/>
  <c r="V101" i="9" s="1"/>
  <c r="P12" i="9"/>
  <c r="R91" i="9" s="1"/>
  <c r="H12" i="9"/>
  <c r="J92" i="9" s="1"/>
  <c r="D12" i="9"/>
  <c r="F99" i="9" s="1"/>
  <c r="D4" i="9"/>
  <c r="B39" i="8"/>
  <c r="B38" i="8"/>
  <c r="T34" i="8"/>
  <c r="Z34" i="8" s="1"/>
  <c r="P34" i="8"/>
  <c r="H34" i="8"/>
  <c r="N34" i="8" s="1"/>
  <c r="D34" i="8"/>
  <c r="T33" i="8"/>
  <c r="Z33" i="8" s="1"/>
  <c r="P33" i="8"/>
  <c r="H33" i="8"/>
  <c r="N33" i="8" s="1"/>
  <c r="D33" i="8"/>
  <c r="T29" i="8"/>
  <c r="Z29" i="8" s="1"/>
  <c r="P29" i="8"/>
  <c r="H29" i="8"/>
  <c r="N29" i="8" s="1"/>
  <c r="D29" i="8"/>
  <c r="T25" i="8"/>
  <c r="Z25" i="8" s="1"/>
  <c r="P25" i="8"/>
  <c r="H25" i="8"/>
  <c r="N25" i="8" s="1"/>
  <c r="D25" i="8"/>
  <c r="B25" i="8"/>
  <c r="T24" i="8"/>
  <c r="Z24" i="8" s="1"/>
  <c r="P24" i="8"/>
  <c r="H24" i="8"/>
  <c r="N24" i="8" s="1"/>
  <c r="D24" i="8"/>
  <c r="T22" i="8"/>
  <c r="Z22" i="8" s="1"/>
  <c r="P22" i="8"/>
  <c r="H22" i="8"/>
  <c r="N22" i="8" s="1"/>
  <c r="D22" i="8"/>
  <c r="B22" i="8"/>
  <c r="T21" i="8"/>
  <c r="Z21" i="8" s="1"/>
  <c r="P21" i="8"/>
  <c r="H21" i="8"/>
  <c r="N21" i="8" s="1"/>
  <c r="D21" i="8"/>
  <c r="B21" i="8"/>
  <c r="T20" i="8"/>
  <c r="Z20" i="8" s="1"/>
  <c r="P20" i="8"/>
  <c r="H20" i="8"/>
  <c r="N20" i="8" s="1"/>
  <c r="D20" i="8"/>
  <c r="T16" i="8"/>
  <c r="Z16" i="8" s="1"/>
  <c r="P16" i="8"/>
  <c r="H16" i="8"/>
  <c r="N16" i="8" s="1"/>
  <c r="D16" i="8"/>
  <c r="B16" i="8"/>
  <c r="T15" i="8"/>
  <c r="Z15" i="8" s="1"/>
  <c r="P15" i="8"/>
  <c r="H15" i="8"/>
  <c r="N15" i="8" s="1"/>
  <c r="D15" i="8"/>
  <c r="T13" i="8"/>
  <c r="Z13" i="8" s="1"/>
  <c r="P13" i="8"/>
  <c r="H13" i="8"/>
  <c r="N13" i="8" s="1"/>
  <c r="D13" i="8"/>
  <c r="B13" i="8"/>
  <c r="T12" i="8"/>
  <c r="V21" i="8" s="1"/>
  <c r="P12" i="8"/>
  <c r="R34" i="8" s="1"/>
  <c r="H12" i="8"/>
  <c r="J22" i="8" s="1"/>
  <c r="D12" i="8"/>
  <c r="F18" i="8" s="1"/>
  <c r="D5" i="8"/>
  <c r="D4" i="8"/>
  <c r="B39" i="7"/>
  <c r="B38" i="7"/>
  <c r="T34" i="7"/>
  <c r="Z34" i="7" s="1"/>
  <c r="P34" i="7"/>
  <c r="H34" i="7"/>
  <c r="N34" i="7" s="1"/>
  <c r="D34" i="7"/>
  <c r="T33" i="7"/>
  <c r="Z33" i="7" s="1"/>
  <c r="P33" i="7"/>
  <c r="H33" i="7"/>
  <c r="N33" i="7" s="1"/>
  <c r="D33" i="7"/>
  <c r="T29" i="7"/>
  <c r="Z29" i="7" s="1"/>
  <c r="P29" i="7"/>
  <c r="H29" i="7"/>
  <c r="N29" i="7" s="1"/>
  <c r="D29" i="7"/>
  <c r="T25" i="7"/>
  <c r="Z25" i="7" s="1"/>
  <c r="P25" i="7"/>
  <c r="H25" i="7"/>
  <c r="N25" i="7" s="1"/>
  <c r="D25" i="7"/>
  <c r="B25" i="7"/>
  <c r="T24" i="7"/>
  <c r="Z24" i="7" s="1"/>
  <c r="P24" i="7"/>
  <c r="H24" i="7"/>
  <c r="N24" i="7" s="1"/>
  <c r="D24" i="7"/>
  <c r="T22" i="7"/>
  <c r="Z22" i="7" s="1"/>
  <c r="P22" i="7"/>
  <c r="H22" i="7"/>
  <c r="N22" i="7" s="1"/>
  <c r="D22" i="7"/>
  <c r="B22" i="7"/>
  <c r="T21" i="7"/>
  <c r="Z21" i="7" s="1"/>
  <c r="P21" i="7"/>
  <c r="H21" i="7"/>
  <c r="N21" i="7" s="1"/>
  <c r="D21" i="7"/>
  <c r="B21" i="7"/>
  <c r="T20" i="7"/>
  <c r="Z20" i="7" s="1"/>
  <c r="P20" i="7"/>
  <c r="H20" i="7"/>
  <c r="N20" i="7" s="1"/>
  <c r="D20" i="7"/>
  <c r="T16" i="7"/>
  <c r="Z16" i="7" s="1"/>
  <c r="P16" i="7"/>
  <c r="H16" i="7"/>
  <c r="N16" i="7" s="1"/>
  <c r="D16" i="7"/>
  <c r="B16" i="7"/>
  <c r="T15" i="7"/>
  <c r="Z15" i="7" s="1"/>
  <c r="P15" i="7"/>
  <c r="H15" i="7"/>
  <c r="N15" i="7" s="1"/>
  <c r="D15" i="7"/>
  <c r="T13" i="7"/>
  <c r="Z13" i="7" s="1"/>
  <c r="P13" i="7"/>
  <c r="H13" i="7"/>
  <c r="N13" i="7" s="1"/>
  <c r="D13" i="7"/>
  <c r="B13" i="7"/>
  <c r="T12" i="7"/>
  <c r="V24" i="7" s="1"/>
  <c r="P12" i="7"/>
  <c r="R34" i="7" s="1"/>
  <c r="H12" i="7"/>
  <c r="J36" i="7" s="1"/>
  <c r="D12" i="7"/>
  <c r="F21" i="7" s="1"/>
  <c r="D5" i="7"/>
  <c r="D4" i="7"/>
  <c r="J31" i="6"/>
  <c r="T29" i="6"/>
  <c r="P29" i="6"/>
  <c r="J29" i="6"/>
  <c r="H29" i="6"/>
  <c r="D29" i="6"/>
  <c r="L29" i="6" s="1"/>
  <c r="T28" i="6"/>
  <c r="P28" i="6"/>
  <c r="X28" i="6" s="1"/>
  <c r="Z28" i="6" s="1"/>
  <c r="L28" i="6"/>
  <c r="J28" i="6"/>
  <c r="H28" i="6"/>
  <c r="N28" i="6" s="1"/>
  <c r="D28" i="6"/>
  <c r="J26" i="6"/>
  <c r="Z24" i="6"/>
  <c r="X24" i="6"/>
  <c r="N24" i="6"/>
  <c r="L24" i="6"/>
  <c r="F24" i="6"/>
  <c r="J22" i="6"/>
  <c r="T20" i="6"/>
  <c r="Z20" i="6" s="1"/>
  <c r="P20" i="6"/>
  <c r="J20" i="6"/>
  <c r="H20" i="6"/>
  <c r="N20" i="6" s="1"/>
  <c r="D20" i="6"/>
  <c r="L20" i="6" s="1"/>
  <c r="Z18" i="6"/>
  <c r="T18" i="6"/>
  <c r="P18" i="6"/>
  <c r="X18" i="6" s="1"/>
  <c r="L18" i="6"/>
  <c r="J18" i="6"/>
  <c r="H18" i="6"/>
  <c r="N18" i="6" s="1"/>
  <c r="D18" i="6"/>
  <c r="T16" i="6"/>
  <c r="T22" i="6" s="1"/>
  <c r="J16" i="6"/>
  <c r="H16" i="6"/>
  <c r="H22" i="6" s="1"/>
  <c r="D16" i="6"/>
  <c r="D22" i="6" s="1"/>
  <c r="Z14" i="6"/>
  <c r="T14" i="6"/>
  <c r="P14" i="6"/>
  <c r="X14" i="6" s="1"/>
  <c r="L14" i="6"/>
  <c r="J14" i="6"/>
  <c r="H14" i="6"/>
  <c r="N14" i="6" s="1"/>
  <c r="D14" i="6"/>
  <c r="Z12" i="6"/>
  <c r="T12" i="6"/>
  <c r="V31" i="6" s="1"/>
  <c r="P12" i="6"/>
  <c r="R29" i="6" s="1"/>
  <c r="N12" i="6"/>
  <c r="H12" i="6"/>
  <c r="J24" i="6" s="1"/>
  <c r="D12" i="6"/>
  <c r="L12" i="6" s="1"/>
  <c r="D4" i="6"/>
  <c r="B39" i="5"/>
  <c r="B38" i="5"/>
  <c r="T34" i="5"/>
  <c r="Z34" i="5" s="1"/>
  <c r="P34" i="5"/>
  <c r="H34" i="5"/>
  <c r="N34" i="5" s="1"/>
  <c r="D34" i="5"/>
  <c r="T33" i="5"/>
  <c r="Z33" i="5" s="1"/>
  <c r="P33" i="5"/>
  <c r="H33" i="5"/>
  <c r="N33" i="5" s="1"/>
  <c r="D33" i="5"/>
  <c r="T29" i="5"/>
  <c r="Z29" i="5" s="1"/>
  <c r="P29" i="5"/>
  <c r="H29" i="5"/>
  <c r="N29" i="5" s="1"/>
  <c r="D29" i="5"/>
  <c r="T25" i="5"/>
  <c r="Z25" i="5" s="1"/>
  <c r="P25" i="5"/>
  <c r="H25" i="5"/>
  <c r="N25" i="5" s="1"/>
  <c r="D25" i="5"/>
  <c r="B25" i="5"/>
  <c r="T24" i="5"/>
  <c r="Z24" i="5" s="1"/>
  <c r="P24" i="5"/>
  <c r="H24" i="5"/>
  <c r="N24" i="5" s="1"/>
  <c r="D24" i="5"/>
  <c r="T22" i="5"/>
  <c r="Z22" i="5" s="1"/>
  <c r="P22" i="5"/>
  <c r="H22" i="5"/>
  <c r="N22" i="5" s="1"/>
  <c r="D22" i="5"/>
  <c r="B22" i="5"/>
  <c r="T21" i="5"/>
  <c r="Z21" i="5" s="1"/>
  <c r="P21" i="5"/>
  <c r="H21" i="5"/>
  <c r="N21" i="5" s="1"/>
  <c r="D21" i="5"/>
  <c r="B21" i="5"/>
  <c r="T20" i="5"/>
  <c r="Z20" i="5" s="1"/>
  <c r="P20" i="5"/>
  <c r="H20" i="5"/>
  <c r="N20" i="5" s="1"/>
  <c r="D20" i="5"/>
  <c r="T16" i="5"/>
  <c r="Z16" i="5" s="1"/>
  <c r="P16" i="5"/>
  <c r="H16" i="5"/>
  <c r="N16" i="5" s="1"/>
  <c r="D16" i="5"/>
  <c r="B16" i="5"/>
  <c r="T15" i="5"/>
  <c r="Z15" i="5" s="1"/>
  <c r="P15" i="5"/>
  <c r="H15" i="5"/>
  <c r="N15" i="5" s="1"/>
  <c r="D15" i="5"/>
  <c r="T13" i="5"/>
  <c r="Z13" i="5" s="1"/>
  <c r="P13" i="5"/>
  <c r="H13" i="5"/>
  <c r="N13" i="5" s="1"/>
  <c r="D13" i="5"/>
  <c r="B13" i="5"/>
  <c r="T12" i="5"/>
  <c r="V22" i="5" s="1"/>
  <c r="P12" i="5"/>
  <c r="R24" i="5" s="1"/>
  <c r="H12" i="5"/>
  <c r="J20" i="5" s="1"/>
  <c r="D12" i="5"/>
  <c r="F36" i="5" s="1"/>
  <c r="D5" i="5"/>
  <c r="D4" i="5"/>
  <c r="B39" i="4"/>
  <c r="B38" i="4"/>
  <c r="T34" i="4"/>
  <c r="Z34" i="4" s="1"/>
  <c r="P34" i="4"/>
  <c r="H34" i="4"/>
  <c r="N34" i="4" s="1"/>
  <c r="D34" i="4"/>
  <c r="T33" i="4"/>
  <c r="Z33" i="4" s="1"/>
  <c r="P33" i="4"/>
  <c r="H33" i="4"/>
  <c r="N33" i="4" s="1"/>
  <c r="D33" i="4"/>
  <c r="T29" i="4"/>
  <c r="Z29" i="4" s="1"/>
  <c r="P29" i="4"/>
  <c r="H29" i="4"/>
  <c r="N29" i="4" s="1"/>
  <c r="D29" i="4"/>
  <c r="T25" i="4"/>
  <c r="Z25" i="4" s="1"/>
  <c r="P25" i="4"/>
  <c r="H25" i="4"/>
  <c r="N25" i="4" s="1"/>
  <c r="D25" i="4"/>
  <c r="B25" i="4"/>
  <c r="T24" i="4"/>
  <c r="Z24" i="4" s="1"/>
  <c r="P24" i="4"/>
  <c r="H24" i="4"/>
  <c r="N24" i="4" s="1"/>
  <c r="D24" i="4"/>
  <c r="T22" i="4"/>
  <c r="Z22" i="4" s="1"/>
  <c r="P22" i="4"/>
  <c r="H22" i="4"/>
  <c r="N22" i="4" s="1"/>
  <c r="D22" i="4"/>
  <c r="B22" i="4"/>
  <c r="T21" i="4"/>
  <c r="Z21" i="4" s="1"/>
  <c r="P21" i="4"/>
  <c r="H21" i="4"/>
  <c r="N21" i="4" s="1"/>
  <c r="D21" i="4"/>
  <c r="B21" i="4"/>
  <c r="T20" i="4"/>
  <c r="Z20" i="4" s="1"/>
  <c r="P20" i="4"/>
  <c r="H20" i="4"/>
  <c r="N20" i="4" s="1"/>
  <c r="D20" i="4"/>
  <c r="T16" i="4"/>
  <c r="Z16" i="4" s="1"/>
  <c r="P16" i="4"/>
  <c r="H16" i="4"/>
  <c r="N16" i="4" s="1"/>
  <c r="D16" i="4"/>
  <c r="B16" i="4"/>
  <c r="T15" i="4"/>
  <c r="Z15" i="4" s="1"/>
  <c r="P15" i="4"/>
  <c r="H15" i="4"/>
  <c r="N15" i="4" s="1"/>
  <c r="D15" i="4"/>
  <c r="T13" i="4"/>
  <c r="Z13" i="4" s="1"/>
  <c r="P13" i="4"/>
  <c r="H13" i="4"/>
  <c r="N13" i="4" s="1"/>
  <c r="D13" i="4"/>
  <c r="B13" i="4"/>
  <c r="T12" i="4"/>
  <c r="V21" i="4" s="1"/>
  <c r="P12" i="4"/>
  <c r="R34" i="4" s="1"/>
  <c r="H12" i="4"/>
  <c r="J22" i="4" s="1"/>
  <c r="D12" i="4"/>
  <c r="F18" i="4" s="1"/>
  <c r="D5" i="4"/>
  <c r="D4" i="4"/>
  <c r="T185" i="3"/>
  <c r="P185" i="3"/>
  <c r="X185" i="3" s="1"/>
  <c r="Z185" i="3" s="1"/>
  <c r="H185" i="3"/>
  <c r="N185" i="3" s="1"/>
  <c r="D185" i="3"/>
  <c r="L185" i="3" s="1"/>
  <c r="Z184" i="3"/>
  <c r="X184" i="3"/>
  <c r="T184" i="3"/>
  <c r="P184" i="3"/>
  <c r="J184" i="3"/>
  <c r="H184" i="3"/>
  <c r="D184" i="3"/>
  <c r="Z180" i="3"/>
  <c r="X180" i="3"/>
  <c r="L180" i="3"/>
  <c r="N180" i="3" s="1"/>
  <c r="Z176" i="3"/>
  <c r="P176" i="3"/>
  <c r="P168" i="3" s="1"/>
  <c r="X168" i="3" s="1"/>
  <c r="Z168" i="3" s="1"/>
  <c r="N176" i="3"/>
  <c r="D176" i="3"/>
  <c r="L176" i="3" s="1"/>
  <c r="B176" i="3"/>
  <c r="Z175" i="3"/>
  <c r="X175" i="3"/>
  <c r="P175" i="3"/>
  <c r="N175" i="3"/>
  <c r="D175" i="3"/>
  <c r="L175" i="3" s="1"/>
  <c r="B175" i="3"/>
  <c r="P174" i="3"/>
  <c r="X174" i="3" s="1"/>
  <c r="Z174" i="3" s="1"/>
  <c r="L174" i="3"/>
  <c r="N174" i="3" s="1"/>
  <c r="J174" i="3"/>
  <c r="D174" i="3"/>
  <c r="B174" i="3"/>
  <c r="Z173" i="3"/>
  <c r="P173" i="3"/>
  <c r="X173" i="3" s="1"/>
  <c r="N173" i="3"/>
  <c r="D173" i="3"/>
  <c r="L173" i="3" s="1"/>
  <c r="B173" i="3"/>
  <c r="Z172" i="3"/>
  <c r="X172" i="3"/>
  <c r="P172" i="3"/>
  <c r="D172" i="3"/>
  <c r="L172" i="3" s="1"/>
  <c r="N172" i="3" s="1"/>
  <c r="B172" i="3"/>
  <c r="X171" i="3"/>
  <c r="Z171" i="3" s="1"/>
  <c r="P171" i="3"/>
  <c r="N171" i="3"/>
  <c r="L171" i="3"/>
  <c r="D171" i="3"/>
  <c r="B171" i="3"/>
  <c r="Z170" i="3"/>
  <c r="P170" i="3"/>
  <c r="X170" i="3" s="1"/>
  <c r="N170" i="3"/>
  <c r="L170" i="3"/>
  <c r="D170" i="3"/>
  <c r="B170" i="3"/>
  <c r="Z169" i="3"/>
  <c r="P169" i="3"/>
  <c r="X169" i="3" s="1"/>
  <c r="N169" i="3"/>
  <c r="J169" i="3"/>
  <c r="D169" i="3"/>
  <c r="L169" i="3" s="1"/>
  <c r="B169" i="3"/>
  <c r="T168" i="3"/>
  <c r="H168" i="3"/>
  <c r="Z166" i="3"/>
  <c r="X166" i="3"/>
  <c r="L166" i="3"/>
  <c r="N166" i="3" s="1"/>
  <c r="B166" i="3"/>
  <c r="T165" i="3"/>
  <c r="P165" i="3"/>
  <c r="X165" i="3" s="1"/>
  <c r="Z165" i="3" s="1"/>
  <c r="L165" i="3"/>
  <c r="J165" i="3"/>
  <c r="H165" i="3"/>
  <c r="N165" i="3" s="1"/>
  <c r="D165" i="3"/>
  <c r="B165" i="3"/>
  <c r="Z164" i="3"/>
  <c r="X164" i="3"/>
  <c r="N164" i="3"/>
  <c r="L164" i="3"/>
  <c r="B164" i="3"/>
  <c r="X163" i="3"/>
  <c r="Z163" i="3" s="1"/>
  <c r="L163" i="3"/>
  <c r="N163" i="3" s="1"/>
  <c r="B163" i="3"/>
  <c r="Z162" i="3"/>
  <c r="X162" i="3"/>
  <c r="L162" i="3"/>
  <c r="N162" i="3" s="1"/>
  <c r="B162" i="3"/>
  <c r="T161" i="3"/>
  <c r="P161" i="3"/>
  <c r="X161" i="3" s="1"/>
  <c r="Z161" i="3" s="1"/>
  <c r="L161" i="3"/>
  <c r="J161" i="3"/>
  <c r="H161" i="3"/>
  <c r="N161" i="3" s="1"/>
  <c r="D161" i="3"/>
  <c r="B161" i="3"/>
  <c r="Z160" i="3"/>
  <c r="X160" i="3"/>
  <c r="N160" i="3"/>
  <c r="L160" i="3"/>
  <c r="B160" i="3"/>
  <c r="X159" i="3"/>
  <c r="T159" i="3"/>
  <c r="Z159" i="3" s="1"/>
  <c r="P159" i="3"/>
  <c r="H159" i="3"/>
  <c r="D159" i="3"/>
  <c r="B159" i="3"/>
  <c r="X158" i="3"/>
  <c r="Z158" i="3" s="1"/>
  <c r="N158" i="3"/>
  <c r="L158" i="3"/>
  <c r="B158" i="3"/>
  <c r="Z157" i="3"/>
  <c r="X157" i="3"/>
  <c r="N157" i="3"/>
  <c r="L157" i="3"/>
  <c r="B157" i="3"/>
  <c r="T156" i="3"/>
  <c r="P156" i="3"/>
  <c r="X156" i="3" s="1"/>
  <c r="H156" i="3"/>
  <c r="D156" i="3"/>
  <c r="L156" i="3" s="1"/>
  <c r="N156" i="3" s="1"/>
  <c r="B156" i="3"/>
  <c r="X155" i="3"/>
  <c r="Z155" i="3" s="1"/>
  <c r="L155" i="3"/>
  <c r="N155" i="3" s="1"/>
  <c r="J155" i="3"/>
  <c r="B155" i="3"/>
  <c r="X154" i="3"/>
  <c r="Z154" i="3" s="1"/>
  <c r="N154" i="3"/>
  <c r="L154" i="3"/>
  <c r="B154" i="3"/>
  <c r="Z153" i="3"/>
  <c r="X153" i="3"/>
  <c r="N153" i="3"/>
  <c r="L153" i="3"/>
  <c r="B153" i="3"/>
  <c r="Z152" i="3"/>
  <c r="X152" i="3"/>
  <c r="N152" i="3"/>
  <c r="L152" i="3"/>
  <c r="B152" i="3"/>
  <c r="X151" i="3"/>
  <c r="Z151" i="3" s="1"/>
  <c r="L151" i="3"/>
  <c r="N151" i="3" s="1"/>
  <c r="B151" i="3"/>
  <c r="Z150" i="3"/>
  <c r="X150" i="3"/>
  <c r="L150" i="3"/>
  <c r="N150" i="3" s="1"/>
  <c r="B150" i="3"/>
  <c r="Z149" i="3"/>
  <c r="X149" i="3"/>
  <c r="N149" i="3"/>
  <c r="L149" i="3"/>
  <c r="B149" i="3"/>
  <c r="Z148" i="3"/>
  <c r="X148" i="3"/>
  <c r="N148" i="3"/>
  <c r="L148" i="3"/>
  <c r="J148" i="3"/>
  <c r="B148" i="3"/>
  <c r="X147" i="3"/>
  <c r="Z147" i="3" s="1"/>
  <c r="L147" i="3"/>
  <c r="N147" i="3" s="1"/>
  <c r="J147" i="3"/>
  <c r="B147" i="3"/>
  <c r="X146" i="3"/>
  <c r="Z146" i="3" s="1"/>
  <c r="N146" i="3"/>
  <c r="L146" i="3"/>
  <c r="B146" i="3"/>
  <c r="T145" i="3"/>
  <c r="P145" i="3"/>
  <c r="H145" i="3"/>
  <c r="N145" i="3" s="1"/>
  <c r="D145" i="3"/>
  <c r="L145" i="3" s="1"/>
  <c r="B145" i="3"/>
  <c r="Z144" i="3"/>
  <c r="X144" i="3"/>
  <c r="N144" i="3"/>
  <c r="L144" i="3"/>
  <c r="J144" i="3"/>
  <c r="B144" i="3"/>
  <c r="X143" i="3"/>
  <c r="Z143" i="3" s="1"/>
  <c r="L143" i="3"/>
  <c r="N143" i="3" s="1"/>
  <c r="J143" i="3"/>
  <c r="B143" i="3"/>
  <c r="T142" i="3"/>
  <c r="P142" i="3"/>
  <c r="X142" i="3" s="1"/>
  <c r="Z142" i="3" s="1"/>
  <c r="H142" i="3"/>
  <c r="N142" i="3" s="1"/>
  <c r="D142" i="3"/>
  <c r="L142" i="3" s="1"/>
  <c r="B142" i="3"/>
  <c r="Z141" i="3"/>
  <c r="X141" i="3"/>
  <c r="N141" i="3"/>
  <c r="L141" i="3"/>
  <c r="B141" i="3"/>
  <c r="Z140" i="3"/>
  <c r="X140" i="3"/>
  <c r="N140" i="3"/>
  <c r="L140" i="3"/>
  <c r="J140" i="3"/>
  <c r="B140" i="3"/>
  <c r="X139" i="3"/>
  <c r="Z139" i="3" s="1"/>
  <c r="L139" i="3"/>
  <c r="N139" i="3" s="1"/>
  <c r="J139" i="3"/>
  <c r="B139" i="3"/>
  <c r="X138" i="3"/>
  <c r="Z138" i="3" s="1"/>
  <c r="N138" i="3"/>
  <c r="L138" i="3"/>
  <c r="B138" i="3"/>
  <c r="Z137" i="3"/>
  <c r="X137" i="3"/>
  <c r="N137" i="3"/>
  <c r="L137" i="3"/>
  <c r="B137" i="3"/>
  <c r="T136" i="3"/>
  <c r="P136" i="3"/>
  <c r="X136" i="3" s="1"/>
  <c r="H136" i="3"/>
  <c r="D136" i="3"/>
  <c r="L136" i="3" s="1"/>
  <c r="N136" i="3" s="1"/>
  <c r="B136" i="3"/>
  <c r="X135" i="3"/>
  <c r="Z135" i="3" s="1"/>
  <c r="L135" i="3"/>
  <c r="N135" i="3" s="1"/>
  <c r="J135" i="3"/>
  <c r="B135" i="3"/>
  <c r="X134" i="3"/>
  <c r="Z134" i="3" s="1"/>
  <c r="N134" i="3"/>
  <c r="L134" i="3"/>
  <c r="B134" i="3"/>
  <c r="Z133" i="3"/>
  <c r="X133" i="3"/>
  <c r="N133" i="3"/>
  <c r="L133" i="3"/>
  <c r="B133" i="3"/>
  <c r="Z132" i="3"/>
  <c r="X132" i="3"/>
  <c r="N132" i="3"/>
  <c r="L132" i="3"/>
  <c r="B132" i="3"/>
  <c r="X131" i="3"/>
  <c r="T131" i="3"/>
  <c r="Z131" i="3" s="1"/>
  <c r="P131" i="3"/>
  <c r="H131" i="3"/>
  <c r="N131" i="3" s="1"/>
  <c r="D131" i="3"/>
  <c r="L131" i="3" s="1"/>
  <c r="B131" i="3"/>
  <c r="X130" i="3"/>
  <c r="Z130" i="3" s="1"/>
  <c r="N130" i="3"/>
  <c r="L130" i="3"/>
  <c r="B130" i="3"/>
  <c r="Z129" i="3"/>
  <c r="X129" i="3"/>
  <c r="N129" i="3"/>
  <c r="L129" i="3"/>
  <c r="B129" i="3"/>
  <c r="Z128" i="3"/>
  <c r="X128" i="3"/>
  <c r="N128" i="3"/>
  <c r="L128" i="3"/>
  <c r="B128" i="3"/>
  <c r="X127" i="3"/>
  <c r="Z127" i="3" s="1"/>
  <c r="L127" i="3"/>
  <c r="N127" i="3" s="1"/>
  <c r="B127" i="3"/>
  <c r="Z126" i="3"/>
  <c r="X126" i="3"/>
  <c r="T126" i="3"/>
  <c r="P126" i="3"/>
  <c r="J126" i="3"/>
  <c r="H126" i="3"/>
  <c r="D126" i="3"/>
  <c r="L126" i="3" s="1"/>
  <c r="B126" i="3"/>
  <c r="Z125" i="3"/>
  <c r="X125" i="3"/>
  <c r="N125" i="3"/>
  <c r="L125" i="3"/>
  <c r="B125" i="3"/>
  <c r="T124" i="3"/>
  <c r="P124" i="3"/>
  <c r="X124" i="3" s="1"/>
  <c r="H124" i="3"/>
  <c r="D124" i="3"/>
  <c r="L124" i="3" s="1"/>
  <c r="N124" i="3" s="1"/>
  <c r="B124" i="3"/>
  <c r="X123" i="3"/>
  <c r="Z123" i="3" s="1"/>
  <c r="L123" i="3"/>
  <c r="N123" i="3" s="1"/>
  <c r="J123" i="3"/>
  <c r="B123" i="3"/>
  <c r="T122" i="3"/>
  <c r="P122" i="3"/>
  <c r="X122" i="3" s="1"/>
  <c r="Z122" i="3" s="1"/>
  <c r="H122" i="3"/>
  <c r="N122" i="3" s="1"/>
  <c r="D122" i="3"/>
  <c r="L122" i="3" s="1"/>
  <c r="B122" i="3"/>
  <c r="Z121" i="3"/>
  <c r="X121" i="3"/>
  <c r="N121" i="3"/>
  <c r="L121" i="3"/>
  <c r="B121" i="3"/>
  <c r="T120" i="3"/>
  <c r="Z120" i="3" s="1"/>
  <c r="P120" i="3"/>
  <c r="X120" i="3" s="1"/>
  <c r="N120" i="3"/>
  <c r="L120" i="3"/>
  <c r="H120" i="3"/>
  <c r="D120" i="3"/>
  <c r="B120" i="3"/>
  <c r="X119" i="3"/>
  <c r="Z119" i="3" s="1"/>
  <c r="L119" i="3"/>
  <c r="N119" i="3" s="1"/>
  <c r="B119" i="3"/>
  <c r="Z118" i="3"/>
  <c r="X118" i="3"/>
  <c r="T118" i="3"/>
  <c r="P118" i="3"/>
  <c r="J118" i="3"/>
  <c r="H118" i="3"/>
  <c r="N118" i="3" s="1"/>
  <c r="D118" i="3"/>
  <c r="L118" i="3" s="1"/>
  <c r="B118" i="3"/>
  <c r="Z117" i="3"/>
  <c r="X117" i="3"/>
  <c r="N117" i="3"/>
  <c r="L117" i="3"/>
  <c r="B117" i="3"/>
  <c r="T116" i="3"/>
  <c r="Z116" i="3" s="1"/>
  <c r="P116" i="3"/>
  <c r="X116" i="3" s="1"/>
  <c r="H116" i="3"/>
  <c r="D116" i="3"/>
  <c r="L116" i="3" s="1"/>
  <c r="N116" i="3" s="1"/>
  <c r="B116" i="3"/>
  <c r="X115" i="3"/>
  <c r="Z115" i="3" s="1"/>
  <c r="L115" i="3"/>
  <c r="N115" i="3" s="1"/>
  <c r="J115" i="3"/>
  <c r="B115" i="3"/>
  <c r="T114" i="3"/>
  <c r="P114" i="3"/>
  <c r="X114" i="3" s="1"/>
  <c r="Z114" i="3" s="1"/>
  <c r="H114" i="3"/>
  <c r="D114" i="3"/>
  <c r="L114" i="3" s="1"/>
  <c r="B114" i="3"/>
  <c r="Z113" i="3"/>
  <c r="X113" i="3"/>
  <c r="N113" i="3"/>
  <c r="L113" i="3"/>
  <c r="B113" i="3"/>
  <c r="Z112" i="3"/>
  <c r="X112" i="3"/>
  <c r="N112" i="3"/>
  <c r="L112" i="3"/>
  <c r="J112" i="3"/>
  <c r="B112" i="3"/>
  <c r="X111" i="3"/>
  <c r="Z111" i="3" s="1"/>
  <c r="L111" i="3"/>
  <c r="N111" i="3" s="1"/>
  <c r="J111" i="3"/>
  <c r="B111" i="3"/>
  <c r="T110" i="3"/>
  <c r="P110" i="3"/>
  <c r="X110" i="3" s="1"/>
  <c r="Z110" i="3" s="1"/>
  <c r="H110" i="3"/>
  <c r="D110" i="3"/>
  <c r="L110" i="3" s="1"/>
  <c r="B110" i="3"/>
  <c r="Z109" i="3"/>
  <c r="X109" i="3"/>
  <c r="N109" i="3"/>
  <c r="L109" i="3"/>
  <c r="B109" i="3"/>
  <c r="Z108" i="3"/>
  <c r="X108" i="3"/>
  <c r="N108" i="3"/>
  <c r="L108" i="3"/>
  <c r="J108" i="3"/>
  <c r="B108" i="3"/>
  <c r="T107" i="3"/>
  <c r="Z107" i="3" s="1"/>
  <c r="P107" i="3"/>
  <c r="X107" i="3" s="1"/>
  <c r="H107" i="3"/>
  <c r="L107" i="3" s="1"/>
  <c r="N107" i="3" s="1"/>
  <c r="D107" i="3"/>
  <c r="B107" i="3"/>
  <c r="Z106" i="3"/>
  <c r="X106" i="3"/>
  <c r="L106" i="3"/>
  <c r="N106" i="3" s="1"/>
  <c r="B106" i="3"/>
  <c r="T105" i="3"/>
  <c r="P105" i="3"/>
  <c r="X105" i="3" s="1"/>
  <c r="Z105" i="3" s="1"/>
  <c r="L105" i="3"/>
  <c r="J105" i="3"/>
  <c r="H105" i="3"/>
  <c r="N105" i="3" s="1"/>
  <c r="D105" i="3"/>
  <c r="B105" i="3"/>
  <c r="Z104" i="3"/>
  <c r="X104" i="3"/>
  <c r="N104" i="3"/>
  <c r="L104" i="3"/>
  <c r="B104" i="3"/>
  <c r="X103" i="3"/>
  <c r="T103" i="3"/>
  <c r="Z103" i="3" s="1"/>
  <c r="P103" i="3"/>
  <c r="H103" i="3"/>
  <c r="N103" i="3" s="1"/>
  <c r="D103" i="3"/>
  <c r="L103" i="3" s="1"/>
  <c r="B103" i="3"/>
  <c r="X102" i="3"/>
  <c r="Z102" i="3" s="1"/>
  <c r="N102" i="3"/>
  <c r="L102" i="3"/>
  <c r="B102" i="3"/>
  <c r="T101" i="3"/>
  <c r="P101" i="3"/>
  <c r="X101" i="3" s="1"/>
  <c r="H101" i="3"/>
  <c r="D101" i="3"/>
  <c r="L101" i="3" s="1"/>
  <c r="B101" i="3"/>
  <c r="Z100" i="3"/>
  <c r="X100" i="3"/>
  <c r="N100" i="3"/>
  <c r="L100" i="3"/>
  <c r="J100" i="3"/>
  <c r="B100" i="3"/>
  <c r="Z99" i="3"/>
  <c r="X99" i="3"/>
  <c r="N99" i="3"/>
  <c r="L99" i="3"/>
  <c r="J99" i="3"/>
  <c r="B99" i="3"/>
  <c r="Z98" i="3"/>
  <c r="T98" i="3"/>
  <c r="P98" i="3"/>
  <c r="X98" i="3" s="1"/>
  <c r="H98" i="3"/>
  <c r="N98" i="3" s="1"/>
  <c r="D98" i="3"/>
  <c r="L98" i="3" s="1"/>
  <c r="B98" i="3"/>
  <c r="Z97" i="3"/>
  <c r="X97" i="3"/>
  <c r="N97" i="3"/>
  <c r="L97" i="3"/>
  <c r="B97" i="3"/>
  <c r="Z96" i="3"/>
  <c r="X96" i="3"/>
  <c r="N96" i="3"/>
  <c r="L96" i="3"/>
  <c r="J96" i="3"/>
  <c r="B96" i="3"/>
  <c r="T95" i="3"/>
  <c r="P95" i="3"/>
  <c r="X95" i="3" s="1"/>
  <c r="H95" i="3"/>
  <c r="L95" i="3" s="1"/>
  <c r="N95" i="3" s="1"/>
  <c r="D95" i="3"/>
  <c r="B95" i="3"/>
  <c r="Z94" i="3"/>
  <c r="X94" i="3"/>
  <c r="L94" i="3"/>
  <c r="N94" i="3" s="1"/>
  <c r="B94" i="3"/>
  <c r="T93" i="3"/>
  <c r="X93" i="3" s="1"/>
  <c r="Z93" i="3" s="1"/>
  <c r="P93" i="3"/>
  <c r="L93" i="3"/>
  <c r="J93" i="3"/>
  <c r="H93" i="3"/>
  <c r="N93" i="3" s="1"/>
  <c r="D93" i="3"/>
  <c r="B93" i="3"/>
  <c r="Z92" i="3"/>
  <c r="X92" i="3"/>
  <c r="N92" i="3"/>
  <c r="L92" i="3"/>
  <c r="B92" i="3"/>
  <c r="X91" i="3"/>
  <c r="T91" i="3"/>
  <c r="Z91" i="3" s="1"/>
  <c r="P91" i="3"/>
  <c r="H91" i="3"/>
  <c r="D91" i="3"/>
  <c r="L91" i="3" s="1"/>
  <c r="B91" i="3"/>
  <c r="X90" i="3"/>
  <c r="Z90" i="3" s="1"/>
  <c r="N90" i="3"/>
  <c r="L90" i="3"/>
  <c r="B90" i="3"/>
  <c r="T89" i="3"/>
  <c r="Z89" i="3" s="1"/>
  <c r="P89" i="3"/>
  <c r="X89" i="3" s="1"/>
  <c r="H89" i="3"/>
  <c r="D89" i="3"/>
  <c r="L89" i="3" s="1"/>
  <c r="B89" i="3"/>
  <c r="Z88" i="3"/>
  <c r="X88" i="3"/>
  <c r="N88" i="3"/>
  <c r="L88" i="3"/>
  <c r="J88" i="3"/>
  <c r="B88" i="3"/>
  <c r="Z87" i="3"/>
  <c r="X87" i="3"/>
  <c r="N87" i="3"/>
  <c r="L87" i="3"/>
  <c r="J87" i="3"/>
  <c r="B87" i="3"/>
  <c r="X86" i="3"/>
  <c r="Z86" i="3" s="1"/>
  <c r="N86" i="3"/>
  <c r="L86" i="3"/>
  <c r="B86" i="3"/>
  <c r="Z85" i="3"/>
  <c r="X85" i="3"/>
  <c r="N85" i="3"/>
  <c r="L85" i="3"/>
  <c r="B85" i="3"/>
  <c r="Z84" i="3"/>
  <c r="X84" i="3"/>
  <c r="N84" i="3"/>
  <c r="L84" i="3"/>
  <c r="B84" i="3"/>
  <c r="X83" i="3"/>
  <c r="Z83" i="3" s="1"/>
  <c r="L83" i="3"/>
  <c r="N83" i="3" s="1"/>
  <c r="B83" i="3"/>
  <c r="Z82" i="3"/>
  <c r="X82" i="3"/>
  <c r="L82" i="3"/>
  <c r="N82" i="3" s="1"/>
  <c r="B82" i="3"/>
  <c r="Z81" i="3"/>
  <c r="X81" i="3"/>
  <c r="N81" i="3"/>
  <c r="L81" i="3"/>
  <c r="B81" i="3"/>
  <c r="Z80" i="3"/>
  <c r="X80" i="3"/>
  <c r="N80" i="3"/>
  <c r="L80" i="3"/>
  <c r="J80" i="3"/>
  <c r="B80" i="3"/>
  <c r="X79" i="3"/>
  <c r="Z79" i="3" s="1"/>
  <c r="L79" i="3"/>
  <c r="N79" i="3" s="1"/>
  <c r="J79" i="3"/>
  <c r="B79" i="3"/>
  <c r="T78" i="3"/>
  <c r="P78" i="3"/>
  <c r="X78" i="3" s="1"/>
  <c r="Z78" i="3" s="1"/>
  <c r="H78" i="3"/>
  <c r="D78" i="3"/>
  <c r="L78" i="3" s="1"/>
  <c r="B78" i="3"/>
  <c r="Z77" i="3"/>
  <c r="X77" i="3"/>
  <c r="N77" i="3"/>
  <c r="L77" i="3"/>
  <c r="B77" i="3"/>
  <c r="Z76" i="3"/>
  <c r="X76" i="3"/>
  <c r="N76" i="3"/>
  <c r="L76" i="3"/>
  <c r="J76" i="3"/>
  <c r="B76" i="3"/>
  <c r="X75" i="3"/>
  <c r="Z75" i="3" s="1"/>
  <c r="L75" i="3"/>
  <c r="N75" i="3" s="1"/>
  <c r="J75" i="3"/>
  <c r="B75" i="3"/>
  <c r="Z74" i="3"/>
  <c r="X74" i="3"/>
  <c r="N74" i="3"/>
  <c r="L74" i="3"/>
  <c r="B74" i="3"/>
  <c r="Z73" i="3"/>
  <c r="X73" i="3"/>
  <c r="N73" i="3"/>
  <c r="L73" i="3"/>
  <c r="B73" i="3"/>
  <c r="Z72" i="3"/>
  <c r="X72" i="3"/>
  <c r="N72" i="3"/>
  <c r="L72" i="3"/>
  <c r="B72" i="3"/>
  <c r="X71" i="3"/>
  <c r="Z71" i="3" s="1"/>
  <c r="L71" i="3"/>
  <c r="N71" i="3" s="1"/>
  <c r="B71" i="3"/>
  <c r="Z70" i="3"/>
  <c r="X70" i="3"/>
  <c r="L70" i="3"/>
  <c r="N70" i="3" s="1"/>
  <c r="B70" i="3"/>
  <c r="Z69" i="3"/>
  <c r="X69" i="3"/>
  <c r="N69" i="3"/>
  <c r="L69" i="3"/>
  <c r="B69" i="3"/>
  <c r="Z68" i="3"/>
  <c r="X68" i="3"/>
  <c r="N68" i="3"/>
  <c r="L68" i="3"/>
  <c r="J68" i="3"/>
  <c r="B68" i="3"/>
  <c r="T67" i="3"/>
  <c r="P67" i="3"/>
  <c r="X67" i="3" s="1"/>
  <c r="H67" i="3"/>
  <c r="D67" i="3"/>
  <c r="L67" i="3" s="1"/>
  <c r="N67" i="3" s="1"/>
  <c r="B67" i="3"/>
  <c r="T66" i="3" a="1"/>
  <c r="T66" i="3"/>
  <c r="P66" i="3" a="1"/>
  <c r="P66" i="3" s="1"/>
  <c r="X66" i="3" s="1"/>
  <c r="Z66" i="3" s="1"/>
  <c r="H66" i="3" a="1"/>
  <c r="H66" i="3"/>
  <c r="D66" i="3" a="1"/>
  <c r="D66" i="3" s="1"/>
  <c r="L66" i="3" s="1"/>
  <c r="N66" i="3" s="1"/>
  <c r="Z62" i="3"/>
  <c r="X62" i="3"/>
  <c r="N62" i="3"/>
  <c r="L62" i="3"/>
  <c r="B62" i="3"/>
  <c r="Z61" i="3"/>
  <c r="X61" i="3"/>
  <c r="N61" i="3"/>
  <c r="L61" i="3"/>
  <c r="B61" i="3"/>
  <c r="Z60" i="3"/>
  <c r="X60" i="3"/>
  <c r="N60" i="3"/>
  <c r="L60" i="3"/>
  <c r="B60" i="3"/>
  <c r="Z59" i="3"/>
  <c r="X59" i="3"/>
  <c r="N59" i="3"/>
  <c r="L59" i="3"/>
  <c r="J59" i="3"/>
  <c r="B59" i="3"/>
  <c r="Z58" i="3"/>
  <c r="X58" i="3"/>
  <c r="N58" i="3"/>
  <c r="L58" i="3"/>
  <c r="B58" i="3"/>
  <c r="Z57" i="3"/>
  <c r="X57" i="3"/>
  <c r="N57" i="3"/>
  <c r="L57" i="3"/>
  <c r="B57" i="3"/>
  <c r="Z56" i="3"/>
  <c r="X56" i="3"/>
  <c r="N56" i="3"/>
  <c r="L56" i="3"/>
  <c r="J56" i="3"/>
  <c r="B56" i="3"/>
  <c r="Z55" i="3"/>
  <c r="X55" i="3"/>
  <c r="N55" i="3"/>
  <c r="L55" i="3"/>
  <c r="J55" i="3"/>
  <c r="B55" i="3"/>
  <c r="Z54" i="3"/>
  <c r="X54" i="3"/>
  <c r="N54" i="3"/>
  <c r="L54" i="3"/>
  <c r="B54" i="3"/>
  <c r="Z53" i="3"/>
  <c r="X53" i="3"/>
  <c r="N53" i="3"/>
  <c r="L53" i="3"/>
  <c r="B53" i="3"/>
  <c r="Z52" i="3"/>
  <c r="X52" i="3"/>
  <c r="N52" i="3"/>
  <c r="L52" i="3"/>
  <c r="B52" i="3"/>
  <c r="Z51" i="3"/>
  <c r="X51" i="3"/>
  <c r="N51" i="3"/>
  <c r="L51" i="3"/>
  <c r="J51" i="3"/>
  <c r="B51" i="3"/>
  <c r="Z50" i="3"/>
  <c r="X50" i="3"/>
  <c r="N50" i="3"/>
  <c r="L50" i="3"/>
  <c r="B50" i="3"/>
  <c r="Z49" i="3"/>
  <c r="X49" i="3"/>
  <c r="N49" i="3"/>
  <c r="L49" i="3"/>
  <c r="B49" i="3"/>
  <c r="Z48" i="3"/>
  <c r="X48" i="3"/>
  <c r="N48" i="3"/>
  <c r="L48" i="3"/>
  <c r="J48" i="3"/>
  <c r="B48" i="3"/>
  <c r="Z47" i="3"/>
  <c r="X47" i="3"/>
  <c r="N47" i="3"/>
  <c r="L47" i="3"/>
  <c r="J47" i="3"/>
  <c r="B47" i="3"/>
  <c r="Z46" i="3"/>
  <c r="X46" i="3"/>
  <c r="N46" i="3"/>
  <c r="L46" i="3"/>
  <c r="B46" i="3"/>
  <c r="Z45" i="3"/>
  <c r="X45" i="3"/>
  <c r="N45" i="3"/>
  <c r="L45" i="3"/>
  <c r="B45" i="3"/>
  <c r="Z44" i="3"/>
  <c r="X44" i="3"/>
  <c r="N44" i="3"/>
  <c r="L44" i="3"/>
  <c r="B44" i="3"/>
  <c r="Z43" i="3"/>
  <c r="X43" i="3"/>
  <c r="N43" i="3"/>
  <c r="L43" i="3"/>
  <c r="J43" i="3"/>
  <c r="B43" i="3"/>
  <c r="Z42" i="3"/>
  <c r="X42" i="3"/>
  <c r="N42" i="3"/>
  <c r="L42" i="3"/>
  <c r="B42" i="3"/>
  <c r="Z41" i="3"/>
  <c r="X41" i="3"/>
  <c r="N41" i="3"/>
  <c r="L41" i="3"/>
  <c r="B41" i="3"/>
  <c r="Z40" i="3"/>
  <c r="X40" i="3"/>
  <c r="N40" i="3"/>
  <c r="L40" i="3"/>
  <c r="J40" i="3"/>
  <c r="B40" i="3"/>
  <c r="Z39" i="3"/>
  <c r="X39" i="3"/>
  <c r="N39" i="3"/>
  <c r="L39" i="3"/>
  <c r="J39" i="3"/>
  <c r="B39" i="3"/>
  <c r="Z38" i="3"/>
  <c r="X38" i="3"/>
  <c r="N38" i="3"/>
  <c r="L38" i="3"/>
  <c r="B38" i="3"/>
  <c r="Z37" i="3"/>
  <c r="X37" i="3"/>
  <c r="N37" i="3"/>
  <c r="L37" i="3"/>
  <c r="B37" i="3"/>
  <c r="Z36" i="3"/>
  <c r="X36" i="3"/>
  <c r="N36" i="3"/>
  <c r="L36" i="3"/>
  <c r="B36" i="3"/>
  <c r="Z35" i="3"/>
  <c r="X35" i="3"/>
  <c r="N35" i="3"/>
  <c r="L35" i="3"/>
  <c r="J35" i="3"/>
  <c r="B35" i="3"/>
  <c r="Z34" i="3"/>
  <c r="X34" i="3"/>
  <c r="N34" i="3"/>
  <c r="L34" i="3"/>
  <c r="B34" i="3"/>
  <c r="Z33" i="3"/>
  <c r="X33" i="3"/>
  <c r="N33" i="3"/>
  <c r="L33" i="3"/>
  <c r="B33" i="3"/>
  <c r="Z32" i="3"/>
  <c r="X32" i="3"/>
  <c r="N32" i="3"/>
  <c r="L32" i="3"/>
  <c r="J32" i="3"/>
  <c r="B32" i="3"/>
  <c r="Z31" i="3"/>
  <c r="X31" i="3"/>
  <c r="N31" i="3"/>
  <c r="L31" i="3"/>
  <c r="J31" i="3"/>
  <c r="B31" i="3"/>
  <c r="Z30" i="3"/>
  <c r="X30" i="3"/>
  <c r="N30" i="3"/>
  <c r="L30" i="3"/>
  <c r="B30" i="3"/>
  <c r="Z29" i="3"/>
  <c r="X29" i="3"/>
  <c r="N29" i="3"/>
  <c r="L29" i="3"/>
  <c r="B29" i="3"/>
  <c r="Z28" i="3"/>
  <c r="X28" i="3"/>
  <c r="N28" i="3"/>
  <c r="L28" i="3"/>
  <c r="B28" i="3"/>
  <c r="X27" i="3"/>
  <c r="T27" i="3"/>
  <c r="Z27" i="3" s="1"/>
  <c r="P27" i="3"/>
  <c r="H27" i="3"/>
  <c r="H64" i="3" s="1"/>
  <c r="D27" i="3"/>
  <c r="Z25" i="3"/>
  <c r="P25" i="3"/>
  <c r="X25" i="3" s="1"/>
  <c r="N25" i="3"/>
  <c r="D25" i="3"/>
  <c r="L25" i="3" s="1"/>
  <c r="B25" i="3"/>
  <c r="Z24" i="3"/>
  <c r="P24" i="3"/>
  <c r="X24" i="3" s="1"/>
  <c r="N24" i="3"/>
  <c r="L24" i="3"/>
  <c r="D24" i="3"/>
  <c r="B24" i="3"/>
  <c r="Z23" i="3"/>
  <c r="X23" i="3"/>
  <c r="P23" i="3"/>
  <c r="N23" i="3"/>
  <c r="L23" i="3"/>
  <c r="D23" i="3"/>
  <c r="B23" i="3"/>
  <c r="Z22" i="3"/>
  <c r="X22" i="3"/>
  <c r="P22" i="3"/>
  <c r="N22" i="3"/>
  <c r="D22" i="3"/>
  <c r="L22" i="3" s="1"/>
  <c r="B22" i="3"/>
  <c r="Z21" i="3"/>
  <c r="X21" i="3"/>
  <c r="P21" i="3"/>
  <c r="N21" i="3"/>
  <c r="D21" i="3"/>
  <c r="L21" i="3" s="1"/>
  <c r="B21" i="3"/>
  <c r="Z20" i="3"/>
  <c r="P20" i="3"/>
  <c r="P12" i="3" s="1"/>
  <c r="N20" i="3"/>
  <c r="L20" i="3"/>
  <c r="D20" i="3"/>
  <c r="B20" i="3"/>
  <c r="Z19" i="3"/>
  <c r="X19" i="3"/>
  <c r="P19" i="3"/>
  <c r="N19" i="3"/>
  <c r="L19" i="3"/>
  <c r="D19" i="3"/>
  <c r="B19" i="3"/>
  <c r="Z18" i="3"/>
  <c r="X18" i="3"/>
  <c r="P18" i="3"/>
  <c r="N18" i="3"/>
  <c r="L18" i="3"/>
  <c r="D18" i="3"/>
  <c r="B18" i="3"/>
  <c r="P17" i="3"/>
  <c r="X17" i="3" s="1"/>
  <c r="Z17" i="3" s="1"/>
  <c r="D17" i="3"/>
  <c r="D12" i="3" s="1"/>
  <c r="B17" i="3"/>
  <c r="Z16" i="3"/>
  <c r="P16" i="3"/>
  <c r="X16" i="3" s="1"/>
  <c r="N16" i="3"/>
  <c r="L16" i="3"/>
  <c r="D16" i="3"/>
  <c r="B16" i="3"/>
  <c r="Z15" i="3"/>
  <c r="X15" i="3"/>
  <c r="P15" i="3"/>
  <c r="N15" i="3"/>
  <c r="L15" i="3"/>
  <c r="D15" i="3"/>
  <c r="B15" i="3"/>
  <c r="Z14" i="3"/>
  <c r="X14" i="3"/>
  <c r="P14" i="3"/>
  <c r="N14" i="3"/>
  <c r="D14" i="3"/>
  <c r="L14" i="3" s="1"/>
  <c r="B14" i="3"/>
  <c r="X13" i="3"/>
  <c r="Z13" i="3" s="1"/>
  <c r="P13" i="3"/>
  <c r="D13" i="3"/>
  <c r="L13" i="3" s="1"/>
  <c r="N13" i="3" s="1"/>
  <c r="B13" i="3"/>
  <c r="T12" i="3"/>
  <c r="V175" i="3" s="1"/>
  <c r="H12" i="3"/>
  <c r="J171" i="3" s="1"/>
  <c r="D4" i="3"/>
  <c r="X25" i="27" l="1"/>
  <c r="X33" i="27"/>
  <c r="L22" i="38"/>
  <c r="X34" i="40"/>
  <c r="X20" i="43"/>
  <c r="L22" i="43"/>
  <c r="X34" i="44"/>
  <c r="L34" i="46"/>
  <c r="X16" i="47"/>
  <c r="X29" i="44"/>
  <c r="X13" i="30"/>
  <c r="X33" i="30"/>
  <c r="L16" i="33"/>
  <c r="X22" i="33"/>
  <c r="X34" i="35"/>
  <c r="L34" i="37"/>
  <c r="X16" i="43"/>
  <c r="L24" i="43"/>
  <c r="X20" i="47"/>
  <c r="L22" i="52"/>
  <c r="L29" i="49"/>
  <c r="L15" i="29"/>
  <c r="X15" i="33"/>
  <c r="X16" i="35"/>
  <c r="L24" i="35"/>
  <c r="X21" i="30"/>
  <c r="L29" i="30"/>
  <c r="L34" i="30"/>
  <c r="L33" i="32"/>
  <c r="X22" i="38"/>
  <c r="L13" i="40"/>
  <c r="L25" i="40"/>
  <c r="L22" i="41"/>
  <c r="L33" i="44"/>
  <c r="X29" i="46"/>
  <c r="L20" i="47"/>
  <c r="X24" i="47"/>
  <c r="L16" i="50"/>
  <c r="X22" i="50"/>
  <c r="L25" i="32"/>
  <c r="L15" i="53"/>
  <c r="L29" i="93"/>
  <c r="L21" i="11"/>
  <c r="X25" i="11"/>
  <c r="X33" i="11"/>
  <c r="X20" i="13"/>
  <c r="X34" i="14"/>
  <c r="X13" i="16"/>
  <c r="L21" i="16"/>
  <c r="X25" i="16"/>
  <c r="X33" i="16"/>
  <c r="L16" i="17"/>
  <c r="L16" i="4"/>
  <c r="L13" i="5"/>
  <c r="L25" i="5"/>
  <c r="L33" i="5"/>
  <c r="X15" i="7"/>
  <c r="X15" i="27"/>
  <c r="X29" i="27"/>
  <c r="L25" i="29"/>
  <c r="L33" i="29"/>
  <c r="X20" i="93"/>
  <c r="X13" i="4"/>
  <c r="X15" i="10"/>
  <c r="X29" i="10"/>
  <c r="X34" i="10"/>
  <c r="X25" i="24"/>
  <c r="L13" i="26"/>
  <c r="L25" i="26"/>
  <c r="X21" i="20"/>
  <c r="X21" i="4"/>
  <c r="L29" i="4"/>
  <c r="X22" i="35"/>
  <c r="X24" i="40"/>
  <c r="L15" i="41"/>
  <c r="X21" i="41"/>
  <c r="L29" i="41"/>
  <c r="L34" i="41"/>
  <c r="L24" i="46"/>
  <c r="L21" i="47"/>
  <c r="X29" i="50"/>
  <c r="X21" i="29"/>
  <c r="L29" i="20"/>
  <c r="L34" i="53"/>
  <c r="L22" i="5"/>
  <c r="X21" i="8"/>
  <c r="X21" i="10"/>
  <c r="L29" i="10"/>
  <c r="L34" i="10"/>
  <c r="L24" i="11"/>
  <c r="L22" i="14"/>
  <c r="L24" i="16"/>
  <c r="X13" i="17"/>
  <c r="L21" i="17"/>
  <c r="X16" i="19"/>
  <c r="L21" i="20"/>
  <c r="X25" i="20"/>
  <c r="X16" i="29"/>
  <c r="L24" i="29"/>
  <c r="X29" i="32"/>
  <c r="X34" i="32"/>
  <c r="L29" i="33"/>
  <c r="X20" i="37"/>
  <c r="X21" i="95"/>
  <c r="L34" i="19"/>
  <c r="X25" i="93"/>
  <c r="L22" i="94"/>
  <c r="L29" i="8"/>
  <c r="X15" i="19"/>
  <c r="X29" i="19"/>
  <c r="X34" i="19"/>
  <c r="L13" i="24"/>
  <c r="L25" i="24"/>
  <c r="L33" i="24"/>
  <c r="L15" i="27"/>
  <c r="X21" i="27"/>
  <c r="L29" i="27"/>
  <c r="L34" i="27"/>
  <c r="X15" i="29"/>
  <c r="X22" i="24"/>
  <c r="L21" i="40"/>
  <c r="X21" i="49"/>
  <c r="L33" i="95"/>
  <c r="X13" i="5"/>
  <c r="L25" i="7"/>
  <c r="X34" i="11"/>
  <c r="X13" i="14"/>
  <c r="X25" i="14"/>
  <c r="X33" i="14"/>
  <c r="X15" i="16"/>
  <c r="X29" i="16"/>
  <c r="L20" i="17"/>
  <c r="L25" i="20"/>
  <c r="L15" i="23"/>
  <c r="L34" i="23"/>
  <c r="X20" i="35"/>
  <c r="L22" i="35"/>
  <c r="X25" i="41"/>
  <c r="X33" i="41"/>
  <c r="L15" i="43"/>
  <c r="L29" i="43"/>
  <c r="L25" i="47"/>
  <c r="L20" i="49"/>
  <c r="X24" i="49"/>
  <c r="L29" i="50"/>
  <c r="L34" i="50"/>
  <c r="L13" i="52"/>
  <c r="L25" i="52"/>
  <c r="X29" i="5"/>
  <c r="X34" i="5"/>
  <c r="X21" i="7"/>
  <c r="L29" i="7"/>
  <c r="L34" i="7"/>
  <c r="X16" i="8"/>
  <c r="L24" i="8"/>
  <c r="X33" i="8"/>
  <c r="X13" i="10"/>
  <c r="L21" i="10"/>
  <c r="X33" i="10"/>
  <c r="X34" i="13"/>
  <c r="L20" i="14"/>
  <c r="L25" i="17"/>
  <c r="L33" i="17"/>
  <c r="L25" i="22"/>
  <c r="X21" i="26"/>
  <c r="X34" i="43"/>
  <c r="X13" i="47"/>
  <c r="L16" i="5"/>
  <c r="X22" i="5"/>
  <c r="X15" i="8"/>
  <c r="X29" i="8"/>
  <c r="L15" i="11"/>
  <c r="X21" i="11"/>
  <c r="L29" i="11"/>
  <c r="L16" i="13"/>
  <c r="X22" i="13"/>
  <c r="L13" i="14"/>
  <c r="L34" i="16"/>
  <c r="X16" i="17"/>
  <c r="L24" i="17"/>
  <c r="T18" i="30"/>
  <c r="T27" i="30" s="1"/>
  <c r="X15" i="30"/>
  <c r="X29" i="30"/>
  <c r="X33" i="32"/>
  <c r="L13" i="33"/>
  <c r="L25" i="33"/>
  <c r="L20" i="35"/>
  <c r="X16" i="37"/>
  <c r="X25" i="38"/>
  <c r="X33" i="38"/>
  <c r="L25" i="41"/>
  <c r="L33" i="41"/>
  <c r="L16" i="44"/>
  <c r="L24" i="49"/>
  <c r="L21" i="50"/>
  <c r="X34" i="52"/>
  <c r="L34" i="43"/>
  <c r="L16" i="46"/>
  <c r="X15" i="4"/>
  <c r="X29" i="4"/>
  <c r="L21" i="7"/>
  <c r="X25" i="7"/>
  <c r="X33" i="7"/>
  <c r="X22" i="8"/>
  <c r="L13" i="10"/>
  <c r="L25" i="10"/>
  <c r="L33" i="10"/>
  <c r="L22" i="11"/>
  <c r="X15" i="22"/>
  <c r="X21" i="24"/>
  <c r="L29" i="24"/>
  <c r="L21" i="26"/>
  <c r="L25" i="27"/>
  <c r="L33" i="27"/>
  <c r="L20" i="32"/>
  <c r="L25" i="35"/>
  <c r="L33" i="35"/>
  <c r="L15" i="40"/>
  <c r="L20" i="43"/>
  <c r="X21" i="44"/>
  <c r="L34" i="44"/>
  <c r="X25" i="46"/>
  <c r="X33" i="46"/>
  <c r="X22" i="47"/>
  <c r="X24" i="50"/>
  <c r="L16" i="52"/>
  <c r="X22" i="52"/>
  <c r="L24" i="94"/>
  <c r="L20" i="5"/>
  <c r="X25" i="8"/>
  <c r="X22" i="10"/>
  <c r="L33" i="11"/>
  <c r="L29" i="13"/>
  <c r="X20" i="16"/>
  <c r="X34" i="17"/>
  <c r="X25" i="19"/>
  <c r="L20" i="22"/>
  <c r="X24" i="22"/>
  <c r="X16" i="23"/>
  <c r="X20" i="29"/>
  <c r="L22" i="29"/>
  <c r="L16" i="32"/>
  <c r="L13" i="38"/>
  <c r="L33" i="38"/>
  <c r="X20" i="40"/>
  <c r="L22" i="40"/>
  <c r="L25" i="43"/>
  <c r="L22" i="44"/>
  <c r="X21" i="47"/>
  <c r="L34" i="47"/>
  <c r="L16" i="49"/>
  <c r="X22" i="49"/>
  <c r="L13" i="50"/>
  <c r="L25" i="50"/>
  <c r="L33" i="50"/>
  <c r="X21" i="52"/>
  <c r="L29" i="52"/>
  <c r="L34" i="52"/>
  <c r="X24" i="94"/>
  <c r="L15" i="19"/>
  <c r="X34" i="22"/>
  <c r="X13" i="29"/>
  <c r="L21" i="29"/>
  <c r="X25" i="29"/>
  <c r="L25" i="30"/>
  <c r="L33" i="30"/>
  <c r="X21" i="32"/>
  <c r="L29" i="32"/>
  <c r="L21" i="33"/>
  <c r="T18" i="35"/>
  <c r="T27" i="35" s="1"/>
  <c r="L20" i="37"/>
  <c r="X15" i="52"/>
  <c r="X24" i="95"/>
  <c r="X22" i="46"/>
  <c r="X21" i="40"/>
  <c r="L29" i="40"/>
  <c r="X24" i="4"/>
  <c r="L13" i="8"/>
  <c r="L25" i="8"/>
  <c r="X20" i="10"/>
  <c r="L22" i="10"/>
  <c r="X13" i="13"/>
  <c r="L21" i="13"/>
  <c r="X25" i="13"/>
  <c r="X33" i="13"/>
  <c r="L15" i="17"/>
  <c r="X21" i="17"/>
  <c r="L29" i="17"/>
  <c r="L34" i="17"/>
  <c r="L25" i="19"/>
  <c r="L33" i="19"/>
  <c r="X34" i="20"/>
  <c r="X16" i="22"/>
  <c r="L16" i="23"/>
  <c r="X20" i="24"/>
  <c r="L34" i="26"/>
  <c r="X16" i="27"/>
  <c r="L24" i="27"/>
  <c r="L20" i="29"/>
  <c r="X16" i="30"/>
  <c r="L24" i="30"/>
  <c r="X20" i="32"/>
  <c r="L22" i="32"/>
  <c r="L20" i="33"/>
  <c r="L34" i="33"/>
  <c r="X13" i="35"/>
  <c r="L21" i="35"/>
  <c r="X25" i="35"/>
  <c r="X33" i="35"/>
  <c r="L25" i="37"/>
  <c r="X29" i="38"/>
  <c r="X34" i="38"/>
  <c r="R18" i="47"/>
  <c r="X13" i="8"/>
  <c r="N12" i="19"/>
  <c r="L25" i="23"/>
  <c r="L33" i="23"/>
  <c r="L15" i="37"/>
  <c r="X21" i="37"/>
  <c r="L24" i="37"/>
  <c r="Z12" i="38"/>
  <c r="X24" i="38"/>
  <c r="X34" i="41"/>
  <c r="X15" i="44"/>
  <c r="L20" i="44"/>
  <c r="L20" i="50"/>
  <c r="Z12" i="5"/>
  <c r="X22" i="14"/>
  <c r="L20" i="19"/>
  <c r="X24" i="19"/>
  <c r="L29" i="19"/>
  <c r="X13" i="20"/>
  <c r="L16" i="20"/>
  <c r="L29" i="22"/>
  <c r="L29" i="29"/>
  <c r="X24" i="32"/>
  <c r="X16" i="49"/>
  <c r="X33" i="49"/>
  <c r="X16" i="53"/>
  <c r="X15" i="93"/>
  <c r="L29" i="95"/>
  <c r="N12" i="53"/>
  <c r="L20" i="94"/>
  <c r="X13" i="11"/>
  <c r="L20" i="13"/>
  <c r="X29" i="29"/>
  <c r="L16" i="35"/>
  <c r="J18" i="41"/>
  <c r="J21" i="41"/>
  <c r="L13" i="93"/>
  <c r="L25" i="93"/>
  <c r="L29" i="94"/>
  <c r="L22" i="95"/>
  <c r="X34" i="95"/>
  <c r="N12" i="10"/>
  <c r="N12" i="14"/>
  <c r="F15" i="20"/>
  <c r="L20" i="30"/>
  <c r="F16" i="44"/>
  <c r="L33" i="52"/>
  <c r="X25" i="5"/>
  <c r="F25" i="19"/>
  <c r="F36" i="19"/>
  <c r="L20" i="20"/>
  <c r="L16" i="22"/>
  <c r="X16" i="24"/>
  <c r="N12" i="38"/>
  <c r="R15" i="46"/>
  <c r="V22" i="50"/>
  <c r="L12" i="52"/>
  <c r="L25" i="13"/>
  <c r="L33" i="13"/>
  <c r="X15" i="14"/>
  <c r="X24" i="14"/>
  <c r="X22" i="16"/>
  <c r="X20" i="17"/>
  <c r="X13" i="19"/>
  <c r="L21" i="19"/>
  <c r="X13" i="22"/>
  <c r="L21" i="22"/>
  <c r="L13" i="23"/>
  <c r="L15" i="24"/>
  <c r="L24" i="24"/>
  <c r="X22" i="29"/>
  <c r="L13" i="30"/>
  <c r="L22" i="30"/>
  <c r="X13" i="32"/>
  <c r="X25" i="32"/>
  <c r="L22" i="33"/>
  <c r="X34" i="33"/>
  <c r="X21" i="35"/>
  <c r="X22" i="37"/>
  <c r="L34" i="38"/>
  <c r="L24" i="40"/>
  <c r="X25" i="40"/>
  <c r="X20" i="41"/>
  <c r="X24" i="41"/>
  <c r="X29" i="41"/>
  <c r="X15" i="43"/>
  <c r="F15" i="44"/>
  <c r="X16" i="44"/>
  <c r="X20" i="46"/>
  <c r="L22" i="46"/>
  <c r="R29" i="46"/>
  <c r="L15" i="47"/>
  <c r="L24" i="47"/>
  <c r="L13" i="49"/>
  <c r="X34" i="49"/>
  <c r="L15" i="52"/>
  <c r="L22" i="53"/>
  <c r="X29" i="53"/>
  <c r="X34" i="53"/>
  <c r="X16" i="93"/>
  <c r="X16" i="95"/>
  <c r="L21" i="95"/>
  <c r="F20" i="53"/>
  <c r="L13" i="4"/>
  <c r="J15" i="4"/>
  <c r="L20" i="4"/>
  <c r="X20" i="8"/>
  <c r="L22" i="8"/>
  <c r="X12" i="10"/>
  <c r="L25" i="11"/>
  <c r="Z12" i="20"/>
  <c r="X16" i="20"/>
  <c r="X20" i="23"/>
  <c r="L15" i="26"/>
  <c r="X34" i="29"/>
  <c r="L16" i="37"/>
  <c r="X13" i="43"/>
  <c r="L16" i="43"/>
  <c r="R20" i="43"/>
  <c r="Z12" i="44"/>
  <c r="L24" i="44"/>
  <c r="F34" i="44"/>
  <c r="F25" i="47"/>
  <c r="J27" i="49"/>
  <c r="V21" i="52"/>
  <c r="F25" i="52"/>
  <c r="L16" i="53"/>
  <c r="L21" i="93"/>
  <c r="J31" i="93"/>
  <c r="F16" i="94"/>
  <c r="F15" i="7"/>
  <c r="N12" i="11"/>
  <c r="Z12" i="17"/>
  <c r="X33" i="19"/>
  <c r="L21" i="24"/>
  <c r="X12" i="40"/>
  <c r="X24" i="43"/>
  <c r="J27" i="43"/>
  <c r="J15" i="44"/>
  <c r="V20" i="44"/>
  <c r="X25" i="44"/>
  <c r="R21" i="46"/>
  <c r="F36" i="47"/>
  <c r="F25" i="50"/>
  <c r="F15" i="52"/>
  <c r="F24" i="52"/>
  <c r="F36" i="52"/>
  <c r="X20" i="4"/>
  <c r="L33" i="8"/>
  <c r="X12" i="19"/>
  <c r="X20" i="22"/>
  <c r="L33" i="37"/>
  <c r="L16" i="47"/>
  <c r="R21" i="47"/>
  <c r="X20" i="49"/>
  <c r="R33" i="49"/>
  <c r="V34" i="49"/>
  <c r="F24" i="50"/>
  <c r="J36" i="52"/>
  <c r="F18" i="95"/>
  <c r="L21" i="23"/>
  <c r="L20" i="24"/>
  <c r="Z24" i="41"/>
  <c r="R16" i="43"/>
  <c r="J22" i="43"/>
  <c r="H18" i="44"/>
  <c r="N18" i="44" s="1"/>
  <c r="L21" i="44"/>
  <c r="X24" i="44"/>
  <c r="L12" i="47"/>
  <c r="X15" i="50"/>
  <c r="F22" i="50"/>
  <c r="X12" i="94"/>
  <c r="R20" i="94"/>
  <c r="L20" i="95"/>
  <c r="R34" i="95"/>
  <c r="X22" i="4"/>
  <c r="N12" i="5"/>
  <c r="X33" i="5"/>
  <c r="L15" i="8"/>
  <c r="L16" i="10"/>
  <c r="X20" i="20"/>
  <c r="X20" i="30"/>
  <c r="X16" i="33"/>
  <c r="N12" i="41"/>
  <c r="X12" i="43"/>
  <c r="X22" i="43"/>
  <c r="X13" i="44"/>
  <c r="J18" i="44"/>
  <c r="F21" i="44"/>
  <c r="Z24" i="44"/>
  <c r="F36" i="44"/>
  <c r="Z13" i="47"/>
  <c r="X12" i="49"/>
  <c r="V33" i="49"/>
  <c r="F33" i="50"/>
  <c r="D18" i="52"/>
  <c r="D27" i="52" s="1"/>
  <c r="Z12" i="53"/>
  <c r="R15" i="94"/>
  <c r="X20" i="19"/>
  <c r="F16" i="20"/>
  <c r="L29" i="23"/>
  <c r="Z12" i="35"/>
  <c r="X21" i="38"/>
  <c r="X16" i="41"/>
  <c r="J21" i="43"/>
  <c r="J34" i="43"/>
  <c r="X22" i="44"/>
  <c r="J36" i="44"/>
  <c r="R33" i="46"/>
  <c r="F29" i="47"/>
  <c r="Z12" i="49"/>
  <c r="V16" i="49"/>
  <c r="V29" i="49"/>
  <c r="V15" i="50"/>
  <c r="F20" i="50"/>
  <c r="Z15" i="52"/>
  <c r="J18" i="52"/>
  <c r="V16" i="53"/>
  <c r="L21" i="53"/>
  <c r="N12" i="93"/>
  <c r="L22" i="93"/>
  <c r="X33" i="93"/>
  <c r="L13" i="94"/>
  <c r="F18" i="94"/>
  <c r="L16" i="95"/>
  <c r="L15" i="4"/>
  <c r="X16" i="4"/>
  <c r="L24" i="4"/>
  <c r="X25" i="4"/>
  <c r="L33" i="4"/>
  <c r="X21" i="5"/>
  <c r="L29" i="5"/>
  <c r="L34" i="5"/>
  <c r="L16" i="7"/>
  <c r="X22" i="7"/>
  <c r="L33" i="7"/>
  <c r="J15" i="8"/>
  <c r="X24" i="8"/>
  <c r="L34" i="8"/>
  <c r="X16" i="10"/>
  <c r="L24" i="10"/>
  <c r="L34" i="11"/>
  <c r="L13" i="13"/>
  <c r="L22" i="13"/>
  <c r="X29" i="13"/>
  <c r="L20" i="16"/>
  <c r="X22" i="17"/>
  <c r="L12" i="19"/>
  <c r="X22" i="20"/>
  <c r="L33" i="20"/>
  <c r="L24" i="22"/>
  <c r="L33" i="22"/>
  <c r="X24" i="23"/>
  <c r="X13" i="24"/>
  <c r="L22" i="24"/>
  <c r="X29" i="24"/>
  <c r="L16" i="26"/>
  <c r="X22" i="26"/>
  <c r="L33" i="26"/>
  <c r="X20" i="27"/>
  <c r="X24" i="29"/>
  <c r="L34" i="29"/>
  <c r="L15" i="32"/>
  <c r="X16" i="32"/>
  <c r="L24" i="33"/>
  <c r="X15" i="35"/>
  <c r="X24" i="37"/>
  <c r="L29" i="37"/>
  <c r="X21" i="43"/>
  <c r="J31" i="43"/>
  <c r="X12" i="44"/>
  <c r="R22" i="44"/>
  <c r="L25" i="44"/>
  <c r="J29" i="44"/>
  <c r="X16" i="46"/>
  <c r="L21" i="46"/>
  <c r="Z12" i="47"/>
  <c r="P18" i="49"/>
  <c r="P27" i="49" s="1"/>
  <c r="P31" i="49" s="1"/>
  <c r="P36" i="49" s="1"/>
  <c r="X25" i="49"/>
  <c r="J31" i="49"/>
  <c r="X13" i="50"/>
  <c r="V25" i="50"/>
  <c r="L20" i="52"/>
  <c r="L13" i="53"/>
  <c r="V22" i="53"/>
  <c r="L15" i="93"/>
  <c r="R18" i="94"/>
  <c r="L21" i="94"/>
  <c r="X13" i="95"/>
  <c r="H18" i="4"/>
  <c r="H27" i="4" s="1"/>
  <c r="N27" i="4" s="1"/>
  <c r="L25" i="4"/>
  <c r="X33" i="4"/>
  <c r="V15" i="5"/>
  <c r="X16" i="5"/>
  <c r="F20" i="5"/>
  <c r="F21" i="5"/>
  <c r="V31" i="5"/>
  <c r="J36" i="5"/>
  <c r="R18" i="7"/>
  <c r="L22" i="7"/>
  <c r="F33" i="7"/>
  <c r="R16" i="8"/>
  <c r="R20" i="8"/>
  <c r="J33" i="8"/>
  <c r="R15" i="10"/>
  <c r="J22" i="10"/>
  <c r="X24" i="10"/>
  <c r="X25" i="10"/>
  <c r="V31" i="10"/>
  <c r="R18" i="11"/>
  <c r="R20" i="11"/>
  <c r="J22" i="11"/>
  <c r="J24" i="11"/>
  <c r="F25" i="11"/>
  <c r="V31" i="11"/>
  <c r="V36" i="11"/>
  <c r="F20" i="13"/>
  <c r="J24" i="13"/>
  <c r="J33" i="13"/>
  <c r="J18" i="14"/>
  <c r="V24" i="14"/>
  <c r="F27" i="14"/>
  <c r="F15" i="16"/>
  <c r="F18" i="16"/>
  <c r="X24" i="16"/>
  <c r="J31" i="16"/>
  <c r="X34" i="16"/>
  <c r="F15" i="17"/>
  <c r="F16" i="17"/>
  <c r="R20" i="17"/>
  <c r="V33" i="17"/>
  <c r="F36" i="17"/>
  <c r="Z12" i="19"/>
  <c r="R18" i="19"/>
  <c r="V20" i="19"/>
  <c r="X21" i="19"/>
  <c r="R22" i="19"/>
  <c r="V34" i="19"/>
  <c r="F20" i="20"/>
  <c r="L22" i="20"/>
  <c r="F24" i="20"/>
  <c r="J18" i="4"/>
  <c r="X15" i="5"/>
  <c r="J24" i="5"/>
  <c r="J29" i="5"/>
  <c r="V36" i="5"/>
  <c r="D18" i="7"/>
  <c r="D27" i="7" s="1"/>
  <c r="L20" i="7"/>
  <c r="J21" i="7"/>
  <c r="F22" i="7"/>
  <c r="J29" i="8"/>
  <c r="J36" i="8"/>
  <c r="V16" i="10"/>
  <c r="R24" i="10"/>
  <c r="R25" i="10"/>
  <c r="J29" i="10"/>
  <c r="J36" i="10"/>
  <c r="T18" i="11"/>
  <c r="T27" i="11" s="1"/>
  <c r="Z27" i="11" s="1"/>
  <c r="R21" i="11"/>
  <c r="X22" i="11"/>
  <c r="F29" i="11"/>
  <c r="F34" i="11"/>
  <c r="L12" i="13"/>
  <c r="X15" i="13"/>
  <c r="X16" i="13"/>
  <c r="J21" i="13"/>
  <c r="F22" i="13"/>
  <c r="J25" i="13"/>
  <c r="V27" i="13"/>
  <c r="V29" i="13"/>
  <c r="L16" i="14"/>
  <c r="R18" i="14"/>
  <c r="P18" i="16"/>
  <c r="P27" i="16" s="1"/>
  <c r="P31" i="16" s="1"/>
  <c r="P36" i="16" s="1"/>
  <c r="R24" i="16"/>
  <c r="R25" i="16"/>
  <c r="F29" i="16"/>
  <c r="V33" i="16"/>
  <c r="R22" i="17"/>
  <c r="V36" i="17"/>
  <c r="F16" i="19"/>
  <c r="T18" i="19"/>
  <c r="T27" i="19" s="1"/>
  <c r="R21" i="19"/>
  <c r="V25" i="19"/>
  <c r="V29" i="19"/>
  <c r="V33" i="19"/>
  <c r="L13" i="20"/>
  <c r="L24" i="20"/>
  <c r="F21" i="4"/>
  <c r="L22" i="4"/>
  <c r="V16" i="5"/>
  <c r="J21" i="5"/>
  <c r="J22" i="5"/>
  <c r="V25" i="5"/>
  <c r="F24" i="8"/>
  <c r="J25" i="8"/>
  <c r="Z12" i="10"/>
  <c r="V15" i="10"/>
  <c r="V20" i="10"/>
  <c r="R22" i="10"/>
  <c r="R36" i="10"/>
  <c r="L12" i="11"/>
  <c r="X15" i="11"/>
  <c r="V18" i="11"/>
  <c r="V20" i="11"/>
  <c r="R22" i="11"/>
  <c r="R24" i="11"/>
  <c r="F33" i="11"/>
  <c r="V18" i="14"/>
  <c r="L16" i="16"/>
  <c r="R18" i="16"/>
  <c r="R21" i="16"/>
  <c r="V22" i="16"/>
  <c r="V31" i="16"/>
  <c r="V34" i="16"/>
  <c r="P18" i="17"/>
  <c r="P27" i="17" s="1"/>
  <c r="J16" i="17"/>
  <c r="R18" i="17"/>
  <c r="V20" i="17"/>
  <c r="R21" i="17"/>
  <c r="X24" i="17"/>
  <c r="R25" i="17"/>
  <c r="V29" i="17"/>
  <c r="V18" i="19"/>
  <c r="J27" i="19"/>
  <c r="J31" i="19"/>
  <c r="F21" i="20"/>
  <c r="F29" i="20"/>
  <c r="F33" i="20"/>
  <c r="F27" i="20"/>
  <c r="F34" i="20"/>
  <c r="F31" i="20"/>
  <c r="F36" i="20"/>
  <c r="F25" i="20"/>
  <c r="X15" i="20"/>
  <c r="R16" i="20"/>
  <c r="X24" i="20"/>
  <c r="L34" i="4"/>
  <c r="L15" i="5"/>
  <c r="F18" i="5"/>
  <c r="X20" i="5"/>
  <c r="J33" i="5"/>
  <c r="J34" i="5"/>
  <c r="X12" i="7"/>
  <c r="R21" i="7"/>
  <c r="X24" i="7"/>
  <c r="X29" i="7"/>
  <c r="H18" i="8"/>
  <c r="H27" i="8" s="1"/>
  <c r="N27" i="8" s="1"/>
  <c r="P18" i="10"/>
  <c r="V25" i="10"/>
  <c r="R29" i="10"/>
  <c r="J33" i="10"/>
  <c r="J34" i="10"/>
  <c r="V36" i="10"/>
  <c r="R16" i="11"/>
  <c r="L20" i="11"/>
  <c r="V15" i="13"/>
  <c r="V16" i="13"/>
  <c r="X21" i="13"/>
  <c r="X24" i="13"/>
  <c r="F29" i="13"/>
  <c r="F31" i="13"/>
  <c r="V34" i="13"/>
  <c r="F22" i="14"/>
  <c r="F24" i="14"/>
  <c r="L12" i="16"/>
  <c r="R15" i="16"/>
  <c r="T18" i="16"/>
  <c r="T27" i="16" s="1"/>
  <c r="V25" i="16"/>
  <c r="R15" i="17"/>
  <c r="V22" i="17"/>
  <c r="V27" i="19"/>
  <c r="V31" i="19"/>
  <c r="R15" i="20"/>
  <c r="R20" i="20"/>
  <c r="J27" i="4"/>
  <c r="H18" i="5"/>
  <c r="H27" i="5" s="1"/>
  <c r="N27" i="5" s="1"/>
  <c r="V29" i="5"/>
  <c r="L15" i="7"/>
  <c r="R20" i="7"/>
  <c r="F27" i="7"/>
  <c r="V34" i="7"/>
  <c r="J18" i="8"/>
  <c r="T18" i="10"/>
  <c r="T27" i="10" s="1"/>
  <c r="T31" i="10" s="1"/>
  <c r="V21" i="10"/>
  <c r="V15" i="11"/>
  <c r="F20" i="11"/>
  <c r="X24" i="11"/>
  <c r="X29" i="11"/>
  <c r="Z12" i="13"/>
  <c r="L15" i="13"/>
  <c r="D18" i="13"/>
  <c r="D27" i="13" s="1"/>
  <c r="D31" i="13" s="1"/>
  <c r="V20" i="13"/>
  <c r="V31" i="13"/>
  <c r="V33" i="13"/>
  <c r="J21" i="14"/>
  <c r="N12" i="16"/>
  <c r="V18" i="16"/>
  <c r="R29" i="16"/>
  <c r="F33" i="16"/>
  <c r="F36" i="16"/>
  <c r="F20" i="17"/>
  <c r="V25" i="17"/>
  <c r="F33" i="17"/>
  <c r="L13" i="19"/>
  <c r="R15" i="19"/>
  <c r="J24" i="19"/>
  <c r="J34" i="19"/>
  <c r="R36" i="19"/>
  <c r="V16" i="20"/>
  <c r="R21" i="20"/>
  <c r="R22" i="20"/>
  <c r="R16" i="4"/>
  <c r="R20" i="4"/>
  <c r="J15" i="5"/>
  <c r="F16" i="5"/>
  <c r="T18" i="5"/>
  <c r="T27" i="5" s="1"/>
  <c r="Z27" i="5" s="1"/>
  <c r="V20" i="5"/>
  <c r="J27" i="5"/>
  <c r="L13" i="7"/>
  <c r="R16" i="7"/>
  <c r="V27" i="7"/>
  <c r="F31" i="7"/>
  <c r="F36" i="7"/>
  <c r="L16" i="8"/>
  <c r="L20" i="8"/>
  <c r="F21" i="8"/>
  <c r="V18" i="10"/>
  <c r="J27" i="10"/>
  <c r="V29" i="10"/>
  <c r="R33" i="10"/>
  <c r="V16" i="11"/>
  <c r="V25" i="11"/>
  <c r="V34" i="11"/>
  <c r="F15" i="13"/>
  <c r="H18" i="13"/>
  <c r="V21" i="13"/>
  <c r="V25" i="13"/>
  <c r="J29" i="13"/>
  <c r="F36" i="13"/>
  <c r="R15" i="14"/>
  <c r="R16" i="14"/>
  <c r="J22" i="14"/>
  <c r="V15" i="16"/>
  <c r="J27" i="16"/>
  <c r="J34" i="16"/>
  <c r="R36" i="16"/>
  <c r="V15" i="17"/>
  <c r="R16" i="17"/>
  <c r="V16" i="19"/>
  <c r="J21" i="19"/>
  <c r="L24" i="19"/>
  <c r="N34" i="19"/>
  <c r="V36" i="19"/>
  <c r="Z16" i="20"/>
  <c r="V20" i="20"/>
  <c r="J33" i="4"/>
  <c r="V18" i="5"/>
  <c r="V21" i="5"/>
  <c r="V27" i="5"/>
  <c r="V33" i="5"/>
  <c r="V34" i="5"/>
  <c r="F25" i="7"/>
  <c r="V31" i="7"/>
  <c r="J15" i="10"/>
  <c r="J24" i="10"/>
  <c r="V27" i="10"/>
  <c r="V34" i="10"/>
  <c r="X12" i="11"/>
  <c r="L16" i="11"/>
  <c r="D18" i="11"/>
  <c r="D27" i="11" s="1"/>
  <c r="D31" i="11" s="1"/>
  <c r="J21" i="11"/>
  <c r="F22" i="11"/>
  <c r="F24" i="11"/>
  <c r="F27" i="11"/>
  <c r="V29" i="11"/>
  <c r="T18" i="13"/>
  <c r="T27" i="13" s="1"/>
  <c r="F33" i="13"/>
  <c r="J36" i="13"/>
  <c r="R24" i="14"/>
  <c r="X29" i="14"/>
  <c r="F34" i="14"/>
  <c r="X16" i="16"/>
  <c r="F25" i="16"/>
  <c r="V29" i="16"/>
  <c r="V36" i="16"/>
  <c r="F22" i="17"/>
  <c r="F24" i="17"/>
  <c r="F29" i="17"/>
  <c r="V15" i="19"/>
  <c r="J22" i="19"/>
  <c r="X12" i="20"/>
  <c r="R18" i="20"/>
  <c r="Z20" i="20"/>
  <c r="V22" i="20"/>
  <c r="F24" i="4"/>
  <c r="J25" i="4"/>
  <c r="J29" i="4"/>
  <c r="J36" i="4"/>
  <c r="L21" i="5"/>
  <c r="L24" i="5"/>
  <c r="J25" i="5"/>
  <c r="J31" i="5"/>
  <c r="X13" i="7"/>
  <c r="R15" i="7"/>
  <c r="J18" i="7"/>
  <c r="F24" i="7"/>
  <c r="F29" i="7"/>
  <c r="F34" i="7"/>
  <c r="J21" i="10"/>
  <c r="J25" i="10"/>
  <c r="J31" i="10"/>
  <c r="V33" i="10"/>
  <c r="Z12" i="11"/>
  <c r="F15" i="11"/>
  <c r="F16" i="11"/>
  <c r="F18" i="11"/>
  <c r="V27" i="11"/>
  <c r="F31" i="11"/>
  <c r="V33" i="11"/>
  <c r="F36" i="11"/>
  <c r="J15" i="13"/>
  <c r="F16" i="13"/>
  <c r="F21" i="13"/>
  <c r="F25" i="13"/>
  <c r="F27" i="13"/>
  <c r="F34" i="13"/>
  <c r="V36" i="13"/>
  <c r="F18" i="14"/>
  <c r="R20" i="14"/>
  <c r="F31" i="14"/>
  <c r="X12" i="16"/>
  <c r="L15" i="16"/>
  <c r="D18" i="16"/>
  <c r="D27" i="16" s="1"/>
  <c r="J21" i="16"/>
  <c r="J22" i="16"/>
  <c r="V27" i="16"/>
  <c r="R33" i="16"/>
  <c r="V16" i="17"/>
  <c r="F25" i="17"/>
  <c r="P18" i="19"/>
  <c r="R24" i="19"/>
  <c r="R25" i="19"/>
  <c r="R29" i="19"/>
  <c r="R33" i="19"/>
  <c r="F20" i="22"/>
  <c r="V21" i="23"/>
  <c r="V22" i="23"/>
  <c r="H18" i="24"/>
  <c r="X24" i="24"/>
  <c r="J25" i="24"/>
  <c r="R24" i="27"/>
  <c r="J33" i="27"/>
  <c r="J34" i="27"/>
  <c r="N12" i="29"/>
  <c r="H18" i="29"/>
  <c r="H27" i="29" s="1"/>
  <c r="V24" i="29"/>
  <c r="N12" i="30"/>
  <c r="J22" i="30"/>
  <c r="J25" i="30"/>
  <c r="J34" i="30"/>
  <c r="Z12" i="32"/>
  <c r="V16" i="32"/>
  <c r="F20" i="32"/>
  <c r="J21" i="32"/>
  <c r="R27" i="32"/>
  <c r="F31" i="33"/>
  <c r="J24" i="35"/>
  <c r="J25" i="35"/>
  <c r="L29" i="35"/>
  <c r="V31" i="35"/>
  <c r="J36" i="35"/>
  <c r="R20" i="37"/>
  <c r="J33" i="37"/>
  <c r="J34" i="37"/>
  <c r="P18" i="38"/>
  <c r="P27" i="38" s="1"/>
  <c r="R27" i="38"/>
  <c r="L16" i="40"/>
  <c r="F20" i="40"/>
  <c r="V27" i="40"/>
  <c r="L33" i="40"/>
  <c r="Z12" i="41"/>
  <c r="L24" i="41"/>
  <c r="L20" i="46"/>
  <c r="R34" i="53"/>
  <c r="R31" i="53"/>
  <c r="R27" i="53"/>
  <c r="J16" i="95"/>
  <c r="J20" i="95"/>
  <c r="J36" i="95"/>
  <c r="J33" i="95"/>
  <c r="J25" i="95"/>
  <c r="J24" i="95"/>
  <c r="N24" i="20"/>
  <c r="V15" i="22"/>
  <c r="V22" i="22"/>
  <c r="F31" i="22"/>
  <c r="R15" i="23"/>
  <c r="P18" i="23"/>
  <c r="P27" i="23" s="1"/>
  <c r="X34" i="23"/>
  <c r="J15" i="24"/>
  <c r="F16" i="24"/>
  <c r="F20" i="24"/>
  <c r="Z22" i="24"/>
  <c r="R24" i="24"/>
  <c r="J29" i="24"/>
  <c r="P18" i="26"/>
  <c r="P27" i="26" s="1"/>
  <c r="J34" i="26"/>
  <c r="H18" i="27"/>
  <c r="J18" i="27"/>
  <c r="R25" i="27"/>
  <c r="V18" i="29"/>
  <c r="V22" i="29"/>
  <c r="V16" i="30"/>
  <c r="X24" i="30"/>
  <c r="J29" i="30"/>
  <c r="J33" i="30"/>
  <c r="D18" i="32"/>
  <c r="J24" i="32"/>
  <c r="V27" i="32"/>
  <c r="J33" i="32"/>
  <c r="F34" i="32"/>
  <c r="F36" i="32"/>
  <c r="X13" i="33"/>
  <c r="J20" i="33"/>
  <c r="F27" i="33"/>
  <c r="L33" i="33"/>
  <c r="V36" i="35"/>
  <c r="L12" i="37"/>
  <c r="D18" i="37"/>
  <c r="D27" i="37" s="1"/>
  <c r="X29" i="37"/>
  <c r="J15" i="38"/>
  <c r="L16" i="38"/>
  <c r="V18" i="38"/>
  <c r="V20" i="38"/>
  <c r="R22" i="38"/>
  <c r="Z24" i="38"/>
  <c r="V27" i="38"/>
  <c r="F34" i="38"/>
  <c r="R29" i="41"/>
  <c r="V24" i="46"/>
  <c r="V31" i="46"/>
  <c r="Z12" i="46"/>
  <c r="V34" i="46"/>
  <c r="V27" i="46"/>
  <c r="V29" i="46"/>
  <c r="V15" i="46"/>
  <c r="V25" i="46"/>
  <c r="V22" i="46"/>
  <c r="V20" i="46"/>
  <c r="V36" i="46"/>
  <c r="R16" i="22"/>
  <c r="X22" i="22"/>
  <c r="F27" i="22"/>
  <c r="R18" i="23"/>
  <c r="J33" i="24"/>
  <c r="J34" i="24"/>
  <c r="R15" i="26"/>
  <c r="R18" i="26"/>
  <c r="L22" i="26"/>
  <c r="R25" i="26"/>
  <c r="J15" i="27"/>
  <c r="F16" i="27"/>
  <c r="L22" i="27"/>
  <c r="F24" i="27"/>
  <c r="R29" i="27"/>
  <c r="D18" i="30"/>
  <c r="D27" i="30" s="1"/>
  <c r="D31" i="30" s="1"/>
  <c r="X25" i="30"/>
  <c r="J15" i="32"/>
  <c r="H18" i="32"/>
  <c r="N18" i="32" s="1"/>
  <c r="R21" i="32"/>
  <c r="J36" i="32"/>
  <c r="J29" i="35"/>
  <c r="F15" i="37"/>
  <c r="H18" i="37"/>
  <c r="H27" i="37" s="1"/>
  <c r="H31" i="37" s="1"/>
  <c r="H36" i="37" s="1"/>
  <c r="N36" i="37" s="1"/>
  <c r="F25" i="37"/>
  <c r="J27" i="37"/>
  <c r="V21" i="38"/>
  <c r="J33" i="38"/>
  <c r="Z12" i="40"/>
  <c r="F22" i="40"/>
  <c r="V34" i="40"/>
  <c r="R16" i="41"/>
  <c r="L21" i="41"/>
  <c r="F22" i="49"/>
  <c r="F33" i="49"/>
  <c r="F36" i="49"/>
  <c r="F29" i="49"/>
  <c r="L12" i="49"/>
  <c r="F18" i="49"/>
  <c r="D18" i="49"/>
  <c r="F21" i="22"/>
  <c r="F33" i="22"/>
  <c r="V18" i="23"/>
  <c r="L22" i="23"/>
  <c r="R25" i="23"/>
  <c r="R29" i="23"/>
  <c r="R33" i="23"/>
  <c r="V34" i="23"/>
  <c r="N20" i="24"/>
  <c r="F24" i="24"/>
  <c r="V24" i="24"/>
  <c r="R25" i="24"/>
  <c r="V18" i="26"/>
  <c r="J21" i="26"/>
  <c r="R29" i="26"/>
  <c r="X34" i="26"/>
  <c r="F20" i="27"/>
  <c r="R33" i="27"/>
  <c r="J36" i="27"/>
  <c r="Z12" i="30"/>
  <c r="J18" i="30"/>
  <c r="V21" i="30"/>
  <c r="V24" i="30"/>
  <c r="J36" i="30"/>
  <c r="F16" i="32"/>
  <c r="J18" i="32"/>
  <c r="R20" i="32"/>
  <c r="R25" i="32"/>
  <c r="F29" i="32"/>
  <c r="J31" i="32"/>
  <c r="J34" i="32"/>
  <c r="R36" i="32"/>
  <c r="L15" i="33"/>
  <c r="F16" i="33"/>
  <c r="F18" i="33"/>
  <c r="X21" i="33"/>
  <c r="X24" i="33"/>
  <c r="V15" i="35"/>
  <c r="V16" i="35"/>
  <c r="V20" i="35"/>
  <c r="X24" i="35"/>
  <c r="J33" i="35"/>
  <c r="J18" i="37"/>
  <c r="F24" i="37"/>
  <c r="X33" i="37"/>
  <c r="J16" i="38"/>
  <c r="F20" i="38"/>
  <c r="V22" i="38"/>
  <c r="J36" i="41"/>
  <c r="J34" i="41"/>
  <c r="X15" i="41"/>
  <c r="R20" i="41"/>
  <c r="R25" i="41"/>
  <c r="J31" i="41"/>
  <c r="X15" i="53"/>
  <c r="Z12" i="22"/>
  <c r="F15" i="22"/>
  <c r="F16" i="22"/>
  <c r="V16" i="22"/>
  <c r="F22" i="22"/>
  <c r="F29" i="22"/>
  <c r="J21" i="23"/>
  <c r="N12" i="24"/>
  <c r="R15" i="24"/>
  <c r="R16" i="24"/>
  <c r="J22" i="24"/>
  <c r="R29" i="24"/>
  <c r="X33" i="24"/>
  <c r="L20" i="26"/>
  <c r="X24" i="26"/>
  <c r="F27" i="26"/>
  <c r="R33" i="26"/>
  <c r="L13" i="27"/>
  <c r="J22" i="27"/>
  <c r="J24" i="27"/>
  <c r="J27" i="27"/>
  <c r="R36" i="27"/>
  <c r="L13" i="29"/>
  <c r="J15" i="29"/>
  <c r="J16" i="29"/>
  <c r="J20" i="29"/>
  <c r="V27" i="29"/>
  <c r="J34" i="29"/>
  <c r="F15" i="30"/>
  <c r="R22" i="32"/>
  <c r="R31" i="32"/>
  <c r="H18" i="33"/>
  <c r="V22" i="33"/>
  <c r="J29" i="33"/>
  <c r="Z15" i="35"/>
  <c r="H18" i="35"/>
  <c r="Z24" i="35"/>
  <c r="V25" i="35"/>
  <c r="X29" i="35"/>
  <c r="J15" i="37"/>
  <c r="J25" i="37"/>
  <c r="F29" i="37"/>
  <c r="J31" i="37"/>
  <c r="J36" i="37"/>
  <c r="R15" i="38"/>
  <c r="L21" i="38"/>
  <c r="X15" i="40"/>
  <c r="V16" i="40"/>
  <c r="V20" i="40"/>
  <c r="X22" i="40"/>
  <c r="R33" i="40"/>
  <c r="V16" i="41"/>
  <c r="J22" i="41"/>
  <c r="L21" i="43"/>
  <c r="N21" i="43"/>
  <c r="L29" i="44"/>
  <c r="R20" i="22"/>
  <c r="F24" i="22"/>
  <c r="F25" i="22"/>
  <c r="F36" i="22"/>
  <c r="J27" i="23"/>
  <c r="J31" i="23"/>
  <c r="R36" i="23"/>
  <c r="R20" i="24"/>
  <c r="J24" i="24"/>
  <c r="R33" i="24"/>
  <c r="R36" i="24"/>
  <c r="J27" i="26"/>
  <c r="F31" i="26"/>
  <c r="V34" i="26"/>
  <c r="X13" i="27"/>
  <c r="R15" i="27"/>
  <c r="R16" i="27"/>
  <c r="J31" i="27"/>
  <c r="J22" i="29"/>
  <c r="J25" i="29"/>
  <c r="J33" i="29"/>
  <c r="F24" i="30"/>
  <c r="L12" i="32"/>
  <c r="X15" i="32"/>
  <c r="P18" i="32"/>
  <c r="P27" i="32" s="1"/>
  <c r="P31" i="32" s="1"/>
  <c r="J29" i="32"/>
  <c r="V31" i="32"/>
  <c r="R34" i="32"/>
  <c r="L15" i="35"/>
  <c r="V21" i="35"/>
  <c r="V22" i="35"/>
  <c r="V34" i="35"/>
  <c r="J21" i="37"/>
  <c r="L22" i="37"/>
  <c r="J24" i="37"/>
  <c r="R36" i="37"/>
  <c r="J20" i="38"/>
  <c r="F21" i="38"/>
  <c r="R33" i="38"/>
  <c r="R15" i="40"/>
  <c r="R18" i="40"/>
  <c r="R22" i="40"/>
  <c r="R24" i="40"/>
  <c r="R29" i="40"/>
  <c r="R36" i="40"/>
  <c r="R34" i="41"/>
  <c r="R36" i="41"/>
  <c r="R24" i="41"/>
  <c r="X13" i="41"/>
  <c r="R21" i="41"/>
  <c r="J27" i="41"/>
  <c r="L13" i="46"/>
  <c r="X15" i="46"/>
  <c r="V16" i="46"/>
  <c r="L13" i="22"/>
  <c r="R18" i="22"/>
  <c r="X21" i="22"/>
  <c r="X33" i="22"/>
  <c r="X12" i="23"/>
  <c r="X21" i="23"/>
  <c r="V27" i="23"/>
  <c r="V31" i="23"/>
  <c r="R21" i="24"/>
  <c r="J27" i="24"/>
  <c r="V27" i="26"/>
  <c r="J31" i="26"/>
  <c r="N12" i="27"/>
  <c r="R20" i="27"/>
  <c r="R21" i="27"/>
  <c r="J25" i="27"/>
  <c r="J21" i="29"/>
  <c r="R24" i="29"/>
  <c r="J15" i="30"/>
  <c r="F20" i="30"/>
  <c r="F21" i="30"/>
  <c r="J27" i="30"/>
  <c r="J31" i="30"/>
  <c r="R15" i="32"/>
  <c r="T18" i="32"/>
  <c r="F22" i="33"/>
  <c r="F34" i="33"/>
  <c r="V29" i="35"/>
  <c r="J29" i="37"/>
  <c r="F33" i="37"/>
  <c r="X15" i="38"/>
  <c r="V16" i="38"/>
  <c r="L24" i="38"/>
  <c r="V34" i="38"/>
  <c r="V18" i="40"/>
  <c r="V21" i="40"/>
  <c r="R25" i="40"/>
  <c r="R22" i="41"/>
  <c r="D18" i="44"/>
  <c r="D27" i="44" s="1"/>
  <c r="L15" i="44"/>
  <c r="J20" i="46"/>
  <c r="J22" i="46"/>
  <c r="J21" i="46"/>
  <c r="J31" i="46"/>
  <c r="J27" i="46"/>
  <c r="J34" i="46"/>
  <c r="T18" i="46"/>
  <c r="Z18" i="46" s="1"/>
  <c r="V20" i="22"/>
  <c r="R21" i="22"/>
  <c r="R22" i="22"/>
  <c r="J34" i="23"/>
  <c r="J18" i="24"/>
  <c r="R22" i="24"/>
  <c r="J31" i="24"/>
  <c r="X12" i="26"/>
  <c r="V21" i="26"/>
  <c r="V22" i="26"/>
  <c r="L29" i="26"/>
  <c r="V31" i="26"/>
  <c r="F34" i="26"/>
  <c r="R36" i="26"/>
  <c r="R22" i="27"/>
  <c r="X24" i="27"/>
  <c r="J29" i="27"/>
  <c r="R20" i="29"/>
  <c r="J29" i="29"/>
  <c r="V34" i="29"/>
  <c r="L12" i="30"/>
  <c r="L15" i="30"/>
  <c r="L21" i="30"/>
  <c r="J24" i="30"/>
  <c r="Z13" i="32"/>
  <c r="L21" i="32"/>
  <c r="F24" i="32"/>
  <c r="J25" i="32"/>
  <c r="J27" i="32"/>
  <c r="F20" i="33"/>
  <c r="F21" i="33"/>
  <c r="F24" i="33"/>
  <c r="L13" i="35"/>
  <c r="J15" i="35"/>
  <c r="F16" i="35"/>
  <c r="F20" i="35"/>
  <c r="F21" i="35"/>
  <c r="V27" i="35"/>
  <c r="V33" i="35"/>
  <c r="X13" i="37"/>
  <c r="X15" i="37"/>
  <c r="R16" i="37"/>
  <c r="R21" i="37"/>
  <c r="X25" i="37"/>
  <c r="X12" i="38"/>
  <c r="L15" i="38"/>
  <c r="H18" i="38"/>
  <c r="N18" i="38" s="1"/>
  <c r="X20" i="38"/>
  <c r="J22" i="38"/>
  <c r="V31" i="38"/>
  <c r="L20" i="40"/>
  <c r="V22" i="40"/>
  <c r="V31" i="40"/>
  <c r="X12" i="41"/>
  <c r="L16" i="41"/>
  <c r="P18" i="41"/>
  <c r="R33" i="41"/>
  <c r="L33" i="43"/>
  <c r="N12" i="46"/>
  <c r="X13" i="46"/>
  <c r="Z13" i="46"/>
  <c r="V18" i="46"/>
  <c r="F15" i="49"/>
  <c r="R21" i="93"/>
  <c r="R16" i="93"/>
  <c r="R15" i="93"/>
  <c r="R18" i="93"/>
  <c r="P18" i="93"/>
  <c r="P27" i="93" s="1"/>
  <c r="P31" i="93" s="1"/>
  <c r="R29" i="93"/>
  <c r="R22" i="93"/>
  <c r="R36" i="93"/>
  <c r="R33" i="93"/>
  <c r="R25" i="93"/>
  <c r="R24" i="93"/>
  <c r="X29" i="93"/>
  <c r="P18" i="43"/>
  <c r="P27" i="43" s="1"/>
  <c r="R25" i="43"/>
  <c r="R29" i="43"/>
  <c r="R33" i="43"/>
  <c r="R36" i="43"/>
  <c r="V16" i="44"/>
  <c r="F29" i="44"/>
  <c r="F31" i="44"/>
  <c r="X33" i="44"/>
  <c r="R18" i="46"/>
  <c r="X21" i="46"/>
  <c r="R24" i="46"/>
  <c r="V15" i="47"/>
  <c r="R16" i="47"/>
  <c r="J20" i="47"/>
  <c r="F22" i="47"/>
  <c r="F24" i="47"/>
  <c r="L29" i="47"/>
  <c r="X15" i="49"/>
  <c r="R29" i="49"/>
  <c r="J34" i="49"/>
  <c r="V36" i="49"/>
  <c r="T18" i="50"/>
  <c r="X20" i="50"/>
  <c r="V29" i="50"/>
  <c r="X13" i="52"/>
  <c r="X20" i="52"/>
  <c r="X25" i="52"/>
  <c r="J15" i="53"/>
  <c r="V18" i="53"/>
  <c r="V21" i="53"/>
  <c r="X13" i="93"/>
  <c r="L16" i="94"/>
  <c r="F27" i="94"/>
  <c r="V16" i="95"/>
  <c r="L21" i="49"/>
  <c r="X29" i="52"/>
  <c r="X33" i="52"/>
  <c r="L25" i="53"/>
  <c r="L29" i="53"/>
  <c r="L33" i="53"/>
  <c r="L15" i="94"/>
  <c r="V22" i="94"/>
  <c r="V27" i="94"/>
  <c r="X34" i="94"/>
  <c r="X20" i="95"/>
  <c r="R31" i="95"/>
  <c r="J24" i="43"/>
  <c r="L13" i="44"/>
  <c r="F33" i="44"/>
  <c r="X34" i="46"/>
  <c r="F15" i="47"/>
  <c r="F16" i="47"/>
  <c r="R20" i="47"/>
  <c r="R22" i="47"/>
  <c r="V33" i="47"/>
  <c r="V36" i="47"/>
  <c r="J21" i="49"/>
  <c r="J22" i="49"/>
  <c r="V27" i="49"/>
  <c r="X29" i="49"/>
  <c r="R16" i="50"/>
  <c r="F29" i="50"/>
  <c r="H18" i="52"/>
  <c r="H27" i="52" s="1"/>
  <c r="L24" i="52"/>
  <c r="J27" i="52"/>
  <c r="L20" i="53"/>
  <c r="F21" i="53"/>
  <c r="F22" i="53"/>
  <c r="L24" i="53"/>
  <c r="J25" i="53"/>
  <c r="J29" i="53"/>
  <c r="J33" i="53"/>
  <c r="L16" i="93"/>
  <c r="J18" i="93"/>
  <c r="J27" i="93"/>
  <c r="L34" i="93"/>
  <c r="Z12" i="94"/>
  <c r="P18" i="94"/>
  <c r="P27" i="94" s="1"/>
  <c r="J16" i="94"/>
  <c r="V18" i="94"/>
  <c r="X20" i="94"/>
  <c r="F22" i="94"/>
  <c r="L25" i="94"/>
  <c r="V34" i="94"/>
  <c r="F16" i="95"/>
  <c r="R18" i="95"/>
  <c r="V20" i="95"/>
  <c r="X22" i="95"/>
  <c r="X16" i="50"/>
  <c r="V21" i="95"/>
  <c r="R21" i="43"/>
  <c r="F20" i="44"/>
  <c r="F22" i="44"/>
  <c r="F24" i="44"/>
  <c r="F25" i="44"/>
  <c r="F27" i="44"/>
  <c r="J33" i="44"/>
  <c r="X12" i="46"/>
  <c r="P18" i="47"/>
  <c r="P27" i="47" s="1"/>
  <c r="V22" i="47"/>
  <c r="R24" i="47"/>
  <c r="R25" i="47"/>
  <c r="V29" i="47"/>
  <c r="N12" i="49"/>
  <c r="R15" i="49"/>
  <c r="R18" i="49"/>
  <c r="R22" i="49"/>
  <c r="R24" i="49"/>
  <c r="R25" i="49"/>
  <c r="V31" i="49"/>
  <c r="Z16" i="50"/>
  <c r="L24" i="50"/>
  <c r="F21" i="52"/>
  <c r="F29" i="52"/>
  <c r="F33" i="52"/>
  <c r="X20" i="53"/>
  <c r="J22" i="53"/>
  <c r="L24" i="93"/>
  <c r="J34" i="93"/>
  <c r="F20" i="94"/>
  <c r="Z12" i="95"/>
  <c r="L15" i="95"/>
  <c r="F20" i="95"/>
  <c r="V22" i="95"/>
  <c r="Z24" i="95"/>
  <c r="X33" i="95"/>
  <c r="R15" i="43"/>
  <c r="R24" i="43"/>
  <c r="F18" i="46"/>
  <c r="L29" i="46"/>
  <c r="R15" i="47"/>
  <c r="F20" i="47"/>
  <c r="L33" i="47"/>
  <c r="T18" i="49"/>
  <c r="V20" i="49"/>
  <c r="R21" i="49"/>
  <c r="L15" i="50"/>
  <c r="D18" i="50"/>
  <c r="X21" i="50"/>
  <c r="N24" i="50"/>
  <c r="F36" i="50"/>
  <c r="J15" i="52"/>
  <c r="J25" i="52"/>
  <c r="F18" i="53"/>
  <c r="X21" i="53"/>
  <c r="J36" i="53"/>
  <c r="V18" i="93"/>
  <c r="J22" i="93"/>
  <c r="X15" i="94"/>
  <c r="R16" i="94"/>
  <c r="X22" i="94"/>
  <c r="R24" i="94"/>
  <c r="F31" i="94"/>
  <c r="F34" i="94"/>
  <c r="N12" i="43"/>
  <c r="J18" i="43"/>
  <c r="R22" i="43"/>
  <c r="X25" i="43"/>
  <c r="X29" i="43"/>
  <c r="X33" i="43"/>
  <c r="Z34" i="43"/>
  <c r="X20" i="44"/>
  <c r="J24" i="44"/>
  <c r="J25" i="44"/>
  <c r="P18" i="46"/>
  <c r="P27" i="46" s="1"/>
  <c r="X24" i="46"/>
  <c r="R25" i="46"/>
  <c r="R36" i="46"/>
  <c r="V25" i="47"/>
  <c r="F33" i="47"/>
  <c r="X13" i="49"/>
  <c r="V15" i="49"/>
  <c r="V18" i="49"/>
  <c r="V25" i="49"/>
  <c r="L34" i="49"/>
  <c r="R36" i="49"/>
  <c r="F15" i="50"/>
  <c r="F16" i="50"/>
  <c r="R18" i="50"/>
  <c r="R20" i="50"/>
  <c r="R21" i="50"/>
  <c r="R22" i="50"/>
  <c r="V33" i="50"/>
  <c r="V36" i="50"/>
  <c r="X16" i="52"/>
  <c r="J29" i="52"/>
  <c r="J33" i="52"/>
  <c r="F16" i="53"/>
  <c r="H18" i="53"/>
  <c r="V20" i="53"/>
  <c r="X22" i="53"/>
  <c r="X24" i="93"/>
  <c r="X16" i="94"/>
  <c r="J20" i="94"/>
  <c r="R22" i="94"/>
  <c r="V31" i="94"/>
  <c r="L13" i="95"/>
  <c r="X15" i="95"/>
  <c r="F21" i="95"/>
  <c r="F22" i="95"/>
  <c r="L24" i="95"/>
  <c r="L25" i="95"/>
  <c r="N48" i="9"/>
  <c r="F169" i="3"/>
  <c r="F159" i="3"/>
  <c r="F148" i="3"/>
  <c r="F144" i="3"/>
  <c r="F140" i="3"/>
  <c r="F131" i="3"/>
  <c r="F112" i="3"/>
  <c r="F108" i="3"/>
  <c r="F103" i="3"/>
  <c r="F100" i="3"/>
  <c r="F96" i="3"/>
  <c r="F91" i="3"/>
  <c r="F88" i="3"/>
  <c r="F80" i="3"/>
  <c r="F76" i="3"/>
  <c r="F68" i="3"/>
  <c r="F56" i="3"/>
  <c r="F48" i="3"/>
  <c r="F40" i="3"/>
  <c r="F32" i="3"/>
  <c r="F27" i="3"/>
  <c r="F172" i="3"/>
  <c r="F97" i="3"/>
  <c r="F184" i="3"/>
  <c r="F174" i="3"/>
  <c r="F155" i="3"/>
  <c r="F147" i="3"/>
  <c r="F143" i="3"/>
  <c r="F139" i="3"/>
  <c r="F135" i="3"/>
  <c r="F126" i="3"/>
  <c r="F123" i="3"/>
  <c r="F118" i="3"/>
  <c r="F115" i="3"/>
  <c r="F111" i="3"/>
  <c r="F99" i="3"/>
  <c r="F87" i="3"/>
  <c r="F79" i="3"/>
  <c r="F75" i="3"/>
  <c r="F55" i="3"/>
  <c r="F47" i="3"/>
  <c r="F39" i="3"/>
  <c r="F31" i="3"/>
  <c r="F85" i="3"/>
  <c r="F45" i="3"/>
  <c r="F29" i="3"/>
  <c r="F60" i="3"/>
  <c r="F149" i="3"/>
  <c r="F113" i="3"/>
  <c r="F171" i="3"/>
  <c r="F165" i="3"/>
  <c r="F161" i="3"/>
  <c r="F158" i="3"/>
  <c r="F154" i="3"/>
  <c r="F146" i="3"/>
  <c r="F138" i="3"/>
  <c r="F134" i="3"/>
  <c r="F130" i="3"/>
  <c r="F105" i="3"/>
  <c r="F102" i="3"/>
  <c r="F93" i="3"/>
  <c r="F90" i="3"/>
  <c r="F86" i="3"/>
  <c r="F74" i="3"/>
  <c r="D64" i="3"/>
  <c r="F62" i="3"/>
  <c r="F54" i="3"/>
  <c r="F46" i="3"/>
  <c r="F38" i="3"/>
  <c r="F30" i="3"/>
  <c r="L12" i="3"/>
  <c r="F73" i="3"/>
  <c r="F61" i="3"/>
  <c r="F53" i="3"/>
  <c r="F28" i="3"/>
  <c r="F81" i="3"/>
  <c r="F77" i="3"/>
  <c r="F69" i="3"/>
  <c r="F176" i="3"/>
  <c r="F157" i="3"/>
  <c r="F153" i="3"/>
  <c r="F137" i="3"/>
  <c r="F133" i="3"/>
  <c r="F129" i="3"/>
  <c r="F125" i="3"/>
  <c r="F120" i="3"/>
  <c r="F117" i="3"/>
  <c r="F37" i="3"/>
  <c r="F44" i="3"/>
  <c r="F156" i="3"/>
  <c r="F124" i="3"/>
  <c r="F41" i="3"/>
  <c r="F173" i="3"/>
  <c r="F164" i="3"/>
  <c r="F160" i="3"/>
  <c r="F152" i="3"/>
  <c r="F132" i="3"/>
  <c r="F128" i="3"/>
  <c r="F107" i="3"/>
  <c r="F104" i="3"/>
  <c r="F95" i="3"/>
  <c r="F92" i="3"/>
  <c r="F84" i="3"/>
  <c r="F72" i="3"/>
  <c r="F67" i="3"/>
  <c r="F66" i="3"/>
  <c r="F52" i="3"/>
  <c r="F36" i="3"/>
  <c r="F141" i="3"/>
  <c r="F136" i="3"/>
  <c r="F57" i="3"/>
  <c r="F33" i="3"/>
  <c r="F185" i="3"/>
  <c r="F170" i="3"/>
  <c r="F163" i="3"/>
  <c r="F151" i="3"/>
  <c r="F142" i="3"/>
  <c r="F127" i="3"/>
  <c r="F122" i="3"/>
  <c r="F119" i="3"/>
  <c r="F114" i="3"/>
  <c r="F110" i="3"/>
  <c r="F98" i="3"/>
  <c r="F83" i="3"/>
  <c r="F78" i="3"/>
  <c r="F71" i="3"/>
  <c r="F59" i="3"/>
  <c r="F51" i="3"/>
  <c r="F43" i="3"/>
  <c r="F35" i="3"/>
  <c r="F121" i="3"/>
  <c r="F109" i="3"/>
  <c r="F180" i="3"/>
  <c r="F175" i="3"/>
  <c r="F166" i="3"/>
  <c r="F162" i="3"/>
  <c r="F150" i="3"/>
  <c r="F145" i="3"/>
  <c r="F106" i="3"/>
  <c r="F101" i="3"/>
  <c r="F94" i="3"/>
  <c r="F89" i="3"/>
  <c r="F82" i="3"/>
  <c r="F70" i="3"/>
  <c r="F58" i="3"/>
  <c r="F50" i="3"/>
  <c r="F42" i="3"/>
  <c r="F34" i="3"/>
  <c r="F116" i="3"/>
  <c r="F49" i="3"/>
  <c r="L16" i="9"/>
  <c r="F154" i="12"/>
  <c r="F144" i="12"/>
  <c r="F121" i="12"/>
  <c r="F117" i="12"/>
  <c r="F156" i="12"/>
  <c r="F150" i="12"/>
  <c r="F146" i="12"/>
  <c r="F143" i="12"/>
  <c r="F139" i="12"/>
  <c r="F130" i="12"/>
  <c r="F102" i="12"/>
  <c r="F90" i="12"/>
  <c r="F142" i="12"/>
  <c r="F138" i="12"/>
  <c r="F133" i="12"/>
  <c r="F125" i="12"/>
  <c r="F113" i="12"/>
  <c r="F110" i="12"/>
  <c r="F105" i="12"/>
  <c r="F158" i="12"/>
  <c r="F149" i="12"/>
  <c r="F145" i="12"/>
  <c r="F137" i="12"/>
  <c r="F129" i="12"/>
  <c r="F120" i="12"/>
  <c r="F101" i="12"/>
  <c r="F155" i="12"/>
  <c r="F148" i="12"/>
  <c r="F136" i="12"/>
  <c r="F132" i="12"/>
  <c r="F128" i="12"/>
  <c r="F124" i="12"/>
  <c r="F115" i="12"/>
  <c r="F112" i="12"/>
  <c r="F107" i="12"/>
  <c r="F104" i="12"/>
  <c r="F100" i="12"/>
  <c r="F95" i="12"/>
  <c r="F92" i="12"/>
  <c r="F88" i="12"/>
  <c r="F135" i="12"/>
  <c r="F82" i="12"/>
  <c r="F78" i="12"/>
  <c r="F66" i="12"/>
  <c r="D56" i="12"/>
  <c r="F54" i="12"/>
  <c r="F46" i="12"/>
  <c r="F38" i="12"/>
  <c r="F30" i="12"/>
  <c r="F25" i="12"/>
  <c r="F151" i="12"/>
  <c r="F89" i="12"/>
  <c r="F85" i="12"/>
  <c r="F77" i="12"/>
  <c r="F65" i="12"/>
  <c r="F53" i="12"/>
  <c r="F45" i="12"/>
  <c r="F37" i="12"/>
  <c r="F29" i="12"/>
  <c r="F31" i="12"/>
  <c r="F162" i="12"/>
  <c r="F157" i="12"/>
  <c r="F147" i="12"/>
  <c r="F140" i="12"/>
  <c r="F131" i="12"/>
  <c r="F126" i="12"/>
  <c r="F108" i="12"/>
  <c r="F99" i="12"/>
  <c r="F98" i="12"/>
  <c r="F96" i="12"/>
  <c r="F84" i="12"/>
  <c r="F76" i="12"/>
  <c r="F64" i="12"/>
  <c r="F59" i="12"/>
  <c r="F58" i="12"/>
  <c r="F52" i="12"/>
  <c r="F44" i="12"/>
  <c r="F36" i="12"/>
  <c r="F28" i="12"/>
  <c r="F79" i="12"/>
  <c r="F71" i="12"/>
  <c r="F67" i="12"/>
  <c r="F47" i="12"/>
  <c r="F39" i="12"/>
  <c r="F97" i="12"/>
  <c r="F75" i="12"/>
  <c r="F70" i="12"/>
  <c r="F63" i="12"/>
  <c r="F51" i="12"/>
  <c r="F43" i="12"/>
  <c r="F35" i="12"/>
  <c r="F27" i="12"/>
  <c r="F141" i="12"/>
  <c r="F127" i="12"/>
  <c r="F122" i="12"/>
  <c r="F114" i="12"/>
  <c r="F109" i="12"/>
  <c r="F103" i="12"/>
  <c r="F94" i="12"/>
  <c r="F87" i="12"/>
  <c r="F81" i="12"/>
  <c r="F74" i="12"/>
  <c r="F62" i="12"/>
  <c r="F50" i="12"/>
  <c r="F42" i="12"/>
  <c r="F34" i="12"/>
  <c r="F26" i="12"/>
  <c r="L12" i="12"/>
  <c r="N12" i="12" s="1"/>
  <c r="F118" i="12"/>
  <c r="F111" i="12"/>
  <c r="F86" i="12"/>
  <c r="F73" i="12"/>
  <c r="F69" i="12"/>
  <c r="F61" i="12"/>
  <c r="F49" i="12"/>
  <c r="F41" i="12"/>
  <c r="F33" i="12"/>
  <c r="F134" i="12"/>
  <c r="F123" i="12"/>
  <c r="F93" i="12"/>
  <c r="F91" i="12"/>
  <c r="F83" i="12"/>
  <c r="F80" i="12"/>
  <c r="F72" i="12"/>
  <c r="F68" i="12"/>
  <c r="F60" i="12"/>
  <c r="F48" i="12"/>
  <c r="F40" i="12"/>
  <c r="F32" i="12"/>
  <c r="F119" i="12"/>
  <c r="F116" i="12"/>
  <c r="F106" i="12"/>
  <c r="N29" i="6"/>
  <c r="N78" i="3"/>
  <c r="Z101" i="3"/>
  <c r="N79" i="9"/>
  <c r="N114" i="3"/>
  <c r="Z136" i="3"/>
  <c r="L18" i="9"/>
  <c r="Z53" i="9"/>
  <c r="Z63" i="9"/>
  <c r="Z89" i="9"/>
  <c r="T31" i="11"/>
  <c r="Z58" i="12"/>
  <c r="V58" i="12"/>
  <c r="Z83" i="12"/>
  <c r="L22" i="6"/>
  <c r="D26" i="6"/>
  <c r="R170" i="3"/>
  <c r="R164" i="3"/>
  <c r="R160" i="3"/>
  <c r="R152" i="3"/>
  <c r="R145" i="3"/>
  <c r="R132" i="3"/>
  <c r="R128" i="3"/>
  <c r="R104" i="3"/>
  <c r="R101" i="3"/>
  <c r="R92" i="3"/>
  <c r="R89" i="3"/>
  <c r="R84" i="3"/>
  <c r="R72" i="3"/>
  <c r="R60" i="3"/>
  <c r="R52" i="3"/>
  <c r="R44" i="3"/>
  <c r="R36" i="3"/>
  <c r="R28" i="3"/>
  <c r="R185" i="3"/>
  <c r="R157" i="3"/>
  <c r="R133" i="3"/>
  <c r="R122" i="3"/>
  <c r="R114" i="3"/>
  <c r="R110" i="3"/>
  <c r="R175" i="3"/>
  <c r="R163" i="3"/>
  <c r="R156" i="3"/>
  <c r="R151" i="3"/>
  <c r="R136" i="3"/>
  <c r="R127" i="3"/>
  <c r="R124" i="3"/>
  <c r="R119" i="3"/>
  <c r="R116" i="3"/>
  <c r="R83" i="3"/>
  <c r="R71" i="3"/>
  <c r="R59" i="3"/>
  <c r="R51" i="3"/>
  <c r="R43" i="3"/>
  <c r="R35" i="3"/>
  <c r="R57" i="3"/>
  <c r="R49" i="3"/>
  <c r="R41" i="3"/>
  <c r="R48" i="3"/>
  <c r="R40" i="3"/>
  <c r="R117" i="3"/>
  <c r="R98" i="3"/>
  <c r="R78" i="3"/>
  <c r="R73" i="3"/>
  <c r="R53" i="3"/>
  <c r="R180" i="3"/>
  <c r="R172" i="3"/>
  <c r="R166" i="3"/>
  <c r="R162" i="3"/>
  <c r="R159" i="3"/>
  <c r="R150" i="3"/>
  <c r="R131" i="3"/>
  <c r="R106" i="3"/>
  <c r="R103" i="3"/>
  <c r="R94" i="3"/>
  <c r="R91" i="3"/>
  <c r="R82" i="3"/>
  <c r="R70" i="3"/>
  <c r="R58" i="3"/>
  <c r="R50" i="3"/>
  <c r="R42" i="3"/>
  <c r="R34" i="3"/>
  <c r="R27" i="3"/>
  <c r="R81" i="3"/>
  <c r="R69" i="3"/>
  <c r="R64" i="3"/>
  <c r="R33" i="3"/>
  <c r="R137" i="3"/>
  <c r="R129" i="3"/>
  <c r="R125" i="3"/>
  <c r="R184" i="3"/>
  <c r="R169" i="3"/>
  <c r="R149" i="3"/>
  <c r="R141" i="3"/>
  <c r="R126" i="3"/>
  <c r="R121" i="3"/>
  <c r="R118" i="3"/>
  <c r="R113" i="3"/>
  <c r="R109" i="3"/>
  <c r="R97" i="3"/>
  <c r="R77" i="3"/>
  <c r="R32" i="3"/>
  <c r="R85" i="3"/>
  <c r="R45" i="3"/>
  <c r="R174" i="3"/>
  <c r="R165" i="3"/>
  <c r="R161" i="3"/>
  <c r="R148" i="3"/>
  <c r="R144" i="3"/>
  <c r="R140" i="3"/>
  <c r="R112" i="3"/>
  <c r="R108" i="3"/>
  <c r="R105" i="3"/>
  <c r="R100" i="3"/>
  <c r="R96" i="3"/>
  <c r="R93" i="3"/>
  <c r="R88" i="3"/>
  <c r="R80" i="3"/>
  <c r="R76" i="3"/>
  <c r="R68" i="3"/>
  <c r="R66" i="3"/>
  <c r="P64" i="3"/>
  <c r="R56" i="3"/>
  <c r="R173" i="3"/>
  <c r="R61" i="3"/>
  <c r="R171" i="3"/>
  <c r="R155" i="3"/>
  <c r="R147" i="3"/>
  <c r="R143" i="3"/>
  <c r="R139" i="3"/>
  <c r="R135" i="3"/>
  <c r="R123" i="3"/>
  <c r="R120" i="3"/>
  <c r="R115" i="3"/>
  <c r="R111" i="3"/>
  <c r="R99" i="3"/>
  <c r="R87" i="3"/>
  <c r="R79" i="3"/>
  <c r="R75" i="3"/>
  <c r="R55" i="3"/>
  <c r="R47" i="3"/>
  <c r="R39" i="3"/>
  <c r="R31" i="3"/>
  <c r="R153" i="3"/>
  <c r="R37" i="3"/>
  <c r="R176" i="3"/>
  <c r="R158" i="3"/>
  <c r="R154" i="3"/>
  <c r="R146" i="3"/>
  <c r="R138" i="3"/>
  <c r="R134" i="3"/>
  <c r="R130" i="3"/>
  <c r="R107" i="3"/>
  <c r="R102" i="3"/>
  <c r="R95" i="3"/>
  <c r="R90" i="3"/>
  <c r="R86" i="3"/>
  <c r="R74" i="3"/>
  <c r="R67" i="3"/>
  <c r="R62" i="3"/>
  <c r="R54" i="3"/>
  <c r="R46" i="3"/>
  <c r="R38" i="3"/>
  <c r="R30" i="3"/>
  <c r="X12" i="3"/>
  <c r="R168" i="3"/>
  <c r="R142" i="3"/>
  <c r="R29" i="3"/>
  <c r="H26" i="6"/>
  <c r="N22" i="6"/>
  <c r="H31" i="8"/>
  <c r="N18" i="9"/>
  <c r="N55" i="9"/>
  <c r="N89" i="3"/>
  <c r="N110" i="3"/>
  <c r="X18" i="9"/>
  <c r="Z18" i="9" s="1"/>
  <c r="Z61" i="9"/>
  <c r="H178" i="3"/>
  <c r="J64" i="3"/>
  <c r="Z67" i="3"/>
  <c r="Z145" i="3"/>
  <c r="Z22" i="6"/>
  <c r="T26" i="6"/>
  <c r="Z42" i="9"/>
  <c r="Z55" i="9"/>
  <c r="N57" i="9"/>
  <c r="Z91" i="9"/>
  <c r="N91" i="3"/>
  <c r="Z95" i="3"/>
  <c r="N101" i="3"/>
  <c r="Z124" i="3"/>
  <c r="N126" i="3"/>
  <c r="Z156" i="3"/>
  <c r="N44" i="9"/>
  <c r="Z73" i="9"/>
  <c r="N58" i="12"/>
  <c r="J58" i="12"/>
  <c r="N83" i="12"/>
  <c r="V44" i="3"/>
  <c r="V60" i="3"/>
  <c r="V24" i="8"/>
  <c r="V16" i="9"/>
  <c r="V30" i="9"/>
  <c r="V34" i="9"/>
  <c r="N34" i="13"/>
  <c r="L34" i="13"/>
  <c r="V147" i="15"/>
  <c r="V131" i="15"/>
  <c r="V107" i="15"/>
  <c r="V99" i="15"/>
  <c r="V87" i="15"/>
  <c r="V75" i="15"/>
  <c r="V71" i="15"/>
  <c r="V59" i="15"/>
  <c r="V47" i="15"/>
  <c r="V39" i="15"/>
  <c r="V31" i="15"/>
  <c r="V23" i="15"/>
  <c r="V144" i="15"/>
  <c r="V134" i="15"/>
  <c r="V130" i="15"/>
  <c r="V102" i="15"/>
  <c r="V90" i="15"/>
  <c r="V78" i="15"/>
  <c r="V70" i="15"/>
  <c r="V58" i="15"/>
  <c r="V46" i="15"/>
  <c r="V38" i="15"/>
  <c r="V30" i="15"/>
  <c r="V22" i="15"/>
  <c r="V149" i="15"/>
  <c r="V133" i="15"/>
  <c r="V129" i="15"/>
  <c r="V101" i="15"/>
  <c r="V89" i="15"/>
  <c r="V77" i="15"/>
  <c r="V69" i="15"/>
  <c r="V57" i="15"/>
  <c r="V45" i="15"/>
  <c r="V37" i="15"/>
  <c r="V29" i="15"/>
  <c r="V21" i="15"/>
  <c r="V146" i="15"/>
  <c r="V140" i="15"/>
  <c r="V136" i="15"/>
  <c r="V132" i="15"/>
  <c r="V128" i="15"/>
  <c r="V120" i="15"/>
  <c r="V116" i="15"/>
  <c r="V104" i="15"/>
  <c r="V92" i="15"/>
  <c r="V80" i="15"/>
  <c r="V68" i="15"/>
  <c r="V56" i="15"/>
  <c r="V52" i="15"/>
  <c r="V50" i="15"/>
  <c r="V44" i="15"/>
  <c r="V36" i="15"/>
  <c r="V28" i="15"/>
  <c r="V139" i="15"/>
  <c r="V135" i="15"/>
  <c r="V127" i="15"/>
  <c r="V123" i="15"/>
  <c r="V119" i="15"/>
  <c r="V115" i="15"/>
  <c r="V111" i="15"/>
  <c r="V103" i="15"/>
  <c r="V95" i="15"/>
  <c r="V91" i="15"/>
  <c r="V83" i="15"/>
  <c r="V79" i="15"/>
  <c r="V67" i="15"/>
  <c r="V63" i="15"/>
  <c r="V55" i="15"/>
  <c r="T50" i="15"/>
  <c r="V43" i="15"/>
  <c r="V35" i="15"/>
  <c r="V27" i="15"/>
  <c r="V148" i="15"/>
  <c r="V142" i="15"/>
  <c r="V138" i="15"/>
  <c r="V126" i="15"/>
  <c r="V122" i="15"/>
  <c r="V118" i="15"/>
  <c r="V114" i="15"/>
  <c r="V110" i="15"/>
  <c r="V106" i="15"/>
  <c r="V98" i="15"/>
  <c r="V94" i="15"/>
  <c r="V86" i="15"/>
  <c r="V82" i="15"/>
  <c r="V74" i="15"/>
  <c r="V66" i="15"/>
  <c r="V62" i="15"/>
  <c r="V54" i="15"/>
  <c r="V42" i="15"/>
  <c r="V34" i="15"/>
  <c r="V26" i="15"/>
  <c r="V97" i="15"/>
  <c r="V113" i="15"/>
  <c r="V117" i="15"/>
  <c r="L17" i="3"/>
  <c r="N17" i="3" s="1"/>
  <c r="X20" i="3"/>
  <c r="J27" i="3"/>
  <c r="V29" i="3"/>
  <c r="J33" i="3"/>
  <c r="V37" i="3"/>
  <c r="J41" i="3"/>
  <c r="V45" i="3"/>
  <c r="J49" i="3"/>
  <c r="V53" i="3"/>
  <c r="J57" i="3"/>
  <c r="V61" i="3"/>
  <c r="J69" i="3"/>
  <c r="V73" i="3"/>
  <c r="J77" i="3"/>
  <c r="J81" i="3"/>
  <c r="V85" i="3"/>
  <c r="V89" i="3"/>
  <c r="J91" i="3"/>
  <c r="J97" i="3"/>
  <c r="V101" i="3"/>
  <c r="J103" i="3"/>
  <c r="J109" i="3"/>
  <c r="J113" i="3"/>
  <c r="V117" i="3"/>
  <c r="J121" i="3"/>
  <c r="V125" i="3"/>
  <c r="V129" i="3"/>
  <c r="J131" i="3"/>
  <c r="V133" i="3"/>
  <c r="V137" i="3"/>
  <c r="J141" i="3"/>
  <c r="V145" i="3"/>
  <c r="J149" i="3"/>
  <c r="V153" i="3"/>
  <c r="V157" i="3"/>
  <c r="J159" i="3"/>
  <c r="D168" i="3"/>
  <c r="L168" i="3" s="1"/>
  <c r="N168" i="3" s="1"/>
  <c r="J172" i="3"/>
  <c r="V173" i="3"/>
  <c r="L184" i="3"/>
  <c r="N184" i="3" s="1"/>
  <c r="X12" i="4"/>
  <c r="J21" i="4"/>
  <c r="F27" i="4"/>
  <c r="V27" i="4"/>
  <c r="F31" i="4"/>
  <c r="V31" i="4"/>
  <c r="F34" i="4"/>
  <c r="V34" i="4"/>
  <c r="R16" i="5"/>
  <c r="J18" i="5"/>
  <c r="R20" i="5"/>
  <c r="F24" i="5"/>
  <c r="V24" i="5"/>
  <c r="F16" i="6"/>
  <c r="V16" i="6"/>
  <c r="F20" i="6"/>
  <c r="V20" i="6"/>
  <c r="F26" i="6"/>
  <c r="V26" i="6"/>
  <c r="F29" i="6"/>
  <c r="V29" i="6"/>
  <c r="Z12" i="7"/>
  <c r="F16" i="7"/>
  <c r="V16" i="7"/>
  <c r="F20" i="7"/>
  <c r="V20" i="7"/>
  <c r="R22" i="7"/>
  <c r="J24" i="7"/>
  <c r="X34" i="7"/>
  <c r="X12" i="8"/>
  <c r="J21" i="8"/>
  <c r="F27" i="8"/>
  <c r="V27" i="8"/>
  <c r="F31" i="8"/>
  <c r="V31" i="8"/>
  <c r="F34" i="8"/>
  <c r="V34" i="8"/>
  <c r="X12" i="9"/>
  <c r="H16" i="9"/>
  <c r="F20" i="9"/>
  <c r="V23" i="9"/>
  <c r="R24" i="9"/>
  <c r="J27" i="9"/>
  <c r="F28" i="9"/>
  <c r="F32" i="9"/>
  <c r="V35" i="9"/>
  <c r="R36" i="9"/>
  <c r="J39" i="9"/>
  <c r="F40" i="9"/>
  <c r="J43" i="9"/>
  <c r="X46" i="9"/>
  <c r="Z46" i="9" s="1"/>
  <c r="V47" i="9"/>
  <c r="L48" i="9"/>
  <c r="F52" i="9"/>
  <c r="R53" i="9"/>
  <c r="F55" i="9"/>
  <c r="V55" i="9"/>
  <c r="R56" i="9"/>
  <c r="J57" i="9"/>
  <c r="F60" i="9"/>
  <c r="R61" i="9"/>
  <c r="F63" i="9"/>
  <c r="V63" i="9"/>
  <c r="R64" i="9"/>
  <c r="J67" i="9"/>
  <c r="J71" i="9"/>
  <c r="F72" i="9"/>
  <c r="R73" i="9"/>
  <c r="J75" i="9"/>
  <c r="F79" i="9"/>
  <c r="V79" i="9"/>
  <c r="R80" i="9"/>
  <c r="J83" i="9"/>
  <c r="F84" i="9"/>
  <c r="J87" i="9"/>
  <c r="F88" i="9"/>
  <c r="R89" i="9"/>
  <c r="F91" i="9"/>
  <c r="V91" i="9"/>
  <c r="R92" i="9"/>
  <c r="J95" i="9"/>
  <c r="R97" i="9"/>
  <c r="J101" i="9"/>
  <c r="R104" i="9"/>
  <c r="J16" i="10"/>
  <c r="R18" i="10"/>
  <c r="J20" i="10"/>
  <c r="F22" i="10"/>
  <c r="V22" i="10"/>
  <c r="R15" i="11"/>
  <c r="X16" i="11"/>
  <c r="P18" i="11"/>
  <c r="X20" i="11"/>
  <c r="R25" i="11"/>
  <c r="J27" i="11"/>
  <c r="R29" i="11"/>
  <c r="J31" i="11"/>
  <c r="R33" i="11"/>
  <c r="J34" i="11"/>
  <c r="R36" i="11"/>
  <c r="J25" i="12"/>
  <c r="V27" i="12"/>
  <c r="J31" i="12"/>
  <c r="V35" i="12"/>
  <c r="J39" i="12"/>
  <c r="V43" i="12"/>
  <c r="J47" i="12"/>
  <c r="V51" i="12"/>
  <c r="H56" i="12"/>
  <c r="V63" i="12"/>
  <c r="J67" i="12"/>
  <c r="J71" i="12"/>
  <c r="V75" i="12"/>
  <c r="J79" i="12"/>
  <c r="V83" i="12"/>
  <c r="L85" i="12"/>
  <c r="N85" i="12" s="1"/>
  <c r="Z97" i="12"/>
  <c r="J105" i="12"/>
  <c r="J106" i="12"/>
  <c r="X107" i="12"/>
  <c r="Z107" i="12" s="1"/>
  <c r="V151" i="12"/>
  <c r="L24" i="13"/>
  <c r="L21" i="14"/>
  <c r="V24" i="15"/>
  <c r="V33" i="15"/>
  <c r="L52" i="15"/>
  <c r="V60" i="15"/>
  <c r="Z64" i="15"/>
  <c r="V81" i="15"/>
  <c r="V85" i="15"/>
  <c r="Z96" i="15"/>
  <c r="N107" i="15"/>
  <c r="Z141" i="15"/>
  <c r="D144" i="15"/>
  <c r="L144" i="15" s="1"/>
  <c r="N144" i="15" s="1"/>
  <c r="L147" i="15"/>
  <c r="L22" i="16"/>
  <c r="L25" i="16"/>
  <c r="L33" i="16"/>
  <c r="L22" i="17"/>
  <c r="P12" i="18"/>
  <c r="X15" i="18"/>
  <c r="Z21" i="18"/>
  <c r="J40" i="18"/>
  <c r="J49" i="18"/>
  <c r="Z59" i="18"/>
  <c r="J61" i="18"/>
  <c r="F73" i="18"/>
  <c r="F81" i="18"/>
  <c r="X93" i="18"/>
  <c r="N105" i="18"/>
  <c r="F110" i="18"/>
  <c r="N16" i="19"/>
  <c r="L16" i="19"/>
  <c r="Z53" i="28"/>
  <c r="X53" i="28"/>
  <c r="V52" i="3"/>
  <c r="V24" i="4"/>
  <c r="Z12" i="3"/>
  <c r="L27" i="3"/>
  <c r="V30" i="3"/>
  <c r="J34" i="3"/>
  <c r="V38" i="3"/>
  <c r="J42" i="3"/>
  <c r="V46" i="3"/>
  <c r="J50" i="3"/>
  <c r="V54" i="3"/>
  <c r="J58" i="3"/>
  <c r="V62" i="3"/>
  <c r="J70" i="3"/>
  <c r="V74" i="3"/>
  <c r="V78" i="3"/>
  <c r="J82" i="3"/>
  <c r="V86" i="3"/>
  <c r="V90" i="3"/>
  <c r="J94" i="3"/>
  <c r="V98" i="3"/>
  <c r="V102" i="3"/>
  <c r="J106" i="3"/>
  <c r="V110" i="3"/>
  <c r="V114" i="3"/>
  <c r="J116" i="3"/>
  <c r="V122" i="3"/>
  <c r="J124" i="3"/>
  <c r="V130" i="3"/>
  <c r="V134" i="3"/>
  <c r="J136" i="3"/>
  <c r="V138" i="3"/>
  <c r="V142" i="3"/>
  <c r="X145" i="3"/>
  <c r="V146" i="3"/>
  <c r="J150" i="3"/>
  <c r="V154" i="3"/>
  <c r="J156" i="3"/>
  <c r="V158" i="3"/>
  <c r="L159" i="3"/>
  <c r="N159" i="3" s="1"/>
  <c r="J162" i="3"/>
  <c r="J166" i="3"/>
  <c r="V168" i="3"/>
  <c r="J175" i="3"/>
  <c r="V176" i="3"/>
  <c r="J180" i="3"/>
  <c r="V185" i="3"/>
  <c r="Z12" i="4"/>
  <c r="F16" i="4"/>
  <c r="V16" i="4"/>
  <c r="F20" i="4"/>
  <c r="V20" i="4"/>
  <c r="L21" i="4"/>
  <c r="R22" i="4"/>
  <c r="J24" i="4"/>
  <c r="X34" i="4"/>
  <c r="X12" i="5"/>
  <c r="X24" i="5"/>
  <c r="F27" i="5"/>
  <c r="F31" i="5"/>
  <c r="F34" i="5"/>
  <c r="X12" i="6"/>
  <c r="X20" i="6"/>
  <c r="X29" i="6"/>
  <c r="Z29" i="6" s="1"/>
  <c r="X16" i="7"/>
  <c r="P18" i="7"/>
  <c r="X20" i="7"/>
  <c r="L24" i="7"/>
  <c r="R25" i="7"/>
  <c r="J27" i="7"/>
  <c r="R29" i="7"/>
  <c r="J31" i="7"/>
  <c r="R33" i="7"/>
  <c r="J34" i="7"/>
  <c r="R36" i="7"/>
  <c r="Z12" i="8"/>
  <c r="F16" i="8"/>
  <c r="V16" i="8"/>
  <c r="F20" i="8"/>
  <c r="V20" i="8"/>
  <c r="L21" i="8"/>
  <c r="R22" i="8"/>
  <c r="J24" i="8"/>
  <c r="X34" i="8"/>
  <c r="Z12" i="9"/>
  <c r="R14" i="9"/>
  <c r="J16" i="9"/>
  <c r="J20" i="9"/>
  <c r="F21" i="9"/>
  <c r="V24" i="9"/>
  <c r="R25" i="9"/>
  <c r="J28" i="9"/>
  <c r="F29" i="9"/>
  <c r="J32" i="9"/>
  <c r="F33" i="9"/>
  <c r="V36" i="9"/>
  <c r="R37" i="9"/>
  <c r="J40" i="9"/>
  <c r="F41" i="9"/>
  <c r="R42" i="9"/>
  <c r="F44" i="9"/>
  <c r="V44" i="9"/>
  <c r="R45" i="9"/>
  <c r="J46" i="9"/>
  <c r="F49" i="9"/>
  <c r="J52" i="9"/>
  <c r="V56" i="9"/>
  <c r="J60" i="9"/>
  <c r="V64" i="9"/>
  <c r="R65" i="9"/>
  <c r="F68" i="9"/>
  <c r="V68" i="9"/>
  <c r="R69" i="9"/>
  <c r="J72" i="9"/>
  <c r="F76" i="9"/>
  <c r="V76" i="9"/>
  <c r="R77" i="9"/>
  <c r="V80" i="9"/>
  <c r="R81" i="9"/>
  <c r="J84" i="9"/>
  <c r="F85" i="9"/>
  <c r="R86" i="9"/>
  <c r="J88" i="9"/>
  <c r="V92" i="9"/>
  <c r="R93" i="9"/>
  <c r="D97" i="9"/>
  <c r="R99" i="9"/>
  <c r="L12" i="10"/>
  <c r="F15" i="10"/>
  <c r="D18" i="10"/>
  <c r="L20" i="10"/>
  <c r="R21" i="10"/>
  <c r="F25" i="10"/>
  <c r="F29" i="10"/>
  <c r="F33" i="10"/>
  <c r="F36" i="10"/>
  <c r="J16" i="11"/>
  <c r="J20" i="11"/>
  <c r="V22" i="11"/>
  <c r="J150" i="12"/>
  <c r="J146" i="12"/>
  <c r="J140" i="12"/>
  <c r="J130" i="12"/>
  <c r="J116" i="12"/>
  <c r="J108" i="12"/>
  <c r="J102" i="12"/>
  <c r="J142" i="12"/>
  <c r="J138" i="12"/>
  <c r="J120" i="12"/>
  <c r="J110" i="12"/>
  <c r="J98" i="12"/>
  <c r="J86" i="12"/>
  <c r="J158" i="12"/>
  <c r="J153" i="12"/>
  <c r="J149" i="12"/>
  <c r="J145" i="12"/>
  <c r="J137" i="12"/>
  <c r="J129" i="12"/>
  <c r="J115" i="12"/>
  <c r="J107" i="12"/>
  <c r="J155" i="12"/>
  <c r="J148" i="12"/>
  <c r="J136" i="12"/>
  <c r="J132" i="12"/>
  <c r="J128" i="12"/>
  <c r="J124" i="12"/>
  <c r="J112" i="12"/>
  <c r="J104" i="12"/>
  <c r="J100" i="12"/>
  <c r="J151" i="12"/>
  <c r="J147" i="12"/>
  <c r="J141" i="12"/>
  <c r="J135" i="12"/>
  <c r="J131" i="12"/>
  <c r="J127" i="12"/>
  <c r="J123" i="12"/>
  <c r="J119" i="12"/>
  <c r="J109" i="12"/>
  <c r="J103" i="12"/>
  <c r="J97" i="12"/>
  <c r="J91" i="12"/>
  <c r="V28" i="12"/>
  <c r="J32" i="12"/>
  <c r="V36" i="12"/>
  <c r="J40" i="12"/>
  <c r="V44" i="12"/>
  <c r="J48" i="12"/>
  <c r="V52" i="12"/>
  <c r="J56" i="12"/>
  <c r="J60" i="12"/>
  <c r="V64" i="12"/>
  <c r="J68" i="12"/>
  <c r="J72" i="12"/>
  <c r="V76" i="12"/>
  <c r="J80" i="12"/>
  <c r="V84" i="12"/>
  <c r="V87" i="12"/>
  <c r="V88" i="12"/>
  <c r="V97" i="12"/>
  <c r="L109" i="12"/>
  <c r="V129" i="12"/>
  <c r="Z130" i="12"/>
  <c r="J134" i="12"/>
  <c r="V135" i="12"/>
  <c r="V138" i="12"/>
  <c r="J144" i="12"/>
  <c r="V145" i="12"/>
  <c r="Z146" i="12"/>
  <c r="X12" i="13"/>
  <c r="R31" i="13"/>
  <c r="R34" i="13"/>
  <c r="V32" i="15"/>
  <c r="V41" i="15"/>
  <c r="V64" i="15"/>
  <c r="V73" i="15"/>
  <c r="V96" i="15"/>
  <c r="L99" i="15"/>
  <c r="V108" i="15"/>
  <c r="X137" i="15"/>
  <c r="V141" i="15"/>
  <c r="V145" i="15"/>
  <c r="V153" i="15"/>
  <c r="L13" i="17"/>
  <c r="J48" i="18"/>
  <c r="J73" i="18"/>
  <c r="J80" i="18"/>
  <c r="N81" i="18"/>
  <c r="F86" i="18"/>
  <c r="Z93" i="18"/>
  <c r="X102" i="18"/>
  <c r="J104" i="18"/>
  <c r="X105" i="18"/>
  <c r="Z105" i="18" s="1"/>
  <c r="J121" i="18"/>
  <c r="Z123" i="18"/>
  <c r="J21" i="20"/>
  <c r="J18" i="20"/>
  <c r="J36" i="20"/>
  <c r="J33" i="20"/>
  <c r="J29" i="20"/>
  <c r="J25" i="20"/>
  <c r="H18" i="20"/>
  <c r="J15" i="20"/>
  <c r="J22" i="20"/>
  <c r="N12" i="20"/>
  <c r="L12" i="20"/>
  <c r="J34" i="20"/>
  <c r="J31" i="20"/>
  <c r="J27" i="20"/>
  <c r="J16" i="20"/>
  <c r="J24" i="20"/>
  <c r="J20" i="20"/>
  <c r="V72" i="3"/>
  <c r="V84" i="3"/>
  <c r="V92" i="3"/>
  <c r="V104" i="3"/>
  <c r="V116" i="3"/>
  <c r="R27" i="5"/>
  <c r="R34" i="5"/>
  <c r="V67" i="3"/>
  <c r="J71" i="3"/>
  <c r="V75" i="3"/>
  <c r="V79" i="3"/>
  <c r="J83" i="3"/>
  <c r="V87" i="3"/>
  <c r="J89" i="3"/>
  <c r="V95" i="3"/>
  <c r="V99" i="3"/>
  <c r="J101" i="3"/>
  <c r="V107" i="3"/>
  <c r="V111" i="3"/>
  <c r="V115" i="3"/>
  <c r="J119" i="3"/>
  <c r="V123" i="3"/>
  <c r="J127" i="3"/>
  <c r="V135" i="3"/>
  <c r="V139" i="3"/>
  <c r="V143" i="3"/>
  <c r="J145" i="3"/>
  <c r="V147" i="3"/>
  <c r="J151" i="3"/>
  <c r="V155" i="3"/>
  <c r="J163" i="3"/>
  <c r="J170" i="3"/>
  <c r="V171" i="3"/>
  <c r="X176" i="3"/>
  <c r="R15" i="4"/>
  <c r="P18" i="4"/>
  <c r="R25" i="4"/>
  <c r="R29" i="4"/>
  <c r="J31" i="4"/>
  <c r="R33" i="4"/>
  <c r="J34" i="4"/>
  <c r="R36" i="4"/>
  <c r="R22" i="5"/>
  <c r="R14" i="6"/>
  <c r="Z16" i="6"/>
  <c r="R18" i="6"/>
  <c r="R22" i="6"/>
  <c r="R28" i="6"/>
  <c r="R31" i="6"/>
  <c r="J16" i="7"/>
  <c r="J20" i="7"/>
  <c r="V22" i="7"/>
  <c r="R15" i="8"/>
  <c r="P18" i="8"/>
  <c r="R25" i="8"/>
  <c r="J27" i="8"/>
  <c r="R29" i="8"/>
  <c r="J31" i="8"/>
  <c r="R33" i="8"/>
  <c r="J34" i="8"/>
  <c r="R36" i="8"/>
  <c r="R19" i="9"/>
  <c r="F22" i="9"/>
  <c r="V25" i="9"/>
  <c r="R26" i="9"/>
  <c r="F30" i="9"/>
  <c r="R31" i="9"/>
  <c r="F34" i="9"/>
  <c r="V37" i="9"/>
  <c r="R38" i="9"/>
  <c r="J41" i="9"/>
  <c r="V45" i="9"/>
  <c r="J49" i="9"/>
  <c r="F50" i="9"/>
  <c r="R51" i="9"/>
  <c r="F53" i="9"/>
  <c r="V53" i="9"/>
  <c r="R54" i="9"/>
  <c r="J55" i="9"/>
  <c r="F58" i="9"/>
  <c r="R59" i="9"/>
  <c r="F61" i="9"/>
  <c r="V61" i="9"/>
  <c r="R62" i="9"/>
  <c r="J63" i="9"/>
  <c r="V65" i="9"/>
  <c r="R66" i="9"/>
  <c r="V69" i="9"/>
  <c r="R70" i="9"/>
  <c r="F73" i="9"/>
  <c r="V73" i="9"/>
  <c r="R74" i="9"/>
  <c r="V77" i="9"/>
  <c r="R78" i="9"/>
  <c r="J79" i="9"/>
  <c r="V81" i="9"/>
  <c r="R82" i="9"/>
  <c r="J85" i="9"/>
  <c r="F89" i="9"/>
  <c r="V89" i="9"/>
  <c r="R90" i="9"/>
  <c r="J91" i="9"/>
  <c r="V93" i="9"/>
  <c r="F97" i="9"/>
  <c r="V97" i="9"/>
  <c r="V99" i="9"/>
  <c r="F104" i="9"/>
  <c r="V104" i="9"/>
  <c r="F18" i="10"/>
  <c r="P27" i="10"/>
  <c r="J118" i="12"/>
  <c r="V119" i="12"/>
  <c r="J133" i="12"/>
  <c r="V149" i="12"/>
  <c r="J154" i="12"/>
  <c r="V155" i="12"/>
  <c r="Z16" i="14"/>
  <c r="X16" i="14"/>
  <c r="N24" i="14"/>
  <c r="L24" i="14"/>
  <c r="X14" i="15"/>
  <c r="Z14" i="15" s="1"/>
  <c r="P12" i="15"/>
  <c r="V40" i="15"/>
  <c r="N52" i="15"/>
  <c r="V84" i="15"/>
  <c r="N99" i="15"/>
  <c r="V112" i="15"/>
  <c r="Z137" i="15"/>
  <c r="D18" i="17"/>
  <c r="F153" i="18"/>
  <c r="F147" i="18"/>
  <c r="F143" i="18"/>
  <c r="F140" i="18"/>
  <c r="F157" i="18"/>
  <c r="F148" i="18"/>
  <c r="F156" i="18"/>
  <c r="F155" i="18"/>
  <c r="F133" i="18"/>
  <c r="F129" i="18"/>
  <c r="F125" i="18"/>
  <c r="F121" i="18"/>
  <c r="F117" i="18"/>
  <c r="F161" i="18"/>
  <c r="F154" i="18"/>
  <c r="F144" i="18"/>
  <c r="F132" i="18"/>
  <c r="F128" i="18"/>
  <c r="F124" i="18"/>
  <c r="F120" i="18"/>
  <c r="F116" i="18"/>
  <c r="F112" i="18"/>
  <c r="F107" i="18"/>
  <c r="F104" i="18"/>
  <c r="F100" i="18"/>
  <c r="F95" i="18"/>
  <c r="F92" i="18"/>
  <c r="F88" i="18"/>
  <c r="F83" i="18"/>
  <c r="F80" i="18"/>
  <c r="F72" i="18"/>
  <c r="F68" i="18"/>
  <c r="F60" i="18"/>
  <c r="F48" i="18"/>
  <c r="F40" i="18"/>
  <c r="F32" i="18"/>
  <c r="F24" i="18"/>
  <c r="F152" i="18"/>
  <c r="F151" i="18"/>
  <c r="F145" i="18"/>
  <c r="F131" i="18"/>
  <c r="F119" i="18"/>
  <c r="F115" i="18"/>
  <c r="F103" i="18"/>
  <c r="F91" i="18"/>
  <c r="F79" i="18"/>
  <c r="F71" i="18"/>
  <c r="F67" i="18"/>
  <c r="F47" i="18"/>
  <c r="F39" i="18"/>
  <c r="F31" i="18"/>
  <c r="F23" i="18"/>
  <c r="F146" i="18"/>
  <c r="F138" i="18"/>
  <c r="F114" i="18"/>
  <c r="F109" i="18"/>
  <c r="F106" i="18"/>
  <c r="F97" i="18"/>
  <c r="F94" i="18"/>
  <c r="F85" i="18"/>
  <c r="F82" i="18"/>
  <c r="F78" i="18"/>
  <c r="F66" i="18"/>
  <c r="D56" i="18"/>
  <c r="F54" i="18"/>
  <c r="F46" i="18"/>
  <c r="F38" i="18"/>
  <c r="F30" i="18"/>
  <c r="F22" i="18"/>
  <c r="F142" i="18"/>
  <c r="F137" i="18"/>
  <c r="F77" i="18"/>
  <c r="F65" i="18"/>
  <c r="F53" i="18"/>
  <c r="F45" i="18"/>
  <c r="F37" i="18"/>
  <c r="F29" i="18"/>
  <c r="F136" i="18"/>
  <c r="F127" i="18"/>
  <c r="F123" i="18"/>
  <c r="F111" i="18"/>
  <c r="F108" i="18"/>
  <c r="F99" i="18"/>
  <c r="F96" i="18"/>
  <c r="F87" i="18"/>
  <c r="F84" i="18"/>
  <c r="F76" i="18"/>
  <c r="F64" i="18"/>
  <c r="F59" i="18"/>
  <c r="F58" i="18"/>
  <c r="F52" i="18"/>
  <c r="F44" i="18"/>
  <c r="F36" i="18"/>
  <c r="F28" i="18"/>
  <c r="F135" i="18"/>
  <c r="F130" i="18"/>
  <c r="F118" i="18"/>
  <c r="F102" i="18"/>
  <c r="F90" i="18"/>
  <c r="F75" i="18"/>
  <c r="F70" i="18"/>
  <c r="F63" i="18"/>
  <c r="F51" i="18"/>
  <c r="F43" i="18"/>
  <c r="F35" i="18"/>
  <c r="F27" i="18"/>
  <c r="J60" i="18"/>
  <c r="J101" i="18"/>
  <c r="F113" i="18"/>
  <c r="R18" i="30"/>
  <c r="X12" i="30"/>
  <c r="R24" i="30"/>
  <c r="R21" i="30"/>
  <c r="R20" i="30"/>
  <c r="P18" i="30"/>
  <c r="R16" i="30"/>
  <c r="R25" i="30"/>
  <c r="R29" i="30"/>
  <c r="R22" i="30"/>
  <c r="R33" i="30"/>
  <c r="R27" i="30"/>
  <c r="R34" i="30"/>
  <c r="R31" i="30"/>
  <c r="R15" i="30"/>
  <c r="R36" i="30"/>
  <c r="V36" i="3"/>
  <c r="V136" i="3"/>
  <c r="V164" i="3"/>
  <c r="V170" i="3"/>
  <c r="V46" i="9"/>
  <c r="V39" i="3"/>
  <c r="V47" i="3"/>
  <c r="V32" i="3"/>
  <c r="J44" i="3"/>
  <c r="J52" i="3"/>
  <c r="V68" i="3"/>
  <c r="V80" i="3"/>
  <c r="J84" i="3"/>
  <c r="V96" i="3"/>
  <c r="J98" i="3"/>
  <c r="V100" i="3"/>
  <c r="J104" i="3"/>
  <c r="V108" i="3"/>
  <c r="J110" i="3"/>
  <c r="V112" i="3"/>
  <c r="J114" i="3"/>
  <c r="V120" i="3"/>
  <c r="J122" i="3"/>
  <c r="J128" i="3"/>
  <c r="J132" i="3"/>
  <c r="V140" i="3"/>
  <c r="J142" i="3"/>
  <c r="V144" i="3"/>
  <c r="V148" i="3"/>
  <c r="J152" i="3"/>
  <c r="J160" i="3"/>
  <c r="J164" i="3"/>
  <c r="J168" i="3"/>
  <c r="J173" i="3"/>
  <c r="V174" i="3"/>
  <c r="J185" i="3"/>
  <c r="J16" i="4"/>
  <c r="R18" i="4"/>
  <c r="J20" i="4"/>
  <c r="F22" i="4"/>
  <c r="V22" i="4"/>
  <c r="R15" i="5"/>
  <c r="P18" i="5"/>
  <c r="R25" i="5"/>
  <c r="R29" i="5"/>
  <c r="R33" i="5"/>
  <c r="R36" i="5"/>
  <c r="L16" i="6"/>
  <c r="R24" i="6"/>
  <c r="L12" i="7"/>
  <c r="V15" i="7"/>
  <c r="T18" i="7"/>
  <c r="V25" i="7"/>
  <c r="V29" i="7"/>
  <c r="V33" i="7"/>
  <c r="V36" i="7"/>
  <c r="J16" i="8"/>
  <c r="R18" i="8"/>
  <c r="J20" i="8"/>
  <c r="F22" i="8"/>
  <c r="V22" i="8"/>
  <c r="F14" i="9"/>
  <c r="V14" i="9"/>
  <c r="J22" i="9"/>
  <c r="F23" i="9"/>
  <c r="V26" i="9"/>
  <c r="R27" i="9"/>
  <c r="J30" i="9"/>
  <c r="J34" i="9"/>
  <c r="F35" i="9"/>
  <c r="V38" i="9"/>
  <c r="R39" i="9"/>
  <c r="F42" i="9"/>
  <c r="V42" i="9"/>
  <c r="R43" i="9"/>
  <c r="J44" i="9"/>
  <c r="F47" i="9"/>
  <c r="R48" i="9"/>
  <c r="J50" i="9"/>
  <c r="V54" i="9"/>
  <c r="J58" i="9"/>
  <c r="V62" i="9"/>
  <c r="V66" i="9"/>
  <c r="R67" i="9"/>
  <c r="J68" i="9"/>
  <c r="V70" i="9"/>
  <c r="R71" i="9"/>
  <c r="V74" i="9"/>
  <c r="R75" i="9"/>
  <c r="J76" i="9"/>
  <c r="V78" i="9"/>
  <c r="V82" i="9"/>
  <c r="R83" i="9"/>
  <c r="F86" i="9"/>
  <c r="V86" i="9"/>
  <c r="R87" i="9"/>
  <c r="V90" i="9"/>
  <c r="H18" i="10"/>
  <c r="F21" i="10"/>
  <c r="R27" i="10"/>
  <c r="R31" i="10"/>
  <c r="R34" i="10"/>
  <c r="L13" i="11"/>
  <c r="J50" i="12"/>
  <c r="V54" i="12"/>
  <c r="J62" i="12"/>
  <c r="V66" i="12"/>
  <c r="V70" i="12"/>
  <c r="J74" i="12"/>
  <c r="V78" i="12"/>
  <c r="V82" i="12"/>
  <c r="V91" i="12"/>
  <c r="V92" i="12"/>
  <c r="J94" i="12"/>
  <c r="V99" i="12"/>
  <c r="N109" i="12"/>
  <c r="J111" i="12"/>
  <c r="J113" i="12"/>
  <c r="J114" i="12"/>
  <c r="J122" i="12"/>
  <c r="V123" i="12"/>
  <c r="L141" i="12"/>
  <c r="N141" i="12" s="1"/>
  <c r="D153" i="12"/>
  <c r="L153" i="12" s="1"/>
  <c r="N153" i="12" s="1"/>
  <c r="V21" i="14"/>
  <c r="V36" i="14"/>
  <c r="V33" i="14"/>
  <c r="V29" i="14"/>
  <c r="V25" i="14"/>
  <c r="T18" i="14"/>
  <c r="V15" i="14"/>
  <c r="V22" i="14"/>
  <c r="V20" i="14"/>
  <c r="V16" i="14"/>
  <c r="Z12" i="14"/>
  <c r="L25" i="14"/>
  <c r="L33" i="14"/>
  <c r="V48" i="15"/>
  <c r="Z53" i="15"/>
  <c r="V72" i="15"/>
  <c r="J99" i="15"/>
  <c r="V100" i="15"/>
  <c r="V137" i="15"/>
  <c r="J34" i="17"/>
  <c r="J31" i="17"/>
  <c r="J27" i="17"/>
  <c r="J24" i="17"/>
  <c r="J21" i="17"/>
  <c r="J18" i="17"/>
  <c r="J36" i="17"/>
  <c r="J33" i="17"/>
  <c r="J29" i="17"/>
  <c r="J25" i="17"/>
  <c r="H18" i="17"/>
  <c r="J15" i="17"/>
  <c r="J22" i="17"/>
  <c r="N12" i="17"/>
  <c r="L13" i="18"/>
  <c r="N13" i="18" s="1"/>
  <c r="F26" i="18"/>
  <c r="F69" i="18"/>
  <c r="X70" i="18"/>
  <c r="J72" i="18"/>
  <c r="Z81" i="18"/>
  <c r="N95" i="18"/>
  <c r="Z102" i="18"/>
  <c r="V105" i="18"/>
  <c r="F141" i="18"/>
  <c r="Z34" i="24"/>
  <c r="X34" i="24"/>
  <c r="V28" i="3"/>
  <c r="V132" i="3"/>
  <c r="V18" i="9"/>
  <c r="R20" i="13"/>
  <c r="R16" i="13"/>
  <c r="R24" i="13"/>
  <c r="R21" i="13"/>
  <c r="R18" i="13"/>
  <c r="R36" i="13"/>
  <c r="R33" i="13"/>
  <c r="R29" i="13"/>
  <c r="R25" i="13"/>
  <c r="P18" i="13"/>
  <c r="R15" i="13"/>
  <c r="V25" i="15"/>
  <c r="Z81" i="15"/>
  <c r="V93" i="15"/>
  <c r="V124" i="15"/>
  <c r="Z34" i="27"/>
  <c r="X34" i="27"/>
  <c r="V31" i="3"/>
  <c r="J28" i="3"/>
  <c r="V40" i="3"/>
  <c r="V48" i="3"/>
  <c r="V56" i="3"/>
  <c r="J60" i="3"/>
  <c r="J72" i="3"/>
  <c r="V76" i="3"/>
  <c r="J78" i="3"/>
  <c r="V88" i="3"/>
  <c r="J92" i="3"/>
  <c r="J29" i="3"/>
  <c r="V33" i="3"/>
  <c r="J37" i="3"/>
  <c r="V41" i="3"/>
  <c r="J45" i="3"/>
  <c r="V49" i="3"/>
  <c r="J53" i="3"/>
  <c r="V57" i="3"/>
  <c r="J61" i="3"/>
  <c r="T64" i="3"/>
  <c r="J67" i="3"/>
  <c r="V69" i="3"/>
  <c r="J73" i="3"/>
  <c r="V77" i="3"/>
  <c r="V81" i="3"/>
  <c r="J85" i="3"/>
  <c r="V93" i="3"/>
  <c r="J95" i="3"/>
  <c r="V97" i="3"/>
  <c r="V105" i="3"/>
  <c r="J107" i="3"/>
  <c r="V109" i="3"/>
  <c r="V113" i="3"/>
  <c r="J117" i="3"/>
  <c r="V121" i="3"/>
  <c r="J125" i="3"/>
  <c r="J129" i="3"/>
  <c r="J133" i="3"/>
  <c r="J137" i="3"/>
  <c r="V141" i="3"/>
  <c r="V149" i="3"/>
  <c r="J153" i="3"/>
  <c r="J157" i="3"/>
  <c r="V161" i="3"/>
  <c r="V165" i="3"/>
  <c r="V169" i="3"/>
  <c r="J176" i="3"/>
  <c r="L12" i="4"/>
  <c r="F15" i="4"/>
  <c r="V15" i="4"/>
  <c r="D18" i="4"/>
  <c r="T18" i="4"/>
  <c r="R21" i="4"/>
  <c r="F25" i="4"/>
  <c r="V25" i="4"/>
  <c r="F29" i="4"/>
  <c r="V29" i="4"/>
  <c r="F33" i="4"/>
  <c r="V33" i="4"/>
  <c r="F36" i="4"/>
  <c r="V36" i="4"/>
  <c r="J16" i="5"/>
  <c r="R18" i="5"/>
  <c r="F22" i="5"/>
  <c r="F14" i="6"/>
  <c r="V14" i="6"/>
  <c r="N16" i="6"/>
  <c r="F18" i="6"/>
  <c r="V18" i="6"/>
  <c r="F22" i="6"/>
  <c r="V22" i="6"/>
  <c r="V24" i="6"/>
  <c r="F28" i="6"/>
  <c r="V28" i="6"/>
  <c r="F31" i="6"/>
  <c r="N12" i="7"/>
  <c r="F18" i="7"/>
  <c r="V18" i="7"/>
  <c r="J22" i="7"/>
  <c r="R24" i="7"/>
  <c r="L12" i="8"/>
  <c r="F15" i="8"/>
  <c r="V15" i="8"/>
  <c r="D18" i="8"/>
  <c r="T18" i="8"/>
  <c r="R21" i="8"/>
  <c r="F25" i="8"/>
  <c r="V25" i="8"/>
  <c r="F29" i="8"/>
  <c r="V29" i="8"/>
  <c r="F33" i="8"/>
  <c r="V33" i="8"/>
  <c r="F36" i="8"/>
  <c r="V36" i="8"/>
  <c r="L12" i="9"/>
  <c r="P16" i="9"/>
  <c r="F18" i="9"/>
  <c r="R18" i="9"/>
  <c r="F19" i="9"/>
  <c r="V19" i="9"/>
  <c r="R20" i="9"/>
  <c r="J23" i="9"/>
  <c r="F24" i="9"/>
  <c r="V27" i="9"/>
  <c r="R28" i="9"/>
  <c r="F31" i="9"/>
  <c r="V31" i="9"/>
  <c r="R32" i="9"/>
  <c r="J35" i="9"/>
  <c r="F36" i="9"/>
  <c r="V39" i="9"/>
  <c r="R40" i="9"/>
  <c r="V43" i="9"/>
  <c r="J47" i="9"/>
  <c r="F51" i="9"/>
  <c r="V51" i="9"/>
  <c r="R52" i="9"/>
  <c r="J53" i="9"/>
  <c r="F56" i="9"/>
  <c r="R57" i="9"/>
  <c r="F59" i="9"/>
  <c r="V59" i="9"/>
  <c r="R60" i="9"/>
  <c r="J61" i="9"/>
  <c r="F64" i="9"/>
  <c r="V67" i="9"/>
  <c r="L68" i="9"/>
  <c r="N68" i="9" s="1"/>
  <c r="V71" i="9"/>
  <c r="R72" i="9"/>
  <c r="J73" i="9"/>
  <c r="V75" i="9"/>
  <c r="L76" i="9"/>
  <c r="F80" i="9"/>
  <c r="V83" i="9"/>
  <c r="R84" i="9"/>
  <c r="V87" i="9"/>
  <c r="R88" i="9"/>
  <c r="J89" i="9"/>
  <c r="F92" i="9"/>
  <c r="R95" i="9"/>
  <c r="J97" i="9"/>
  <c r="R101" i="9"/>
  <c r="J104" i="9"/>
  <c r="L15" i="10"/>
  <c r="R16" i="10"/>
  <c r="R20" i="10"/>
  <c r="F24" i="10"/>
  <c r="J15" i="11"/>
  <c r="H18" i="11"/>
  <c r="V21" i="11"/>
  <c r="J25" i="11"/>
  <c r="R27" i="11"/>
  <c r="J29" i="11"/>
  <c r="R31" i="11"/>
  <c r="J33" i="11"/>
  <c r="J36" i="11"/>
  <c r="P12" i="12"/>
  <c r="J27" i="12"/>
  <c r="V31" i="12"/>
  <c r="J35" i="12"/>
  <c r="V39" i="12"/>
  <c r="J43" i="12"/>
  <c r="V47" i="12"/>
  <c r="J51" i="12"/>
  <c r="V59" i="12"/>
  <c r="J63" i="12"/>
  <c r="V67" i="12"/>
  <c r="V71" i="12"/>
  <c r="J75" i="12"/>
  <c r="V79" i="12"/>
  <c r="J81" i="12"/>
  <c r="J87" i="12"/>
  <c r="J95" i="12"/>
  <c r="J101" i="12"/>
  <c r="L102" i="12"/>
  <c r="N102" i="12" s="1"/>
  <c r="V110" i="12"/>
  <c r="J117" i="12"/>
  <c r="V137" i="12"/>
  <c r="X144" i="12"/>
  <c r="Z144" i="12" s="1"/>
  <c r="P153" i="12"/>
  <c r="X153" i="12" s="1"/>
  <c r="Z153" i="12" s="1"/>
  <c r="X12" i="14"/>
  <c r="V27" i="14"/>
  <c r="V53" i="15"/>
  <c r="L64" i="15"/>
  <c r="N64" i="15" s="1"/>
  <c r="L75" i="15"/>
  <c r="N87" i="15"/>
  <c r="L96" i="15"/>
  <c r="N96" i="15" s="1"/>
  <c r="X105" i="15"/>
  <c r="X121" i="15"/>
  <c r="N124" i="15"/>
  <c r="V125" i="15"/>
  <c r="X21" i="16"/>
  <c r="L29" i="16"/>
  <c r="L12" i="17"/>
  <c r="T18" i="17"/>
  <c r="X25" i="17"/>
  <c r="F25" i="18"/>
  <c r="F34" i="18"/>
  <c r="J56" i="18"/>
  <c r="J69" i="18"/>
  <c r="V81" i="18"/>
  <c r="L83" i="18"/>
  <c r="J95" i="18"/>
  <c r="J100" i="18"/>
  <c r="N107" i="18"/>
  <c r="F126" i="18"/>
  <c r="F134" i="18"/>
  <c r="P150" i="18"/>
  <c r="X150" i="18" s="1"/>
  <c r="Z150" i="18" s="1"/>
  <c r="X151" i="18"/>
  <c r="N39" i="21"/>
  <c r="L39" i="21"/>
  <c r="V21" i="27"/>
  <c r="V18" i="27"/>
  <c r="V36" i="27"/>
  <c r="V33" i="27"/>
  <c r="V29" i="27"/>
  <c r="V25" i="27"/>
  <c r="T18" i="27"/>
  <c r="V15" i="27"/>
  <c r="V22" i="27"/>
  <c r="V20" i="27"/>
  <c r="V16" i="27"/>
  <c r="Z12" i="27"/>
  <c r="V34" i="27"/>
  <c r="V31" i="27"/>
  <c r="V27" i="27"/>
  <c r="V24" i="27"/>
  <c r="V156" i="3"/>
  <c r="V160" i="3"/>
  <c r="R31" i="5"/>
  <c r="V50" i="9"/>
  <c r="V58" i="9"/>
  <c r="N27" i="3"/>
  <c r="V55" i="3"/>
  <c r="J36" i="3"/>
  <c r="N12" i="3"/>
  <c r="J30" i="3"/>
  <c r="V34" i="3"/>
  <c r="J38" i="3"/>
  <c r="V42" i="3"/>
  <c r="J46" i="3"/>
  <c r="V50" i="3"/>
  <c r="J54" i="3"/>
  <c r="V58" i="3"/>
  <c r="J62" i="3"/>
  <c r="V64" i="3"/>
  <c r="J66" i="3"/>
  <c r="V66" i="3"/>
  <c r="V70" i="3"/>
  <c r="J74" i="3"/>
  <c r="V82" i="3"/>
  <c r="J86" i="3"/>
  <c r="J90" i="3"/>
  <c r="V94" i="3"/>
  <c r="J102" i="3"/>
  <c r="V106" i="3"/>
  <c r="V118" i="3"/>
  <c r="J120" i="3"/>
  <c r="V126" i="3"/>
  <c r="J130" i="3"/>
  <c r="J134" i="3"/>
  <c r="J138" i="3"/>
  <c r="J146" i="3"/>
  <c r="V150" i="3"/>
  <c r="J154" i="3"/>
  <c r="J158" i="3"/>
  <c r="V162" i="3"/>
  <c r="V166" i="3"/>
  <c r="V172" i="3"/>
  <c r="V180" i="3"/>
  <c r="V184" i="3"/>
  <c r="N12" i="4"/>
  <c r="V18" i="4"/>
  <c r="R24" i="4"/>
  <c r="L12" i="5"/>
  <c r="F15" i="5"/>
  <c r="D18" i="5"/>
  <c r="R21" i="5"/>
  <c r="F25" i="5"/>
  <c r="F29" i="5"/>
  <c r="F33" i="5"/>
  <c r="P16" i="6"/>
  <c r="J15" i="7"/>
  <c r="H18" i="7"/>
  <c r="V21" i="7"/>
  <c r="J25" i="7"/>
  <c r="R27" i="7"/>
  <c r="J29" i="7"/>
  <c r="R31" i="7"/>
  <c r="J33" i="7"/>
  <c r="N12" i="8"/>
  <c r="V18" i="8"/>
  <c r="R24" i="8"/>
  <c r="N12" i="9"/>
  <c r="J14" i="9"/>
  <c r="R16" i="9"/>
  <c r="V20" i="9"/>
  <c r="R21" i="9"/>
  <c r="J24" i="9"/>
  <c r="F25" i="9"/>
  <c r="V28" i="9"/>
  <c r="R29" i="9"/>
  <c r="V32" i="9"/>
  <c r="R33" i="9"/>
  <c r="J36" i="9"/>
  <c r="F37" i="9"/>
  <c r="V40" i="9"/>
  <c r="R41" i="9"/>
  <c r="J42" i="9"/>
  <c r="F45" i="9"/>
  <c r="R46" i="9"/>
  <c r="F48" i="9"/>
  <c r="V48" i="9"/>
  <c r="R49" i="9"/>
  <c r="V52" i="9"/>
  <c r="J56" i="9"/>
  <c r="V60" i="9"/>
  <c r="J64" i="9"/>
  <c r="F65" i="9"/>
  <c r="F69" i="9"/>
  <c r="V72" i="9"/>
  <c r="F77" i="9"/>
  <c r="J80" i="9"/>
  <c r="F81" i="9"/>
  <c r="V84" i="9"/>
  <c r="R85" i="9"/>
  <c r="J86" i="9"/>
  <c r="V88" i="9"/>
  <c r="F93" i="9"/>
  <c r="F27" i="10"/>
  <c r="F31" i="10"/>
  <c r="F34" i="10"/>
  <c r="V148" i="12"/>
  <c r="V144" i="12"/>
  <c r="V136" i="12"/>
  <c r="V132" i="12"/>
  <c r="V128" i="12"/>
  <c r="V124" i="12"/>
  <c r="V112" i="12"/>
  <c r="V104" i="12"/>
  <c r="V100" i="12"/>
  <c r="V162" i="12"/>
  <c r="V160" i="12"/>
  <c r="V154" i="12"/>
  <c r="V150" i="12"/>
  <c r="V146" i="12"/>
  <c r="V134" i="12"/>
  <c r="V130" i="12"/>
  <c r="V126" i="12"/>
  <c r="V122" i="12"/>
  <c r="V118" i="12"/>
  <c r="V114" i="12"/>
  <c r="V106" i="12"/>
  <c r="V102" i="12"/>
  <c r="V94" i="12"/>
  <c r="V90" i="12"/>
  <c r="V133" i="12"/>
  <c r="V125" i="12"/>
  <c r="V121" i="12"/>
  <c r="V117" i="12"/>
  <c r="V113" i="12"/>
  <c r="V105" i="12"/>
  <c r="V156" i="12"/>
  <c r="V140" i="12"/>
  <c r="V120" i="12"/>
  <c r="V116" i="12"/>
  <c r="V108" i="12"/>
  <c r="V96" i="12"/>
  <c r="V153" i="12"/>
  <c r="V143" i="12"/>
  <c r="V139" i="12"/>
  <c r="V115" i="12"/>
  <c r="V107" i="12"/>
  <c r="V95" i="12"/>
  <c r="J28" i="12"/>
  <c r="V32" i="12"/>
  <c r="J36" i="12"/>
  <c r="V40" i="12"/>
  <c r="J44" i="12"/>
  <c r="V48" i="12"/>
  <c r="J52" i="12"/>
  <c r="V60" i="12"/>
  <c r="J64" i="12"/>
  <c r="V68" i="12"/>
  <c r="J70" i="12"/>
  <c r="V72" i="12"/>
  <c r="J76" i="12"/>
  <c r="V80" i="12"/>
  <c r="J84" i="12"/>
  <c r="V85" i="12"/>
  <c r="V86" i="12"/>
  <c r="L87" i="12"/>
  <c r="N87" i="12" s="1"/>
  <c r="J88" i="12"/>
  <c r="X93" i="12"/>
  <c r="Z93" i="12" s="1"/>
  <c r="J96" i="12"/>
  <c r="N99" i="12"/>
  <c r="V103" i="12"/>
  <c r="Z115" i="12"/>
  <c r="X115" i="12"/>
  <c r="J121" i="12"/>
  <c r="J126" i="12"/>
  <c r="V127" i="12"/>
  <c r="J139" i="12"/>
  <c r="J157" i="12"/>
  <c r="J162" i="12"/>
  <c r="V34" i="14"/>
  <c r="Z52" i="15"/>
  <c r="N75" i="15"/>
  <c r="L84" i="15"/>
  <c r="V88" i="15"/>
  <c r="X93" i="15"/>
  <c r="Z105" i="15"/>
  <c r="L112" i="15"/>
  <c r="N112" i="15" s="1"/>
  <c r="X117" i="15"/>
  <c r="Z121" i="15"/>
  <c r="X29" i="17"/>
  <c r="X33" i="17"/>
  <c r="F21" i="18"/>
  <c r="J25" i="18"/>
  <c r="F33" i="18"/>
  <c r="F42" i="18"/>
  <c r="F62" i="18"/>
  <c r="Z70" i="18"/>
  <c r="N83" i="18"/>
  <c r="Z87" i="18"/>
  <c r="F89" i="18"/>
  <c r="J107" i="18"/>
  <c r="X118" i="18"/>
  <c r="Z118" i="18" s="1"/>
  <c r="J129" i="18"/>
  <c r="Z130" i="18"/>
  <c r="X130" i="18"/>
  <c r="P27" i="19"/>
  <c r="N24" i="26"/>
  <c r="L24" i="26"/>
  <c r="J42" i="28"/>
  <c r="V124" i="3"/>
  <c r="V128" i="3"/>
  <c r="V152" i="3"/>
  <c r="V22" i="9"/>
  <c r="V27" i="3"/>
  <c r="V35" i="3"/>
  <c r="V43" i="3"/>
  <c r="V51" i="3"/>
  <c r="V59" i="3"/>
  <c r="V71" i="3"/>
  <c r="V83" i="3"/>
  <c r="V91" i="3"/>
  <c r="V103" i="3"/>
  <c r="V119" i="3"/>
  <c r="V127" i="3"/>
  <c r="V131" i="3"/>
  <c r="V151" i="3"/>
  <c r="V159" i="3"/>
  <c r="V163" i="3"/>
  <c r="R27" i="4"/>
  <c r="R31" i="4"/>
  <c r="R16" i="6"/>
  <c r="R20" i="6"/>
  <c r="R26" i="6"/>
  <c r="R27" i="8"/>
  <c r="R31" i="8"/>
  <c r="T16" i="9"/>
  <c r="V21" i="9"/>
  <c r="R22" i="9"/>
  <c r="V29" i="9"/>
  <c r="R30" i="9"/>
  <c r="V33" i="9"/>
  <c r="R34" i="9"/>
  <c r="V41" i="9"/>
  <c r="V49" i="9"/>
  <c r="R50" i="9"/>
  <c r="R55" i="9"/>
  <c r="V57" i="9"/>
  <c r="R58" i="9"/>
  <c r="R63" i="9"/>
  <c r="R79" i="9"/>
  <c r="V85" i="9"/>
  <c r="V95" i="9"/>
  <c r="F16" i="10"/>
  <c r="T160" i="12"/>
  <c r="T31" i="13"/>
  <c r="Z27" i="13"/>
  <c r="R22" i="13"/>
  <c r="Z20" i="14"/>
  <c r="X20" i="14"/>
  <c r="V61" i="15"/>
  <c r="V65" i="15"/>
  <c r="V76" i="15"/>
  <c r="X81" i="15"/>
  <c r="Z93" i="15"/>
  <c r="V105" i="15"/>
  <c r="V109" i="15"/>
  <c r="Z117" i="15"/>
  <c r="V121" i="15"/>
  <c r="J139" i="18"/>
  <c r="J155" i="18"/>
  <c r="J150" i="18"/>
  <c r="J146" i="18"/>
  <c r="J142" i="18"/>
  <c r="J154" i="18"/>
  <c r="J161" i="18"/>
  <c r="J157" i="18"/>
  <c r="J144" i="18"/>
  <c r="J132" i="18"/>
  <c r="J128" i="18"/>
  <c r="J124" i="18"/>
  <c r="J120" i="18"/>
  <c r="J116" i="18"/>
  <c r="J112" i="18"/>
  <c r="J153" i="18"/>
  <c r="J152" i="18"/>
  <c r="J151" i="18"/>
  <c r="J148" i="18"/>
  <c r="J147" i="18"/>
  <c r="J145" i="18"/>
  <c r="J138" i="18"/>
  <c r="J131" i="18"/>
  <c r="J119" i="18"/>
  <c r="J115" i="18"/>
  <c r="J109" i="18"/>
  <c r="J103" i="18"/>
  <c r="J97" i="18"/>
  <c r="J91" i="18"/>
  <c r="J85" i="18"/>
  <c r="J79" i="18"/>
  <c r="J71" i="18"/>
  <c r="J67" i="18"/>
  <c r="H56" i="18"/>
  <c r="J47" i="18"/>
  <c r="J39" i="18"/>
  <c r="J31" i="18"/>
  <c r="J23" i="18"/>
  <c r="J143" i="18"/>
  <c r="J114" i="18"/>
  <c r="J106" i="18"/>
  <c r="J94" i="18"/>
  <c r="J82" i="18"/>
  <c r="J78" i="18"/>
  <c r="J66" i="18"/>
  <c r="J58" i="18"/>
  <c r="J54" i="18"/>
  <c r="J46" i="18"/>
  <c r="J38" i="18"/>
  <c r="J30" i="18"/>
  <c r="J22" i="18"/>
  <c r="J137" i="18"/>
  <c r="J127" i="18"/>
  <c r="J123" i="18"/>
  <c r="J111" i="18"/>
  <c r="J99" i="18"/>
  <c r="J87" i="18"/>
  <c r="J77" i="18"/>
  <c r="J65" i="18"/>
  <c r="J59" i="18"/>
  <c r="J53" i="18"/>
  <c r="J45" i="18"/>
  <c r="J37" i="18"/>
  <c r="J29" i="18"/>
  <c r="J136" i="18"/>
  <c r="J130" i="18"/>
  <c r="J118" i="18"/>
  <c r="J108" i="18"/>
  <c r="J102" i="18"/>
  <c r="J96" i="18"/>
  <c r="J90" i="18"/>
  <c r="J84" i="18"/>
  <c r="J76" i="18"/>
  <c r="J70" i="18"/>
  <c r="J64" i="18"/>
  <c r="J52" i="18"/>
  <c r="J44" i="18"/>
  <c r="J36" i="18"/>
  <c r="J28" i="18"/>
  <c r="J141" i="18"/>
  <c r="J135" i="18"/>
  <c r="J113" i="18"/>
  <c r="J105" i="18"/>
  <c r="J93" i="18"/>
  <c r="J81" i="18"/>
  <c r="J75" i="18"/>
  <c r="J63" i="18"/>
  <c r="J51" i="18"/>
  <c r="J43" i="18"/>
  <c r="J35" i="18"/>
  <c r="J27" i="18"/>
  <c r="J21" i="18"/>
  <c r="J134" i="18"/>
  <c r="J126" i="18"/>
  <c r="J122" i="18"/>
  <c r="J110" i="18"/>
  <c r="J98" i="18"/>
  <c r="J86" i="18"/>
  <c r="J74" i="18"/>
  <c r="J62" i="18"/>
  <c r="J50" i="18"/>
  <c r="J42" i="18"/>
  <c r="J34" i="18"/>
  <c r="J26" i="18"/>
  <c r="N12" i="18"/>
  <c r="J24" i="18"/>
  <c r="J33" i="18"/>
  <c r="J68" i="18"/>
  <c r="J83" i="18"/>
  <c r="J89" i="18"/>
  <c r="J117" i="18"/>
  <c r="J156" i="18"/>
  <c r="T96" i="21"/>
  <c r="F24" i="23"/>
  <c r="F21" i="23"/>
  <c r="F18" i="23"/>
  <c r="F36" i="23"/>
  <c r="F33" i="23"/>
  <c r="F29" i="23"/>
  <c r="F25" i="23"/>
  <c r="D18" i="23"/>
  <c r="F15" i="23"/>
  <c r="L12" i="23"/>
  <c r="F22" i="23"/>
  <c r="F20" i="23"/>
  <c r="F16" i="23"/>
  <c r="F27" i="23"/>
  <c r="F34" i="23"/>
  <c r="H27" i="24"/>
  <c r="N18" i="24"/>
  <c r="V122" i="28"/>
  <c r="V121" i="28"/>
  <c r="V115" i="28"/>
  <c r="V111" i="28"/>
  <c r="V103" i="28"/>
  <c r="V87" i="28"/>
  <c r="V75" i="28"/>
  <c r="V67" i="28"/>
  <c r="V59" i="28"/>
  <c r="V47" i="28"/>
  <c r="V35" i="28"/>
  <c r="V27" i="28"/>
  <c r="V19" i="28"/>
  <c r="V114" i="28"/>
  <c r="V86" i="28"/>
  <c r="V78" i="28"/>
  <c r="V74" i="28"/>
  <c r="V66" i="28"/>
  <c r="V58" i="28"/>
  <c r="V46" i="28"/>
  <c r="V42" i="28"/>
  <c r="V34" i="28"/>
  <c r="V26" i="28"/>
  <c r="V117" i="28"/>
  <c r="V113" i="28"/>
  <c r="V89" i="28"/>
  <c r="V81" i="28"/>
  <c r="V77" i="28"/>
  <c r="V69" i="28"/>
  <c r="V57" i="28"/>
  <c r="V45" i="28"/>
  <c r="T40" i="28"/>
  <c r="V40" i="28" s="1"/>
  <c r="V33" i="28"/>
  <c r="V25" i="28"/>
  <c r="V120" i="28"/>
  <c r="V116" i="28"/>
  <c r="V108" i="28"/>
  <c r="V96" i="28"/>
  <c r="V92" i="28"/>
  <c r="V88" i="28"/>
  <c r="V80" i="28"/>
  <c r="V76" i="28"/>
  <c r="V68" i="28"/>
  <c r="V56" i="28"/>
  <c r="V52" i="28"/>
  <c r="V44" i="28"/>
  <c r="V32" i="28"/>
  <c r="V24" i="28"/>
  <c r="V107" i="28"/>
  <c r="V99" i="28"/>
  <c r="V95" i="28"/>
  <c r="V91" i="28"/>
  <c r="V83" i="28"/>
  <c r="V79" i="28"/>
  <c r="V71" i="28"/>
  <c r="V63" i="28"/>
  <c r="V55" i="28"/>
  <c r="V51" i="28"/>
  <c r="V43" i="28"/>
  <c r="V31" i="28"/>
  <c r="V23" i="28"/>
  <c r="V110" i="28"/>
  <c r="V106" i="28"/>
  <c r="V102" i="28"/>
  <c r="V98" i="28"/>
  <c r="V94" i="28"/>
  <c r="V90" i="28"/>
  <c r="V82" i="28"/>
  <c r="V70" i="28"/>
  <c r="V62" i="28"/>
  <c r="V54" i="28"/>
  <c r="V50" i="28"/>
  <c r="V38" i="28"/>
  <c r="V30" i="28"/>
  <c r="V22" i="28"/>
  <c r="V126" i="28"/>
  <c r="V119" i="28"/>
  <c r="V109" i="28"/>
  <c r="V105" i="28"/>
  <c r="V101" i="28"/>
  <c r="V97" i="28"/>
  <c r="V93" i="28"/>
  <c r="V85" i="28"/>
  <c r="V73" i="28"/>
  <c r="V65" i="28"/>
  <c r="V61" i="28"/>
  <c r="V53" i="28"/>
  <c r="V49" i="28"/>
  <c r="V37" i="28"/>
  <c r="V29" i="28"/>
  <c r="V21" i="28"/>
  <c r="V60" i="28"/>
  <c r="V36" i="28"/>
  <c r="V112" i="28"/>
  <c r="V104" i="28"/>
  <c r="V28" i="28"/>
  <c r="V20" i="28"/>
  <c r="V84" i="28"/>
  <c r="V48" i="28"/>
  <c r="V100" i="28"/>
  <c r="V72" i="28"/>
  <c r="J27" i="13"/>
  <c r="J31" i="13"/>
  <c r="J34" i="13"/>
  <c r="F16" i="14"/>
  <c r="F20" i="14"/>
  <c r="R22" i="14"/>
  <c r="J24" i="14"/>
  <c r="J22" i="15"/>
  <c r="J30" i="15"/>
  <c r="J38" i="15"/>
  <c r="J46" i="15"/>
  <c r="J58" i="15"/>
  <c r="J64" i="15"/>
  <c r="J70" i="15"/>
  <c r="J78" i="15"/>
  <c r="J84" i="15"/>
  <c r="J90" i="15"/>
  <c r="J96" i="15"/>
  <c r="J102" i="15"/>
  <c r="J112" i="15"/>
  <c r="J124" i="15"/>
  <c r="J130" i="15"/>
  <c r="J134" i="15"/>
  <c r="X145" i="15"/>
  <c r="Z145" i="15" s="1"/>
  <c r="J147" i="15"/>
  <c r="J15" i="16"/>
  <c r="H18" i="16"/>
  <c r="F21" i="16"/>
  <c r="V21" i="16"/>
  <c r="J25" i="16"/>
  <c r="R27" i="16"/>
  <c r="J29" i="16"/>
  <c r="R31" i="16"/>
  <c r="J33" i="16"/>
  <c r="R34" i="16"/>
  <c r="J36" i="16"/>
  <c r="X15" i="17"/>
  <c r="F18" i="17"/>
  <c r="V18" i="17"/>
  <c r="R24" i="17"/>
  <c r="V22" i="18"/>
  <c r="V30" i="18"/>
  <c r="V38" i="18"/>
  <c r="V46" i="18"/>
  <c r="V54" i="18"/>
  <c r="V66" i="18"/>
  <c r="V70" i="18"/>
  <c r="V78" i="18"/>
  <c r="V82" i="18"/>
  <c r="V90" i="18"/>
  <c r="V94" i="18"/>
  <c r="V102" i="18"/>
  <c r="V106" i="18"/>
  <c r="V114" i="18"/>
  <c r="V118" i="18"/>
  <c r="V130" i="18"/>
  <c r="V144" i="18"/>
  <c r="V145" i="18"/>
  <c r="V150" i="18"/>
  <c r="F33" i="19"/>
  <c r="X33" i="20"/>
  <c r="J89" i="21"/>
  <c r="J73" i="21"/>
  <c r="J69" i="21"/>
  <c r="J61" i="21"/>
  <c r="J55" i="21"/>
  <c r="J43" i="21"/>
  <c r="J31" i="21"/>
  <c r="J66" i="21"/>
  <c r="J58" i="21"/>
  <c r="J52" i="21"/>
  <c r="J42" i="21"/>
  <c r="J38" i="21"/>
  <c r="J30" i="21"/>
  <c r="J20" i="21"/>
  <c r="J91" i="21"/>
  <c r="J85" i="21"/>
  <c r="J79" i="21"/>
  <c r="J75" i="21"/>
  <c r="J63" i="21"/>
  <c r="J57" i="21"/>
  <c r="J49" i="21"/>
  <c r="J41" i="21"/>
  <c r="J37" i="21"/>
  <c r="J29" i="21"/>
  <c r="J25" i="21"/>
  <c r="J88" i="21"/>
  <c r="J84" i="21"/>
  <c r="J72" i="21"/>
  <c r="J68" i="21"/>
  <c r="J60" i="21"/>
  <c r="J54" i="21"/>
  <c r="J48" i="21"/>
  <c r="J40" i="21"/>
  <c r="J36" i="21"/>
  <c r="H25" i="21"/>
  <c r="J87" i="21"/>
  <c r="J83" i="21"/>
  <c r="J71" i="21"/>
  <c r="J65" i="21"/>
  <c r="J51" i="21"/>
  <c r="J47" i="21"/>
  <c r="J35" i="21"/>
  <c r="J27" i="21"/>
  <c r="J23" i="21"/>
  <c r="J81" i="21"/>
  <c r="J77" i="21"/>
  <c r="J67" i="21"/>
  <c r="J59" i="21"/>
  <c r="J53" i="21"/>
  <c r="J45" i="21"/>
  <c r="J39" i="21"/>
  <c r="J33" i="21"/>
  <c r="J21" i="21"/>
  <c r="L27" i="21"/>
  <c r="J32" i="21"/>
  <c r="N65" i="21"/>
  <c r="N69" i="21"/>
  <c r="J82" i="21"/>
  <c r="J86" i="21"/>
  <c r="X91" i="21"/>
  <c r="Z15" i="22"/>
  <c r="T18" i="22"/>
  <c r="X13" i="23"/>
  <c r="V67" i="25"/>
  <c r="V59" i="25"/>
  <c r="V51" i="25"/>
  <c r="V39" i="25"/>
  <c r="V27" i="25"/>
  <c r="V19" i="25"/>
  <c r="V90" i="25"/>
  <c r="V74" i="25"/>
  <c r="V70" i="25"/>
  <c r="V58" i="25"/>
  <c r="V50" i="25"/>
  <c r="V38" i="25"/>
  <c r="V26" i="25"/>
  <c r="V95" i="25"/>
  <c r="V87" i="25"/>
  <c r="V77" i="25"/>
  <c r="V73" i="25"/>
  <c r="V69" i="25"/>
  <c r="V61" i="25"/>
  <c r="V49" i="25"/>
  <c r="V37" i="25"/>
  <c r="V33" i="25"/>
  <c r="V25" i="25"/>
  <c r="V80" i="25"/>
  <c r="V76" i="25"/>
  <c r="V72" i="25"/>
  <c r="V60" i="25"/>
  <c r="V48" i="25"/>
  <c r="V44" i="25"/>
  <c r="V36" i="25"/>
  <c r="T31" i="25"/>
  <c r="V24" i="25"/>
  <c r="V89" i="25"/>
  <c r="V83" i="25"/>
  <c r="V79" i="25"/>
  <c r="V75" i="25"/>
  <c r="V71" i="25"/>
  <c r="V63" i="25"/>
  <c r="V55" i="25"/>
  <c r="V47" i="25"/>
  <c r="V43" i="25"/>
  <c r="V35" i="25"/>
  <c r="V23" i="25"/>
  <c r="V82" i="25"/>
  <c r="V78" i="25"/>
  <c r="V66" i="25"/>
  <c r="V62" i="25"/>
  <c r="V54" i="25"/>
  <c r="V46" i="25"/>
  <c r="V42" i="25"/>
  <c r="V34" i="25"/>
  <c r="V91" i="25"/>
  <c r="V85" i="25"/>
  <c r="V81" i="25"/>
  <c r="V65" i="25"/>
  <c r="V57" i="25"/>
  <c r="V53" i="25"/>
  <c r="V45" i="25"/>
  <c r="V41" i="25"/>
  <c r="V29" i="25"/>
  <c r="V21" i="25"/>
  <c r="H31" i="25"/>
  <c r="N19" i="25"/>
  <c r="V20" i="25"/>
  <c r="N33" i="25"/>
  <c r="Z75" i="25"/>
  <c r="H27" i="27"/>
  <c r="N18" i="27"/>
  <c r="N93" i="28"/>
  <c r="N113" i="28"/>
  <c r="N119" i="28"/>
  <c r="J16" i="13"/>
  <c r="J20" i="13"/>
  <c r="V22" i="13"/>
  <c r="P18" i="14"/>
  <c r="R25" i="14"/>
  <c r="J27" i="14"/>
  <c r="R29" i="14"/>
  <c r="J31" i="14"/>
  <c r="R33" i="14"/>
  <c r="J34" i="14"/>
  <c r="R36" i="14"/>
  <c r="D12" i="15"/>
  <c r="J23" i="15"/>
  <c r="J31" i="15"/>
  <c r="J39" i="15"/>
  <c r="J47" i="15"/>
  <c r="J53" i="15"/>
  <c r="J59" i="15"/>
  <c r="J71" i="15"/>
  <c r="J81" i="15"/>
  <c r="J93" i="15"/>
  <c r="J105" i="15"/>
  <c r="J117" i="15"/>
  <c r="J121" i="15"/>
  <c r="J131" i="15"/>
  <c r="J137" i="15"/>
  <c r="J141" i="15"/>
  <c r="R16" i="16"/>
  <c r="J18" i="16"/>
  <c r="R20" i="16"/>
  <c r="F24" i="16"/>
  <c r="V24" i="16"/>
  <c r="F21" i="17"/>
  <c r="V21" i="17"/>
  <c r="R27" i="17"/>
  <c r="R31" i="17"/>
  <c r="R34" i="17"/>
  <c r="V23" i="18"/>
  <c r="V31" i="18"/>
  <c r="V39" i="18"/>
  <c r="V47" i="18"/>
  <c r="V59" i="18"/>
  <c r="V67" i="18"/>
  <c r="V71" i="18"/>
  <c r="V79" i="18"/>
  <c r="V87" i="18"/>
  <c r="V91" i="18"/>
  <c r="V99" i="18"/>
  <c r="V103" i="18"/>
  <c r="V111" i="18"/>
  <c r="V115" i="18"/>
  <c r="V119" i="18"/>
  <c r="V123" i="18"/>
  <c r="V127" i="18"/>
  <c r="V131" i="18"/>
  <c r="V152" i="18"/>
  <c r="V154" i="18"/>
  <c r="V161" i="18"/>
  <c r="J21" i="22"/>
  <c r="J18" i="22"/>
  <c r="J36" i="22"/>
  <c r="J33" i="22"/>
  <c r="J29" i="22"/>
  <c r="J25" i="22"/>
  <c r="H18" i="22"/>
  <c r="J15" i="22"/>
  <c r="J22" i="22"/>
  <c r="N12" i="22"/>
  <c r="L12" i="22"/>
  <c r="J34" i="22"/>
  <c r="J31" i="22"/>
  <c r="J27" i="22"/>
  <c r="J24" i="22"/>
  <c r="Z81" i="25"/>
  <c r="X81" i="25"/>
  <c r="X13" i="26"/>
  <c r="Z119" i="28"/>
  <c r="Z25" i="31"/>
  <c r="J16" i="14"/>
  <c r="J20" i="14"/>
  <c r="J24" i="15"/>
  <c r="J32" i="15"/>
  <c r="J40" i="15"/>
  <c r="J48" i="15"/>
  <c r="J52" i="15"/>
  <c r="J60" i="15"/>
  <c r="J72" i="15"/>
  <c r="J76" i="15"/>
  <c r="J88" i="15"/>
  <c r="J100" i="15"/>
  <c r="J108" i="15"/>
  <c r="J145" i="15"/>
  <c r="F27" i="16"/>
  <c r="F31" i="16"/>
  <c r="F34" i="16"/>
  <c r="V24" i="17"/>
  <c r="V151" i="18"/>
  <c r="V147" i="18"/>
  <c r="V143" i="18"/>
  <c r="V156" i="18"/>
  <c r="V155" i="18"/>
  <c r="V24" i="18"/>
  <c r="V32" i="18"/>
  <c r="V40" i="18"/>
  <c r="V48" i="18"/>
  <c r="V60" i="18"/>
  <c r="V68" i="18"/>
  <c r="V72" i="18"/>
  <c r="V80" i="18"/>
  <c r="V88" i="18"/>
  <c r="V92" i="18"/>
  <c r="V100" i="18"/>
  <c r="V104" i="18"/>
  <c r="V112" i="18"/>
  <c r="V116" i="18"/>
  <c r="V120" i="18"/>
  <c r="V124" i="18"/>
  <c r="V128" i="18"/>
  <c r="V132" i="18"/>
  <c r="V153" i="18"/>
  <c r="L15" i="20"/>
  <c r="D18" i="20"/>
  <c r="P12" i="21"/>
  <c r="N27" i="21"/>
  <c r="N54" i="21"/>
  <c r="Z65" i="21"/>
  <c r="Z79" i="21"/>
  <c r="L24" i="23"/>
  <c r="X15" i="24"/>
  <c r="P18" i="24"/>
  <c r="Z93" i="28"/>
  <c r="X93" i="28"/>
  <c r="F36" i="29"/>
  <c r="F33" i="29"/>
  <c r="F29" i="29"/>
  <c r="F25" i="29"/>
  <c r="D18" i="29"/>
  <c r="F15" i="29"/>
  <c r="L12" i="29"/>
  <c r="F20" i="29"/>
  <c r="F16" i="29"/>
  <c r="F34" i="29"/>
  <c r="F21" i="29"/>
  <c r="F31" i="29"/>
  <c r="F24" i="29"/>
  <c r="F18" i="29"/>
  <c r="F22" i="29"/>
  <c r="R60" i="31"/>
  <c r="R53" i="31"/>
  <c r="R48" i="31"/>
  <c r="R70" i="31"/>
  <c r="R64" i="31"/>
  <c r="R41" i="31"/>
  <c r="R29" i="31"/>
  <c r="R79" i="31"/>
  <c r="R63" i="31"/>
  <c r="R62" i="31"/>
  <c r="R57" i="31"/>
  <c r="R39" i="31"/>
  <c r="R35" i="31"/>
  <c r="R27" i="31"/>
  <c r="R25" i="31"/>
  <c r="P23" i="31"/>
  <c r="R74" i="31"/>
  <c r="R56" i="31"/>
  <c r="R50" i="31"/>
  <c r="R46" i="31"/>
  <c r="R38" i="31"/>
  <c r="R34" i="31"/>
  <c r="X12" i="31"/>
  <c r="Z12" i="31" s="1"/>
  <c r="R72" i="31"/>
  <c r="R71" i="31"/>
  <c r="R69" i="31"/>
  <c r="R67" i="31"/>
  <c r="R61" i="31"/>
  <c r="R58" i="31"/>
  <c r="R55" i="31"/>
  <c r="R54" i="31"/>
  <c r="R43" i="31"/>
  <c r="R36" i="31"/>
  <c r="R31" i="31"/>
  <c r="R65" i="31"/>
  <c r="R47" i="31"/>
  <c r="R42" i="31"/>
  <c r="R30" i="31"/>
  <c r="R19" i="31"/>
  <c r="R28" i="31"/>
  <c r="R52" i="31"/>
  <c r="R33" i="31"/>
  <c r="R32" i="31"/>
  <c r="R45" i="31"/>
  <c r="R44" i="31"/>
  <c r="R40" i="31"/>
  <c r="R75" i="31"/>
  <c r="R21" i="31"/>
  <c r="R20" i="31"/>
  <c r="R59" i="31"/>
  <c r="R49" i="31"/>
  <c r="R68" i="31"/>
  <c r="R37" i="31"/>
  <c r="R26" i="31"/>
  <c r="R23" i="31"/>
  <c r="R66" i="31"/>
  <c r="R51" i="31"/>
  <c r="N12" i="13"/>
  <c r="F18" i="13"/>
  <c r="V18" i="13"/>
  <c r="J22" i="13"/>
  <c r="L12" i="14"/>
  <c r="F15" i="14"/>
  <c r="D18" i="14"/>
  <c r="R21" i="14"/>
  <c r="F25" i="14"/>
  <c r="F29" i="14"/>
  <c r="F33" i="14"/>
  <c r="F36" i="14"/>
  <c r="J25" i="15"/>
  <c r="J33" i="15"/>
  <c r="J41" i="15"/>
  <c r="H50" i="15"/>
  <c r="J61" i="15"/>
  <c r="J65" i="15"/>
  <c r="J73" i="15"/>
  <c r="J79" i="15"/>
  <c r="J85" i="15"/>
  <c r="J91" i="15"/>
  <c r="J97" i="15"/>
  <c r="J103" i="15"/>
  <c r="J109" i="15"/>
  <c r="J113" i="15"/>
  <c r="J125" i="15"/>
  <c r="J135" i="15"/>
  <c r="J148" i="15"/>
  <c r="J153" i="15"/>
  <c r="Z12" i="16"/>
  <c r="F16" i="16"/>
  <c r="V16" i="16"/>
  <c r="F20" i="16"/>
  <c r="J24" i="16"/>
  <c r="X12" i="17"/>
  <c r="F27" i="17"/>
  <c r="V27" i="17"/>
  <c r="F31" i="17"/>
  <c r="V31" i="17"/>
  <c r="V25" i="18"/>
  <c r="V33" i="18"/>
  <c r="V41" i="18"/>
  <c r="V49" i="18"/>
  <c r="T56" i="18"/>
  <c r="V61" i="18"/>
  <c r="V69" i="18"/>
  <c r="V73" i="18"/>
  <c r="V85" i="18"/>
  <c r="V89" i="18"/>
  <c r="V97" i="18"/>
  <c r="V101" i="18"/>
  <c r="V109" i="18"/>
  <c r="V117" i="18"/>
  <c r="V121" i="18"/>
  <c r="V125" i="18"/>
  <c r="V129" i="18"/>
  <c r="V133" i="18"/>
  <c r="V138" i="18"/>
  <c r="V139" i="18"/>
  <c r="V140" i="18"/>
  <c r="L151" i="18"/>
  <c r="D150" i="18"/>
  <c r="L150" i="18" s="1"/>
  <c r="N150" i="18" s="1"/>
  <c r="V157" i="18"/>
  <c r="X22" i="19"/>
  <c r="X27" i="21"/>
  <c r="X65" i="21"/>
  <c r="N67" i="21"/>
  <c r="X75" i="21"/>
  <c r="J92" i="21"/>
  <c r="J94" i="21"/>
  <c r="J98" i="21"/>
  <c r="L15" i="22"/>
  <c r="D18" i="22"/>
  <c r="J20" i="22"/>
  <c r="X25" i="22"/>
  <c r="L34" i="22"/>
  <c r="L20" i="23"/>
  <c r="L34" i="24"/>
  <c r="Z19" i="25"/>
  <c r="N67" i="25"/>
  <c r="L67" i="25"/>
  <c r="V84" i="25"/>
  <c r="N87" i="25"/>
  <c r="N109" i="28"/>
  <c r="J118" i="15"/>
  <c r="J122" i="15"/>
  <c r="J126" i="15"/>
  <c r="J132" i="15"/>
  <c r="J138" i="15"/>
  <c r="J142" i="15"/>
  <c r="V98" i="18"/>
  <c r="V110" i="18"/>
  <c r="V122" i="18"/>
  <c r="V126" i="18"/>
  <c r="V134" i="18"/>
  <c r="N147" i="18"/>
  <c r="F34" i="19"/>
  <c r="F31" i="19"/>
  <c r="F27" i="19"/>
  <c r="F24" i="19"/>
  <c r="F21" i="19"/>
  <c r="F18" i="19"/>
  <c r="F22" i="19"/>
  <c r="F20" i="19"/>
  <c r="L13" i="21"/>
  <c r="N13" i="21" s="1"/>
  <c r="D12" i="21"/>
  <c r="Z75" i="21"/>
  <c r="V21" i="24"/>
  <c r="V18" i="24"/>
  <c r="V36" i="24"/>
  <c r="V33" i="24"/>
  <c r="V29" i="24"/>
  <c r="V25" i="24"/>
  <c r="T18" i="24"/>
  <c r="V15" i="24"/>
  <c r="V22" i="24"/>
  <c r="V34" i="24"/>
  <c r="V31" i="24"/>
  <c r="V27" i="24"/>
  <c r="N21" i="27"/>
  <c r="L21" i="27"/>
  <c r="H40" i="28"/>
  <c r="N19" i="28"/>
  <c r="L19" i="28"/>
  <c r="N103" i="28"/>
  <c r="L103" i="28"/>
  <c r="N111" i="28"/>
  <c r="L111" i="28"/>
  <c r="Z18" i="13"/>
  <c r="J15" i="14"/>
  <c r="H18" i="14"/>
  <c r="J25" i="14"/>
  <c r="R27" i="14"/>
  <c r="J29" i="14"/>
  <c r="R31" i="14"/>
  <c r="J33" i="14"/>
  <c r="J21" i="15"/>
  <c r="J27" i="15"/>
  <c r="J35" i="15"/>
  <c r="J43" i="15"/>
  <c r="J55" i="15"/>
  <c r="J63" i="15"/>
  <c r="J67" i="15"/>
  <c r="J77" i="15"/>
  <c r="J83" i="15"/>
  <c r="J89" i="15"/>
  <c r="J95" i="15"/>
  <c r="J101" i="15"/>
  <c r="J111" i="15"/>
  <c r="J115" i="15"/>
  <c r="J119" i="15"/>
  <c r="J123" i="15"/>
  <c r="J127" i="15"/>
  <c r="J139" i="15"/>
  <c r="J146" i="15"/>
  <c r="J16" i="16"/>
  <c r="R29" i="17"/>
  <c r="R33" i="17"/>
  <c r="V27" i="18"/>
  <c r="V35" i="18"/>
  <c r="V43" i="18"/>
  <c r="V51" i="18"/>
  <c r="V63" i="18"/>
  <c r="V75" i="18"/>
  <c r="V83" i="18"/>
  <c r="V95" i="18"/>
  <c r="V107" i="18"/>
  <c r="V135" i="18"/>
  <c r="F15" i="19"/>
  <c r="D18" i="19"/>
  <c r="L22" i="19"/>
  <c r="L34" i="20"/>
  <c r="L59" i="21"/>
  <c r="X29" i="22"/>
  <c r="X22" i="23"/>
  <c r="Z12" i="24"/>
  <c r="V16" i="24"/>
  <c r="Z67" i="25"/>
  <c r="Z16" i="26"/>
  <c r="X16" i="26"/>
  <c r="Z20" i="26"/>
  <c r="X20" i="26"/>
  <c r="N53" i="28"/>
  <c r="Z109" i="28"/>
  <c r="X109" i="28"/>
  <c r="X29" i="20"/>
  <c r="Z27" i="21"/>
  <c r="X63" i="21"/>
  <c r="Z63" i="21" s="1"/>
  <c r="Z67" i="21"/>
  <c r="L15" i="25"/>
  <c r="D12" i="25"/>
  <c r="Z45" i="25"/>
  <c r="X45" i="25"/>
  <c r="Z60" i="25"/>
  <c r="N78" i="25"/>
  <c r="Z19" i="28"/>
  <c r="L42" i="28"/>
  <c r="N42" i="28" s="1"/>
  <c r="X97" i="28"/>
  <c r="Z97" i="28" s="1"/>
  <c r="Z103" i="28"/>
  <c r="X25" i="31"/>
  <c r="L75" i="31"/>
  <c r="D74" i="31"/>
  <c r="L74" i="31" s="1"/>
  <c r="J16" i="19"/>
  <c r="J20" i="19"/>
  <c r="V22" i="19"/>
  <c r="P18" i="20"/>
  <c r="R25" i="20"/>
  <c r="R29" i="20"/>
  <c r="R33" i="20"/>
  <c r="R36" i="20"/>
  <c r="V29" i="21"/>
  <c r="V37" i="21"/>
  <c r="V41" i="21"/>
  <c r="V49" i="21"/>
  <c r="V57" i="21"/>
  <c r="V65" i="21"/>
  <c r="V85" i="21"/>
  <c r="R15" i="22"/>
  <c r="P18" i="22"/>
  <c r="R25" i="22"/>
  <c r="R29" i="22"/>
  <c r="R33" i="22"/>
  <c r="R36" i="22"/>
  <c r="Z12" i="23"/>
  <c r="V16" i="23"/>
  <c r="V20" i="23"/>
  <c r="R22" i="23"/>
  <c r="J24" i="23"/>
  <c r="X12" i="24"/>
  <c r="N15" i="24"/>
  <c r="J21" i="24"/>
  <c r="F27" i="24"/>
  <c r="F31" i="24"/>
  <c r="F34" i="24"/>
  <c r="J19" i="25"/>
  <c r="J25" i="25"/>
  <c r="J37" i="25"/>
  <c r="J49" i="25"/>
  <c r="J61" i="25"/>
  <c r="J67" i="25"/>
  <c r="J73" i="25"/>
  <c r="J77" i="25"/>
  <c r="J90" i="25"/>
  <c r="J95" i="25"/>
  <c r="Z12" i="26"/>
  <c r="F16" i="26"/>
  <c r="V16" i="26"/>
  <c r="F20" i="26"/>
  <c r="V20" i="26"/>
  <c r="R22" i="26"/>
  <c r="J24" i="26"/>
  <c r="X12" i="27"/>
  <c r="N15" i="27"/>
  <c r="J21" i="27"/>
  <c r="F27" i="27"/>
  <c r="F31" i="27"/>
  <c r="F34" i="27"/>
  <c r="J19" i="28"/>
  <c r="J25" i="28"/>
  <c r="J33" i="28"/>
  <c r="J45" i="28"/>
  <c r="J57" i="28"/>
  <c r="J69" i="28"/>
  <c r="J77" i="28"/>
  <c r="J81" i="28"/>
  <c r="J89" i="28"/>
  <c r="J103" i="28"/>
  <c r="J111" i="28"/>
  <c r="J117" i="28"/>
  <c r="L16" i="29"/>
  <c r="J27" i="29"/>
  <c r="J36" i="29"/>
  <c r="V22" i="30"/>
  <c r="V34" i="30"/>
  <c r="V31" i="30"/>
  <c r="V27" i="30"/>
  <c r="V18" i="30"/>
  <c r="V36" i="30"/>
  <c r="V33" i="30"/>
  <c r="V29" i="30"/>
  <c r="V25" i="30"/>
  <c r="Z18" i="30"/>
  <c r="V20" i="30"/>
  <c r="V79" i="31"/>
  <c r="V63" i="31"/>
  <c r="V59" i="31"/>
  <c r="V47" i="31"/>
  <c r="V69" i="31"/>
  <c r="V65" i="31"/>
  <c r="V75" i="31"/>
  <c r="V62" i="31"/>
  <c r="V52" i="31"/>
  <c r="V40" i="31"/>
  <c r="V28" i="31"/>
  <c r="T23" i="31"/>
  <c r="V23" i="31" s="1"/>
  <c r="V71" i="31"/>
  <c r="V50" i="31"/>
  <c r="V49" i="31"/>
  <c r="V46" i="31"/>
  <c r="V38" i="31"/>
  <c r="V34" i="31"/>
  <c r="V26" i="31"/>
  <c r="V72" i="31"/>
  <c r="V67" i="31"/>
  <c r="V66" i="31"/>
  <c r="V45" i="31"/>
  <c r="V37" i="31"/>
  <c r="V33" i="31"/>
  <c r="V21" i="31"/>
  <c r="V68" i="31"/>
  <c r="V58" i="31"/>
  <c r="V64" i="31"/>
  <c r="V48" i="31"/>
  <c r="V42" i="31"/>
  <c r="V30" i="31"/>
  <c r="V51" i="31"/>
  <c r="V41" i="31"/>
  <c r="V29" i="31"/>
  <c r="V25" i="31"/>
  <c r="F20" i="31"/>
  <c r="V35" i="31"/>
  <c r="F40" i="31"/>
  <c r="V60" i="31"/>
  <c r="X22" i="32"/>
  <c r="P124" i="34"/>
  <c r="X124" i="34" s="1"/>
  <c r="Z124" i="34" s="1"/>
  <c r="X125" i="34"/>
  <c r="Z125" i="34" s="1"/>
  <c r="Z26" i="31"/>
  <c r="X12" i="35"/>
  <c r="R20" i="35"/>
  <c r="R16" i="35"/>
  <c r="R24" i="35"/>
  <c r="R21" i="35"/>
  <c r="R18" i="35"/>
  <c r="R36" i="35"/>
  <c r="R33" i="35"/>
  <c r="R29" i="35"/>
  <c r="R25" i="35"/>
  <c r="P18" i="35"/>
  <c r="R15" i="35"/>
  <c r="R27" i="35"/>
  <c r="R31" i="35"/>
  <c r="R22" i="35"/>
  <c r="T126" i="36"/>
  <c r="V15" i="20"/>
  <c r="T18" i="20"/>
  <c r="V25" i="20"/>
  <c r="V29" i="20"/>
  <c r="V33" i="20"/>
  <c r="V36" i="20"/>
  <c r="V25" i="21"/>
  <c r="V27" i="21"/>
  <c r="V31" i="21"/>
  <c r="V43" i="21"/>
  <c r="V55" i="21"/>
  <c r="V63" i="21"/>
  <c r="V75" i="21"/>
  <c r="V79" i="21"/>
  <c r="V91" i="21"/>
  <c r="V25" i="22"/>
  <c r="V29" i="22"/>
  <c r="V33" i="22"/>
  <c r="V36" i="22"/>
  <c r="J16" i="23"/>
  <c r="J20" i="23"/>
  <c r="J45" i="25"/>
  <c r="J81" i="25"/>
  <c r="J88" i="25"/>
  <c r="J16" i="26"/>
  <c r="J20" i="26"/>
  <c r="F22" i="26"/>
  <c r="P18" i="27"/>
  <c r="D12" i="28"/>
  <c r="J53" i="28"/>
  <c r="J87" i="28"/>
  <c r="J93" i="28"/>
  <c r="J97" i="28"/>
  <c r="J109" i="28"/>
  <c r="J115" i="28"/>
  <c r="J119" i="28"/>
  <c r="R21" i="29"/>
  <c r="R22" i="29"/>
  <c r="R25" i="29"/>
  <c r="X33" i="29"/>
  <c r="R34" i="29"/>
  <c r="L16" i="30"/>
  <c r="H18" i="30"/>
  <c r="F28" i="31"/>
  <c r="F32" i="31"/>
  <c r="Z36" i="31"/>
  <c r="Z44" i="34"/>
  <c r="J15" i="19"/>
  <c r="H18" i="19"/>
  <c r="V21" i="19"/>
  <c r="J25" i="19"/>
  <c r="R27" i="19"/>
  <c r="J29" i="19"/>
  <c r="R31" i="19"/>
  <c r="J33" i="19"/>
  <c r="R34" i="19"/>
  <c r="J36" i="19"/>
  <c r="F18" i="20"/>
  <c r="V18" i="20"/>
  <c r="R24" i="20"/>
  <c r="X15" i="21"/>
  <c r="V20" i="21"/>
  <c r="V32" i="21"/>
  <c r="V44" i="21"/>
  <c r="V52" i="21"/>
  <c r="V64" i="21"/>
  <c r="V76" i="21"/>
  <c r="V80" i="21"/>
  <c r="V92" i="21"/>
  <c r="V96" i="21"/>
  <c r="V98" i="21"/>
  <c r="F18" i="22"/>
  <c r="V18" i="22"/>
  <c r="R24" i="22"/>
  <c r="V15" i="23"/>
  <c r="T18" i="23"/>
  <c r="X18" i="23" s="1"/>
  <c r="R21" i="23"/>
  <c r="V25" i="23"/>
  <c r="V29" i="23"/>
  <c r="V33" i="23"/>
  <c r="V36" i="23"/>
  <c r="J16" i="24"/>
  <c r="R18" i="24"/>
  <c r="J20" i="24"/>
  <c r="F22" i="24"/>
  <c r="J20" i="25"/>
  <c r="J28" i="25"/>
  <c r="J34" i="25"/>
  <c r="J40" i="25"/>
  <c r="J52" i="25"/>
  <c r="J62" i="25"/>
  <c r="J68" i="25"/>
  <c r="J78" i="25"/>
  <c r="J91" i="25"/>
  <c r="L12" i="26"/>
  <c r="F15" i="26"/>
  <c r="V15" i="26"/>
  <c r="D18" i="26"/>
  <c r="T18" i="26"/>
  <c r="R21" i="26"/>
  <c r="F25" i="26"/>
  <c r="V25" i="26"/>
  <c r="F29" i="26"/>
  <c r="V29" i="26"/>
  <c r="F33" i="26"/>
  <c r="V33" i="26"/>
  <c r="F36" i="26"/>
  <c r="V36" i="26"/>
  <c r="J16" i="27"/>
  <c r="R18" i="27"/>
  <c r="F22" i="27"/>
  <c r="J20" i="28"/>
  <c r="J28" i="28"/>
  <c r="J36" i="28"/>
  <c r="J48" i="28"/>
  <c r="J60" i="28"/>
  <c r="J70" i="28"/>
  <c r="J82" i="28"/>
  <c r="J90" i="28"/>
  <c r="J104" i="28"/>
  <c r="J112" i="28"/>
  <c r="V36" i="29"/>
  <c r="V33" i="29"/>
  <c r="V29" i="29"/>
  <c r="V25" i="29"/>
  <c r="T18" i="29"/>
  <c r="V15" i="29"/>
  <c r="V20" i="29"/>
  <c r="V16" i="29"/>
  <c r="Z12" i="29"/>
  <c r="R15" i="29"/>
  <c r="J18" i="29"/>
  <c r="V21" i="29"/>
  <c r="R27" i="29"/>
  <c r="J31" i="29"/>
  <c r="R36" i="29"/>
  <c r="F22" i="30"/>
  <c r="F34" i="30"/>
  <c r="F31" i="30"/>
  <c r="F27" i="30"/>
  <c r="F18" i="30"/>
  <c r="F36" i="30"/>
  <c r="F33" i="30"/>
  <c r="F29" i="30"/>
  <c r="F25" i="30"/>
  <c r="V15" i="30"/>
  <c r="X34" i="30"/>
  <c r="V36" i="31"/>
  <c r="L51" i="31"/>
  <c r="F61" i="31"/>
  <c r="V70" i="31"/>
  <c r="T27" i="32"/>
  <c r="Z18" i="32"/>
  <c r="L24" i="32"/>
  <c r="R21" i="33"/>
  <c r="R36" i="33"/>
  <c r="R33" i="33"/>
  <c r="R29" i="33"/>
  <c r="R25" i="33"/>
  <c r="P18" i="33"/>
  <c r="R15" i="33"/>
  <c r="R27" i="33"/>
  <c r="R18" i="33"/>
  <c r="R34" i="33"/>
  <c r="X12" i="33"/>
  <c r="R24" i="33"/>
  <c r="R31" i="33"/>
  <c r="R20" i="33"/>
  <c r="R22" i="33"/>
  <c r="R34" i="35"/>
  <c r="R16" i="19"/>
  <c r="V21" i="20"/>
  <c r="R27" i="20"/>
  <c r="R31" i="20"/>
  <c r="X20" i="21"/>
  <c r="Z20" i="21" s="1"/>
  <c r="V21" i="21"/>
  <c r="V33" i="21"/>
  <c r="V45" i="21"/>
  <c r="X52" i="21"/>
  <c r="V53" i="21"/>
  <c r="L54" i="21"/>
  <c r="V61" i="21"/>
  <c r="V69" i="21"/>
  <c r="V73" i="21"/>
  <c r="V77" i="21"/>
  <c r="V81" i="21"/>
  <c r="V89" i="21"/>
  <c r="V21" i="22"/>
  <c r="L22" i="22"/>
  <c r="R27" i="22"/>
  <c r="R31" i="22"/>
  <c r="N12" i="23"/>
  <c r="X15" i="23"/>
  <c r="J22" i="23"/>
  <c r="R24" i="23"/>
  <c r="X25" i="23"/>
  <c r="X29" i="23"/>
  <c r="X33" i="23"/>
  <c r="L12" i="24"/>
  <c r="F15" i="24"/>
  <c r="L16" i="24"/>
  <c r="D18" i="24"/>
  <c r="F25" i="24"/>
  <c r="F29" i="24"/>
  <c r="F33" i="24"/>
  <c r="F36" i="24"/>
  <c r="J33" i="25"/>
  <c r="L34" i="25"/>
  <c r="N34" i="25" s="1"/>
  <c r="X60" i="25"/>
  <c r="L62" i="25"/>
  <c r="N62" i="25" s="1"/>
  <c r="J65" i="25"/>
  <c r="J71" i="25"/>
  <c r="J75" i="25"/>
  <c r="L78" i="25"/>
  <c r="J85" i="25"/>
  <c r="N12" i="26"/>
  <c r="X15" i="26"/>
  <c r="F18" i="26"/>
  <c r="J22" i="26"/>
  <c r="R24" i="26"/>
  <c r="X25" i="26"/>
  <c r="X29" i="26"/>
  <c r="X33" i="26"/>
  <c r="L12" i="27"/>
  <c r="F15" i="27"/>
  <c r="L16" i="27"/>
  <c r="D18" i="27"/>
  <c r="L20" i="27"/>
  <c r="X22" i="27"/>
  <c r="F25" i="27"/>
  <c r="F29" i="27"/>
  <c r="F33" i="27"/>
  <c r="F36" i="27"/>
  <c r="X68" i="28"/>
  <c r="Z68" i="28" s="1"/>
  <c r="L70" i="28"/>
  <c r="J73" i="28"/>
  <c r="J79" i="28"/>
  <c r="J85" i="28"/>
  <c r="J101" i="28"/>
  <c r="J105" i="28"/>
  <c r="X120" i="28"/>
  <c r="Z120" i="28" s="1"/>
  <c r="J122" i="28"/>
  <c r="X12" i="29"/>
  <c r="Z22" i="30"/>
  <c r="X22" i="30"/>
  <c r="H77" i="31"/>
  <c r="V24" i="20"/>
  <c r="V22" i="21"/>
  <c r="V34" i="21"/>
  <c r="V46" i="21"/>
  <c r="V50" i="21"/>
  <c r="V62" i="21"/>
  <c r="V70" i="21"/>
  <c r="V74" i="21"/>
  <c r="V78" i="21"/>
  <c r="V82" i="21"/>
  <c r="V86" i="21"/>
  <c r="V90" i="21"/>
  <c r="V24" i="22"/>
  <c r="J15" i="23"/>
  <c r="H18" i="23"/>
  <c r="J25" i="23"/>
  <c r="R27" i="23"/>
  <c r="J29" i="23"/>
  <c r="R31" i="23"/>
  <c r="J33" i="23"/>
  <c r="R34" i="23"/>
  <c r="J36" i="23"/>
  <c r="F18" i="24"/>
  <c r="J82" i="25"/>
  <c r="J89" i="25"/>
  <c r="J15" i="26"/>
  <c r="H18" i="26"/>
  <c r="F21" i="26"/>
  <c r="J25" i="26"/>
  <c r="R27" i="26"/>
  <c r="J29" i="26"/>
  <c r="R31" i="26"/>
  <c r="J33" i="26"/>
  <c r="R34" i="26"/>
  <c r="J36" i="26"/>
  <c r="F18" i="27"/>
  <c r="J94" i="28"/>
  <c r="J98" i="28"/>
  <c r="J102" i="28"/>
  <c r="J106" i="28"/>
  <c r="J110" i="28"/>
  <c r="J116" i="28"/>
  <c r="R16" i="29"/>
  <c r="P18" i="29"/>
  <c r="R29" i="29"/>
  <c r="F72" i="31"/>
  <c r="F68" i="31"/>
  <c r="F52" i="31"/>
  <c r="F75" i="31"/>
  <c r="F54" i="31"/>
  <c r="F74" i="31"/>
  <c r="F71" i="31"/>
  <c r="F69" i="31"/>
  <c r="F62" i="31"/>
  <c r="F45" i="31"/>
  <c r="F37" i="31"/>
  <c r="F33" i="31"/>
  <c r="D23" i="31"/>
  <c r="F21" i="31"/>
  <c r="F66" i="31"/>
  <c r="F48" i="31"/>
  <c r="F43" i="31"/>
  <c r="F31" i="31"/>
  <c r="F26" i="31"/>
  <c r="F25" i="31"/>
  <c r="F65" i="31"/>
  <c r="F53" i="31"/>
  <c r="F42" i="31"/>
  <c r="F30" i="31"/>
  <c r="F58" i="31"/>
  <c r="F39" i="31"/>
  <c r="F35" i="31"/>
  <c r="F27" i="31"/>
  <c r="F67" i="31"/>
  <c r="F50" i="31"/>
  <c r="F46" i="31"/>
  <c r="F38" i="31"/>
  <c r="F34" i="31"/>
  <c r="L12" i="31"/>
  <c r="N12" i="31" s="1"/>
  <c r="F36" i="31"/>
  <c r="N51" i="31"/>
  <c r="F60" i="31"/>
  <c r="V27" i="20"/>
  <c r="V31" i="20"/>
  <c r="V23" i="21"/>
  <c r="V35" i="21"/>
  <c r="V39" i="21"/>
  <c r="V47" i="21"/>
  <c r="V51" i="21"/>
  <c r="V59" i="21"/>
  <c r="V67" i="21"/>
  <c r="V71" i="21"/>
  <c r="V83" i="21"/>
  <c r="X12" i="22"/>
  <c r="V27" i="22"/>
  <c r="V31" i="22"/>
  <c r="R16" i="23"/>
  <c r="R27" i="24"/>
  <c r="R31" i="24"/>
  <c r="P12" i="25"/>
  <c r="J43" i="25"/>
  <c r="J47" i="25"/>
  <c r="J55" i="25"/>
  <c r="J63" i="25"/>
  <c r="J69" i="25"/>
  <c r="J79" i="25"/>
  <c r="J83" i="25"/>
  <c r="J87" i="25"/>
  <c r="R16" i="26"/>
  <c r="R27" i="27"/>
  <c r="R31" i="27"/>
  <c r="P12" i="28"/>
  <c r="J63" i="28"/>
  <c r="J71" i="28"/>
  <c r="J83" i="28"/>
  <c r="J91" i="28"/>
  <c r="J95" i="28"/>
  <c r="J99" i="28"/>
  <c r="J107" i="28"/>
  <c r="J113" i="28"/>
  <c r="J120" i="28"/>
  <c r="R18" i="29"/>
  <c r="R31" i="29"/>
  <c r="N25" i="31"/>
  <c r="L26" i="31"/>
  <c r="N26" i="31" s="1"/>
  <c r="F49" i="31"/>
  <c r="F56" i="31"/>
  <c r="F79" i="31"/>
  <c r="N71" i="31"/>
  <c r="J72" i="31"/>
  <c r="X75" i="31"/>
  <c r="Z75" i="31" s="1"/>
  <c r="V18" i="32"/>
  <c r="V22" i="32"/>
  <c r="V20" i="32"/>
  <c r="N21" i="32"/>
  <c r="L34" i="32"/>
  <c r="V34" i="32"/>
  <c r="J34" i="33"/>
  <c r="J31" i="33"/>
  <c r="J27" i="33"/>
  <c r="J15" i="33"/>
  <c r="V16" i="33"/>
  <c r="X20" i="33"/>
  <c r="J25" i="33"/>
  <c r="P12" i="34"/>
  <c r="L15" i="36"/>
  <c r="D12" i="36"/>
  <c r="N74" i="36"/>
  <c r="N83" i="36"/>
  <c r="L83" i="36"/>
  <c r="Z34" i="37"/>
  <c r="X34" i="37"/>
  <c r="J62" i="31"/>
  <c r="J74" i="31"/>
  <c r="X12" i="32"/>
  <c r="V29" i="32"/>
  <c r="V36" i="32"/>
  <c r="N12" i="33"/>
  <c r="J21" i="33"/>
  <c r="X25" i="33"/>
  <c r="J36" i="33"/>
  <c r="N45" i="34"/>
  <c r="N82" i="34"/>
  <c r="L82" i="34"/>
  <c r="Z85" i="34"/>
  <c r="N87" i="34"/>
  <c r="Z108" i="36"/>
  <c r="V15" i="37"/>
  <c r="X16" i="38"/>
  <c r="T129" i="34"/>
  <c r="N91" i="36"/>
  <c r="L91" i="36"/>
  <c r="V36" i="33"/>
  <c r="V33" i="33"/>
  <c r="V29" i="33"/>
  <c r="V25" i="33"/>
  <c r="T18" i="33"/>
  <c r="V15" i="33"/>
  <c r="V34" i="33"/>
  <c r="V31" i="33"/>
  <c r="V27" i="33"/>
  <c r="V24" i="33"/>
  <c r="V20" i="33"/>
  <c r="L13" i="34"/>
  <c r="N13" i="34" s="1"/>
  <c r="D12" i="34"/>
  <c r="P12" i="36"/>
  <c r="V27" i="36"/>
  <c r="Z58" i="36"/>
  <c r="X65" i="36"/>
  <c r="Z65" i="36" s="1"/>
  <c r="V65" i="36"/>
  <c r="Z70" i="36"/>
  <c r="V34" i="37"/>
  <c r="V21" i="37"/>
  <c r="V18" i="37"/>
  <c r="V22" i="37"/>
  <c r="V36" i="37"/>
  <c r="V20" i="37"/>
  <c r="V16" i="37"/>
  <c r="Z12" i="37"/>
  <c r="V31" i="37"/>
  <c r="V27" i="37"/>
  <c r="V24" i="37"/>
  <c r="V29" i="37"/>
  <c r="Z13" i="38"/>
  <c r="X13" i="38"/>
  <c r="J21" i="30"/>
  <c r="J19" i="31"/>
  <c r="J29" i="31"/>
  <c r="J41" i="31"/>
  <c r="J47" i="31"/>
  <c r="Z49" i="31"/>
  <c r="L66" i="31"/>
  <c r="N66" i="31" s="1"/>
  <c r="Z71" i="31"/>
  <c r="F18" i="32"/>
  <c r="F22" i="32"/>
  <c r="L13" i="32"/>
  <c r="F15" i="32"/>
  <c r="V15" i="32"/>
  <c r="R16" i="32"/>
  <c r="F21" i="32"/>
  <c r="V21" i="32"/>
  <c r="F25" i="32"/>
  <c r="V25" i="32"/>
  <c r="F31" i="32"/>
  <c r="J18" i="33"/>
  <c r="J22" i="33"/>
  <c r="Z24" i="33"/>
  <c r="X29" i="33"/>
  <c r="J33" i="33"/>
  <c r="N44" i="34"/>
  <c r="X68" i="34"/>
  <c r="Z68" i="34" s="1"/>
  <c r="N70" i="34"/>
  <c r="L70" i="34"/>
  <c r="J80" i="34"/>
  <c r="J118" i="34"/>
  <c r="N34" i="35"/>
  <c r="L34" i="35"/>
  <c r="L29" i="36"/>
  <c r="X30" i="36"/>
  <c r="Z30" i="36" s="1"/>
  <c r="N67" i="36"/>
  <c r="L67" i="36"/>
  <c r="N72" i="36"/>
  <c r="Z74" i="36"/>
  <c r="N24" i="38"/>
  <c r="X13" i="39"/>
  <c r="Z13" i="39" s="1"/>
  <c r="P12" i="39"/>
  <c r="N27" i="39"/>
  <c r="Z70" i="39"/>
  <c r="Z12" i="33"/>
  <c r="V21" i="33"/>
  <c r="X33" i="33"/>
  <c r="X44" i="34"/>
  <c r="N121" i="34"/>
  <c r="N29" i="36"/>
  <c r="N54" i="36"/>
  <c r="N76" i="36"/>
  <c r="D116" i="36"/>
  <c r="L116" i="36" s="1"/>
  <c r="N116" i="36" s="1"/>
  <c r="L13" i="37"/>
  <c r="T18" i="37"/>
  <c r="V25" i="37"/>
  <c r="X27" i="39"/>
  <c r="Z27" i="39" s="1"/>
  <c r="X28" i="39"/>
  <c r="Z28" i="39" s="1"/>
  <c r="V28" i="39"/>
  <c r="D12" i="39"/>
  <c r="L14" i="39"/>
  <c r="N39" i="39"/>
  <c r="L39" i="39"/>
  <c r="J39" i="39"/>
  <c r="J16" i="30"/>
  <c r="J67" i="31"/>
  <c r="J55" i="31"/>
  <c r="J49" i="31"/>
  <c r="J71" i="31"/>
  <c r="J61" i="31"/>
  <c r="J57" i="31"/>
  <c r="J51" i="31"/>
  <c r="J20" i="31"/>
  <c r="J26" i="31"/>
  <c r="J32" i="31"/>
  <c r="J44" i="31"/>
  <c r="Z51" i="31"/>
  <c r="J59" i="31"/>
  <c r="J60" i="31"/>
  <c r="J66" i="31"/>
  <c r="J68" i="31"/>
  <c r="J70" i="31"/>
  <c r="R24" i="32"/>
  <c r="R18" i="32"/>
  <c r="V24" i="32"/>
  <c r="F27" i="32"/>
  <c r="R29" i="32"/>
  <c r="J24" i="33"/>
  <c r="J122" i="34"/>
  <c r="J116" i="34"/>
  <c r="J104" i="34"/>
  <c r="J100" i="34"/>
  <c r="J96" i="34"/>
  <c r="J90" i="34"/>
  <c r="J78" i="34"/>
  <c r="J72" i="34"/>
  <c r="J62" i="34"/>
  <c r="J50" i="34"/>
  <c r="J38" i="34"/>
  <c r="J30" i="34"/>
  <c r="J22" i="34"/>
  <c r="J113" i="34"/>
  <c r="J107" i="34"/>
  <c r="J87" i="34"/>
  <c r="J81" i="34"/>
  <c r="J75" i="34"/>
  <c r="J69" i="34"/>
  <c r="J61" i="34"/>
  <c r="J55" i="34"/>
  <c r="J49" i="34"/>
  <c r="J37" i="34"/>
  <c r="J29" i="34"/>
  <c r="J21" i="34"/>
  <c r="J121" i="34"/>
  <c r="J115" i="34"/>
  <c r="J111" i="34"/>
  <c r="J103" i="34"/>
  <c r="J99" i="34"/>
  <c r="J95" i="34"/>
  <c r="J89" i="34"/>
  <c r="J83" i="34"/>
  <c r="J77" i="34"/>
  <c r="J71" i="34"/>
  <c r="J59" i="34"/>
  <c r="J47" i="34"/>
  <c r="J35" i="34"/>
  <c r="J27" i="34"/>
  <c r="J127" i="34"/>
  <c r="J110" i="34"/>
  <c r="J106" i="34"/>
  <c r="J102" i="34"/>
  <c r="J98" i="34"/>
  <c r="J94" i="34"/>
  <c r="J86" i="34"/>
  <c r="J74" i="34"/>
  <c r="J68" i="34"/>
  <c r="J58" i="34"/>
  <c r="J54" i="34"/>
  <c r="J46" i="34"/>
  <c r="J34" i="34"/>
  <c r="J26" i="34"/>
  <c r="J117" i="34"/>
  <c r="J109" i="34"/>
  <c r="J105" i="34"/>
  <c r="J101" i="34"/>
  <c r="J97" i="34"/>
  <c r="J91" i="34"/>
  <c r="J79" i="34"/>
  <c r="J73" i="34"/>
  <c r="J65" i="34"/>
  <c r="J57" i="34"/>
  <c r="J53" i="34"/>
  <c r="H42" i="34"/>
  <c r="J42" i="34" s="1"/>
  <c r="J33" i="34"/>
  <c r="J25" i="34"/>
  <c r="J19" i="34"/>
  <c r="J124" i="34"/>
  <c r="J120" i="34"/>
  <c r="J114" i="34"/>
  <c r="J108" i="34"/>
  <c r="J88" i="34"/>
  <c r="J82" i="34"/>
  <c r="J76" i="34"/>
  <c r="J70" i="34"/>
  <c r="J64" i="34"/>
  <c r="J56" i="34"/>
  <c r="J52" i="34"/>
  <c r="J44" i="34"/>
  <c r="J40" i="34"/>
  <c r="J32" i="34"/>
  <c r="J24" i="34"/>
  <c r="J51" i="34"/>
  <c r="N79" i="34"/>
  <c r="J92" i="34"/>
  <c r="J93" i="34"/>
  <c r="N114" i="34"/>
  <c r="L114" i="34"/>
  <c r="Z29" i="36"/>
  <c r="V29" i="36"/>
  <c r="N108" i="36"/>
  <c r="Z110" i="36"/>
  <c r="X113" i="36"/>
  <c r="Z113" i="36" s="1"/>
  <c r="N21" i="37"/>
  <c r="L21" i="37"/>
  <c r="N31" i="37"/>
  <c r="F24" i="38"/>
  <c r="F36" i="38"/>
  <c r="F33" i="38"/>
  <c r="F29" i="38"/>
  <c r="F25" i="38"/>
  <c r="D18" i="38"/>
  <c r="F15" i="38"/>
  <c r="L12" i="38"/>
  <c r="F18" i="38"/>
  <c r="F22" i="38"/>
  <c r="F16" i="38"/>
  <c r="F31" i="38"/>
  <c r="F20" i="41"/>
  <c r="F16" i="41"/>
  <c r="F34" i="41"/>
  <c r="F31" i="41"/>
  <c r="F27" i="41"/>
  <c r="F24" i="41"/>
  <c r="F21" i="41"/>
  <c r="F18" i="41"/>
  <c r="F36" i="41"/>
  <c r="F33" i="41"/>
  <c r="F29" i="41"/>
  <c r="F25" i="41"/>
  <c r="D18" i="41"/>
  <c r="F15" i="41"/>
  <c r="L12" i="41"/>
  <c r="F22" i="41"/>
  <c r="D27" i="50"/>
  <c r="D12" i="51"/>
  <c r="L13" i="51"/>
  <c r="N13" i="51" s="1"/>
  <c r="R24" i="52"/>
  <c r="R21" i="52"/>
  <c r="R18" i="52"/>
  <c r="R36" i="52"/>
  <c r="R33" i="52"/>
  <c r="R29" i="52"/>
  <c r="R25" i="52"/>
  <c r="P18" i="52"/>
  <c r="R15" i="52"/>
  <c r="R22" i="52"/>
  <c r="X12" i="52"/>
  <c r="R27" i="52"/>
  <c r="R16" i="52"/>
  <c r="R31" i="52"/>
  <c r="R20" i="52"/>
  <c r="D77" i="58"/>
  <c r="V20" i="34"/>
  <c r="V28" i="34"/>
  <c r="V36" i="34"/>
  <c r="V42" i="34"/>
  <c r="V44" i="34"/>
  <c r="V48" i="34"/>
  <c r="V60" i="34"/>
  <c r="V68" i="34"/>
  <c r="V80" i="34"/>
  <c r="V84" i="34"/>
  <c r="V92" i="34"/>
  <c r="V112" i="34"/>
  <c r="J27" i="35"/>
  <c r="J31" i="35"/>
  <c r="J34" i="35"/>
  <c r="J25" i="36"/>
  <c r="J29" i="36"/>
  <c r="J37" i="36"/>
  <c r="J49" i="36"/>
  <c r="J53" i="36"/>
  <c r="J67" i="36"/>
  <c r="J73" i="36"/>
  <c r="J83" i="36"/>
  <c r="J91" i="36"/>
  <c r="J101" i="36"/>
  <c r="J109" i="36"/>
  <c r="V113" i="36"/>
  <c r="V117" i="36"/>
  <c r="X12" i="37"/>
  <c r="F27" i="37"/>
  <c r="F31" i="37"/>
  <c r="F34" i="37"/>
  <c r="R18" i="38"/>
  <c r="J25" i="38"/>
  <c r="L29" i="38"/>
  <c r="J36" i="38"/>
  <c r="Z52" i="39"/>
  <c r="X63" i="39"/>
  <c r="Z63" i="39" s="1"/>
  <c r="J68" i="39"/>
  <c r="X70" i="39"/>
  <c r="Z77" i="39"/>
  <c r="J97" i="39"/>
  <c r="J98" i="39"/>
  <c r="J102" i="39"/>
  <c r="J104" i="39"/>
  <c r="N107" i="39"/>
  <c r="J111" i="39"/>
  <c r="J26" i="42"/>
  <c r="N27" i="42"/>
  <c r="Z55" i="42"/>
  <c r="N58" i="42"/>
  <c r="N67" i="42"/>
  <c r="F72" i="42"/>
  <c r="F96" i="42"/>
  <c r="F20" i="43"/>
  <c r="F16" i="43"/>
  <c r="F34" i="43"/>
  <c r="F31" i="43"/>
  <c r="F27" i="43"/>
  <c r="F24" i="43"/>
  <c r="F21" i="43"/>
  <c r="F18" i="43"/>
  <c r="F36" i="43"/>
  <c r="F33" i="43"/>
  <c r="F29" i="43"/>
  <c r="F25" i="43"/>
  <c r="D18" i="43"/>
  <c r="F15" i="43"/>
  <c r="L12" i="43"/>
  <c r="F22" i="43"/>
  <c r="L25" i="55"/>
  <c r="N25" i="55" s="1"/>
  <c r="V21" i="34"/>
  <c r="V29" i="34"/>
  <c r="V37" i="34"/>
  <c r="V49" i="34"/>
  <c r="V61" i="34"/>
  <c r="V69" i="34"/>
  <c r="V77" i="34"/>
  <c r="V81" i="34"/>
  <c r="V89" i="34"/>
  <c r="V113" i="34"/>
  <c r="V121" i="34"/>
  <c r="V125" i="34"/>
  <c r="J16" i="35"/>
  <c r="J20" i="35"/>
  <c r="F22" i="35"/>
  <c r="V22" i="36"/>
  <c r="H27" i="36"/>
  <c r="J38" i="36"/>
  <c r="J42" i="36"/>
  <c r="J50" i="36"/>
  <c r="V54" i="36"/>
  <c r="J56" i="36"/>
  <c r="J62" i="36"/>
  <c r="V74" i="36"/>
  <c r="J76" i="36"/>
  <c r="J86" i="36"/>
  <c r="V98" i="36"/>
  <c r="J102" i="36"/>
  <c r="J106" i="36"/>
  <c r="V110" i="36"/>
  <c r="V114" i="36"/>
  <c r="X117" i="36"/>
  <c r="Z117" i="36" s="1"/>
  <c r="J119" i="36"/>
  <c r="V120" i="36"/>
  <c r="J124" i="36"/>
  <c r="V126" i="36"/>
  <c r="F16" i="37"/>
  <c r="F20" i="37"/>
  <c r="R22" i="37"/>
  <c r="J21" i="38"/>
  <c r="R24" i="38"/>
  <c r="J27" i="38"/>
  <c r="H25" i="39"/>
  <c r="J28" i="39"/>
  <c r="J50" i="39"/>
  <c r="Z72" i="39"/>
  <c r="J96" i="39"/>
  <c r="J107" i="39"/>
  <c r="X13" i="40"/>
  <c r="X16" i="40"/>
  <c r="L34" i="40"/>
  <c r="F52" i="42"/>
  <c r="P12" i="45"/>
  <c r="X18" i="45"/>
  <c r="V22" i="34"/>
  <c r="V30" i="34"/>
  <c r="V38" i="34"/>
  <c r="V50" i="34"/>
  <c r="V62" i="34"/>
  <c r="V66" i="34"/>
  <c r="V78" i="34"/>
  <c r="V90" i="34"/>
  <c r="V118" i="34"/>
  <c r="V122" i="34"/>
  <c r="L12" i="35"/>
  <c r="F15" i="35"/>
  <c r="D18" i="35"/>
  <c r="F25" i="35"/>
  <c r="F29" i="35"/>
  <c r="F33" i="35"/>
  <c r="F36" i="35"/>
  <c r="J27" i="36"/>
  <c r="J31" i="36"/>
  <c r="J39" i="36"/>
  <c r="J43" i="36"/>
  <c r="J51" i="36"/>
  <c r="J59" i="36"/>
  <c r="J65" i="36"/>
  <c r="J71" i="36"/>
  <c r="J79" i="36"/>
  <c r="J87" i="36"/>
  <c r="J95" i="36"/>
  <c r="V99" i="36"/>
  <c r="J103" i="36"/>
  <c r="J107" i="36"/>
  <c r="V111" i="36"/>
  <c r="J113" i="36"/>
  <c r="R15" i="37"/>
  <c r="P18" i="37"/>
  <c r="R25" i="37"/>
  <c r="R29" i="37"/>
  <c r="R33" i="37"/>
  <c r="R20" i="38"/>
  <c r="R16" i="38"/>
  <c r="R21" i="38"/>
  <c r="J29" i="38"/>
  <c r="L20" i="39"/>
  <c r="N20" i="39" s="1"/>
  <c r="X54" i="39"/>
  <c r="Z54" i="39" s="1"/>
  <c r="J82" i="39"/>
  <c r="J95" i="39"/>
  <c r="L107" i="39"/>
  <c r="J118" i="39"/>
  <c r="X29" i="40"/>
  <c r="F80" i="42"/>
  <c r="P31" i="46"/>
  <c r="X55" i="48"/>
  <c r="Z55" i="48" s="1"/>
  <c r="R55" i="48"/>
  <c r="J16" i="32"/>
  <c r="J20" i="32"/>
  <c r="V23" i="34"/>
  <c r="V31" i="34"/>
  <c r="V39" i="34"/>
  <c r="V51" i="34"/>
  <c r="V55" i="34"/>
  <c r="V63" i="34"/>
  <c r="V67" i="34"/>
  <c r="V75" i="34"/>
  <c r="V87" i="34"/>
  <c r="V107" i="34"/>
  <c r="V119" i="34"/>
  <c r="V129" i="34"/>
  <c r="V131" i="34"/>
  <c r="N12" i="35"/>
  <c r="F18" i="35"/>
  <c r="V18" i="35"/>
  <c r="J22" i="35"/>
  <c r="J22" i="36"/>
  <c r="V24" i="36"/>
  <c r="J32" i="36"/>
  <c r="V36" i="36"/>
  <c r="J40" i="36"/>
  <c r="J44" i="36"/>
  <c r="V48" i="36"/>
  <c r="V52" i="36"/>
  <c r="J54" i="36"/>
  <c r="J60" i="36"/>
  <c r="V64" i="36"/>
  <c r="J68" i="36"/>
  <c r="V72" i="36"/>
  <c r="J74" i="36"/>
  <c r="J80" i="36"/>
  <c r="J84" i="36"/>
  <c r="J88" i="36"/>
  <c r="J92" i="36"/>
  <c r="J96" i="36"/>
  <c r="V100" i="36"/>
  <c r="J104" i="36"/>
  <c r="V108" i="36"/>
  <c r="J110" i="36"/>
  <c r="V112" i="36"/>
  <c r="J117" i="36"/>
  <c r="V118" i="36"/>
  <c r="J16" i="37"/>
  <c r="R18" i="37"/>
  <c r="J20" i="37"/>
  <c r="F22" i="37"/>
  <c r="F36" i="37"/>
  <c r="L20" i="38"/>
  <c r="R25" i="38"/>
  <c r="J31" i="38"/>
  <c r="R36" i="38"/>
  <c r="J110" i="39"/>
  <c r="J106" i="39"/>
  <c r="J94" i="39"/>
  <c r="J88" i="39"/>
  <c r="J80" i="39"/>
  <c r="J72" i="39"/>
  <c r="J58" i="39"/>
  <c r="J52" i="39"/>
  <c r="J42" i="39"/>
  <c r="J38" i="39"/>
  <c r="J30" i="39"/>
  <c r="J20" i="39"/>
  <c r="J112" i="39"/>
  <c r="J105" i="39"/>
  <c r="J99" i="39"/>
  <c r="J93" i="39"/>
  <c r="J85" i="39"/>
  <c r="J108" i="39"/>
  <c r="J114" i="39"/>
  <c r="J91" i="39"/>
  <c r="J87" i="39"/>
  <c r="J83" i="39"/>
  <c r="J79" i="39"/>
  <c r="J75" i="39"/>
  <c r="J71" i="39"/>
  <c r="J51" i="39"/>
  <c r="J47" i="39"/>
  <c r="J35" i="39"/>
  <c r="J27" i="39"/>
  <c r="J23" i="39"/>
  <c r="J21" i="39"/>
  <c r="J22" i="39"/>
  <c r="J57" i="39"/>
  <c r="J63" i="39"/>
  <c r="J65" i="39"/>
  <c r="J77" i="39"/>
  <c r="J78" i="39"/>
  <c r="Z99" i="39"/>
  <c r="Z110" i="39"/>
  <c r="J20" i="40"/>
  <c r="X22" i="41"/>
  <c r="Z27" i="42"/>
  <c r="Z67" i="42"/>
  <c r="Z100" i="42"/>
  <c r="N102" i="42"/>
  <c r="L70" i="45"/>
  <c r="H22" i="54"/>
  <c r="N16" i="54"/>
  <c r="P26" i="54"/>
  <c r="J24" i="40"/>
  <c r="X33" i="40"/>
  <c r="P27" i="41"/>
  <c r="F102" i="42"/>
  <c r="F99" i="42"/>
  <c r="F95" i="42"/>
  <c r="F87" i="42"/>
  <c r="F79" i="42"/>
  <c r="F63" i="42"/>
  <c r="F58" i="42"/>
  <c r="F43" i="42"/>
  <c r="F38" i="42"/>
  <c r="F31" i="42"/>
  <c r="F116" i="42"/>
  <c r="F111" i="42"/>
  <c r="F105" i="42"/>
  <c r="F98" i="42"/>
  <c r="F94" i="42"/>
  <c r="F69" i="42"/>
  <c r="F66" i="42"/>
  <c r="F54" i="42"/>
  <c r="F49" i="42"/>
  <c r="F42" i="42"/>
  <c r="F30" i="42"/>
  <c r="F101" i="42"/>
  <c r="F93" i="42"/>
  <c r="F84" i="42"/>
  <c r="F76" i="42"/>
  <c r="F60" i="42"/>
  <c r="F57" i="42"/>
  <c r="F41" i="42"/>
  <c r="F37" i="42"/>
  <c r="F29" i="42"/>
  <c r="F104" i="42"/>
  <c r="F92" i="42"/>
  <c r="F71" i="42"/>
  <c r="F68" i="42"/>
  <c r="F56" i="42"/>
  <c r="F51" i="42"/>
  <c r="F48" i="42"/>
  <c r="F40" i="42"/>
  <c r="F36" i="42"/>
  <c r="F28" i="42"/>
  <c r="F19" i="42"/>
  <c r="F110" i="42"/>
  <c r="F103" i="42"/>
  <c r="F91" i="42"/>
  <c r="F86" i="42"/>
  <c r="F83" i="42"/>
  <c r="F78" i="42"/>
  <c r="F75" i="42"/>
  <c r="F62" i="42"/>
  <c r="F59" i="42"/>
  <c r="F47" i="42"/>
  <c r="F39" i="42"/>
  <c r="F35" i="42"/>
  <c r="F106" i="42"/>
  <c r="F97" i="42"/>
  <c r="F90" i="42"/>
  <c r="F82" i="42"/>
  <c r="F74" i="42"/>
  <c r="F70" i="42"/>
  <c r="F65" i="42"/>
  <c r="F53" i="42"/>
  <c r="F50" i="42"/>
  <c r="F46" i="42"/>
  <c r="F34" i="42"/>
  <c r="D24" i="42"/>
  <c r="F24" i="42" s="1"/>
  <c r="F22" i="42"/>
  <c r="L12" i="42"/>
  <c r="N12" i="42" s="1"/>
  <c r="F112" i="42"/>
  <c r="F100" i="42"/>
  <c r="F89" i="42"/>
  <c r="F85" i="42"/>
  <c r="F81" i="42"/>
  <c r="F77" i="42"/>
  <c r="F73" i="42"/>
  <c r="F61" i="42"/>
  <c r="F45" i="42"/>
  <c r="F33" i="42"/>
  <c r="F21" i="42"/>
  <c r="F20" i="42"/>
  <c r="Z53" i="42"/>
  <c r="F55" i="42"/>
  <c r="F64" i="42"/>
  <c r="N70" i="45"/>
  <c r="N12" i="32"/>
  <c r="L12" i="33"/>
  <c r="F15" i="33"/>
  <c r="D18" i="33"/>
  <c r="F25" i="33"/>
  <c r="F29" i="33"/>
  <c r="F33" i="33"/>
  <c r="V25" i="34"/>
  <c r="V33" i="34"/>
  <c r="V45" i="34"/>
  <c r="V53" i="34"/>
  <c r="V57" i="34"/>
  <c r="V65" i="34"/>
  <c r="V73" i="34"/>
  <c r="V85" i="34"/>
  <c r="V93" i="34"/>
  <c r="V97" i="34"/>
  <c r="V101" i="34"/>
  <c r="V105" i="34"/>
  <c r="V109" i="34"/>
  <c r="V117" i="34"/>
  <c r="D124" i="34"/>
  <c r="L124" i="34" s="1"/>
  <c r="N124" i="34" s="1"/>
  <c r="J18" i="35"/>
  <c r="F24" i="35"/>
  <c r="V30" i="36"/>
  <c r="J34" i="36"/>
  <c r="V38" i="36"/>
  <c r="V42" i="36"/>
  <c r="J46" i="36"/>
  <c r="V50" i="36"/>
  <c r="J52" i="36"/>
  <c r="V58" i="36"/>
  <c r="V62" i="36"/>
  <c r="J66" i="36"/>
  <c r="V70" i="36"/>
  <c r="J72" i="36"/>
  <c r="V78" i="36"/>
  <c r="J82" i="36"/>
  <c r="V86" i="36"/>
  <c r="J90" i="36"/>
  <c r="V94" i="36"/>
  <c r="J98" i="36"/>
  <c r="V102" i="36"/>
  <c r="V106" i="36"/>
  <c r="J108" i="36"/>
  <c r="J114" i="36"/>
  <c r="V116" i="36"/>
  <c r="V122" i="36"/>
  <c r="V124" i="36"/>
  <c r="N12" i="37"/>
  <c r="F18" i="37"/>
  <c r="R24" i="37"/>
  <c r="J24" i="38"/>
  <c r="R29" i="38"/>
  <c r="J53" i="39"/>
  <c r="N59" i="39"/>
  <c r="N66" i="39"/>
  <c r="L68" i="39"/>
  <c r="N68" i="39" s="1"/>
  <c r="J73" i="39"/>
  <c r="L104" i="39"/>
  <c r="N104" i="39" s="1"/>
  <c r="F34" i="40"/>
  <c r="F31" i="40"/>
  <c r="F27" i="40"/>
  <c r="F24" i="40"/>
  <c r="F21" i="40"/>
  <c r="F18" i="40"/>
  <c r="F36" i="40"/>
  <c r="F33" i="40"/>
  <c r="F29" i="40"/>
  <c r="F25" i="40"/>
  <c r="D18" i="40"/>
  <c r="F15" i="40"/>
  <c r="L12" i="40"/>
  <c r="P18" i="40"/>
  <c r="L20" i="41"/>
  <c r="L26" i="42"/>
  <c r="N26" i="42" s="1"/>
  <c r="N38" i="42"/>
  <c r="Z102" i="42"/>
  <c r="F109" i="42"/>
  <c r="N27" i="45"/>
  <c r="N39" i="45"/>
  <c r="V26" i="34"/>
  <c r="V34" i="34"/>
  <c r="V46" i="34"/>
  <c r="V54" i="34"/>
  <c r="V58" i="34"/>
  <c r="V70" i="34"/>
  <c r="V74" i="34"/>
  <c r="V82" i="34"/>
  <c r="V86" i="34"/>
  <c r="V94" i="34"/>
  <c r="V98" i="34"/>
  <c r="V102" i="34"/>
  <c r="V106" i="34"/>
  <c r="V110" i="34"/>
  <c r="V114" i="34"/>
  <c r="F27" i="35"/>
  <c r="F31" i="35"/>
  <c r="J23" i="36"/>
  <c r="J35" i="36"/>
  <c r="J41" i="36"/>
  <c r="J47" i="36"/>
  <c r="J55" i="36"/>
  <c r="J61" i="36"/>
  <c r="J75" i="36"/>
  <c r="J85" i="36"/>
  <c r="J99" i="36"/>
  <c r="V103" i="36"/>
  <c r="J105" i="36"/>
  <c r="V107" i="36"/>
  <c r="J111" i="36"/>
  <c r="R27" i="37"/>
  <c r="R31" i="37"/>
  <c r="L25" i="38"/>
  <c r="R31" i="38"/>
  <c r="J34" i="38"/>
  <c r="Z20" i="39"/>
  <c r="T116" i="39"/>
  <c r="X77" i="39"/>
  <c r="L99" i="39"/>
  <c r="N99" i="39" s="1"/>
  <c r="J101" i="39"/>
  <c r="L111" i="39"/>
  <c r="D110" i="39"/>
  <c r="L110" i="39" s="1"/>
  <c r="N110" i="39" s="1"/>
  <c r="J34" i="40"/>
  <c r="J31" i="40"/>
  <c r="J27" i="40"/>
  <c r="J21" i="40"/>
  <c r="J18" i="40"/>
  <c r="J36" i="40"/>
  <c r="J33" i="40"/>
  <c r="J29" i="40"/>
  <c r="J25" i="40"/>
  <c r="H18" i="40"/>
  <c r="J15" i="40"/>
  <c r="J22" i="40"/>
  <c r="N12" i="40"/>
  <c r="F44" i="42"/>
  <c r="X27" i="45"/>
  <c r="Z27" i="45" s="1"/>
  <c r="R34" i="52"/>
  <c r="V15" i="38"/>
  <c r="T18" i="38"/>
  <c r="V25" i="38"/>
  <c r="V29" i="38"/>
  <c r="V33" i="38"/>
  <c r="V36" i="38"/>
  <c r="V25" i="39"/>
  <c r="V27" i="39"/>
  <c r="V31" i="39"/>
  <c r="V43" i="39"/>
  <c r="V55" i="39"/>
  <c r="V63" i="39"/>
  <c r="V67" i="39"/>
  <c r="V95" i="39"/>
  <c r="V99" i="39"/>
  <c r="V103" i="39"/>
  <c r="V15" i="40"/>
  <c r="T18" i="40"/>
  <c r="R21" i="40"/>
  <c r="V25" i="40"/>
  <c r="V29" i="40"/>
  <c r="V33" i="40"/>
  <c r="V36" i="40"/>
  <c r="J16" i="41"/>
  <c r="R18" i="41"/>
  <c r="J20" i="41"/>
  <c r="V22" i="41"/>
  <c r="J20" i="42"/>
  <c r="V28" i="42"/>
  <c r="J32" i="42"/>
  <c r="V36" i="42"/>
  <c r="J38" i="42"/>
  <c r="V40" i="42"/>
  <c r="J44" i="42"/>
  <c r="V48" i="42"/>
  <c r="J52" i="42"/>
  <c r="V56" i="42"/>
  <c r="J58" i="42"/>
  <c r="N60" i="42"/>
  <c r="J64" i="42"/>
  <c r="V68" i="42"/>
  <c r="J72" i="42"/>
  <c r="N76" i="42"/>
  <c r="J80" i="42"/>
  <c r="N84" i="42"/>
  <c r="J88" i="42"/>
  <c r="V92" i="42"/>
  <c r="J96" i="42"/>
  <c r="V100" i="42"/>
  <c r="J102" i="42"/>
  <c r="V104" i="42"/>
  <c r="J109" i="42"/>
  <c r="V110" i="42"/>
  <c r="J16" i="43"/>
  <c r="R18" i="43"/>
  <c r="J20" i="43"/>
  <c r="V22" i="43"/>
  <c r="R15" i="44"/>
  <c r="P18" i="44"/>
  <c r="R25" i="44"/>
  <c r="J27" i="44"/>
  <c r="R29" i="44"/>
  <c r="J31" i="44"/>
  <c r="R33" i="44"/>
  <c r="J34" i="44"/>
  <c r="R36" i="44"/>
  <c r="D12" i="45"/>
  <c r="J21" i="45"/>
  <c r="V29" i="45"/>
  <c r="J33" i="45"/>
  <c r="V37" i="45"/>
  <c r="J39" i="45"/>
  <c r="V41" i="45"/>
  <c r="J45" i="45"/>
  <c r="V49" i="45"/>
  <c r="J53" i="45"/>
  <c r="L68" i="45"/>
  <c r="J69" i="45"/>
  <c r="V77" i="45"/>
  <c r="V83" i="45"/>
  <c r="V93" i="45"/>
  <c r="X94" i="45"/>
  <c r="L12" i="46"/>
  <c r="J34" i="47"/>
  <c r="J31" i="47"/>
  <c r="J27" i="47"/>
  <c r="J24" i="47"/>
  <c r="J21" i="47"/>
  <c r="J18" i="47"/>
  <c r="J36" i="47"/>
  <c r="J33" i="47"/>
  <c r="J29" i="47"/>
  <c r="J25" i="47"/>
  <c r="H18" i="47"/>
  <c r="J15" i="47"/>
  <c r="J22" i="47"/>
  <c r="N12" i="47"/>
  <c r="T18" i="47"/>
  <c r="X25" i="47"/>
  <c r="N20" i="48"/>
  <c r="J37" i="48"/>
  <c r="N42" i="48"/>
  <c r="Z48" i="48"/>
  <c r="F61" i="48"/>
  <c r="T27" i="49"/>
  <c r="Z18" i="49"/>
  <c r="Z33" i="51"/>
  <c r="J53" i="51"/>
  <c r="V18" i="52"/>
  <c r="V36" i="52"/>
  <c r="V33" i="52"/>
  <c r="V29" i="52"/>
  <c r="V25" i="52"/>
  <c r="T18" i="52"/>
  <c r="V15" i="52"/>
  <c r="V22" i="52"/>
  <c r="V20" i="52"/>
  <c r="V16" i="52"/>
  <c r="Z12" i="52"/>
  <c r="V34" i="52"/>
  <c r="V31" i="52"/>
  <c r="V27" i="52"/>
  <c r="X24" i="52"/>
  <c r="H27" i="53"/>
  <c r="N18" i="53"/>
  <c r="X24" i="53"/>
  <c r="D35" i="55"/>
  <c r="Z46" i="56"/>
  <c r="Z52" i="56"/>
  <c r="X18" i="57"/>
  <c r="V15" i="41"/>
  <c r="T18" i="41"/>
  <c r="V25" i="41"/>
  <c r="V29" i="41"/>
  <c r="V33" i="41"/>
  <c r="V36" i="41"/>
  <c r="T24" i="42"/>
  <c r="V29" i="42"/>
  <c r="V37" i="42"/>
  <c r="V41" i="42"/>
  <c r="V53" i="42"/>
  <c r="V57" i="42"/>
  <c r="V65" i="42"/>
  <c r="V93" i="42"/>
  <c r="V97" i="42"/>
  <c r="V101" i="42"/>
  <c r="D108" i="42"/>
  <c r="L108" i="42" s="1"/>
  <c r="N108" i="42" s="1"/>
  <c r="V15" i="43"/>
  <c r="T18" i="43"/>
  <c r="V25" i="43"/>
  <c r="V29" i="43"/>
  <c r="V33" i="43"/>
  <c r="V36" i="43"/>
  <c r="J16" i="44"/>
  <c r="R18" i="44"/>
  <c r="J20" i="44"/>
  <c r="V22" i="44"/>
  <c r="J100" i="45"/>
  <c r="J92" i="45"/>
  <c r="J88" i="45"/>
  <c r="J74" i="45"/>
  <c r="J70" i="45"/>
  <c r="J104" i="45"/>
  <c r="J98" i="45"/>
  <c r="J86" i="45"/>
  <c r="J78" i="45"/>
  <c r="J64" i="45"/>
  <c r="J94" i="45"/>
  <c r="J84" i="45"/>
  <c r="J80" i="45"/>
  <c r="J76" i="45"/>
  <c r="J72" i="45"/>
  <c r="J66" i="45"/>
  <c r="J58" i="45"/>
  <c r="J83" i="45"/>
  <c r="J75" i="45"/>
  <c r="J71" i="45"/>
  <c r="J63" i="45"/>
  <c r="J22" i="45"/>
  <c r="T25" i="45"/>
  <c r="J28" i="45"/>
  <c r="V30" i="45"/>
  <c r="J34" i="45"/>
  <c r="V38" i="45"/>
  <c r="V42" i="45"/>
  <c r="J46" i="45"/>
  <c r="V54" i="45"/>
  <c r="J56" i="45"/>
  <c r="N60" i="45"/>
  <c r="J61" i="45"/>
  <c r="J67" i="45"/>
  <c r="N68" i="45"/>
  <c r="V71" i="45"/>
  <c r="J85" i="45"/>
  <c r="Z94" i="45"/>
  <c r="V104" i="45"/>
  <c r="X29" i="47"/>
  <c r="X33" i="47"/>
  <c r="J69" i="48"/>
  <c r="J59" i="48"/>
  <c r="J53" i="48"/>
  <c r="J47" i="48"/>
  <c r="J35" i="48"/>
  <c r="J23" i="48"/>
  <c r="J66" i="48"/>
  <c r="J62" i="48"/>
  <c r="J58" i="48"/>
  <c r="J50" i="48"/>
  <c r="J44" i="48"/>
  <c r="J34" i="48"/>
  <c r="J30" i="48"/>
  <c r="J22" i="48"/>
  <c r="J77" i="48"/>
  <c r="J65" i="48"/>
  <c r="J55" i="48"/>
  <c r="J49" i="48"/>
  <c r="J41" i="48"/>
  <c r="J33" i="48"/>
  <c r="J29" i="48"/>
  <c r="J21" i="48"/>
  <c r="J17" i="48"/>
  <c r="J72" i="48"/>
  <c r="J68" i="48"/>
  <c r="J64" i="48"/>
  <c r="J52" i="48"/>
  <c r="J46" i="48"/>
  <c r="J40" i="48"/>
  <c r="J32" i="48"/>
  <c r="J28" i="48"/>
  <c r="H17" i="48"/>
  <c r="J61" i="48"/>
  <c r="J57" i="48"/>
  <c r="J43" i="48"/>
  <c r="J39" i="48"/>
  <c r="J27" i="48"/>
  <c r="J19" i="48"/>
  <c r="J70" i="48"/>
  <c r="J54" i="48"/>
  <c r="J48" i="48"/>
  <c r="J38" i="48"/>
  <c r="J26" i="48"/>
  <c r="J20" i="48"/>
  <c r="N12" i="48"/>
  <c r="P75" i="48"/>
  <c r="F26" i="48"/>
  <c r="J36" i="48"/>
  <c r="J42" i="48"/>
  <c r="F57" i="48"/>
  <c r="J60" i="48"/>
  <c r="T27" i="50"/>
  <c r="Z18" i="50"/>
  <c r="X25" i="50"/>
  <c r="T81" i="51"/>
  <c r="Z58" i="51"/>
  <c r="X58" i="51"/>
  <c r="Z76" i="51"/>
  <c r="Z25" i="55"/>
  <c r="N14" i="56"/>
  <c r="L14" i="56"/>
  <c r="X16" i="56"/>
  <c r="P75" i="56"/>
  <c r="N54" i="56"/>
  <c r="Z18" i="57"/>
  <c r="V113" i="39"/>
  <c r="R27" i="40"/>
  <c r="R31" i="40"/>
  <c r="R34" i="40"/>
  <c r="L13" i="41"/>
  <c r="V18" i="41"/>
  <c r="V26" i="42"/>
  <c r="V30" i="42"/>
  <c r="V42" i="42"/>
  <c r="V54" i="42"/>
  <c r="V62" i="42"/>
  <c r="V66" i="42"/>
  <c r="V78" i="42"/>
  <c r="V86" i="42"/>
  <c r="V94" i="42"/>
  <c r="V98" i="42"/>
  <c r="J106" i="42"/>
  <c r="V108" i="42"/>
  <c r="V116" i="42"/>
  <c r="L13" i="43"/>
  <c r="V18" i="43"/>
  <c r="L12" i="44"/>
  <c r="V15" i="44"/>
  <c r="T18" i="44"/>
  <c r="R21" i="44"/>
  <c r="V25" i="44"/>
  <c r="V29" i="44"/>
  <c r="V33" i="44"/>
  <c r="V36" i="44"/>
  <c r="J23" i="45"/>
  <c r="V25" i="45"/>
  <c r="J27" i="45"/>
  <c r="V27" i="45"/>
  <c r="V31" i="45"/>
  <c r="J35" i="45"/>
  <c r="V43" i="45"/>
  <c r="J47" i="45"/>
  <c r="J51" i="45"/>
  <c r="V55" i="45"/>
  <c r="Z58" i="45"/>
  <c r="J60" i="45"/>
  <c r="J62" i="45"/>
  <c r="J68" i="45"/>
  <c r="V79" i="45"/>
  <c r="V86" i="45"/>
  <c r="J89" i="45"/>
  <c r="J90" i="45"/>
  <c r="J91" i="45"/>
  <c r="V94" i="45"/>
  <c r="L12" i="48"/>
  <c r="R17" i="48"/>
  <c r="N51" i="48"/>
  <c r="X72" i="48"/>
  <c r="L60" i="51"/>
  <c r="N60" i="51" s="1"/>
  <c r="Z66" i="51"/>
  <c r="X66" i="51"/>
  <c r="N68" i="51"/>
  <c r="L68" i="51"/>
  <c r="L18" i="56"/>
  <c r="X44" i="56"/>
  <c r="L58" i="56"/>
  <c r="V22" i="39"/>
  <c r="V34" i="39"/>
  <c r="V46" i="39"/>
  <c r="V50" i="39"/>
  <c r="V62" i="39"/>
  <c r="V70" i="39"/>
  <c r="V74" i="39"/>
  <c r="V78" i="39"/>
  <c r="V82" i="39"/>
  <c r="V86" i="39"/>
  <c r="V90" i="39"/>
  <c r="R16" i="40"/>
  <c r="J15" i="41"/>
  <c r="H18" i="41"/>
  <c r="V21" i="41"/>
  <c r="J25" i="41"/>
  <c r="R27" i="41"/>
  <c r="J29" i="41"/>
  <c r="R31" i="41"/>
  <c r="J33" i="41"/>
  <c r="P12" i="42"/>
  <c r="V19" i="42"/>
  <c r="H24" i="42"/>
  <c r="V31" i="42"/>
  <c r="J35" i="42"/>
  <c r="J39" i="42"/>
  <c r="V43" i="42"/>
  <c r="J47" i="42"/>
  <c r="V51" i="42"/>
  <c r="J53" i="42"/>
  <c r="J59" i="42"/>
  <c r="V63" i="42"/>
  <c r="J65" i="42"/>
  <c r="V71" i="42"/>
  <c r="J75" i="42"/>
  <c r="V79" i="42"/>
  <c r="J83" i="42"/>
  <c r="V87" i="42"/>
  <c r="J91" i="42"/>
  <c r="V95" i="42"/>
  <c r="J97" i="42"/>
  <c r="V99" i="42"/>
  <c r="J103" i="42"/>
  <c r="V111" i="42"/>
  <c r="J15" i="43"/>
  <c r="H18" i="43"/>
  <c r="V21" i="43"/>
  <c r="J25" i="43"/>
  <c r="R27" i="43"/>
  <c r="J29" i="43"/>
  <c r="R31" i="43"/>
  <c r="J33" i="43"/>
  <c r="N12" i="44"/>
  <c r="V18" i="44"/>
  <c r="J22" i="44"/>
  <c r="R24" i="44"/>
  <c r="V20" i="45"/>
  <c r="H25" i="45"/>
  <c r="V32" i="45"/>
  <c r="J36" i="45"/>
  <c r="J40" i="45"/>
  <c r="V44" i="45"/>
  <c r="J48" i="45"/>
  <c r="V52" i="45"/>
  <c r="J54" i="45"/>
  <c r="V58" i="45"/>
  <c r="V59" i="45"/>
  <c r="J65" i="45"/>
  <c r="V69" i="45"/>
  <c r="Z70" i="45"/>
  <c r="J73" i="45"/>
  <c r="L96" i="45"/>
  <c r="J97" i="45"/>
  <c r="L22" i="47"/>
  <c r="Z19" i="48"/>
  <c r="X19" i="48"/>
  <c r="Z20" i="48"/>
  <c r="F25" i="48"/>
  <c r="F45" i="48"/>
  <c r="X46" i="48"/>
  <c r="L48" i="48"/>
  <c r="J51" i="48"/>
  <c r="J56" i="48"/>
  <c r="X57" i="48"/>
  <c r="Z57" i="48" s="1"/>
  <c r="Z61" i="48"/>
  <c r="L15" i="49"/>
  <c r="L22" i="49"/>
  <c r="L25" i="49"/>
  <c r="L33" i="49"/>
  <c r="X33" i="50"/>
  <c r="J73" i="51"/>
  <c r="J67" i="51"/>
  <c r="J59" i="51"/>
  <c r="J51" i="51"/>
  <c r="J45" i="51"/>
  <c r="J39" i="51"/>
  <c r="J27" i="51"/>
  <c r="J79" i="51"/>
  <c r="J64" i="51"/>
  <c r="J56" i="51"/>
  <c r="J50" i="51"/>
  <c r="J38" i="51"/>
  <c r="J26" i="51"/>
  <c r="J69" i="51"/>
  <c r="J61" i="51"/>
  <c r="J49" i="51"/>
  <c r="J37" i="51"/>
  <c r="J25" i="51"/>
  <c r="J19" i="51"/>
  <c r="J76" i="51"/>
  <c r="J72" i="51"/>
  <c r="J66" i="51"/>
  <c r="J58" i="51"/>
  <c r="J48" i="51"/>
  <c r="J44" i="51"/>
  <c r="J36" i="51"/>
  <c r="J24" i="51"/>
  <c r="J83" i="51"/>
  <c r="J78" i="51"/>
  <c r="J71" i="51"/>
  <c r="J63" i="51"/>
  <c r="J55" i="51"/>
  <c r="J47" i="51"/>
  <c r="J43" i="51"/>
  <c r="J35" i="51"/>
  <c r="J23" i="51"/>
  <c r="J74" i="51"/>
  <c r="J68" i="51"/>
  <c r="J60" i="51"/>
  <c r="J54" i="51"/>
  <c r="J46" i="51"/>
  <c r="J42" i="51"/>
  <c r="H31" i="51"/>
  <c r="J31" i="51" s="1"/>
  <c r="J22" i="51"/>
  <c r="J28" i="51"/>
  <c r="L33" i="51"/>
  <c r="N33" i="51" s="1"/>
  <c r="J41" i="51"/>
  <c r="R24" i="53"/>
  <c r="R21" i="53"/>
  <c r="R18" i="53"/>
  <c r="R36" i="53"/>
  <c r="R33" i="53"/>
  <c r="R29" i="53"/>
  <c r="R25" i="53"/>
  <c r="P18" i="53"/>
  <c r="R15" i="53"/>
  <c r="R22" i="53"/>
  <c r="X12" i="53"/>
  <c r="R20" i="53"/>
  <c r="R16" i="53"/>
  <c r="N18" i="55"/>
  <c r="L46" i="56"/>
  <c r="V24" i="41"/>
  <c r="V20" i="42"/>
  <c r="V32" i="42"/>
  <c r="V44" i="42"/>
  <c r="V52" i="42"/>
  <c r="V60" i="42"/>
  <c r="V64" i="42"/>
  <c r="V72" i="42"/>
  <c r="V76" i="42"/>
  <c r="V80" i="42"/>
  <c r="V84" i="42"/>
  <c r="V88" i="42"/>
  <c r="V96" i="42"/>
  <c r="V24" i="43"/>
  <c r="V21" i="44"/>
  <c r="R27" i="44"/>
  <c r="R31" i="44"/>
  <c r="R34" i="44"/>
  <c r="V21" i="45"/>
  <c r="V33" i="45"/>
  <c r="V45" i="45"/>
  <c r="V53" i="45"/>
  <c r="V75" i="45"/>
  <c r="V81" i="45"/>
  <c r="J95" i="45"/>
  <c r="Z72" i="48"/>
  <c r="D27" i="49"/>
  <c r="N18" i="56"/>
  <c r="Z44" i="56"/>
  <c r="N58" i="56"/>
  <c r="V27" i="41"/>
  <c r="V31" i="41"/>
  <c r="V34" i="41"/>
  <c r="V45" i="42"/>
  <c r="V49" i="42"/>
  <c r="V61" i="42"/>
  <c r="V69" i="42"/>
  <c r="V73" i="42"/>
  <c r="V77" i="42"/>
  <c r="V81" i="42"/>
  <c r="V85" i="42"/>
  <c r="V89" i="42"/>
  <c r="V105" i="42"/>
  <c r="V109" i="42"/>
  <c r="V27" i="43"/>
  <c r="V31" i="43"/>
  <c r="V34" i="43"/>
  <c r="R16" i="44"/>
  <c r="R20" i="44"/>
  <c r="V24" i="44"/>
  <c r="V96" i="45"/>
  <c r="V84" i="45"/>
  <c r="V80" i="45"/>
  <c r="V76" i="45"/>
  <c r="V72" i="45"/>
  <c r="V68" i="45"/>
  <c r="V100" i="45"/>
  <c r="V90" i="45"/>
  <c r="V82" i="45"/>
  <c r="V74" i="45"/>
  <c r="V70" i="45"/>
  <c r="V62" i="45"/>
  <c r="V92" i="45"/>
  <c r="V88" i="45"/>
  <c r="V64" i="45"/>
  <c r="V95" i="45"/>
  <c r="V91" i="45"/>
  <c r="V87" i="45"/>
  <c r="V67" i="45"/>
  <c r="V22" i="45"/>
  <c r="V34" i="45"/>
  <c r="V46" i="45"/>
  <c r="V50" i="45"/>
  <c r="V60" i="45"/>
  <c r="V61" i="45"/>
  <c r="V63" i="45"/>
  <c r="V65" i="45"/>
  <c r="J77" i="45"/>
  <c r="J79" i="45"/>
  <c r="V89" i="45"/>
  <c r="J96" i="45"/>
  <c r="L15" i="46"/>
  <c r="L25" i="46"/>
  <c r="L33" i="46"/>
  <c r="Z46" i="48"/>
  <c r="N48" i="48"/>
  <c r="V57" i="48"/>
  <c r="N63" i="48"/>
  <c r="J34" i="50"/>
  <c r="J31" i="50"/>
  <c r="J27" i="50"/>
  <c r="J24" i="50"/>
  <c r="J21" i="50"/>
  <c r="J18" i="50"/>
  <c r="J36" i="50"/>
  <c r="J33" i="50"/>
  <c r="J29" i="50"/>
  <c r="J25" i="50"/>
  <c r="H18" i="50"/>
  <c r="J15" i="50"/>
  <c r="J22" i="50"/>
  <c r="N12" i="50"/>
  <c r="J20" i="50"/>
  <c r="L22" i="50"/>
  <c r="P12" i="51"/>
  <c r="X15" i="51"/>
  <c r="J33" i="51"/>
  <c r="L21" i="52"/>
  <c r="V25" i="55"/>
  <c r="T16" i="55"/>
  <c r="V20" i="55"/>
  <c r="V35" i="55"/>
  <c r="V29" i="55"/>
  <c r="V19" i="55"/>
  <c r="V22" i="55"/>
  <c r="V14" i="55"/>
  <c r="V21" i="55"/>
  <c r="V24" i="55"/>
  <c r="Z12" i="55"/>
  <c r="V38" i="55"/>
  <c r="V33" i="55"/>
  <c r="V31" i="55"/>
  <c r="V27" i="55"/>
  <c r="V23" i="55"/>
  <c r="X18" i="55"/>
  <c r="Z18" i="55" s="1"/>
  <c r="X18" i="56"/>
  <c r="Z18" i="56" s="1"/>
  <c r="V22" i="42"/>
  <c r="V34" i="42"/>
  <c r="V38" i="42"/>
  <c r="V46" i="42"/>
  <c r="V50" i="42"/>
  <c r="V58" i="42"/>
  <c r="V70" i="42"/>
  <c r="V74" i="42"/>
  <c r="V82" i="42"/>
  <c r="V90" i="42"/>
  <c r="V102" i="42"/>
  <c r="V106" i="42"/>
  <c r="V112" i="42"/>
  <c r="Z12" i="43"/>
  <c r="V16" i="43"/>
  <c r="V27" i="44"/>
  <c r="V31" i="44"/>
  <c r="V23" i="45"/>
  <c r="J31" i="45"/>
  <c r="V35" i="45"/>
  <c r="V39" i="45"/>
  <c r="J43" i="45"/>
  <c r="V47" i="45"/>
  <c r="V51" i="45"/>
  <c r="J55" i="45"/>
  <c r="Z66" i="45"/>
  <c r="V73" i="45"/>
  <c r="Z74" i="45"/>
  <c r="V78" i="45"/>
  <c r="J87" i="45"/>
  <c r="J93" i="45"/>
  <c r="V97" i="45"/>
  <c r="V98" i="45"/>
  <c r="F22" i="46"/>
  <c r="F20" i="46"/>
  <c r="F16" i="46"/>
  <c r="F34" i="46"/>
  <c r="F31" i="46"/>
  <c r="F27" i="46"/>
  <c r="F24" i="46"/>
  <c r="F21" i="46"/>
  <c r="F15" i="46"/>
  <c r="D18" i="46"/>
  <c r="F25" i="46"/>
  <c r="F33" i="46"/>
  <c r="F36" i="46"/>
  <c r="L13" i="47"/>
  <c r="D18" i="47"/>
  <c r="F73" i="48"/>
  <c r="F67" i="48"/>
  <c r="F63" i="48"/>
  <c r="F60" i="48"/>
  <c r="F56" i="48"/>
  <c r="F51" i="48"/>
  <c r="F36" i="48"/>
  <c r="F31" i="48"/>
  <c r="F24" i="48"/>
  <c r="F15" i="48"/>
  <c r="F59" i="48"/>
  <c r="F47" i="48"/>
  <c r="F42" i="48"/>
  <c r="F35" i="48"/>
  <c r="F23" i="48"/>
  <c r="F69" i="48"/>
  <c r="F66" i="48"/>
  <c r="F62" i="48"/>
  <c r="F58" i="48"/>
  <c r="F53" i="48"/>
  <c r="F50" i="48"/>
  <c r="F34" i="48"/>
  <c r="F30" i="48"/>
  <c r="F22" i="48"/>
  <c r="F77" i="48"/>
  <c r="F65" i="48"/>
  <c r="F49" i="48"/>
  <c r="F44" i="48"/>
  <c r="F41" i="48"/>
  <c r="F33" i="48"/>
  <c r="F29" i="48"/>
  <c r="F21" i="48"/>
  <c r="F68" i="48"/>
  <c r="F64" i="48"/>
  <c r="F55" i="48"/>
  <c r="F52" i="48"/>
  <c r="F40" i="48"/>
  <c r="F32" i="48"/>
  <c r="F28" i="48"/>
  <c r="F72" i="48"/>
  <c r="F46" i="48"/>
  <c r="F43" i="48"/>
  <c r="F39" i="48"/>
  <c r="F27" i="48"/>
  <c r="D17" i="48"/>
  <c r="F17" i="48" s="1"/>
  <c r="N19" i="48"/>
  <c r="L19" i="48"/>
  <c r="J24" i="48"/>
  <c r="N31" i="48"/>
  <c r="F54" i="48"/>
  <c r="J63" i="48"/>
  <c r="L67" i="48"/>
  <c r="N67" i="48" s="1"/>
  <c r="L12" i="50"/>
  <c r="Z23" i="55"/>
  <c r="X23" i="55"/>
  <c r="V26" i="55"/>
  <c r="N29" i="56"/>
  <c r="N48" i="56"/>
  <c r="J15" i="46"/>
  <c r="H18" i="46"/>
  <c r="V21" i="46"/>
  <c r="J25" i="46"/>
  <c r="R27" i="46"/>
  <c r="J29" i="46"/>
  <c r="R31" i="46"/>
  <c r="J33" i="46"/>
  <c r="R34" i="46"/>
  <c r="J36" i="46"/>
  <c r="X15" i="47"/>
  <c r="F18" i="47"/>
  <c r="V18" i="47"/>
  <c r="T17" i="48"/>
  <c r="V22" i="48"/>
  <c r="R23" i="48"/>
  <c r="V30" i="48"/>
  <c r="V34" i="48"/>
  <c r="R35" i="48"/>
  <c r="R44" i="48"/>
  <c r="V46" i="48"/>
  <c r="R47" i="48"/>
  <c r="V50" i="48"/>
  <c r="V58" i="48"/>
  <c r="R59" i="48"/>
  <c r="V62" i="48"/>
  <c r="V66" i="48"/>
  <c r="V72" i="48"/>
  <c r="J15" i="49"/>
  <c r="H18" i="49"/>
  <c r="F21" i="49"/>
  <c r="V21" i="49"/>
  <c r="J25" i="49"/>
  <c r="R27" i="49"/>
  <c r="J29" i="49"/>
  <c r="R31" i="49"/>
  <c r="J33" i="49"/>
  <c r="R34" i="49"/>
  <c r="J36" i="49"/>
  <c r="F18" i="50"/>
  <c r="V18" i="50"/>
  <c r="R24" i="50"/>
  <c r="V26" i="51"/>
  <c r="V38" i="51"/>
  <c r="V50" i="51"/>
  <c r="V58" i="51"/>
  <c r="V66" i="51"/>
  <c r="V76" i="51"/>
  <c r="J21" i="52"/>
  <c r="F27" i="52"/>
  <c r="F31" i="52"/>
  <c r="F34" i="52"/>
  <c r="J18" i="53"/>
  <c r="F24" i="53"/>
  <c r="V24" i="53"/>
  <c r="D16" i="54"/>
  <c r="T16" i="54"/>
  <c r="F24" i="54"/>
  <c r="X12" i="55"/>
  <c r="H16" i="55"/>
  <c r="F20" i="55"/>
  <c r="R21" i="55"/>
  <c r="F23" i="55"/>
  <c r="R24" i="55"/>
  <c r="J25" i="55"/>
  <c r="F31" i="55"/>
  <c r="F38" i="55"/>
  <c r="N12" i="56"/>
  <c r="J14" i="56"/>
  <c r="R16" i="56"/>
  <c r="V20" i="56"/>
  <c r="R21" i="56"/>
  <c r="J24" i="56"/>
  <c r="F25" i="56"/>
  <c r="V28" i="56"/>
  <c r="V32" i="56"/>
  <c r="R33" i="56"/>
  <c r="J36" i="56"/>
  <c r="F37" i="56"/>
  <c r="F41" i="56"/>
  <c r="R42" i="56"/>
  <c r="F44" i="56"/>
  <c r="V44" i="56"/>
  <c r="R45" i="56"/>
  <c r="J46" i="56"/>
  <c r="F49" i="56"/>
  <c r="R50" i="56"/>
  <c r="F52" i="56"/>
  <c r="V52" i="56"/>
  <c r="R53" i="56"/>
  <c r="J54" i="56"/>
  <c r="V56" i="56"/>
  <c r="R57" i="56"/>
  <c r="J58" i="56"/>
  <c r="Z61" i="56"/>
  <c r="V62" i="56"/>
  <c r="V64" i="56"/>
  <c r="V65" i="56"/>
  <c r="X66" i="56"/>
  <c r="Z66" i="56" s="1"/>
  <c r="V68" i="56"/>
  <c r="V69" i="56"/>
  <c r="N73" i="56"/>
  <c r="L73" i="56"/>
  <c r="J79" i="56"/>
  <c r="V16" i="57"/>
  <c r="V18" i="57"/>
  <c r="F27" i="57"/>
  <c r="V29" i="57"/>
  <c r="R34" i="58"/>
  <c r="N43" i="58"/>
  <c r="R51" i="58"/>
  <c r="N60" i="58"/>
  <c r="L60" i="58"/>
  <c r="Z70" i="58"/>
  <c r="Z18" i="60"/>
  <c r="R16" i="46"/>
  <c r="J18" i="46"/>
  <c r="R20" i="46"/>
  <c r="F21" i="47"/>
  <c r="V21" i="47"/>
  <c r="R27" i="47"/>
  <c r="R31" i="47"/>
  <c r="R34" i="47"/>
  <c r="V17" i="48"/>
  <c r="V19" i="48"/>
  <c r="V23" i="48"/>
  <c r="R24" i="48"/>
  <c r="V35" i="48"/>
  <c r="R36" i="48"/>
  <c r="V47" i="48"/>
  <c r="R53" i="48"/>
  <c r="V55" i="48"/>
  <c r="R56" i="48"/>
  <c r="V59" i="48"/>
  <c r="R60" i="48"/>
  <c r="R69" i="48"/>
  <c r="R16" i="49"/>
  <c r="J18" i="49"/>
  <c r="F24" i="49"/>
  <c r="V24" i="49"/>
  <c r="F21" i="50"/>
  <c r="V21" i="50"/>
  <c r="R27" i="50"/>
  <c r="R31" i="50"/>
  <c r="R34" i="50"/>
  <c r="V19" i="51"/>
  <c r="V27" i="51"/>
  <c r="V39" i="51"/>
  <c r="V51" i="51"/>
  <c r="V59" i="51"/>
  <c r="V67" i="51"/>
  <c r="V79" i="51"/>
  <c r="F16" i="52"/>
  <c r="F20" i="52"/>
  <c r="J24" i="52"/>
  <c r="J21" i="53"/>
  <c r="F27" i="53"/>
  <c r="V27" i="53"/>
  <c r="F31" i="53"/>
  <c r="V31" i="53"/>
  <c r="F34" i="53"/>
  <c r="V34" i="53"/>
  <c r="N14" i="54"/>
  <c r="F16" i="54"/>
  <c r="V16" i="54"/>
  <c r="F20" i="54"/>
  <c r="V20" i="54"/>
  <c r="J24" i="54"/>
  <c r="F26" i="54"/>
  <c r="V26" i="54"/>
  <c r="F29" i="54"/>
  <c r="V29" i="54"/>
  <c r="R14" i="55"/>
  <c r="J16" i="55"/>
  <c r="J20" i="55"/>
  <c r="R64" i="56"/>
  <c r="R61" i="56"/>
  <c r="R67" i="56"/>
  <c r="R60" i="56"/>
  <c r="R77" i="56"/>
  <c r="R71" i="56"/>
  <c r="R68" i="56"/>
  <c r="D75" i="56"/>
  <c r="T16" i="56"/>
  <c r="J19" i="56"/>
  <c r="V21" i="56"/>
  <c r="R22" i="56"/>
  <c r="J25" i="56"/>
  <c r="F26" i="56"/>
  <c r="F30" i="56"/>
  <c r="V33" i="56"/>
  <c r="R34" i="56"/>
  <c r="J37" i="56"/>
  <c r="F38" i="56"/>
  <c r="J41" i="56"/>
  <c r="V45" i="56"/>
  <c r="J49" i="56"/>
  <c r="V53" i="56"/>
  <c r="V57" i="56"/>
  <c r="R63" i="56"/>
  <c r="R66" i="56"/>
  <c r="Z70" i="56"/>
  <c r="J73" i="56"/>
  <c r="R75" i="56"/>
  <c r="R79" i="56"/>
  <c r="F23" i="57"/>
  <c r="Z46" i="57"/>
  <c r="X46" i="57"/>
  <c r="N48" i="57"/>
  <c r="L48" i="57"/>
  <c r="T77" i="58"/>
  <c r="Z16" i="58"/>
  <c r="Z41" i="58"/>
  <c r="N53" i="58"/>
  <c r="D58" i="60"/>
  <c r="V24" i="47"/>
  <c r="V24" i="48"/>
  <c r="V36" i="48"/>
  <c r="V44" i="48"/>
  <c r="V56" i="48"/>
  <c r="V60" i="48"/>
  <c r="R73" i="48"/>
  <c r="F27" i="49"/>
  <c r="F31" i="49"/>
  <c r="F34" i="49"/>
  <c r="V24" i="50"/>
  <c r="V20" i="51"/>
  <c r="V28" i="51"/>
  <c r="V40" i="51"/>
  <c r="V52" i="51"/>
  <c r="V56" i="51"/>
  <c r="V64" i="51"/>
  <c r="J31" i="52"/>
  <c r="J34" i="52"/>
  <c r="J24" i="53"/>
  <c r="X16" i="54"/>
  <c r="R19" i="55"/>
  <c r="F21" i="55"/>
  <c r="R22" i="55"/>
  <c r="F26" i="55"/>
  <c r="R29" i="55"/>
  <c r="R35" i="55"/>
  <c r="V79" i="56"/>
  <c r="V73" i="56"/>
  <c r="V67" i="56"/>
  <c r="V63" i="56"/>
  <c r="V66" i="56"/>
  <c r="V82" i="56"/>
  <c r="V77" i="56"/>
  <c r="V75" i="56"/>
  <c r="V71" i="56"/>
  <c r="V70" i="56"/>
  <c r="V16" i="56"/>
  <c r="J18" i="56"/>
  <c r="V18" i="56"/>
  <c r="V22" i="56"/>
  <c r="J26" i="56"/>
  <c r="J30" i="56"/>
  <c r="V34" i="56"/>
  <c r="J38" i="56"/>
  <c r="R40" i="56"/>
  <c r="V42" i="56"/>
  <c r="R43" i="56"/>
  <c r="J44" i="56"/>
  <c r="R48" i="56"/>
  <c r="V50" i="56"/>
  <c r="R51" i="56"/>
  <c r="J52" i="56"/>
  <c r="F55" i="56"/>
  <c r="F59" i="56"/>
  <c r="L68" i="56"/>
  <c r="F75" i="57"/>
  <c r="F68" i="57"/>
  <c r="F57" i="57"/>
  <c r="F48" i="57"/>
  <c r="F45" i="57"/>
  <c r="F40" i="57"/>
  <c r="F33" i="57"/>
  <c r="F21" i="57"/>
  <c r="F63" i="57"/>
  <c r="F60" i="57"/>
  <c r="F32" i="57"/>
  <c r="F28" i="57"/>
  <c r="F20" i="57"/>
  <c r="F54" i="57"/>
  <c r="F50" i="57"/>
  <c r="F47" i="57"/>
  <c r="F42" i="57"/>
  <c r="F62" i="57"/>
  <c r="F38" i="57"/>
  <c r="F30" i="57"/>
  <c r="F26" i="57"/>
  <c r="D16" i="57"/>
  <c r="F72" i="57"/>
  <c r="F66" i="57"/>
  <c r="F56" i="57"/>
  <c r="F53" i="57"/>
  <c r="F49" i="57"/>
  <c r="F44" i="57"/>
  <c r="F41" i="57"/>
  <c r="F37" i="57"/>
  <c r="F25" i="57"/>
  <c r="F70" i="57"/>
  <c r="F64" i="57"/>
  <c r="F59" i="57"/>
  <c r="F52" i="57"/>
  <c r="F36" i="57"/>
  <c r="F24" i="57"/>
  <c r="F19" i="57"/>
  <c r="F18" i="57"/>
  <c r="L12" i="57"/>
  <c r="F55" i="57"/>
  <c r="F51" i="57"/>
  <c r="F46" i="57"/>
  <c r="F43" i="57"/>
  <c r="F35" i="57"/>
  <c r="F22" i="57"/>
  <c r="J24" i="46"/>
  <c r="X12" i="47"/>
  <c r="F27" i="47"/>
  <c r="V27" i="47"/>
  <c r="F31" i="47"/>
  <c r="V31" i="47"/>
  <c r="V34" i="47"/>
  <c r="X12" i="48"/>
  <c r="V25" i="48"/>
  <c r="R26" i="48"/>
  <c r="R31" i="48"/>
  <c r="V37" i="48"/>
  <c r="R38" i="48"/>
  <c r="V45" i="48"/>
  <c r="R51" i="48"/>
  <c r="V53" i="48"/>
  <c r="R54" i="48"/>
  <c r="R63" i="48"/>
  <c r="R67" i="48"/>
  <c r="V69" i="48"/>
  <c r="R70" i="48"/>
  <c r="V73" i="48"/>
  <c r="F16" i="49"/>
  <c r="F20" i="49"/>
  <c r="J24" i="49"/>
  <c r="X12" i="50"/>
  <c r="F27" i="50"/>
  <c r="V27" i="50"/>
  <c r="F31" i="50"/>
  <c r="V31" i="50"/>
  <c r="V34" i="50"/>
  <c r="V21" i="51"/>
  <c r="V29" i="51"/>
  <c r="V41" i="51"/>
  <c r="V45" i="51"/>
  <c r="V53" i="51"/>
  <c r="V57" i="51"/>
  <c r="V65" i="51"/>
  <c r="V73" i="51"/>
  <c r="V77" i="51"/>
  <c r="J16" i="52"/>
  <c r="J20" i="52"/>
  <c r="F22" i="52"/>
  <c r="J27" i="53"/>
  <c r="J31" i="53"/>
  <c r="J34" i="53"/>
  <c r="R18" i="54"/>
  <c r="R22" i="54"/>
  <c r="J26" i="54"/>
  <c r="R28" i="54"/>
  <c r="F14" i="55"/>
  <c r="J26" i="55"/>
  <c r="F27" i="55"/>
  <c r="X12" i="56"/>
  <c r="H16" i="56"/>
  <c r="F20" i="56"/>
  <c r="V23" i="56"/>
  <c r="R24" i="56"/>
  <c r="J27" i="56"/>
  <c r="F28" i="56"/>
  <c r="R29" i="56"/>
  <c r="J31" i="56"/>
  <c r="F32" i="56"/>
  <c r="V35" i="56"/>
  <c r="R36" i="56"/>
  <c r="J39" i="56"/>
  <c r="V43" i="56"/>
  <c r="J47" i="56"/>
  <c r="V51" i="56"/>
  <c r="J55" i="56"/>
  <c r="F56" i="56"/>
  <c r="J59" i="56"/>
  <c r="J60" i="56"/>
  <c r="F61" i="56"/>
  <c r="F65" i="56"/>
  <c r="F68" i="56"/>
  <c r="R73" i="56"/>
  <c r="J60" i="57"/>
  <c r="J54" i="57"/>
  <c r="J50" i="57"/>
  <c r="J42" i="57"/>
  <c r="J32" i="57"/>
  <c r="J28" i="57"/>
  <c r="J20" i="57"/>
  <c r="J16" i="57"/>
  <c r="J47" i="57"/>
  <c r="J39" i="57"/>
  <c r="J31" i="57"/>
  <c r="J27" i="57"/>
  <c r="H16" i="57"/>
  <c r="J72" i="57"/>
  <c r="J66" i="57"/>
  <c r="J62" i="57"/>
  <c r="J56" i="57"/>
  <c r="J44" i="57"/>
  <c r="J59" i="57"/>
  <c r="J53" i="57"/>
  <c r="J49" i="57"/>
  <c r="J41" i="57"/>
  <c r="J37" i="57"/>
  <c r="J25" i="57"/>
  <c r="J19" i="57"/>
  <c r="J70" i="57"/>
  <c r="J64" i="57"/>
  <c r="J52" i="57"/>
  <c r="J46" i="57"/>
  <c r="J36" i="57"/>
  <c r="J24" i="57"/>
  <c r="J14" i="57"/>
  <c r="N12" i="57"/>
  <c r="J61" i="57"/>
  <c r="J55" i="57"/>
  <c r="J51" i="57"/>
  <c r="J43" i="57"/>
  <c r="J35" i="57"/>
  <c r="J29" i="57"/>
  <c r="J23" i="57"/>
  <c r="J75" i="57"/>
  <c r="J68" i="57"/>
  <c r="J58" i="57"/>
  <c r="J48" i="57"/>
  <c r="J40" i="57"/>
  <c r="J34" i="57"/>
  <c r="Z14" i="57"/>
  <c r="X14" i="57"/>
  <c r="N18" i="57"/>
  <c r="J22" i="57"/>
  <c r="J33" i="57"/>
  <c r="F58" i="57"/>
  <c r="N18" i="58"/>
  <c r="N68" i="58"/>
  <c r="L68" i="58"/>
  <c r="N19" i="59"/>
  <c r="H105" i="62"/>
  <c r="V16" i="47"/>
  <c r="X34" i="47"/>
  <c r="Z12" i="48"/>
  <c r="V26" i="48"/>
  <c r="V38" i="48"/>
  <c r="V42" i="48"/>
  <c r="V54" i="48"/>
  <c r="V70" i="48"/>
  <c r="Z12" i="50"/>
  <c r="V16" i="50"/>
  <c r="X34" i="50"/>
  <c r="V22" i="51"/>
  <c r="V34" i="51"/>
  <c r="V42" i="51"/>
  <c r="V46" i="51"/>
  <c r="V54" i="51"/>
  <c r="V62" i="51"/>
  <c r="V70" i="51"/>
  <c r="V74" i="51"/>
  <c r="J16" i="53"/>
  <c r="P16" i="55"/>
  <c r="R18" i="55"/>
  <c r="R20" i="55"/>
  <c r="R25" i="55"/>
  <c r="J16" i="56"/>
  <c r="J20" i="56"/>
  <c r="J28" i="56"/>
  <c r="J32" i="56"/>
  <c r="J42" i="56"/>
  <c r="V48" i="56"/>
  <c r="J50" i="56"/>
  <c r="J56" i="56"/>
  <c r="J65" i="56"/>
  <c r="J69" i="56"/>
  <c r="J82" i="56"/>
  <c r="J16" i="46"/>
  <c r="R29" i="47"/>
  <c r="R33" i="47"/>
  <c r="V15" i="48"/>
  <c r="V27" i="48"/>
  <c r="R28" i="48"/>
  <c r="V31" i="48"/>
  <c r="R32" i="48"/>
  <c r="V39" i="48"/>
  <c r="R40" i="48"/>
  <c r="V43" i="48"/>
  <c r="V51" i="48"/>
  <c r="R52" i="48"/>
  <c r="R57" i="48"/>
  <c r="R61" i="48"/>
  <c r="V63" i="48"/>
  <c r="R64" i="48"/>
  <c r="R68" i="48"/>
  <c r="R75" i="48"/>
  <c r="J16" i="49"/>
  <c r="R15" i="50"/>
  <c r="P18" i="50"/>
  <c r="R25" i="50"/>
  <c r="R29" i="50"/>
  <c r="R33" i="50"/>
  <c r="V23" i="51"/>
  <c r="V35" i="51"/>
  <c r="V43" i="51"/>
  <c r="V47" i="51"/>
  <c r="V55" i="51"/>
  <c r="V63" i="51"/>
  <c r="V71" i="51"/>
  <c r="V81" i="51"/>
  <c r="V83" i="51"/>
  <c r="N12" i="52"/>
  <c r="L12" i="53"/>
  <c r="F15" i="53"/>
  <c r="V15" i="53"/>
  <c r="D18" i="53"/>
  <c r="T18" i="53"/>
  <c r="F25" i="53"/>
  <c r="V25" i="53"/>
  <c r="F29" i="53"/>
  <c r="V29" i="53"/>
  <c r="F33" i="53"/>
  <c r="V33" i="53"/>
  <c r="F14" i="54"/>
  <c r="V14" i="54"/>
  <c r="F18" i="54"/>
  <c r="V18" i="54"/>
  <c r="F22" i="54"/>
  <c r="V22" i="54"/>
  <c r="V24" i="54"/>
  <c r="F28" i="54"/>
  <c r="V28" i="54"/>
  <c r="N12" i="55"/>
  <c r="J14" i="55"/>
  <c r="R16" i="55"/>
  <c r="F79" i="56"/>
  <c r="F73" i="56"/>
  <c r="F63" i="56"/>
  <c r="F60" i="56"/>
  <c r="F77" i="56"/>
  <c r="F71" i="56"/>
  <c r="F66" i="56"/>
  <c r="F82" i="56"/>
  <c r="F75" i="56"/>
  <c r="F64" i="56"/>
  <c r="F70" i="56"/>
  <c r="F67" i="56"/>
  <c r="L16" i="56"/>
  <c r="R19" i="56"/>
  <c r="J21" i="56"/>
  <c r="F22" i="56"/>
  <c r="V25" i="56"/>
  <c r="R26" i="56"/>
  <c r="F29" i="56"/>
  <c r="V29" i="56"/>
  <c r="R30" i="56"/>
  <c r="J33" i="56"/>
  <c r="F34" i="56"/>
  <c r="V37" i="56"/>
  <c r="R38" i="56"/>
  <c r="V41" i="56"/>
  <c r="J45" i="56"/>
  <c r="V49" i="56"/>
  <c r="J53" i="56"/>
  <c r="N63" i="56"/>
  <c r="V75" i="57"/>
  <c r="V70" i="57"/>
  <c r="V68" i="57"/>
  <c r="V64" i="57"/>
  <c r="V52" i="57"/>
  <c r="V48" i="57"/>
  <c r="V40" i="57"/>
  <c r="V36" i="57"/>
  <c r="V24" i="57"/>
  <c r="Z12" i="57"/>
  <c r="V63" i="57"/>
  <c r="V55" i="57"/>
  <c r="V51" i="57"/>
  <c r="V43" i="57"/>
  <c r="V35" i="57"/>
  <c r="V23" i="57"/>
  <c r="V58" i="57"/>
  <c r="V54" i="57"/>
  <c r="V50" i="57"/>
  <c r="V42" i="57"/>
  <c r="V57" i="57"/>
  <c r="V45" i="57"/>
  <c r="V33" i="57"/>
  <c r="V21" i="57"/>
  <c r="T16" i="57"/>
  <c r="V72" i="57"/>
  <c r="V66" i="57"/>
  <c r="V60" i="57"/>
  <c r="V56" i="57"/>
  <c r="V44" i="57"/>
  <c r="V32" i="57"/>
  <c r="V28" i="57"/>
  <c r="V20" i="57"/>
  <c r="V59" i="57"/>
  <c r="V47" i="57"/>
  <c r="V39" i="57"/>
  <c r="V31" i="57"/>
  <c r="V27" i="57"/>
  <c r="V19" i="57"/>
  <c r="V62" i="57"/>
  <c r="V46" i="57"/>
  <c r="V38" i="57"/>
  <c r="V30" i="57"/>
  <c r="V26" i="57"/>
  <c r="F16" i="57"/>
  <c r="X19" i="57"/>
  <c r="Z19" i="57" s="1"/>
  <c r="V22" i="57"/>
  <c r="N40" i="57"/>
  <c r="L40" i="57"/>
  <c r="V41" i="57"/>
  <c r="J57" i="57"/>
  <c r="Z59" i="57"/>
  <c r="R69" i="58"/>
  <c r="R65" i="58"/>
  <c r="R61" i="58"/>
  <c r="R33" i="58"/>
  <c r="R29" i="58"/>
  <c r="R21" i="58"/>
  <c r="R16" i="58"/>
  <c r="R81" i="58"/>
  <c r="R75" i="58"/>
  <c r="R64" i="58"/>
  <c r="R57" i="58"/>
  <c r="R53" i="58"/>
  <c r="R48" i="58"/>
  <c r="R45" i="58"/>
  <c r="R40" i="58"/>
  <c r="R32" i="58"/>
  <c r="R28" i="58"/>
  <c r="R20" i="58"/>
  <c r="R18" i="58"/>
  <c r="P16" i="58"/>
  <c r="R71" i="58"/>
  <c r="R68" i="58"/>
  <c r="R60" i="58"/>
  <c r="R39" i="58"/>
  <c r="R31" i="58"/>
  <c r="R27" i="58"/>
  <c r="R63" i="58"/>
  <c r="R50" i="58"/>
  <c r="R47" i="58"/>
  <c r="R42" i="58"/>
  <c r="R38" i="58"/>
  <c r="R26" i="58"/>
  <c r="R19" i="58"/>
  <c r="R79" i="58"/>
  <c r="R73" i="58"/>
  <c r="R70" i="58"/>
  <c r="R37" i="58"/>
  <c r="R30" i="58"/>
  <c r="R25" i="58"/>
  <c r="R14" i="58"/>
  <c r="R84" i="58"/>
  <c r="R77" i="58"/>
  <c r="R56" i="58"/>
  <c r="R52" i="58"/>
  <c r="R49" i="58"/>
  <c r="R44" i="58"/>
  <c r="R41" i="58"/>
  <c r="R36" i="58"/>
  <c r="R24" i="58"/>
  <c r="X12" i="58"/>
  <c r="R72" i="58"/>
  <c r="R67" i="58"/>
  <c r="R59" i="58"/>
  <c r="R55" i="58"/>
  <c r="R35" i="58"/>
  <c r="R23" i="58"/>
  <c r="Z18" i="58"/>
  <c r="T67" i="59"/>
  <c r="X18" i="59"/>
  <c r="Z18" i="59" s="1"/>
  <c r="Z29" i="59"/>
  <c r="X29" i="59"/>
  <c r="N18" i="60"/>
  <c r="N32" i="63"/>
  <c r="R23" i="55"/>
  <c r="R26" i="55"/>
  <c r="R31" i="55"/>
  <c r="J77" i="56"/>
  <c r="J71" i="56"/>
  <c r="J68" i="56"/>
  <c r="J62" i="56"/>
  <c r="J70" i="56"/>
  <c r="J67" i="56"/>
  <c r="J61" i="56"/>
  <c r="J22" i="56"/>
  <c r="J34" i="56"/>
  <c r="J40" i="56"/>
  <c r="J48" i="56"/>
  <c r="J63" i="56"/>
  <c r="J64" i="56"/>
  <c r="J66" i="56"/>
  <c r="J48" i="59"/>
  <c r="F49" i="59"/>
  <c r="F53" i="59"/>
  <c r="J56" i="59"/>
  <c r="F60" i="59"/>
  <c r="R61" i="59"/>
  <c r="J62" i="59"/>
  <c r="R65" i="60"/>
  <c r="R58" i="60"/>
  <c r="R41" i="60"/>
  <c r="R37" i="60"/>
  <c r="R46" i="60"/>
  <c r="R34" i="60"/>
  <c r="R62" i="60"/>
  <c r="R56" i="60"/>
  <c r="R45" i="60"/>
  <c r="R42" i="60"/>
  <c r="R33" i="60"/>
  <c r="R51" i="60"/>
  <c r="R44" i="60"/>
  <c r="R39" i="60"/>
  <c r="R31" i="60"/>
  <c r="V21" i="60"/>
  <c r="R22" i="60"/>
  <c r="Z40" i="60"/>
  <c r="F48" i="60"/>
  <c r="J50" i="60"/>
  <c r="J51" i="60"/>
  <c r="J53" i="60"/>
  <c r="T58" i="60"/>
  <c r="F62" i="60"/>
  <c r="R14" i="61"/>
  <c r="T16" i="61"/>
  <c r="R50" i="61"/>
  <c r="L14" i="62"/>
  <c r="L17" i="62"/>
  <c r="N97" i="62"/>
  <c r="P97" i="62"/>
  <c r="X97" i="62" s="1"/>
  <c r="Z97" i="62" s="1"/>
  <c r="X98" i="62"/>
  <c r="Z98" i="62" s="1"/>
  <c r="R88" i="63"/>
  <c r="R82" i="63"/>
  <c r="R84" i="63"/>
  <c r="R67" i="63"/>
  <c r="R64" i="63"/>
  <c r="R47" i="63"/>
  <c r="R70" i="63"/>
  <c r="R58" i="63"/>
  <c r="R55" i="63"/>
  <c r="R46" i="63"/>
  <c r="R34" i="63"/>
  <c r="R32" i="63"/>
  <c r="R81" i="63"/>
  <c r="R80" i="63"/>
  <c r="R79" i="63"/>
  <c r="R72" i="63"/>
  <c r="R60" i="63"/>
  <c r="R57" i="63"/>
  <c r="R52" i="63"/>
  <c r="R44" i="63"/>
  <c r="R40" i="63"/>
  <c r="R33" i="63"/>
  <c r="R68" i="63"/>
  <c r="R63" i="63"/>
  <c r="R51" i="63"/>
  <c r="R43" i="63"/>
  <c r="R75" i="63"/>
  <c r="R71" i="63"/>
  <c r="R59" i="63"/>
  <c r="R54" i="63"/>
  <c r="R50" i="63"/>
  <c r="R38" i="63"/>
  <c r="R45" i="63"/>
  <c r="R25" i="63"/>
  <c r="R18" i="63"/>
  <c r="R69" i="63"/>
  <c r="R35" i="63"/>
  <c r="R30" i="63"/>
  <c r="R23" i="63"/>
  <c r="R76" i="63"/>
  <c r="R37" i="63"/>
  <c r="R36" i="63"/>
  <c r="P30" i="63"/>
  <c r="R22" i="63"/>
  <c r="R77" i="63"/>
  <c r="R62" i="63"/>
  <c r="R53" i="63"/>
  <c r="R21" i="63"/>
  <c r="R61" i="63"/>
  <c r="R39" i="63"/>
  <c r="R28" i="63"/>
  <c r="R20" i="63"/>
  <c r="X12" i="63"/>
  <c r="R49" i="63"/>
  <c r="R48" i="63"/>
  <c r="R42" i="63"/>
  <c r="R27" i="63"/>
  <c r="R19" i="63"/>
  <c r="R56" i="63"/>
  <c r="Z57" i="63"/>
  <c r="R39" i="57"/>
  <c r="R44" i="57"/>
  <c r="R47" i="57"/>
  <c r="R56" i="57"/>
  <c r="R66" i="57"/>
  <c r="R72" i="57"/>
  <c r="V16" i="58"/>
  <c r="J18" i="58"/>
  <c r="V18" i="58"/>
  <c r="V22" i="58"/>
  <c r="J26" i="58"/>
  <c r="V34" i="58"/>
  <c r="J38" i="58"/>
  <c r="J42" i="58"/>
  <c r="V46" i="58"/>
  <c r="J50" i="58"/>
  <c r="V54" i="58"/>
  <c r="V58" i="58"/>
  <c r="J60" i="58"/>
  <c r="V62" i="58"/>
  <c r="V66" i="58"/>
  <c r="J68" i="58"/>
  <c r="F71" i="58"/>
  <c r="R19" i="59"/>
  <c r="F22" i="59"/>
  <c r="R26" i="59"/>
  <c r="F29" i="59"/>
  <c r="R30" i="59"/>
  <c r="F34" i="59"/>
  <c r="R38" i="59"/>
  <c r="F46" i="59"/>
  <c r="R47" i="59"/>
  <c r="J49" i="59"/>
  <c r="F50" i="59"/>
  <c r="J53" i="59"/>
  <c r="F54" i="59"/>
  <c r="R55" i="59"/>
  <c r="F57" i="59"/>
  <c r="V57" i="59"/>
  <c r="R58" i="59"/>
  <c r="V61" i="59"/>
  <c r="R65" i="59"/>
  <c r="J67" i="59"/>
  <c r="R71" i="59"/>
  <c r="J74" i="59"/>
  <c r="V40" i="60"/>
  <c r="V36" i="60"/>
  <c r="V45" i="60"/>
  <c r="V33" i="60"/>
  <c r="V52" i="60"/>
  <c r="V48" i="60"/>
  <c r="V44" i="60"/>
  <c r="V32" i="60"/>
  <c r="V65" i="60"/>
  <c r="V60" i="60"/>
  <c r="V58" i="60"/>
  <c r="V54" i="60"/>
  <c r="V50" i="60"/>
  <c r="V38" i="60"/>
  <c r="V16" i="60"/>
  <c r="V18" i="60"/>
  <c r="V22" i="60"/>
  <c r="R23" i="60"/>
  <c r="J45" i="60"/>
  <c r="J49" i="60"/>
  <c r="R52" i="60"/>
  <c r="R54" i="60"/>
  <c r="V56" i="60"/>
  <c r="R51" i="61"/>
  <c r="R44" i="61"/>
  <c r="R39" i="61"/>
  <c r="R31" i="61"/>
  <c r="R27" i="61"/>
  <c r="R64" i="61"/>
  <c r="R57" i="61"/>
  <c r="R49" i="61"/>
  <c r="R36" i="61"/>
  <c r="R29" i="61"/>
  <c r="R24" i="61"/>
  <c r="X12" i="61"/>
  <c r="R52" i="61"/>
  <c r="R43" i="61"/>
  <c r="R40" i="61"/>
  <c r="R35" i="61"/>
  <c r="R23" i="61"/>
  <c r="R46" i="61"/>
  <c r="R45" i="61"/>
  <c r="R42" i="61"/>
  <c r="R33" i="61"/>
  <c r="R21" i="61"/>
  <c r="R16" i="61"/>
  <c r="R18" i="61"/>
  <c r="R20" i="61"/>
  <c r="R34" i="61"/>
  <c r="R41" i="61"/>
  <c r="N17" i="62"/>
  <c r="L97" i="62"/>
  <c r="V98" i="62"/>
  <c r="X57" i="64"/>
  <c r="P59" i="64"/>
  <c r="P16" i="57"/>
  <c r="R18" i="57"/>
  <c r="R20" i="57"/>
  <c r="R28" i="57"/>
  <c r="R32" i="57"/>
  <c r="R60" i="57"/>
  <c r="H16" i="58"/>
  <c r="L16" i="58" s="1"/>
  <c r="V23" i="58"/>
  <c r="J27" i="58"/>
  <c r="J31" i="58"/>
  <c r="F32" i="58"/>
  <c r="V35" i="58"/>
  <c r="J39" i="58"/>
  <c r="F40" i="58"/>
  <c r="F43" i="58"/>
  <c r="V43" i="58"/>
  <c r="J45" i="58"/>
  <c r="F48" i="58"/>
  <c r="F51" i="58"/>
  <c r="V51" i="58"/>
  <c r="J53" i="58"/>
  <c r="V55" i="58"/>
  <c r="J57" i="58"/>
  <c r="V59" i="58"/>
  <c r="F64" i="58"/>
  <c r="V67" i="58"/>
  <c r="J71" i="58"/>
  <c r="J75" i="58"/>
  <c r="J81" i="58"/>
  <c r="F14" i="59"/>
  <c r="J22" i="59"/>
  <c r="F23" i="59"/>
  <c r="V26" i="59"/>
  <c r="R27" i="59"/>
  <c r="V30" i="59"/>
  <c r="R31" i="59"/>
  <c r="J34" i="59"/>
  <c r="F35" i="59"/>
  <c r="V38" i="59"/>
  <c r="R39" i="59"/>
  <c r="J40" i="59"/>
  <c r="F43" i="59"/>
  <c r="J46" i="59"/>
  <c r="J50" i="59"/>
  <c r="F51" i="59"/>
  <c r="R52" i="59"/>
  <c r="J54" i="59"/>
  <c r="X57" i="59"/>
  <c r="Z57" i="59" s="1"/>
  <c r="V58" i="59"/>
  <c r="R59" i="59"/>
  <c r="J60" i="59"/>
  <c r="F63" i="59"/>
  <c r="F69" i="59"/>
  <c r="X12" i="60"/>
  <c r="H16" i="60"/>
  <c r="L16" i="60" s="1"/>
  <c r="F20" i="60"/>
  <c r="V23" i="60"/>
  <c r="R24" i="60"/>
  <c r="J27" i="60"/>
  <c r="F28" i="60"/>
  <c r="R29" i="60"/>
  <c r="J31" i="60"/>
  <c r="J32" i="60"/>
  <c r="J33" i="60"/>
  <c r="R35" i="60"/>
  <c r="R36" i="60"/>
  <c r="F42" i="60"/>
  <c r="J43" i="60"/>
  <c r="V46" i="60"/>
  <c r="R48" i="60"/>
  <c r="R53" i="60"/>
  <c r="J60" i="60"/>
  <c r="R19" i="61"/>
  <c r="R25" i="61"/>
  <c r="R26" i="61"/>
  <c r="F30" i="61"/>
  <c r="R32" i="61"/>
  <c r="Z40" i="61"/>
  <c r="F45" i="61"/>
  <c r="R48" i="61"/>
  <c r="F52" i="61"/>
  <c r="F57" i="61"/>
  <c r="R59" i="61"/>
  <c r="X17" i="62"/>
  <c r="D101" i="62"/>
  <c r="J32" i="63"/>
  <c r="J19" i="65"/>
  <c r="R16" i="57"/>
  <c r="R21" i="57"/>
  <c r="R33" i="57"/>
  <c r="R42" i="57"/>
  <c r="R45" i="57"/>
  <c r="R50" i="57"/>
  <c r="R54" i="57"/>
  <c r="R57" i="57"/>
  <c r="L61" i="57"/>
  <c r="Z12" i="58"/>
  <c r="J16" i="58"/>
  <c r="J20" i="58"/>
  <c r="F21" i="58"/>
  <c r="V24" i="58"/>
  <c r="J28" i="58"/>
  <c r="F29" i="58"/>
  <c r="J32" i="58"/>
  <c r="F33" i="58"/>
  <c r="V36" i="58"/>
  <c r="J40" i="58"/>
  <c r="X43" i="58"/>
  <c r="Z43" i="58" s="1"/>
  <c r="V44" i="58"/>
  <c r="L45" i="58"/>
  <c r="N45" i="58" s="1"/>
  <c r="J48" i="58"/>
  <c r="X51" i="58"/>
  <c r="Z51" i="58" s="1"/>
  <c r="V52" i="58"/>
  <c r="L53" i="58"/>
  <c r="V56" i="58"/>
  <c r="L57" i="58"/>
  <c r="N57" i="58" s="1"/>
  <c r="F61" i="58"/>
  <c r="J64" i="58"/>
  <c r="F65" i="58"/>
  <c r="F69" i="58"/>
  <c r="F72" i="58"/>
  <c r="V72" i="58"/>
  <c r="L75" i="58"/>
  <c r="L12" i="59"/>
  <c r="X14" i="59"/>
  <c r="P16" i="59"/>
  <c r="F18" i="59"/>
  <c r="R18" i="59"/>
  <c r="F19" i="59"/>
  <c r="V19" i="59"/>
  <c r="R20" i="59"/>
  <c r="J23" i="59"/>
  <c r="F24" i="59"/>
  <c r="V27" i="59"/>
  <c r="R28" i="59"/>
  <c r="J29" i="59"/>
  <c r="V31" i="59"/>
  <c r="R32" i="59"/>
  <c r="J35" i="59"/>
  <c r="F36" i="59"/>
  <c r="V39" i="59"/>
  <c r="L40" i="59"/>
  <c r="J43" i="59"/>
  <c r="F44" i="59"/>
  <c r="R45" i="59"/>
  <c r="F47" i="59"/>
  <c r="V47" i="59"/>
  <c r="R48" i="59"/>
  <c r="J51" i="59"/>
  <c r="F55" i="59"/>
  <c r="V55" i="59"/>
  <c r="R56" i="59"/>
  <c r="J57" i="59"/>
  <c r="V59" i="59"/>
  <c r="L60" i="59"/>
  <c r="J63" i="59"/>
  <c r="F65" i="59"/>
  <c r="V65" i="59"/>
  <c r="J69" i="59"/>
  <c r="F71" i="59"/>
  <c r="V71" i="59"/>
  <c r="Z12" i="60"/>
  <c r="R14" i="60"/>
  <c r="J16" i="60"/>
  <c r="J20" i="60"/>
  <c r="F21" i="60"/>
  <c r="V24" i="60"/>
  <c r="R25" i="60"/>
  <c r="J28" i="60"/>
  <c r="V34" i="60"/>
  <c r="V35" i="60"/>
  <c r="N42" i="60"/>
  <c r="J44" i="60"/>
  <c r="R49" i="60"/>
  <c r="R50" i="60"/>
  <c r="V51" i="60"/>
  <c r="X14" i="61"/>
  <c r="F36" i="61"/>
  <c r="R38" i="61"/>
  <c r="F64" i="61"/>
  <c r="N14" i="62"/>
  <c r="V60" i="62"/>
  <c r="Z91" i="62"/>
  <c r="F81" i="63"/>
  <c r="F88" i="63"/>
  <c r="F82" i="63"/>
  <c r="F78" i="63"/>
  <c r="F77" i="63"/>
  <c r="F84" i="63"/>
  <c r="F66" i="63"/>
  <c r="F63" i="63"/>
  <c r="F51" i="63"/>
  <c r="F75" i="63"/>
  <c r="F57" i="63"/>
  <c r="F54" i="63"/>
  <c r="F50" i="63"/>
  <c r="F38" i="63"/>
  <c r="F33" i="63"/>
  <c r="F32" i="63"/>
  <c r="F71" i="63"/>
  <c r="F59" i="63"/>
  <c r="F56" i="63"/>
  <c r="F48" i="63"/>
  <c r="F36" i="63"/>
  <c r="F74" i="63"/>
  <c r="F67" i="63"/>
  <c r="F62" i="63"/>
  <c r="F47" i="63"/>
  <c r="F42" i="63"/>
  <c r="F70" i="63"/>
  <c r="F58" i="63"/>
  <c r="F53" i="63"/>
  <c r="F46" i="63"/>
  <c r="F61" i="63"/>
  <c r="F60" i="63"/>
  <c r="F52" i="63"/>
  <c r="F30" i="63"/>
  <c r="F21" i="63"/>
  <c r="F73" i="63"/>
  <c r="F72" i="63"/>
  <c r="F65" i="63"/>
  <c r="F43" i="63"/>
  <c r="F27" i="63"/>
  <c r="F19" i="63"/>
  <c r="F55" i="63"/>
  <c r="F45" i="63"/>
  <c r="F44" i="63"/>
  <c r="F26" i="63"/>
  <c r="F79" i="63"/>
  <c r="F35" i="63"/>
  <c r="F34" i="63"/>
  <c r="F25" i="63"/>
  <c r="F69" i="63"/>
  <c r="F68" i="63"/>
  <c r="F24" i="63"/>
  <c r="F76" i="63"/>
  <c r="F37" i="63"/>
  <c r="F23" i="63"/>
  <c r="F18" i="63"/>
  <c r="Z18" i="63"/>
  <c r="R26" i="63"/>
  <c r="D30" i="63"/>
  <c r="F40" i="63"/>
  <c r="R78" i="63"/>
  <c r="V59" i="65"/>
  <c r="R22" i="57"/>
  <c r="R34" i="57"/>
  <c r="R58" i="57"/>
  <c r="R63" i="57"/>
  <c r="J21" i="58"/>
  <c r="F22" i="58"/>
  <c r="V25" i="58"/>
  <c r="J29" i="58"/>
  <c r="J33" i="58"/>
  <c r="F34" i="58"/>
  <c r="V37" i="58"/>
  <c r="F41" i="58"/>
  <c r="V41" i="58"/>
  <c r="J43" i="58"/>
  <c r="F46" i="58"/>
  <c r="F49" i="58"/>
  <c r="V49" i="58"/>
  <c r="J51" i="58"/>
  <c r="F54" i="58"/>
  <c r="F58" i="58"/>
  <c r="J61" i="58"/>
  <c r="F62" i="58"/>
  <c r="J65" i="58"/>
  <c r="F66" i="58"/>
  <c r="J69" i="58"/>
  <c r="V73" i="58"/>
  <c r="F77" i="58"/>
  <c r="V77" i="58"/>
  <c r="V79" i="58"/>
  <c r="F84" i="58"/>
  <c r="V84" i="58"/>
  <c r="N12" i="59"/>
  <c r="J14" i="59"/>
  <c r="Z14" i="59"/>
  <c r="R16" i="59"/>
  <c r="V20" i="59"/>
  <c r="R21" i="59"/>
  <c r="J24" i="59"/>
  <c r="F25" i="59"/>
  <c r="V28" i="59"/>
  <c r="V32" i="59"/>
  <c r="R33" i="59"/>
  <c r="J36" i="59"/>
  <c r="F37" i="59"/>
  <c r="F41" i="59"/>
  <c r="R42" i="59"/>
  <c r="J44" i="59"/>
  <c r="V48" i="59"/>
  <c r="R49" i="59"/>
  <c r="F52" i="59"/>
  <c r="V52" i="59"/>
  <c r="R53" i="59"/>
  <c r="V56" i="59"/>
  <c r="F61" i="59"/>
  <c r="R62" i="59"/>
  <c r="F45" i="60"/>
  <c r="F40" i="60"/>
  <c r="F60" i="60"/>
  <c r="F54" i="60"/>
  <c r="F50" i="60"/>
  <c r="F38" i="60"/>
  <c r="F44" i="60"/>
  <c r="F41" i="60"/>
  <c r="F37" i="60"/>
  <c r="F65" i="60"/>
  <c r="F58" i="60"/>
  <c r="F43" i="60"/>
  <c r="F35" i="60"/>
  <c r="R19" i="60"/>
  <c r="J21" i="60"/>
  <c r="F22" i="60"/>
  <c r="V25" i="60"/>
  <c r="R26" i="60"/>
  <c r="F29" i="60"/>
  <c r="V29" i="60"/>
  <c r="R30" i="60"/>
  <c r="J38" i="60"/>
  <c r="N40" i="60"/>
  <c r="R43" i="60"/>
  <c r="R47" i="60"/>
  <c r="V53" i="60"/>
  <c r="F56" i="60"/>
  <c r="V62" i="60"/>
  <c r="D16" i="61"/>
  <c r="F18" i="61"/>
  <c r="F21" i="61"/>
  <c r="R37" i="61"/>
  <c r="R47" i="61"/>
  <c r="L19" i="62"/>
  <c r="V46" i="62"/>
  <c r="L51" i="62"/>
  <c r="V84" i="62"/>
  <c r="F20" i="63"/>
  <c r="R41" i="63"/>
  <c r="V82" i="65"/>
  <c r="V78" i="65"/>
  <c r="V66" i="65"/>
  <c r="V62" i="65"/>
  <c r="V54" i="65"/>
  <c r="V46" i="65"/>
  <c r="V42" i="65"/>
  <c r="V34" i="65"/>
  <c r="V22" i="65"/>
  <c r="V90" i="65"/>
  <c r="V74" i="65"/>
  <c r="V70" i="65"/>
  <c r="V58" i="65"/>
  <c r="V50" i="65"/>
  <c r="V38" i="65"/>
  <c r="V26" i="65"/>
  <c r="V95" i="65"/>
  <c r="V87" i="65"/>
  <c r="V77" i="65"/>
  <c r="V73" i="65"/>
  <c r="V69" i="65"/>
  <c r="V61" i="65"/>
  <c r="V49" i="65"/>
  <c r="V37" i="65"/>
  <c r="V33" i="65"/>
  <c r="V25" i="65"/>
  <c r="V65" i="65"/>
  <c r="V63" i="65"/>
  <c r="V52" i="65"/>
  <c r="V20" i="65"/>
  <c r="V81" i="65"/>
  <c r="V75" i="65"/>
  <c r="V57" i="65"/>
  <c r="V45" i="65"/>
  <c r="V39" i="65"/>
  <c r="V76" i="65"/>
  <c r="V72" i="65"/>
  <c r="V71" i="65"/>
  <c r="V24" i="65"/>
  <c r="V91" i="65"/>
  <c r="V88" i="65"/>
  <c r="V84" i="65"/>
  <c r="V79" i="65"/>
  <c r="V55" i="65"/>
  <c r="V43" i="65"/>
  <c r="V35" i="65"/>
  <c r="V23" i="65"/>
  <c r="V89" i="65"/>
  <c r="V85" i="65"/>
  <c r="V80" i="65"/>
  <c r="V68" i="65"/>
  <c r="V44" i="65"/>
  <c r="V36" i="65"/>
  <c r="V83" i="65"/>
  <c r="V64" i="65"/>
  <c r="V56" i="65"/>
  <c r="V40" i="65"/>
  <c r="V29" i="65"/>
  <c r="V28" i="65"/>
  <c r="V27" i="65"/>
  <c r="V53" i="65"/>
  <c r="V41" i="65"/>
  <c r="V47" i="65"/>
  <c r="T31" i="65"/>
  <c r="V67" i="65"/>
  <c r="V51" i="65"/>
  <c r="V19" i="65"/>
  <c r="V60" i="65"/>
  <c r="V48" i="65"/>
  <c r="P87" i="65"/>
  <c r="X87" i="65" s="1"/>
  <c r="Z87" i="65" s="1"/>
  <c r="X89" i="65"/>
  <c r="Z89" i="65" s="1"/>
  <c r="R48" i="57"/>
  <c r="R51" i="57"/>
  <c r="R55" i="57"/>
  <c r="R68" i="57"/>
  <c r="R75" i="57"/>
  <c r="J22" i="58"/>
  <c r="V26" i="58"/>
  <c r="V30" i="58"/>
  <c r="J34" i="58"/>
  <c r="V38" i="58"/>
  <c r="V42" i="58"/>
  <c r="J46" i="58"/>
  <c r="V50" i="58"/>
  <c r="J54" i="58"/>
  <c r="F55" i="58"/>
  <c r="J58" i="58"/>
  <c r="F59" i="58"/>
  <c r="J62" i="58"/>
  <c r="J66" i="58"/>
  <c r="F67" i="58"/>
  <c r="F70" i="58"/>
  <c r="V70" i="58"/>
  <c r="J72" i="58"/>
  <c r="D16" i="59"/>
  <c r="J19" i="59"/>
  <c r="R22" i="59"/>
  <c r="J25" i="59"/>
  <c r="F26" i="59"/>
  <c r="F30" i="59"/>
  <c r="R34" i="59"/>
  <c r="J37" i="59"/>
  <c r="F38" i="59"/>
  <c r="J41" i="59"/>
  <c r="F45" i="59"/>
  <c r="V45" i="59"/>
  <c r="R46" i="59"/>
  <c r="J47" i="59"/>
  <c r="V49" i="59"/>
  <c r="R50" i="59"/>
  <c r="V53" i="59"/>
  <c r="R54" i="59"/>
  <c r="J55" i="59"/>
  <c r="F58" i="59"/>
  <c r="J61" i="59"/>
  <c r="J65" i="59"/>
  <c r="R67" i="59"/>
  <c r="J71" i="59"/>
  <c r="R74" i="59"/>
  <c r="J62" i="60"/>
  <c r="J56" i="60"/>
  <c r="J52" i="60"/>
  <c r="J48" i="60"/>
  <c r="J42" i="60"/>
  <c r="J47" i="60"/>
  <c r="J41" i="60"/>
  <c r="J37" i="60"/>
  <c r="J65" i="60"/>
  <c r="J58" i="60"/>
  <c r="J36" i="60"/>
  <c r="J46" i="60"/>
  <c r="J40" i="60"/>
  <c r="J34" i="60"/>
  <c r="V14" i="60"/>
  <c r="J22" i="60"/>
  <c r="F23" i="60"/>
  <c r="V26" i="60"/>
  <c r="R27" i="60"/>
  <c r="V30" i="60"/>
  <c r="V31" i="60"/>
  <c r="R32" i="60"/>
  <c r="V41" i="60"/>
  <c r="V43" i="60"/>
  <c r="V49" i="60"/>
  <c r="R60" i="60"/>
  <c r="R28" i="61"/>
  <c r="X29" i="61"/>
  <c r="Z29" i="61" s="1"/>
  <c r="R30" i="61"/>
  <c r="R53" i="61"/>
  <c r="N31" i="62"/>
  <c r="L42" i="62"/>
  <c r="Z44" i="62"/>
  <c r="V50" i="62"/>
  <c r="V55" i="62"/>
  <c r="V72" i="62"/>
  <c r="T101" i="62"/>
  <c r="T30" i="63"/>
  <c r="Z32" i="63"/>
  <c r="V32" i="63"/>
  <c r="F39" i="63"/>
  <c r="X12" i="57"/>
  <c r="R24" i="57"/>
  <c r="R29" i="57"/>
  <c r="R36" i="57"/>
  <c r="R52" i="57"/>
  <c r="R61" i="57"/>
  <c r="R64" i="57"/>
  <c r="R70" i="57"/>
  <c r="L12" i="58"/>
  <c r="F18" i="58"/>
  <c r="F19" i="58"/>
  <c r="V19" i="58"/>
  <c r="J23" i="58"/>
  <c r="F24" i="58"/>
  <c r="V27" i="58"/>
  <c r="V31" i="58"/>
  <c r="J35" i="58"/>
  <c r="F36" i="58"/>
  <c r="V39" i="58"/>
  <c r="J41" i="58"/>
  <c r="F44" i="58"/>
  <c r="F47" i="58"/>
  <c r="V47" i="58"/>
  <c r="J49" i="58"/>
  <c r="F52" i="58"/>
  <c r="J55" i="58"/>
  <c r="F56" i="58"/>
  <c r="J59" i="58"/>
  <c r="F63" i="58"/>
  <c r="V63" i="58"/>
  <c r="J67" i="58"/>
  <c r="V71" i="58"/>
  <c r="J77" i="58"/>
  <c r="J84" i="58"/>
  <c r="F16" i="59"/>
  <c r="V16" i="59"/>
  <c r="J18" i="59"/>
  <c r="V18" i="59"/>
  <c r="V22" i="59"/>
  <c r="R23" i="59"/>
  <c r="J26" i="59"/>
  <c r="F27" i="59"/>
  <c r="J30" i="59"/>
  <c r="F31" i="59"/>
  <c r="V34" i="59"/>
  <c r="R35" i="59"/>
  <c r="J38" i="59"/>
  <c r="F39" i="59"/>
  <c r="R40" i="59"/>
  <c r="F42" i="59"/>
  <c r="V42" i="59"/>
  <c r="R43" i="59"/>
  <c r="V46" i="59"/>
  <c r="V50" i="59"/>
  <c r="R51" i="59"/>
  <c r="J52" i="59"/>
  <c r="V54" i="59"/>
  <c r="J58" i="59"/>
  <c r="F59" i="59"/>
  <c r="R60" i="59"/>
  <c r="F62" i="59"/>
  <c r="V62" i="59"/>
  <c r="R63" i="59"/>
  <c r="R69" i="59"/>
  <c r="L12" i="60"/>
  <c r="P16" i="60"/>
  <c r="F18" i="60"/>
  <c r="R18" i="60"/>
  <c r="F19" i="60"/>
  <c r="V19" i="60"/>
  <c r="R20" i="60"/>
  <c r="J23" i="60"/>
  <c r="F24" i="60"/>
  <c r="V27" i="60"/>
  <c r="R28" i="60"/>
  <c r="J29" i="60"/>
  <c r="V47" i="60"/>
  <c r="F52" i="60"/>
  <c r="F53" i="60"/>
  <c r="F43" i="61"/>
  <c r="F35" i="61"/>
  <c r="F23" i="61"/>
  <c r="F14" i="61"/>
  <c r="F48" i="61"/>
  <c r="F32" i="61"/>
  <c r="F28" i="61"/>
  <c r="F20" i="61"/>
  <c r="F51" i="61"/>
  <c r="F42" i="61"/>
  <c r="F39" i="61"/>
  <c r="F31" i="61"/>
  <c r="F27" i="61"/>
  <c r="F16" i="61"/>
  <c r="F61" i="61"/>
  <c r="F55" i="61"/>
  <c r="F50" i="61"/>
  <c r="F38" i="61"/>
  <c r="F59" i="61"/>
  <c r="F53" i="61"/>
  <c r="F44" i="61"/>
  <c r="F41" i="61"/>
  <c r="F37" i="61"/>
  <c r="F25" i="61"/>
  <c r="F19" i="61"/>
  <c r="R22" i="61"/>
  <c r="F33" i="61"/>
  <c r="F34" i="61"/>
  <c r="F40" i="61"/>
  <c r="F49" i="61"/>
  <c r="Z52" i="61"/>
  <c r="R55" i="61"/>
  <c r="N19" i="62"/>
  <c r="V52" i="62"/>
  <c r="V58" i="62"/>
  <c r="F28" i="63"/>
  <c r="X32" i="63"/>
  <c r="H86" i="63"/>
  <c r="V21" i="65"/>
  <c r="R14" i="57"/>
  <c r="R25" i="57"/>
  <c r="R37" i="57"/>
  <c r="R41" i="57"/>
  <c r="R46" i="57"/>
  <c r="R49" i="57"/>
  <c r="N12" i="58"/>
  <c r="J14" i="58"/>
  <c r="V20" i="58"/>
  <c r="J24" i="58"/>
  <c r="F25" i="58"/>
  <c r="V28" i="58"/>
  <c r="J30" i="58"/>
  <c r="V32" i="58"/>
  <c r="J36" i="58"/>
  <c r="F37" i="58"/>
  <c r="V40" i="58"/>
  <c r="J44" i="58"/>
  <c r="V48" i="58"/>
  <c r="J52" i="58"/>
  <c r="J56" i="58"/>
  <c r="F60" i="58"/>
  <c r="V60" i="58"/>
  <c r="V64" i="58"/>
  <c r="F68" i="58"/>
  <c r="F73" i="58"/>
  <c r="X12" i="59"/>
  <c r="H16" i="59"/>
  <c r="F20" i="59"/>
  <c r="V23" i="59"/>
  <c r="R24" i="59"/>
  <c r="J27" i="59"/>
  <c r="F28" i="59"/>
  <c r="R29" i="59"/>
  <c r="J31" i="59"/>
  <c r="F32" i="59"/>
  <c r="V35" i="59"/>
  <c r="R36" i="59"/>
  <c r="J39" i="59"/>
  <c r="V43" i="59"/>
  <c r="R44" i="59"/>
  <c r="J45" i="59"/>
  <c r="F48" i="59"/>
  <c r="V51" i="59"/>
  <c r="F56" i="59"/>
  <c r="V63" i="59"/>
  <c r="F67" i="59"/>
  <c r="V67" i="59"/>
  <c r="V69" i="59"/>
  <c r="N12" i="60"/>
  <c r="J14" i="60"/>
  <c r="R16" i="60"/>
  <c r="V20" i="60"/>
  <c r="R21" i="60"/>
  <c r="J24" i="60"/>
  <c r="F25" i="60"/>
  <c r="V28" i="60"/>
  <c r="J35" i="60"/>
  <c r="F36" i="60"/>
  <c r="R38" i="60"/>
  <c r="V39" i="60"/>
  <c r="R40" i="60"/>
  <c r="V42" i="60"/>
  <c r="F46" i="60"/>
  <c r="F47" i="60"/>
  <c r="F49" i="60"/>
  <c r="F51" i="60"/>
  <c r="N53" i="60"/>
  <c r="J54" i="60"/>
  <c r="P16" i="61"/>
  <c r="X18" i="61"/>
  <c r="Z18" i="61" s="1"/>
  <c r="N19" i="61"/>
  <c r="F26" i="61"/>
  <c r="N40" i="61"/>
  <c r="X44" i="61"/>
  <c r="Z44" i="61" s="1"/>
  <c r="V108" i="62"/>
  <c r="V103" i="62"/>
  <c r="V101" i="62"/>
  <c r="V85" i="62"/>
  <c r="V77" i="62"/>
  <c r="V73" i="62"/>
  <c r="V69" i="62"/>
  <c r="V61" i="62"/>
  <c r="V53" i="62"/>
  <c r="V49" i="62"/>
  <c r="V41" i="62"/>
  <c r="V33" i="62"/>
  <c r="V29" i="62"/>
  <c r="V21" i="62"/>
  <c r="V97" i="62"/>
  <c r="V87" i="62"/>
  <c r="V83" i="62"/>
  <c r="V79" i="62"/>
  <c r="V75" i="62"/>
  <c r="V90" i="62"/>
  <c r="V82" i="62"/>
  <c r="V78" i="62"/>
  <c r="V70" i="62"/>
  <c r="V62" i="62"/>
  <c r="V54" i="62"/>
  <c r="V42" i="62"/>
  <c r="V38" i="62"/>
  <c r="V26" i="62"/>
  <c r="V14" i="62"/>
  <c r="V105" i="62"/>
  <c r="V99" i="62"/>
  <c r="V93" i="62"/>
  <c r="V89" i="62"/>
  <c r="V81" i="62"/>
  <c r="V65" i="62"/>
  <c r="V57" i="62"/>
  <c r="V45" i="62"/>
  <c r="V37" i="62"/>
  <c r="V25" i="62"/>
  <c r="V92" i="62"/>
  <c r="V80" i="62"/>
  <c r="V64" i="62"/>
  <c r="V56" i="62"/>
  <c r="V44" i="62"/>
  <c r="V36" i="62"/>
  <c r="V24" i="62"/>
  <c r="Z12" i="62"/>
  <c r="V95" i="62"/>
  <c r="V91" i="62"/>
  <c r="V67" i="62"/>
  <c r="V59" i="62"/>
  <c r="V47" i="62"/>
  <c r="V35" i="62"/>
  <c r="V23" i="62"/>
  <c r="V19" i="62"/>
  <c r="V17" i="62"/>
  <c r="X12" i="62"/>
  <c r="X19" i="62"/>
  <c r="Z19" i="62" s="1"/>
  <c r="X20" i="62"/>
  <c r="Z20" i="62" s="1"/>
  <c r="V30" i="62"/>
  <c r="V32" i="62"/>
  <c r="X48" i="62"/>
  <c r="Z48" i="62" s="1"/>
  <c r="V51" i="62"/>
  <c r="X68" i="62"/>
  <c r="Z68" i="62" s="1"/>
  <c r="N75" i="62"/>
  <c r="L87" i="62"/>
  <c r="N87" i="62" s="1"/>
  <c r="V88" i="62"/>
  <c r="L12" i="63"/>
  <c r="R24" i="63"/>
  <c r="L32" i="63"/>
  <c r="F64" i="63"/>
  <c r="R65" i="63"/>
  <c r="R66" i="63"/>
  <c r="R73" i="63"/>
  <c r="R74" i="63"/>
  <c r="L14" i="64"/>
  <c r="D12" i="64"/>
  <c r="N12" i="61"/>
  <c r="J14" i="61"/>
  <c r="V20" i="61"/>
  <c r="J24" i="61"/>
  <c r="V28" i="61"/>
  <c r="V32" i="61"/>
  <c r="J36" i="61"/>
  <c r="V44" i="61"/>
  <c r="V48" i="61"/>
  <c r="J15" i="62"/>
  <c r="F17" i="62"/>
  <c r="J19" i="62"/>
  <c r="R24" i="62"/>
  <c r="J27" i="62"/>
  <c r="F28" i="62"/>
  <c r="F32" i="62"/>
  <c r="R36" i="62"/>
  <c r="J39" i="62"/>
  <c r="F40" i="62"/>
  <c r="J43" i="62"/>
  <c r="F52" i="62"/>
  <c r="J55" i="62"/>
  <c r="J63" i="62"/>
  <c r="J71" i="62"/>
  <c r="F72" i="62"/>
  <c r="F76" i="62"/>
  <c r="J79" i="62"/>
  <c r="J83" i="62"/>
  <c r="F84" i="62"/>
  <c r="F88" i="62"/>
  <c r="R89" i="62"/>
  <c r="F91" i="62"/>
  <c r="R92" i="62"/>
  <c r="J101" i="62"/>
  <c r="R105" i="62"/>
  <c r="J108" i="62"/>
  <c r="V81" i="63"/>
  <c r="V80" i="63"/>
  <c r="V76" i="63"/>
  <c r="V70" i="63"/>
  <c r="V66" i="63"/>
  <c r="V58" i="63"/>
  <c r="V46" i="63"/>
  <c r="V78" i="63"/>
  <c r="V77" i="63"/>
  <c r="V73" i="63"/>
  <c r="V69" i="63"/>
  <c r="V61" i="63"/>
  <c r="V57" i="63"/>
  <c r="V45" i="63"/>
  <c r="V41" i="63"/>
  <c r="V33" i="63"/>
  <c r="V82" i="63"/>
  <c r="V71" i="63"/>
  <c r="V63" i="63"/>
  <c r="V59" i="63"/>
  <c r="V51" i="63"/>
  <c r="V43" i="63"/>
  <c r="V39" i="63"/>
  <c r="V75" i="63"/>
  <c r="V74" i="63"/>
  <c r="V62" i="63"/>
  <c r="V54" i="63"/>
  <c r="V50" i="63"/>
  <c r="V42" i="63"/>
  <c r="V88" i="63"/>
  <c r="V65" i="63"/>
  <c r="V53" i="63"/>
  <c r="V49" i="63"/>
  <c r="V37" i="63"/>
  <c r="V18" i="63"/>
  <c r="J22" i="63"/>
  <c r="V26" i="63"/>
  <c r="J30" i="63"/>
  <c r="J36" i="63"/>
  <c r="J51" i="63"/>
  <c r="V72" i="63"/>
  <c r="J80" i="63"/>
  <c r="X81" i="63"/>
  <c r="Z81" i="63" s="1"/>
  <c r="L84" i="63"/>
  <c r="N84" i="63"/>
  <c r="H63" i="64"/>
  <c r="N64" i="67"/>
  <c r="L64" i="67"/>
  <c r="J64" i="67"/>
  <c r="Z47" i="71"/>
  <c r="V47" i="71"/>
  <c r="J76" i="62"/>
  <c r="F77" i="62"/>
  <c r="R78" i="62"/>
  <c r="F80" i="62"/>
  <c r="R81" i="62"/>
  <c r="J84" i="62"/>
  <c r="F85" i="62"/>
  <c r="J88" i="62"/>
  <c r="R93" i="62"/>
  <c r="J94" i="62"/>
  <c r="F98" i="62"/>
  <c r="R99" i="62"/>
  <c r="F103" i="62"/>
  <c r="J23" i="63"/>
  <c r="Z64" i="63"/>
  <c r="X64" i="63"/>
  <c r="L76" i="63"/>
  <c r="N76" i="63" s="1"/>
  <c r="J84" i="63"/>
  <c r="L13" i="65"/>
  <c r="N13" i="65" s="1"/>
  <c r="D12" i="65"/>
  <c r="Z33" i="65"/>
  <c r="J42" i="67"/>
  <c r="N107" i="67"/>
  <c r="V16" i="61"/>
  <c r="J18" i="61"/>
  <c r="V18" i="61"/>
  <c r="V22" i="61"/>
  <c r="J26" i="61"/>
  <c r="J30" i="61"/>
  <c r="V34" i="61"/>
  <c r="J38" i="61"/>
  <c r="V42" i="61"/>
  <c r="J44" i="61"/>
  <c r="V46" i="61"/>
  <c r="L47" i="61"/>
  <c r="N47" i="61" s="1"/>
  <c r="J50" i="61"/>
  <c r="X55" i="61"/>
  <c r="J17" i="62"/>
  <c r="J21" i="62"/>
  <c r="F22" i="62"/>
  <c r="R26" i="62"/>
  <c r="J29" i="62"/>
  <c r="F30" i="62"/>
  <c r="R31" i="62"/>
  <c r="J33" i="62"/>
  <c r="F34" i="62"/>
  <c r="R38" i="62"/>
  <c r="J41" i="62"/>
  <c r="L46" i="62"/>
  <c r="N46" i="62" s="1"/>
  <c r="J49" i="62"/>
  <c r="F50" i="62"/>
  <c r="R51" i="62"/>
  <c r="J53" i="62"/>
  <c r="X56" i="62"/>
  <c r="Z56" i="62" s="1"/>
  <c r="L58" i="62"/>
  <c r="N58" i="62" s="1"/>
  <c r="J61" i="62"/>
  <c r="X64" i="62"/>
  <c r="Z64" i="62" s="1"/>
  <c r="L66" i="62"/>
  <c r="J69" i="62"/>
  <c r="J73" i="62"/>
  <c r="F74" i="62"/>
  <c r="R75" i="62"/>
  <c r="J77" i="62"/>
  <c r="R82" i="62"/>
  <c r="J85" i="62"/>
  <c r="F86" i="62"/>
  <c r="R87" i="62"/>
  <c r="F89" i="62"/>
  <c r="R90" i="62"/>
  <c r="J91" i="62"/>
  <c r="R97" i="62"/>
  <c r="J98" i="62"/>
  <c r="J103" i="62"/>
  <c r="F105" i="62"/>
  <c r="Z12" i="63"/>
  <c r="J18" i="63"/>
  <c r="V20" i="63"/>
  <c r="J24" i="63"/>
  <c r="V28" i="63"/>
  <c r="J33" i="63"/>
  <c r="V52" i="63"/>
  <c r="L55" i="63"/>
  <c r="J56" i="63"/>
  <c r="V60" i="63"/>
  <c r="V64" i="63"/>
  <c r="L25" i="64"/>
  <c r="R34" i="64"/>
  <c r="Z35" i="64"/>
  <c r="X35" i="64"/>
  <c r="L43" i="64"/>
  <c r="R59" i="64"/>
  <c r="P12" i="65"/>
  <c r="X13" i="65"/>
  <c r="Z13" i="65" s="1"/>
  <c r="N84" i="65"/>
  <c r="L84" i="65"/>
  <c r="J100" i="67"/>
  <c r="R72" i="68"/>
  <c r="R68" i="68"/>
  <c r="R75" i="68"/>
  <c r="R79" i="68"/>
  <c r="R66" i="68"/>
  <c r="R61" i="68"/>
  <c r="R57" i="68"/>
  <c r="R45" i="68"/>
  <c r="R37" i="68"/>
  <c r="R33" i="68"/>
  <c r="R26" i="68"/>
  <c r="R21" i="68"/>
  <c r="R71" i="68"/>
  <c r="R65" i="68"/>
  <c r="R62" i="68"/>
  <c r="R58" i="68"/>
  <c r="R41" i="68"/>
  <c r="R29" i="68"/>
  <c r="R52" i="68"/>
  <c r="R49" i="68"/>
  <c r="R40" i="68"/>
  <c r="R28" i="68"/>
  <c r="R67" i="68"/>
  <c r="R48" i="68"/>
  <c r="R43" i="68"/>
  <c r="R74" i="68"/>
  <c r="R64" i="68"/>
  <c r="R44" i="68"/>
  <c r="R42" i="68"/>
  <c r="X12" i="68"/>
  <c r="Z12" i="68" s="1"/>
  <c r="R59" i="68"/>
  <c r="R46" i="68"/>
  <c r="R31" i="68"/>
  <c r="R30" i="68"/>
  <c r="R25" i="68"/>
  <c r="R63" i="68"/>
  <c r="R60" i="68"/>
  <c r="R32" i="68"/>
  <c r="R19" i="68"/>
  <c r="R69" i="68"/>
  <c r="R56" i="68"/>
  <c r="R55" i="68"/>
  <c r="R54" i="68"/>
  <c r="R53" i="68"/>
  <c r="R51" i="68"/>
  <c r="R20" i="68"/>
  <c r="R70" i="68"/>
  <c r="R50" i="68"/>
  <c r="R36" i="68"/>
  <c r="R35" i="68"/>
  <c r="R34" i="68"/>
  <c r="R27" i="68"/>
  <c r="P23" i="68"/>
  <c r="R23" i="68" s="1"/>
  <c r="J53" i="68"/>
  <c r="N53" i="68"/>
  <c r="H16" i="61"/>
  <c r="V23" i="61"/>
  <c r="J27" i="61"/>
  <c r="J31" i="61"/>
  <c r="V35" i="61"/>
  <c r="J39" i="61"/>
  <c r="V43" i="61"/>
  <c r="J51" i="61"/>
  <c r="J55" i="61"/>
  <c r="J61" i="61"/>
  <c r="F14" i="62"/>
  <c r="R15" i="62"/>
  <c r="R20" i="62"/>
  <c r="J22" i="62"/>
  <c r="F23" i="62"/>
  <c r="R27" i="62"/>
  <c r="J30" i="62"/>
  <c r="J34" i="62"/>
  <c r="F35" i="62"/>
  <c r="R39" i="62"/>
  <c r="F42" i="62"/>
  <c r="R43" i="62"/>
  <c r="J44" i="62"/>
  <c r="F47" i="62"/>
  <c r="R48" i="62"/>
  <c r="J50" i="62"/>
  <c r="F54" i="62"/>
  <c r="R55" i="62"/>
  <c r="J56" i="62"/>
  <c r="F59" i="62"/>
  <c r="R60" i="62"/>
  <c r="F62" i="62"/>
  <c r="R63" i="62"/>
  <c r="J64" i="62"/>
  <c r="F67" i="62"/>
  <c r="R68" i="62"/>
  <c r="F70" i="62"/>
  <c r="R71" i="62"/>
  <c r="J74" i="62"/>
  <c r="F78" i="62"/>
  <c r="R79" i="62"/>
  <c r="J80" i="62"/>
  <c r="R83" i="62"/>
  <c r="J86" i="62"/>
  <c r="F95" i="62"/>
  <c r="V21" i="63"/>
  <c r="J25" i="63"/>
  <c r="J34" i="63"/>
  <c r="Z53" i="63"/>
  <c r="N57" i="63"/>
  <c r="X33" i="64"/>
  <c r="L56" i="65"/>
  <c r="N56" i="65" s="1"/>
  <c r="D12" i="67"/>
  <c r="L15" i="67"/>
  <c r="Z74" i="67"/>
  <c r="V74" i="67"/>
  <c r="V66" i="68"/>
  <c r="J77" i="63"/>
  <c r="J86" i="63"/>
  <c r="J88" i="63"/>
  <c r="J75" i="63"/>
  <c r="J68" i="63"/>
  <c r="J54" i="63"/>
  <c r="J50" i="63"/>
  <c r="J71" i="63"/>
  <c r="J65" i="63"/>
  <c r="J59" i="63"/>
  <c r="J49" i="63"/>
  <c r="J37" i="63"/>
  <c r="J67" i="63"/>
  <c r="J53" i="63"/>
  <c r="J47" i="63"/>
  <c r="J35" i="63"/>
  <c r="J70" i="63"/>
  <c r="J64" i="63"/>
  <c r="J58" i="63"/>
  <c r="J46" i="63"/>
  <c r="J81" i="63"/>
  <c r="J79" i="63"/>
  <c r="J78" i="63"/>
  <c r="J76" i="63"/>
  <c r="J73" i="63"/>
  <c r="J69" i="63"/>
  <c r="J61" i="63"/>
  <c r="J55" i="63"/>
  <c r="J45" i="63"/>
  <c r="J41" i="63"/>
  <c r="J26" i="63"/>
  <c r="J44" i="63"/>
  <c r="N55" i="63"/>
  <c r="J57" i="63"/>
  <c r="L66" i="63"/>
  <c r="N66" i="63" s="1"/>
  <c r="Z24" i="64"/>
  <c r="X24" i="64"/>
  <c r="L28" i="64"/>
  <c r="N28" i="64"/>
  <c r="X43" i="64"/>
  <c r="L33" i="65"/>
  <c r="N33" i="65" s="1"/>
  <c r="N102" i="67"/>
  <c r="L102" i="67"/>
  <c r="N56" i="68"/>
  <c r="J56" i="68"/>
  <c r="X66" i="69"/>
  <c r="Z66" i="69" s="1"/>
  <c r="L108" i="67"/>
  <c r="D107" i="67"/>
  <c r="L107" i="67" s="1"/>
  <c r="N58" i="73"/>
  <c r="L58" i="73"/>
  <c r="J22" i="61"/>
  <c r="V26" i="61"/>
  <c r="V30" i="61"/>
  <c r="J34" i="61"/>
  <c r="V38" i="61"/>
  <c r="J40" i="61"/>
  <c r="J46" i="61"/>
  <c r="R17" i="62"/>
  <c r="R22" i="62"/>
  <c r="J25" i="62"/>
  <c r="F26" i="62"/>
  <c r="R30" i="62"/>
  <c r="J31" i="62"/>
  <c r="R34" i="62"/>
  <c r="J37" i="62"/>
  <c r="F38" i="62"/>
  <c r="J45" i="62"/>
  <c r="R50" i="62"/>
  <c r="J51" i="62"/>
  <c r="J57" i="62"/>
  <c r="J65" i="62"/>
  <c r="R74" i="62"/>
  <c r="J75" i="62"/>
  <c r="J81" i="62"/>
  <c r="F82" i="62"/>
  <c r="R86" i="62"/>
  <c r="J87" i="62"/>
  <c r="F90" i="62"/>
  <c r="R91" i="62"/>
  <c r="J93" i="62"/>
  <c r="F101" i="62"/>
  <c r="N12" i="63"/>
  <c r="J20" i="63"/>
  <c r="V24" i="63"/>
  <c r="J28" i="63"/>
  <c r="V30" i="63"/>
  <c r="V34" i="63"/>
  <c r="J38" i="63"/>
  <c r="J39" i="63"/>
  <c r="J40" i="63"/>
  <c r="Z55" i="63"/>
  <c r="V56" i="63"/>
  <c r="X57" i="63"/>
  <c r="J63" i="63"/>
  <c r="L81" i="63"/>
  <c r="N81" i="63" s="1"/>
  <c r="R48" i="64"/>
  <c r="R44" i="64"/>
  <c r="R41" i="64"/>
  <c r="R36" i="64"/>
  <c r="R33" i="64"/>
  <c r="R49" i="64"/>
  <c r="R40" i="64"/>
  <c r="R37" i="64"/>
  <c r="R32" i="64"/>
  <c r="R25" i="64"/>
  <c r="R20" i="64"/>
  <c r="X12" i="64"/>
  <c r="R61" i="64"/>
  <c r="R55" i="64"/>
  <c r="R52" i="64"/>
  <c r="R28" i="64"/>
  <c r="R19" i="64"/>
  <c r="R50" i="64"/>
  <c r="R47" i="64"/>
  <c r="R31" i="64"/>
  <c r="R51" i="64"/>
  <c r="R22" i="64"/>
  <c r="R54" i="64"/>
  <c r="R45" i="64"/>
  <c r="R43" i="64"/>
  <c r="R42" i="64"/>
  <c r="R39" i="64"/>
  <c r="R26" i="64"/>
  <c r="R27" i="64"/>
  <c r="R18" i="64"/>
  <c r="R29" i="64"/>
  <c r="Z49" i="64"/>
  <c r="X49" i="64"/>
  <c r="R57" i="64"/>
  <c r="X76" i="67"/>
  <c r="Z76" i="67" s="1"/>
  <c r="Z36" i="68"/>
  <c r="H81" i="68"/>
  <c r="J67" i="74"/>
  <c r="Z51" i="73"/>
  <c r="J29" i="64"/>
  <c r="Z37" i="64"/>
  <c r="J43" i="64"/>
  <c r="J66" i="64"/>
  <c r="J20" i="65"/>
  <c r="J39" i="65"/>
  <c r="J51" i="65"/>
  <c r="J52" i="65"/>
  <c r="J58" i="65"/>
  <c r="Z71" i="65"/>
  <c r="N43" i="67"/>
  <c r="J68" i="67"/>
  <c r="N92" i="67"/>
  <c r="J104" i="67"/>
  <c r="P107" i="67"/>
  <c r="X107" i="67" s="1"/>
  <c r="Z107" i="67" s="1"/>
  <c r="X14" i="68"/>
  <c r="Z14" i="68" s="1"/>
  <c r="Z26" i="68"/>
  <c r="V47" i="68"/>
  <c r="L58" i="68"/>
  <c r="N58" i="68" s="1"/>
  <c r="L62" i="68"/>
  <c r="N62" i="68" s="1"/>
  <c r="L75" i="68"/>
  <c r="D74" i="68"/>
  <c r="L74" i="68" s="1"/>
  <c r="J71" i="71"/>
  <c r="J57" i="71"/>
  <c r="J51" i="71"/>
  <c r="J41" i="71"/>
  <c r="J29" i="71"/>
  <c r="J23" i="71"/>
  <c r="J17" i="71"/>
  <c r="J67" i="71"/>
  <c r="J63" i="71"/>
  <c r="J59" i="71"/>
  <c r="J53" i="71"/>
  <c r="J45" i="71"/>
  <c r="J39" i="71"/>
  <c r="J27" i="71"/>
  <c r="J65" i="71"/>
  <c r="J61" i="71"/>
  <c r="J55" i="71"/>
  <c r="J47" i="71"/>
  <c r="J37" i="71"/>
  <c r="J33" i="71"/>
  <c r="J25" i="71"/>
  <c r="J78" i="71"/>
  <c r="J72" i="71"/>
  <c r="J58" i="71"/>
  <c r="J52" i="71"/>
  <c r="J44" i="71"/>
  <c r="J36" i="71"/>
  <c r="J32" i="71"/>
  <c r="J24" i="71"/>
  <c r="J48" i="71"/>
  <c r="J46" i="71"/>
  <c r="J69" i="71"/>
  <c r="J66" i="71"/>
  <c r="J62" i="71"/>
  <c r="J50" i="71"/>
  <c r="J38" i="71"/>
  <c r="J28" i="71"/>
  <c r="J68" i="71"/>
  <c r="J18" i="71"/>
  <c r="J54" i="71"/>
  <c r="J31" i="71"/>
  <c r="J30" i="71"/>
  <c r="J74" i="71"/>
  <c r="J56" i="71"/>
  <c r="J35" i="71"/>
  <c r="J34" i="71"/>
  <c r="J26" i="71"/>
  <c r="Z58" i="73"/>
  <c r="F82" i="73"/>
  <c r="T59" i="64"/>
  <c r="Z22" i="64"/>
  <c r="N24" i="64"/>
  <c r="J48" i="64"/>
  <c r="X54" i="64"/>
  <c r="J63" i="64"/>
  <c r="J84" i="65"/>
  <c r="J74" i="65"/>
  <c r="J70" i="65"/>
  <c r="J64" i="65"/>
  <c r="J56" i="65"/>
  <c r="J50" i="65"/>
  <c r="J38" i="65"/>
  <c r="J26" i="65"/>
  <c r="J89" i="65"/>
  <c r="J82" i="65"/>
  <c r="J66" i="65"/>
  <c r="J60" i="65"/>
  <c r="J54" i="65"/>
  <c r="J46" i="65"/>
  <c r="J42" i="65"/>
  <c r="H31" i="65"/>
  <c r="J22" i="65"/>
  <c r="J85" i="65"/>
  <c r="J75" i="65"/>
  <c r="J71" i="65"/>
  <c r="J65" i="65"/>
  <c r="J57" i="65"/>
  <c r="J53" i="65"/>
  <c r="J41" i="65"/>
  <c r="J33" i="65"/>
  <c r="J29" i="65"/>
  <c r="J21" i="65"/>
  <c r="L58" i="65"/>
  <c r="J61" i="65"/>
  <c r="N62" i="65"/>
  <c r="J63" i="65"/>
  <c r="X84" i="65"/>
  <c r="Z19" i="67"/>
  <c r="T40" i="67"/>
  <c r="J53" i="67"/>
  <c r="N72" i="67"/>
  <c r="L76" i="67"/>
  <c r="N76" i="67" s="1"/>
  <c r="V79" i="67"/>
  <c r="X83" i="67"/>
  <c r="Z83" i="67" s="1"/>
  <c r="N88" i="67"/>
  <c r="J92" i="67"/>
  <c r="L104" i="67"/>
  <c r="N104" i="67" s="1"/>
  <c r="V26" i="68"/>
  <c r="Z47" i="68"/>
  <c r="J64" i="68"/>
  <c r="J74" i="69"/>
  <c r="J68" i="69"/>
  <c r="J60" i="69"/>
  <c r="J54" i="69"/>
  <c r="J46" i="69"/>
  <c r="J42" i="69"/>
  <c r="H31" i="69"/>
  <c r="J22" i="69"/>
  <c r="J77" i="69"/>
  <c r="J70" i="69"/>
  <c r="J62" i="69"/>
  <c r="J79" i="69"/>
  <c r="J64" i="69"/>
  <c r="J56" i="69"/>
  <c r="J50" i="69"/>
  <c r="J38" i="69"/>
  <c r="J26" i="69"/>
  <c r="J69" i="69"/>
  <c r="J61" i="69"/>
  <c r="J49" i="69"/>
  <c r="J37" i="69"/>
  <c r="J25" i="69"/>
  <c r="J19" i="69"/>
  <c r="J78" i="69"/>
  <c r="J58" i="69"/>
  <c r="J55" i="69"/>
  <c r="J57" i="69"/>
  <c r="J47" i="69"/>
  <c r="J33" i="69"/>
  <c r="J71" i="69"/>
  <c r="J73" i="69"/>
  <c r="J63" i="69"/>
  <c r="J52" i="69"/>
  <c r="J51" i="69"/>
  <c r="J40" i="69"/>
  <c r="J28" i="69"/>
  <c r="J27" i="69"/>
  <c r="J83" i="69"/>
  <c r="J66" i="69"/>
  <c r="J53" i="69"/>
  <c r="X15" i="69"/>
  <c r="P12" i="69"/>
  <c r="J59" i="69"/>
  <c r="N60" i="69"/>
  <c r="N23" i="71"/>
  <c r="J40" i="71"/>
  <c r="J43" i="71"/>
  <c r="J64" i="71"/>
  <c r="H25" i="72"/>
  <c r="F49" i="73"/>
  <c r="V25" i="75"/>
  <c r="N27" i="75"/>
  <c r="J27" i="75"/>
  <c r="L18" i="76"/>
  <c r="N18" i="76" s="1"/>
  <c r="D23" i="76"/>
  <c r="V25" i="76"/>
  <c r="J20" i="80"/>
  <c r="J16" i="80"/>
  <c r="J19" i="80"/>
  <c r="J30" i="80"/>
  <c r="J24" i="80"/>
  <c r="J14" i="80"/>
  <c r="N12" i="80"/>
  <c r="H16" i="80"/>
  <c r="J35" i="80"/>
  <c r="J32" i="80"/>
  <c r="J22" i="80"/>
  <c r="J21" i="80"/>
  <c r="L12" i="80"/>
  <c r="J28" i="80"/>
  <c r="J23" i="80"/>
  <c r="J18" i="80"/>
  <c r="J26" i="80"/>
  <c r="P28" i="80"/>
  <c r="Z18" i="64"/>
  <c r="J31" i="64"/>
  <c r="J32" i="64"/>
  <c r="L35" i="64"/>
  <c r="X37" i="64"/>
  <c r="X41" i="64"/>
  <c r="J48" i="65"/>
  <c r="J62" i="65"/>
  <c r="J67" i="65"/>
  <c r="J95" i="65"/>
  <c r="N53" i="67"/>
  <c r="L15" i="68"/>
  <c r="D12" i="68"/>
  <c r="L64" i="68"/>
  <c r="J43" i="69"/>
  <c r="Z69" i="71"/>
  <c r="R87" i="76"/>
  <c r="R84" i="76"/>
  <c r="R75" i="76"/>
  <c r="R71" i="76"/>
  <c r="R67" i="76"/>
  <c r="R63" i="76"/>
  <c r="R60" i="76"/>
  <c r="R55" i="76"/>
  <c r="R39" i="76"/>
  <c r="R35" i="76"/>
  <c r="R74" i="76"/>
  <c r="R66" i="76"/>
  <c r="R54" i="76"/>
  <c r="R51" i="76"/>
  <c r="R46" i="76"/>
  <c r="R89" i="76"/>
  <c r="R86" i="76"/>
  <c r="R81" i="76"/>
  <c r="R73" i="76"/>
  <c r="R70" i="76"/>
  <c r="R88" i="76"/>
  <c r="R83" i="76"/>
  <c r="R79" i="76"/>
  <c r="R72" i="76"/>
  <c r="R59" i="76"/>
  <c r="R56" i="76"/>
  <c r="R43" i="76"/>
  <c r="R80" i="76"/>
  <c r="R68" i="76"/>
  <c r="R28" i="76"/>
  <c r="R48" i="76"/>
  <c r="R45" i="76"/>
  <c r="R44" i="76"/>
  <c r="R27" i="76"/>
  <c r="R25" i="76"/>
  <c r="P23" i="76"/>
  <c r="R23" i="76" s="1"/>
  <c r="R96" i="76"/>
  <c r="R82" i="76"/>
  <c r="R76" i="76"/>
  <c r="R69" i="76"/>
  <c r="R47" i="76"/>
  <c r="R34" i="76"/>
  <c r="R65" i="76"/>
  <c r="R53" i="76"/>
  <c r="R33" i="76"/>
  <c r="R26" i="76"/>
  <c r="R21" i="76"/>
  <c r="R77" i="76"/>
  <c r="R62" i="76"/>
  <c r="R32" i="76"/>
  <c r="R20" i="76"/>
  <c r="X12" i="76"/>
  <c r="Z12" i="76" s="1"/>
  <c r="R92" i="76"/>
  <c r="R85" i="76"/>
  <c r="R78" i="76"/>
  <c r="R64" i="76"/>
  <c r="R52" i="76"/>
  <c r="R41" i="76"/>
  <c r="R40" i="76"/>
  <c r="R38" i="76"/>
  <c r="R31" i="76"/>
  <c r="R19" i="76"/>
  <c r="R49" i="76"/>
  <c r="R37" i="76"/>
  <c r="R29" i="76"/>
  <c r="R91" i="76"/>
  <c r="R50" i="76"/>
  <c r="R30" i="76"/>
  <c r="R58" i="76"/>
  <c r="R36" i="76"/>
  <c r="R57" i="76"/>
  <c r="R42" i="76"/>
  <c r="X14" i="67"/>
  <c r="P12" i="67"/>
  <c r="L42" i="67"/>
  <c r="N42" i="67" s="1"/>
  <c r="Z42" i="67"/>
  <c r="J76" i="67"/>
  <c r="V102" i="67"/>
  <c r="Z58" i="68"/>
  <c r="J35" i="69"/>
  <c r="Z60" i="69"/>
  <c r="X60" i="69"/>
  <c r="L66" i="69"/>
  <c r="N66" i="69" s="1"/>
  <c r="Z23" i="71"/>
  <c r="X23" i="71"/>
  <c r="X69" i="71"/>
  <c r="V23" i="72"/>
  <c r="V27" i="72"/>
  <c r="V21" i="72"/>
  <c r="V17" i="72"/>
  <c r="V16" i="72"/>
  <c r="T19" i="72"/>
  <c r="V85" i="74"/>
  <c r="D12" i="75"/>
  <c r="L13" i="75"/>
  <c r="N13" i="75" s="1"/>
  <c r="J61" i="64"/>
  <c r="J55" i="64"/>
  <c r="J49" i="64"/>
  <c r="J37" i="64"/>
  <c r="J25" i="64"/>
  <c r="J19" i="64"/>
  <c r="J51" i="64"/>
  <c r="J47" i="64"/>
  <c r="J41" i="64"/>
  <c r="J33" i="64"/>
  <c r="J27" i="64"/>
  <c r="J50" i="64"/>
  <c r="J38" i="64"/>
  <c r="J30" i="64"/>
  <c r="J26" i="64"/>
  <c r="J22" i="64"/>
  <c r="J18" i="64"/>
  <c r="X25" i="64"/>
  <c r="J35" i="64"/>
  <c r="J53" i="64"/>
  <c r="J59" i="64"/>
  <c r="L19" i="65"/>
  <c r="N19" i="65" s="1"/>
  <c r="J36" i="65"/>
  <c r="J44" i="65"/>
  <c r="X56" i="65"/>
  <c r="Z56" i="65" s="1"/>
  <c r="J69" i="65"/>
  <c r="J80" i="65"/>
  <c r="J87" i="65"/>
  <c r="J88" i="65"/>
  <c r="J90" i="65"/>
  <c r="J91" i="65"/>
  <c r="V42" i="67"/>
  <c r="V66" i="67"/>
  <c r="X68" i="67"/>
  <c r="L85" i="67"/>
  <c r="X102" i="67"/>
  <c r="V19" i="68"/>
  <c r="N36" i="68"/>
  <c r="J49" i="68"/>
  <c r="L53" i="68"/>
  <c r="V58" i="68"/>
  <c r="V62" i="68"/>
  <c r="J31" i="69"/>
  <c r="N34" i="69"/>
  <c r="L34" i="69"/>
  <c r="L62" i="69"/>
  <c r="N62" i="69" s="1"/>
  <c r="J65" i="69"/>
  <c r="J42" i="71"/>
  <c r="X51" i="71"/>
  <c r="Z51" i="71" s="1"/>
  <c r="Z23" i="73"/>
  <c r="V23" i="73"/>
  <c r="T94" i="76"/>
  <c r="V23" i="76"/>
  <c r="N12" i="64"/>
  <c r="X46" i="64"/>
  <c r="J57" i="64"/>
  <c r="J23" i="65"/>
  <c r="J24" i="65"/>
  <c r="N34" i="65"/>
  <c r="J35" i="65"/>
  <c r="J43" i="65"/>
  <c r="J45" i="65"/>
  <c r="J55" i="65"/>
  <c r="Z60" i="65"/>
  <c r="Z64" i="65"/>
  <c r="J72" i="65"/>
  <c r="J77" i="65"/>
  <c r="N78" i="65"/>
  <c r="J79" i="65"/>
  <c r="J81" i="65"/>
  <c r="V70" i="67"/>
  <c r="X74" i="67"/>
  <c r="J81" i="67"/>
  <c r="V95" i="67"/>
  <c r="L100" i="67"/>
  <c r="N100" i="67" s="1"/>
  <c r="Z19" i="68"/>
  <c r="J36" i="68"/>
  <c r="N49" i="68"/>
  <c r="L56" i="68"/>
  <c r="X58" i="68"/>
  <c r="X62" i="68"/>
  <c r="Z62" i="68" s="1"/>
  <c r="X66" i="68"/>
  <c r="Z66" i="68" s="1"/>
  <c r="D12" i="69"/>
  <c r="L13" i="69"/>
  <c r="N13" i="69" s="1"/>
  <c r="J34" i="69"/>
  <c r="J45" i="69"/>
  <c r="J72" i="69"/>
  <c r="J76" i="69"/>
  <c r="H20" i="71"/>
  <c r="J20" i="71" s="1"/>
  <c r="N53" i="71"/>
  <c r="L53" i="71"/>
  <c r="J70" i="71"/>
  <c r="X14" i="72"/>
  <c r="P12" i="72"/>
  <c r="F91" i="73"/>
  <c r="F85" i="73"/>
  <c r="F73" i="73"/>
  <c r="F79" i="73"/>
  <c r="F84" i="73"/>
  <c r="F81" i="73"/>
  <c r="F77" i="73"/>
  <c r="F72" i="73"/>
  <c r="F68" i="73"/>
  <c r="F80" i="73"/>
  <c r="F87" i="73"/>
  <c r="F64" i="73"/>
  <c r="F61" i="73"/>
  <c r="F56" i="73"/>
  <c r="F53" i="73"/>
  <c r="F37" i="73"/>
  <c r="F33" i="73"/>
  <c r="F25" i="73"/>
  <c r="F16" i="73"/>
  <c r="F78" i="73"/>
  <c r="F67" i="73"/>
  <c r="F63" i="73"/>
  <c r="F58" i="73"/>
  <c r="F55" i="73"/>
  <c r="F43" i="73"/>
  <c r="F35" i="73"/>
  <c r="F31" i="73"/>
  <c r="D21" i="73"/>
  <c r="F19" i="73"/>
  <c r="F65" i="73"/>
  <c r="F60" i="73"/>
  <c r="F57" i="73"/>
  <c r="F41" i="73"/>
  <c r="F29" i="73"/>
  <c r="F24" i="73"/>
  <c r="F23" i="73"/>
  <c r="F17" i="73"/>
  <c r="F76" i="73"/>
  <c r="F75" i="73"/>
  <c r="F71" i="73"/>
  <c r="F51" i="73"/>
  <c r="F48" i="73"/>
  <c r="F40" i="73"/>
  <c r="F28" i="73"/>
  <c r="L12" i="73"/>
  <c r="F47" i="73"/>
  <c r="F30" i="73"/>
  <c r="F26" i="73"/>
  <c r="F54" i="73"/>
  <c r="F46" i="73"/>
  <c r="F44" i="73"/>
  <c r="F32" i="73"/>
  <c r="F69" i="73"/>
  <c r="F66" i="73"/>
  <c r="F45" i="73"/>
  <c r="F38" i="73"/>
  <c r="F27" i="73"/>
  <c r="F59" i="73"/>
  <c r="F34" i="73"/>
  <c r="F70" i="73"/>
  <c r="X56" i="73"/>
  <c r="Z56" i="73" s="1"/>
  <c r="D90" i="74"/>
  <c r="N56" i="74"/>
  <c r="L56" i="74"/>
  <c r="L67" i="74"/>
  <c r="N67" i="74" s="1"/>
  <c r="R18" i="76"/>
  <c r="V18" i="64"/>
  <c r="V34" i="64"/>
  <c r="V42" i="64"/>
  <c r="V54" i="64"/>
  <c r="J23" i="67"/>
  <c r="J31" i="67"/>
  <c r="H40" i="67"/>
  <c r="V47" i="67"/>
  <c r="J51" i="67"/>
  <c r="J55" i="67"/>
  <c r="V59" i="67"/>
  <c r="J63" i="67"/>
  <c r="V67" i="67"/>
  <c r="J71" i="67"/>
  <c r="V75" i="67"/>
  <c r="V83" i="67"/>
  <c r="J85" i="67"/>
  <c r="V87" i="67"/>
  <c r="V91" i="67"/>
  <c r="V99" i="67"/>
  <c r="J103" i="67"/>
  <c r="J107" i="67"/>
  <c r="V27" i="68"/>
  <c r="V35" i="68"/>
  <c r="V39" i="68"/>
  <c r="V51" i="68"/>
  <c r="V55" i="68"/>
  <c r="V67" i="68"/>
  <c r="V68" i="68"/>
  <c r="V69" i="68"/>
  <c r="V70" i="68"/>
  <c r="V72" i="68"/>
  <c r="L33" i="69"/>
  <c r="N33" i="69" s="1"/>
  <c r="V69" i="71"/>
  <c r="V65" i="71"/>
  <c r="V61" i="71"/>
  <c r="V49" i="71"/>
  <c r="V37" i="71"/>
  <c r="V33" i="71"/>
  <c r="V25" i="71"/>
  <c r="T20" i="71"/>
  <c r="V71" i="71"/>
  <c r="V51" i="71"/>
  <c r="V43" i="71"/>
  <c r="V35" i="71"/>
  <c r="V31" i="71"/>
  <c r="V23" i="71"/>
  <c r="V57" i="71"/>
  <c r="V53" i="71"/>
  <c r="V45" i="71"/>
  <c r="V41" i="71"/>
  <c r="V29" i="71"/>
  <c r="V17" i="71"/>
  <c r="V74" i="71"/>
  <c r="V68" i="71"/>
  <c r="V56" i="71"/>
  <c r="V48" i="71"/>
  <c r="V40" i="71"/>
  <c r="V28" i="71"/>
  <c r="V16" i="71"/>
  <c r="N22" i="71"/>
  <c r="V27" i="71"/>
  <c r="V44" i="71"/>
  <c r="V46" i="71"/>
  <c r="J27" i="72"/>
  <c r="J17" i="72"/>
  <c r="J25" i="72"/>
  <c r="J21" i="72"/>
  <c r="J17" i="73"/>
  <c r="X23" i="73"/>
  <c r="R26" i="73"/>
  <c r="R30" i="73"/>
  <c r="R31" i="73"/>
  <c r="J35" i="73"/>
  <c r="R42" i="73"/>
  <c r="R43" i="73"/>
  <c r="J49" i="73"/>
  <c r="J50" i="73"/>
  <c r="J51" i="73"/>
  <c r="J61" i="73"/>
  <c r="J78" i="73"/>
  <c r="J79" i="73"/>
  <c r="F37" i="74"/>
  <c r="Z48" i="74"/>
  <c r="Z56" i="74"/>
  <c r="P12" i="75"/>
  <c r="X15" i="75"/>
  <c r="V19" i="64"/>
  <c r="V31" i="64"/>
  <c r="V39" i="64"/>
  <c r="V55" i="64"/>
  <c r="V59" i="64"/>
  <c r="V61" i="64"/>
  <c r="V66" i="64"/>
  <c r="V20" i="67"/>
  <c r="J24" i="67"/>
  <c r="V28" i="67"/>
  <c r="J32" i="67"/>
  <c r="V36" i="67"/>
  <c r="J40" i="67"/>
  <c r="J44" i="67"/>
  <c r="V48" i="67"/>
  <c r="J52" i="67"/>
  <c r="J56" i="67"/>
  <c r="V60" i="67"/>
  <c r="V64" i="67"/>
  <c r="J66" i="67"/>
  <c r="V72" i="67"/>
  <c r="J74" i="67"/>
  <c r="J80" i="67"/>
  <c r="V84" i="67"/>
  <c r="J96" i="67"/>
  <c r="V104" i="67"/>
  <c r="V108" i="67"/>
  <c r="J79" i="68"/>
  <c r="J74" i="68"/>
  <c r="J20" i="68"/>
  <c r="T23" i="68"/>
  <c r="J26" i="68"/>
  <c r="V28" i="68"/>
  <c r="J32" i="68"/>
  <c r="V40" i="68"/>
  <c r="J44" i="68"/>
  <c r="J48" i="68"/>
  <c r="V52" i="68"/>
  <c r="J60" i="68"/>
  <c r="V64" i="68"/>
  <c r="J66" i="68"/>
  <c r="J81" i="68"/>
  <c r="V35" i="69"/>
  <c r="V36" i="69"/>
  <c r="V43" i="69"/>
  <c r="V44" i="69"/>
  <c r="X45" i="69"/>
  <c r="Z45" i="69" s="1"/>
  <c r="Z56" i="69"/>
  <c r="V67" i="69"/>
  <c r="X16" i="71"/>
  <c r="Z16" i="71" s="1"/>
  <c r="V26" i="71"/>
  <c r="V42" i="71"/>
  <c r="X47" i="71"/>
  <c r="V59" i="71"/>
  <c r="N16" i="73"/>
  <c r="R18" i="73"/>
  <c r="R19" i="73"/>
  <c r="L24" i="73"/>
  <c r="N24" i="73" s="1"/>
  <c r="R48" i="73"/>
  <c r="Z54" i="73"/>
  <c r="N60" i="73"/>
  <c r="R63" i="73"/>
  <c r="R71" i="73"/>
  <c r="R72" i="73"/>
  <c r="L87" i="73"/>
  <c r="X13" i="74"/>
  <c r="Z13" i="74" s="1"/>
  <c r="P12" i="74"/>
  <c r="Z18" i="74"/>
  <c r="F29" i="74"/>
  <c r="N70" i="74"/>
  <c r="N16" i="77"/>
  <c r="H26" i="77"/>
  <c r="X64" i="69"/>
  <c r="Z64" i="69" s="1"/>
  <c r="L13" i="71"/>
  <c r="N13" i="71" s="1"/>
  <c r="D12" i="71"/>
  <c r="X14" i="71"/>
  <c r="Z14" i="71" s="1"/>
  <c r="P12" i="71"/>
  <c r="N69" i="71"/>
  <c r="J82" i="73"/>
  <c r="J80" i="73"/>
  <c r="J76" i="73"/>
  <c r="J87" i="73"/>
  <c r="J83" i="73"/>
  <c r="J58" i="73"/>
  <c r="J52" i="73"/>
  <c r="J44" i="73"/>
  <c r="J36" i="73"/>
  <c r="J32" i="73"/>
  <c r="H21" i="73"/>
  <c r="J66" i="73"/>
  <c r="J60" i="73"/>
  <c r="J46" i="73"/>
  <c r="J42" i="73"/>
  <c r="J30" i="73"/>
  <c r="J24" i="73"/>
  <c r="J18" i="73"/>
  <c r="J91" i="73"/>
  <c r="J75" i="73"/>
  <c r="J73" i="73"/>
  <c r="J71" i="73"/>
  <c r="J62" i="73"/>
  <c r="J54" i="73"/>
  <c r="J48" i="73"/>
  <c r="J40" i="73"/>
  <c r="J34" i="73"/>
  <c r="J28" i="73"/>
  <c r="N12" i="73"/>
  <c r="J81" i="73"/>
  <c r="J74" i="73"/>
  <c r="J70" i="73"/>
  <c r="J69" i="73"/>
  <c r="J59" i="73"/>
  <c r="J45" i="73"/>
  <c r="J39" i="73"/>
  <c r="J27" i="73"/>
  <c r="R24" i="73"/>
  <c r="R28" i="73"/>
  <c r="R35" i="73"/>
  <c r="R40" i="73"/>
  <c r="R50" i="73"/>
  <c r="R51" i="73"/>
  <c r="L56" i="73"/>
  <c r="N56" i="73" s="1"/>
  <c r="J57" i="73"/>
  <c r="Z62" i="73"/>
  <c r="J67" i="73"/>
  <c r="N68" i="73"/>
  <c r="V37" i="74"/>
  <c r="N18" i="79"/>
  <c r="L19" i="69"/>
  <c r="N19" i="69" s="1"/>
  <c r="N70" i="69"/>
  <c r="X16" i="72"/>
  <c r="Z16" i="72" s="1"/>
  <c r="R81" i="73"/>
  <c r="R77" i="73"/>
  <c r="R87" i="73"/>
  <c r="R80" i="73"/>
  <c r="R76" i="73"/>
  <c r="R91" i="73"/>
  <c r="R85" i="73"/>
  <c r="R82" i="73"/>
  <c r="R73" i="73"/>
  <c r="R69" i="73"/>
  <c r="R65" i="73"/>
  <c r="R62" i="73"/>
  <c r="R57" i="73"/>
  <c r="R54" i="73"/>
  <c r="R41" i="73"/>
  <c r="R34" i="73"/>
  <c r="R29" i="73"/>
  <c r="R17" i="73"/>
  <c r="R74" i="73"/>
  <c r="R70" i="73"/>
  <c r="R64" i="73"/>
  <c r="R59" i="73"/>
  <c r="R56" i="73"/>
  <c r="R39" i="73"/>
  <c r="R27" i="73"/>
  <c r="R16" i="73"/>
  <c r="R84" i="73"/>
  <c r="R83" i="73"/>
  <c r="R61" i="73"/>
  <c r="R58" i="73"/>
  <c r="R53" i="73"/>
  <c r="R37" i="73"/>
  <c r="R33" i="73"/>
  <c r="R25" i="73"/>
  <c r="R23" i="73"/>
  <c r="P21" i="73"/>
  <c r="R52" i="73"/>
  <c r="R49" i="73"/>
  <c r="R44" i="73"/>
  <c r="R36" i="73"/>
  <c r="R32" i="73"/>
  <c r="R60" i="73"/>
  <c r="F84" i="74"/>
  <c r="F67" i="74"/>
  <c r="F64" i="74"/>
  <c r="F59" i="74"/>
  <c r="F40" i="74"/>
  <c r="F36" i="74"/>
  <c r="F28" i="74"/>
  <c r="F88" i="74"/>
  <c r="F83" i="74"/>
  <c r="F70" i="74"/>
  <c r="F55" i="74"/>
  <c r="F50" i="74"/>
  <c r="F47" i="74"/>
  <c r="F39" i="74"/>
  <c r="F35" i="74"/>
  <c r="F24" i="74"/>
  <c r="F18" i="74"/>
  <c r="F92" i="74"/>
  <c r="F86" i="74"/>
  <c r="F73" i="74"/>
  <c r="F66" i="74"/>
  <c r="F61" i="74"/>
  <c r="F58" i="74"/>
  <c r="F46" i="74"/>
  <c r="F38" i="74"/>
  <c r="F34" i="74"/>
  <c r="F80" i="74"/>
  <c r="F76" i="74"/>
  <c r="F69" i="74"/>
  <c r="F57" i="74"/>
  <c r="F52" i="74"/>
  <c r="F49" i="74"/>
  <c r="F45" i="74"/>
  <c r="F33" i="74"/>
  <c r="F21" i="74"/>
  <c r="F72" i="74"/>
  <c r="F68" i="74"/>
  <c r="F63" i="74"/>
  <c r="F60" i="74"/>
  <c r="F44" i="74"/>
  <c r="F32" i="74"/>
  <c r="F27" i="74"/>
  <c r="F26" i="74"/>
  <c r="F20" i="74"/>
  <c r="L12" i="74"/>
  <c r="N12" i="74" s="1"/>
  <c r="F82" i="74"/>
  <c r="F79" i="74"/>
  <c r="F75" i="74"/>
  <c r="F71" i="74"/>
  <c r="F54" i="74"/>
  <c r="F51" i="74"/>
  <c r="F43" i="74"/>
  <c r="F31" i="74"/>
  <c r="F19" i="74"/>
  <c r="F42" i="74"/>
  <c r="F30" i="74"/>
  <c r="F81" i="74"/>
  <c r="F74" i="74"/>
  <c r="F85" i="74"/>
  <c r="F56" i="74"/>
  <c r="F62" i="74"/>
  <c r="T90" i="74"/>
  <c r="N25" i="76"/>
  <c r="J25" i="76"/>
  <c r="V27" i="64"/>
  <c r="V35" i="64"/>
  <c r="V43" i="64"/>
  <c r="V47" i="64"/>
  <c r="V51" i="64"/>
  <c r="V57" i="64"/>
  <c r="J20" i="67"/>
  <c r="J28" i="67"/>
  <c r="J36" i="67"/>
  <c r="V44" i="67"/>
  <c r="J48" i="67"/>
  <c r="V52" i="67"/>
  <c r="V56" i="67"/>
  <c r="J60" i="67"/>
  <c r="V68" i="67"/>
  <c r="J70" i="67"/>
  <c r="V76" i="67"/>
  <c r="V80" i="67"/>
  <c r="J84" i="67"/>
  <c r="V88" i="67"/>
  <c r="V92" i="67"/>
  <c r="V96" i="67"/>
  <c r="J102" i="67"/>
  <c r="V79" i="68"/>
  <c r="V75" i="68"/>
  <c r="V71" i="68"/>
  <c r="V20" i="68"/>
  <c r="V32" i="68"/>
  <c r="V36" i="68"/>
  <c r="V44" i="68"/>
  <c r="V48" i="68"/>
  <c r="V56" i="68"/>
  <c r="J58" i="68"/>
  <c r="V60" i="68"/>
  <c r="J62" i="68"/>
  <c r="J68" i="68"/>
  <c r="J69" i="68"/>
  <c r="N71" i="68"/>
  <c r="J77" i="68"/>
  <c r="V76" i="69"/>
  <c r="V66" i="69"/>
  <c r="V58" i="69"/>
  <c r="V50" i="69"/>
  <c r="V38" i="69"/>
  <c r="V26" i="69"/>
  <c r="V78" i="69"/>
  <c r="V72" i="69"/>
  <c r="V68" i="69"/>
  <c r="V60" i="69"/>
  <c r="V74" i="69"/>
  <c r="V70" i="69"/>
  <c r="V62" i="69"/>
  <c r="V54" i="69"/>
  <c r="V46" i="69"/>
  <c r="V42" i="69"/>
  <c r="V34" i="69"/>
  <c r="V22" i="69"/>
  <c r="V77" i="69"/>
  <c r="V73" i="69"/>
  <c r="V65" i="69"/>
  <c r="V57" i="69"/>
  <c r="V53" i="69"/>
  <c r="V45" i="69"/>
  <c r="V41" i="69"/>
  <c r="V29" i="69"/>
  <c r="V21" i="69"/>
  <c r="V28" i="69"/>
  <c r="T31" i="69"/>
  <c r="V39" i="69"/>
  <c r="V40" i="69"/>
  <c r="V52" i="69"/>
  <c r="V61" i="69"/>
  <c r="V64" i="69"/>
  <c r="L70" i="69"/>
  <c r="V71" i="69"/>
  <c r="N76" i="69"/>
  <c r="V20" i="71"/>
  <c r="Z22" i="71"/>
  <c r="V24" i="71"/>
  <c r="N49" i="71"/>
  <c r="V52" i="71"/>
  <c r="Z55" i="71"/>
  <c r="N64" i="71"/>
  <c r="V70" i="71"/>
  <c r="Z71" i="71"/>
  <c r="L13" i="72"/>
  <c r="N13" i="72" s="1"/>
  <c r="D12" i="72"/>
  <c r="J21" i="73"/>
  <c r="J31" i="73"/>
  <c r="Z34" i="73"/>
  <c r="J43" i="73"/>
  <c r="J53" i="73"/>
  <c r="J56" i="73"/>
  <c r="L64" i="73"/>
  <c r="N64" i="73" s="1"/>
  <c r="J65" i="73"/>
  <c r="F22" i="74"/>
  <c r="F48" i="74"/>
  <c r="F53" i="74"/>
  <c r="Z24" i="75"/>
  <c r="X25" i="76"/>
  <c r="Z25" i="76" s="1"/>
  <c r="Z18" i="77"/>
  <c r="X18" i="77"/>
  <c r="V19" i="73"/>
  <c r="V31" i="73"/>
  <c r="V35" i="73"/>
  <c r="V43" i="73"/>
  <c r="V51" i="73"/>
  <c r="V55" i="73"/>
  <c r="V63" i="73"/>
  <c r="V67" i="73"/>
  <c r="L72" i="73"/>
  <c r="V77" i="73"/>
  <c r="N48" i="74"/>
  <c r="L48" i="74"/>
  <c r="Z18" i="78"/>
  <c r="X40" i="78"/>
  <c r="V24" i="73"/>
  <c r="V32" i="73"/>
  <c r="V36" i="73"/>
  <c r="V44" i="73"/>
  <c r="V52" i="73"/>
  <c r="V60" i="73"/>
  <c r="N72" i="73"/>
  <c r="L26" i="74"/>
  <c r="N26" i="74" s="1"/>
  <c r="X37" i="74"/>
  <c r="Z37" i="74" s="1"/>
  <c r="X54" i="74"/>
  <c r="Z54" i="74" s="1"/>
  <c r="L24" i="75"/>
  <c r="N24" i="75" s="1"/>
  <c r="L25" i="76"/>
  <c r="Z36" i="76"/>
  <c r="X91" i="76"/>
  <c r="Z40" i="78"/>
  <c r="H90" i="83"/>
  <c r="J20" i="83"/>
  <c r="V80" i="73"/>
  <c r="V76" i="73"/>
  <c r="V83" i="73"/>
  <c r="V79" i="73"/>
  <c r="V75" i="73"/>
  <c r="V71" i="73"/>
  <c r="V91" i="73"/>
  <c r="V84" i="73"/>
  <c r="V72" i="73"/>
  <c r="V68" i="73"/>
  <c r="T21" i="73"/>
  <c r="V26" i="73"/>
  <c r="V38" i="73"/>
  <c r="V50" i="73"/>
  <c r="V58" i="73"/>
  <c r="V69" i="73"/>
  <c r="N27" i="74"/>
  <c r="X85" i="74"/>
  <c r="Z85" i="74" s="1"/>
  <c r="J17" i="75"/>
  <c r="J30" i="75"/>
  <c r="J26" i="75"/>
  <c r="H22" i="75"/>
  <c r="J22" i="75" s="1"/>
  <c r="J34" i="75"/>
  <c r="J28" i="75"/>
  <c r="J24" i="75"/>
  <c r="J20" i="75"/>
  <c r="J25" i="75"/>
  <c r="J19" i="75"/>
  <c r="J18" i="75"/>
  <c r="X25" i="75"/>
  <c r="Z25" i="75" s="1"/>
  <c r="N86" i="76"/>
  <c r="L86" i="76"/>
  <c r="F78" i="78"/>
  <c r="F65" i="78"/>
  <c r="F82" i="78"/>
  <c r="F70" i="78"/>
  <c r="F53" i="78"/>
  <c r="F50" i="78"/>
  <c r="F45" i="78"/>
  <c r="F73" i="78"/>
  <c r="F64" i="78"/>
  <c r="F61" i="78"/>
  <c r="F57" i="78"/>
  <c r="F80" i="78"/>
  <c r="F58" i="78"/>
  <c r="F52" i="78"/>
  <c r="F41" i="78"/>
  <c r="F37" i="78"/>
  <c r="F25" i="78"/>
  <c r="F72" i="78"/>
  <c r="F62" i="78"/>
  <c r="F36" i="78"/>
  <c r="F24" i="78"/>
  <c r="F19" i="78"/>
  <c r="F18" i="78"/>
  <c r="L12" i="78"/>
  <c r="F87" i="78"/>
  <c r="F84" i="78"/>
  <c r="F77" i="78"/>
  <c r="F75" i="78"/>
  <c r="F51" i="78"/>
  <c r="F44" i="78"/>
  <c r="F35" i="78"/>
  <c r="F23" i="78"/>
  <c r="F14" i="78"/>
  <c r="F69" i="78"/>
  <c r="F68" i="78"/>
  <c r="F49" i="78"/>
  <c r="F40" i="78"/>
  <c r="F33" i="78"/>
  <c r="F21" i="78"/>
  <c r="F66" i="78"/>
  <c r="F56" i="78"/>
  <c r="F47" i="78"/>
  <c r="F42" i="78"/>
  <c r="F39" i="78"/>
  <c r="F31" i="78"/>
  <c r="F46" i="78"/>
  <c r="F20" i="78"/>
  <c r="F59" i="78"/>
  <c r="F48" i="78"/>
  <c r="F34" i="78"/>
  <c r="F60" i="78"/>
  <c r="F30" i="78"/>
  <c r="F29" i="78"/>
  <c r="F74" i="78"/>
  <c r="F16" i="78"/>
  <c r="F67" i="78"/>
  <c r="F55" i="78"/>
  <c r="F54" i="78"/>
  <c r="F43" i="78"/>
  <c r="F26" i="78"/>
  <c r="D16" i="78"/>
  <c r="F71" i="78"/>
  <c r="F22" i="78"/>
  <c r="Z12" i="73"/>
  <c r="V16" i="73"/>
  <c r="V28" i="73"/>
  <c r="V40" i="73"/>
  <c r="V48" i="73"/>
  <c r="V56" i="73"/>
  <c r="V64" i="73"/>
  <c r="L84" i="73"/>
  <c r="X26" i="74"/>
  <c r="Z26" i="74" s="1"/>
  <c r="N50" i="74"/>
  <c r="L59" i="74"/>
  <c r="N59" i="74" s="1"/>
  <c r="Z65" i="74"/>
  <c r="Z82" i="74"/>
  <c r="L27" i="75"/>
  <c r="X18" i="76"/>
  <c r="Z18" i="76" s="1"/>
  <c r="N18" i="77"/>
  <c r="L18" i="77"/>
  <c r="N58" i="78"/>
  <c r="V22" i="74"/>
  <c r="J30" i="74"/>
  <c r="V34" i="74"/>
  <c r="V38" i="74"/>
  <c r="J42" i="74"/>
  <c r="V46" i="74"/>
  <c r="J48" i="74"/>
  <c r="V54" i="74"/>
  <c r="J56" i="74"/>
  <c r="V58" i="74"/>
  <c r="J62" i="74"/>
  <c r="V66" i="74"/>
  <c r="J74" i="74"/>
  <c r="J78" i="74"/>
  <c r="V82" i="74"/>
  <c r="V86" i="74"/>
  <c r="V90" i="74"/>
  <c r="V92" i="74"/>
  <c r="V26" i="75"/>
  <c r="V86" i="76"/>
  <c r="V74" i="76"/>
  <c r="V70" i="76"/>
  <c r="V66" i="76"/>
  <c r="V62" i="76"/>
  <c r="V54" i="76"/>
  <c r="V46" i="76"/>
  <c r="V38" i="76"/>
  <c r="V89" i="76"/>
  <c r="V81" i="76"/>
  <c r="V73" i="76"/>
  <c r="V65" i="76"/>
  <c r="V57" i="76"/>
  <c r="V53" i="76"/>
  <c r="V45" i="76"/>
  <c r="V92" i="76"/>
  <c r="V88" i="76"/>
  <c r="V80" i="76"/>
  <c r="V72" i="76"/>
  <c r="V82" i="76"/>
  <c r="V78" i="76"/>
  <c r="V58" i="76"/>
  <c r="V50" i="76"/>
  <c r="V42" i="76"/>
  <c r="F18" i="76"/>
  <c r="V18" i="76"/>
  <c r="H23" i="76"/>
  <c r="F27" i="76"/>
  <c r="V30" i="76"/>
  <c r="J34" i="76"/>
  <c r="F35" i="76"/>
  <c r="V36" i="76"/>
  <c r="V37" i="76"/>
  <c r="V39" i="76"/>
  <c r="F45" i="76"/>
  <c r="F46" i="76"/>
  <c r="F48" i="76"/>
  <c r="Z56" i="76"/>
  <c r="Z60" i="76"/>
  <c r="V61" i="76"/>
  <c r="F76" i="76"/>
  <c r="V91" i="76"/>
  <c r="R28" i="77"/>
  <c r="R22" i="77"/>
  <c r="R19" i="77"/>
  <c r="R33" i="77"/>
  <c r="R26" i="77"/>
  <c r="R14" i="77"/>
  <c r="P16" i="77"/>
  <c r="R87" i="78"/>
  <c r="R80" i="78"/>
  <c r="R73" i="78"/>
  <c r="R61" i="78"/>
  <c r="R57" i="78"/>
  <c r="R78" i="78"/>
  <c r="R71" i="78"/>
  <c r="R66" i="78"/>
  <c r="R54" i="78"/>
  <c r="R51" i="78"/>
  <c r="R46" i="78"/>
  <c r="R84" i="78"/>
  <c r="R74" i="78"/>
  <c r="R65" i="78"/>
  <c r="R62" i="78"/>
  <c r="R58" i="78"/>
  <c r="R42" i="78"/>
  <c r="R70" i="78"/>
  <c r="R69" i="78"/>
  <c r="R67" i="78"/>
  <c r="R64" i="78"/>
  <c r="R49" i="78"/>
  <c r="R33" i="78"/>
  <c r="R21" i="78"/>
  <c r="R16" i="78"/>
  <c r="R68" i="78"/>
  <c r="R48" i="78"/>
  <c r="R47" i="78"/>
  <c r="R32" i="78"/>
  <c r="R28" i="78"/>
  <c r="R20" i="78"/>
  <c r="R18" i="78"/>
  <c r="P16" i="78"/>
  <c r="R39" i="78"/>
  <c r="R31" i="78"/>
  <c r="R27" i="78"/>
  <c r="R60" i="78"/>
  <c r="R59" i="78"/>
  <c r="R53" i="78"/>
  <c r="R45" i="78"/>
  <c r="R41" i="78"/>
  <c r="R37" i="78"/>
  <c r="R25" i="78"/>
  <c r="R14" i="78"/>
  <c r="R82" i="78"/>
  <c r="R72" i="78"/>
  <c r="R40" i="78"/>
  <c r="R35" i="78"/>
  <c r="V18" i="78"/>
  <c r="R23" i="78"/>
  <c r="Z29" i="78"/>
  <c r="R77" i="78"/>
  <c r="X18" i="79"/>
  <c r="R34" i="79"/>
  <c r="Z14" i="80"/>
  <c r="X14" i="80"/>
  <c r="F18" i="82"/>
  <c r="F26" i="82"/>
  <c r="J19" i="74"/>
  <c r="V27" i="74"/>
  <c r="J31" i="74"/>
  <c r="V35" i="74"/>
  <c r="J37" i="74"/>
  <c r="V39" i="74"/>
  <c r="J43" i="74"/>
  <c r="V47" i="74"/>
  <c r="J51" i="74"/>
  <c r="V55" i="74"/>
  <c r="V63" i="74"/>
  <c r="J65" i="74"/>
  <c r="J71" i="74"/>
  <c r="J75" i="74"/>
  <c r="J79" i="74"/>
  <c r="V83" i="74"/>
  <c r="J85" i="74"/>
  <c r="T22" i="75"/>
  <c r="J23" i="76"/>
  <c r="J27" i="76"/>
  <c r="F28" i="76"/>
  <c r="V31" i="76"/>
  <c r="J35" i="76"/>
  <c r="F36" i="76"/>
  <c r="V40" i="76"/>
  <c r="V41" i="76"/>
  <c r="F44" i="76"/>
  <c r="J45" i="76"/>
  <c r="J48" i="76"/>
  <c r="V49" i="76"/>
  <c r="V51" i="76"/>
  <c r="V52" i="76"/>
  <c r="X53" i="76"/>
  <c r="Z53" i="76" s="1"/>
  <c r="V56" i="76"/>
  <c r="V60" i="76"/>
  <c r="V63" i="76"/>
  <c r="V64" i="76"/>
  <c r="X65" i="76"/>
  <c r="Z65" i="76" s="1"/>
  <c r="N70" i="76"/>
  <c r="J71" i="76"/>
  <c r="F80" i="76"/>
  <c r="F81" i="76"/>
  <c r="N82" i="76"/>
  <c r="V85" i="76"/>
  <c r="V87" i="76"/>
  <c r="X88" i="76"/>
  <c r="F96" i="76"/>
  <c r="R16" i="77"/>
  <c r="R20" i="77"/>
  <c r="R24" i="77"/>
  <c r="V72" i="78"/>
  <c r="V60" i="78"/>
  <c r="V56" i="78"/>
  <c r="V52" i="78"/>
  <c r="V65" i="78"/>
  <c r="V53" i="78"/>
  <c r="V45" i="78"/>
  <c r="V68" i="78"/>
  <c r="V64" i="78"/>
  <c r="V48" i="78"/>
  <c r="V73" i="78"/>
  <c r="V32" i="78"/>
  <c r="V28" i="78"/>
  <c r="V20" i="78"/>
  <c r="V39" i="78"/>
  <c r="V31" i="78"/>
  <c r="V27" i="78"/>
  <c r="V19" i="78"/>
  <c r="V66" i="78"/>
  <c r="V63" i="78"/>
  <c r="V58" i="78"/>
  <c r="V55" i="78"/>
  <c r="V38" i="78"/>
  <c r="V30" i="78"/>
  <c r="V26" i="78"/>
  <c r="V14" i="78"/>
  <c r="V78" i="78"/>
  <c r="V71" i="78"/>
  <c r="V40" i="78"/>
  <c r="V36" i="78"/>
  <c r="V24" i="78"/>
  <c r="Z12" i="78"/>
  <c r="V75" i="78"/>
  <c r="V69" i="78"/>
  <c r="V67" i="78"/>
  <c r="V61" i="78"/>
  <c r="V50" i="78"/>
  <c r="V49" i="78"/>
  <c r="V44" i="78"/>
  <c r="V43" i="78"/>
  <c r="V34" i="78"/>
  <c r="R19" i="78"/>
  <c r="V23" i="78"/>
  <c r="V29" i="78"/>
  <c r="N42" i="78"/>
  <c r="V46" i="78"/>
  <c r="L49" i="78"/>
  <c r="R50" i="78"/>
  <c r="V51" i="78"/>
  <c r="V57" i="78"/>
  <c r="R75" i="78"/>
  <c r="R19" i="79"/>
  <c r="N18" i="82"/>
  <c r="L70" i="82"/>
  <c r="N70" i="82" s="1"/>
  <c r="X16" i="83"/>
  <c r="Z16" i="83" s="1"/>
  <c r="V16" i="83"/>
  <c r="N22" i="83"/>
  <c r="J32" i="74"/>
  <c r="V40" i="74"/>
  <c r="J44" i="74"/>
  <c r="V52" i="74"/>
  <c r="J54" i="74"/>
  <c r="J60" i="74"/>
  <c r="V64" i="74"/>
  <c r="J68" i="74"/>
  <c r="J72" i="74"/>
  <c r="V76" i="74"/>
  <c r="V80" i="74"/>
  <c r="J82" i="74"/>
  <c r="V84" i="74"/>
  <c r="V22" i="75"/>
  <c r="V24" i="75"/>
  <c r="V30" i="75"/>
  <c r="F29" i="76"/>
  <c r="J44" i="76"/>
  <c r="J70" i="76"/>
  <c r="J75" i="76"/>
  <c r="J80" i="76"/>
  <c r="J81" i="76"/>
  <c r="Z88" i="76"/>
  <c r="T26" i="77"/>
  <c r="Z16" i="77"/>
  <c r="N18" i="78"/>
  <c r="H80" i="78"/>
  <c r="X16" i="79"/>
  <c r="P30" i="79"/>
  <c r="Z18" i="79"/>
  <c r="Z26" i="81"/>
  <c r="X26" i="81"/>
  <c r="J45" i="74"/>
  <c r="J49" i="74"/>
  <c r="V53" i="74"/>
  <c r="J57" i="74"/>
  <c r="V61" i="74"/>
  <c r="J63" i="74"/>
  <c r="J69" i="74"/>
  <c r="V73" i="74"/>
  <c r="V77" i="74"/>
  <c r="V81" i="74"/>
  <c r="V17" i="75"/>
  <c r="F92" i="76"/>
  <c r="F86" i="76"/>
  <c r="F83" i="76"/>
  <c r="F79" i="76"/>
  <c r="F70" i="76"/>
  <c r="F62" i="76"/>
  <c r="F59" i="76"/>
  <c r="F43" i="76"/>
  <c r="F78" i="76"/>
  <c r="F65" i="76"/>
  <c r="F53" i="76"/>
  <c r="F50" i="76"/>
  <c r="F42" i="76"/>
  <c r="F88" i="76"/>
  <c r="F85" i="76"/>
  <c r="F77" i="76"/>
  <c r="F72" i="76"/>
  <c r="F69" i="76"/>
  <c r="F87" i="76"/>
  <c r="F82" i="76"/>
  <c r="F75" i="76"/>
  <c r="F71" i="76"/>
  <c r="F67" i="76"/>
  <c r="F63" i="76"/>
  <c r="F58" i="76"/>
  <c r="F55" i="76"/>
  <c r="J29" i="76"/>
  <c r="F30" i="76"/>
  <c r="L36" i="76"/>
  <c r="N36" i="76" s="1"/>
  <c r="F37" i="76"/>
  <c r="J43" i="76"/>
  <c r="F51" i="76"/>
  <c r="F56" i="76"/>
  <c r="F57" i="76"/>
  <c r="L58" i="76"/>
  <c r="F60" i="76"/>
  <c r="F68" i="76"/>
  <c r="V71" i="76"/>
  <c r="X72" i="76"/>
  <c r="V84" i="76"/>
  <c r="F91" i="76"/>
  <c r="X24" i="77"/>
  <c r="T30" i="79"/>
  <c r="Z16" i="79"/>
  <c r="N86" i="82"/>
  <c r="F76" i="83"/>
  <c r="F55" i="83"/>
  <c r="F52" i="83"/>
  <c r="F36" i="83"/>
  <c r="F32" i="83"/>
  <c r="F24" i="83"/>
  <c r="F88" i="83"/>
  <c r="F82" i="83"/>
  <c r="F79" i="83"/>
  <c r="F75" i="83"/>
  <c r="F66" i="83"/>
  <c r="F58" i="83"/>
  <c r="F46" i="83"/>
  <c r="F43" i="83"/>
  <c r="F35" i="83"/>
  <c r="F31" i="83"/>
  <c r="F78" i="83"/>
  <c r="F74" i="83"/>
  <c r="F61" i="83"/>
  <c r="F54" i="83"/>
  <c r="F42" i="83"/>
  <c r="F34" i="83"/>
  <c r="F94" i="83"/>
  <c r="F84" i="83"/>
  <c r="F81" i="83"/>
  <c r="F73" i="83"/>
  <c r="F68" i="83"/>
  <c r="F65" i="83"/>
  <c r="F57" i="83"/>
  <c r="F48" i="83"/>
  <c r="F45" i="83"/>
  <c r="F41" i="83"/>
  <c r="F92" i="83"/>
  <c r="F72" i="83"/>
  <c r="F64" i="83"/>
  <c r="F60" i="83"/>
  <c r="F56" i="83"/>
  <c r="F51" i="83"/>
  <c r="F40" i="83"/>
  <c r="F28" i="83"/>
  <c r="F23" i="83"/>
  <c r="F83" i="83"/>
  <c r="F71" i="83"/>
  <c r="F67" i="83"/>
  <c r="F63" i="83"/>
  <c r="F59" i="83"/>
  <c r="F47" i="83"/>
  <c r="F39" i="83"/>
  <c r="F27" i="83"/>
  <c r="F85" i="83"/>
  <c r="F69" i="83"/>
  <c r="F62" i="83"/>
  <c r="F50" i="83"/>
  <c r="F44" i="83"/>
  <c r="F30" i="83"/>
  <c r="F80" i="83"/>
  <c r="F38" i="83"/>
  <c r="F29" i="83"/>
  <c r="F97" i="83"/>
  <c r="F20" i="83"/>
  <c r="F90" i="83"/>
  <c r="D20" i="83"/>
  <c r="F18" i="83"/>
  <c r="F77" i="83"/>
  <c r="F49" i="83"/>
  <c r="F70" i="83"/>
  <c r="F37" i="83"/>
  <c r="F26" i="83"/>
  <c r="F25" i="83"/>
  <c r="F17" i="83"/>
  <c r="F16" i="83"/>
  <c r="F53" i="83"/>
  <c r="L12" i="83"/>
  <c r="N12" i="83" s="1"/>
  <c r="F87" i="83"/>
  <c r="F22" i="83"/>
  <c r="V18" i="74"/>
  <c r="J22" i="74"/>
  <c r="V24" i="74"/>
  <c r="J26" i="74"/>
  <c r="V26" i="74"/>
  <c r="L27" i="74"/>
  <c r="V30" i="74"/>
  <c r="J34" i="74"/>
  <c r="J38" i="74"/>
  <c r="V42" i="74"/>
  <c r="J46" i="74"/>
  <c r="V50" i="74"/>
  <c r="J52" i="74"/>
  <c r="J58" i="74"/>
  <c r="X61" i="74"/>
  <c r="Z61" i="74" s="1"/>
  <c r="V62" i="74"/>
  <c r="L63" i="74"/>
  <c r="J66" i="74"/>
  <c r="V70" i="74"/>
  <c r="X73" i="74"/>
  <c r="Z73" i="74" s="1"/>
  <c r="V74" i="74"/>
  <c r="J76" i="74"/>
  <c r="V78" i="74"/>
  <c r="J80" i="74"/>
  <c r="J86" i="74"/>
  <c r="V88" i="74"/>
  <c r="J92" i="74"/>
  <c r="X17" i="75"/>
  <c r="Z17" i="75" s="1"/>
  <c r="V18" i="75"/>
  <c r="J88" i="76"/>
  <c r="J78" i="76"/>
  <c r="J72" i="76"/>
  <c r="J56" i="76"/>
  <c r="J50" i="76"/>
  <c r="J42" i="76"/>
  <c r="J36" i="76"/>
  <c r="J85" i="76"/>
  <c r="J77" i="76"/>
  <c r="J69" i="76"/>
  <c r="J61" i="76"/>
  <c r="J47" i="76"/>
  <c r="J41" i="76"/>
  <c r="J96" i="76"/>
  <c r="J82" i="76"/>
  <c r="J76" i="76"/>
  <c r="J68" i="76"/>
  <c r="J84" i="76"/>
  <c r="J74" i="76"/>
  <c r="J66" i="76"/>
  <c r="J60" i="76"/>
  <c r="J54" i="76"/>
  <c r="J46" i="76"/>
  <c r="F19" i="76"/>
  <c r="F25" i="76"/>
  <c r="F26" i="76"/>
  <c r="V26" i="76"/>
  <c r="J30" i="76"/>
  <c r="F31" i="76"/>
  <c r="J37" i="76"/>
  <c r="F38" i="76"/>
  <c r="F39" i="76"/>
  <c r="F40" i="76"/>
  <c r="J49" i="76"/>
  <c r="J55" i="76"/>
  <c r="J57" i="76"/>
  <c r="J59" i="76"/>
  <c r="F61" i="76"/>
  <c r="J67" i="76"/>
  <c r="V69" i="76"/>
  <c r="Z72" i="76"/>
  <c r="V75" i="76"/>
  <c r="V76" i="76"/>
  <c r="Z82" i="76"/>
  <c r="X84" i="76"/>
  <c r="Z84" i="76" s="1"/>
  <c r="F89" i="76"/>
  <c r="J92" i="76"/>
  <c r="V96" i="76"/>
  <c r="D26" i="77"/>
  <c r="L16" i="77"/>
  <c r="L18" i="78"/>
  <c r="T28" i="81"/>
  <c r="F95" i="82"/>
  <c r="F89" i="82"/>
  <c r="F78" i="82"/>
  <c r="F65" i="82"/>
  <c r="F62" i="82"/>
  <c r="F57" i="82"/>
  <c r="F42" i="82"/>
  <c r="F37" i="82"/>
  <c r="F30" i="82"/>
  <c r="F85" i="82"/>
  <c r="F53" i="82"/>
  <c r="F48" i="82"/>
  <c r="F41" i="82"/>
  <c r="F29" i="82"/>
  <c r="F90" i="82"/>
  <c r="F82" i="82"/>
  <c r="F77" i="82"/>
  <c r="F74" i="82"/>
  <c r="F66" i="82"/>
  <c r="F61" i="82"/>
  <c r="F58" i="82"/>
  <c r="F46" i="82"/>
  <c r="F38" i="82"/>
  <c r="F34" i="82"/>
  <c r="F23" i="82"/>
  <c r="F94" i="82"/>
  <c r="F81" i="82"/>
  <c r="F73" i="82"/>
  <c r="F69" i="82"/>
  <c r="F52" i="82"/>
  <c r="F49" i="82"/>
  <c r="F45" i="82"/>
  <c r="F33" i="82"/>
  <c r="D23" i="82"/>
  <c r="F21" i="82"/>
  <c r="F92" i="82"/>
  <c r="F91" i="82"/>
  <c r="F72" i="82"/>
  <c r="F71" i="82"/>
  <c r="F70" i="82"/>
  <c r="F36" i="82"/>
  <c r="F99" i="82"/>
  <c r="F56" i="82"/>
  <c r="F40" i="82"/>
  <c r="F39" i="82"/>
  <c r="F35" i="82"/>
  <c r="F60" i="82"/>
  <c r="F59" i="82"/>
  <c r="F55" i="82"/>
  <c r="F54" i="82"/>
  <c r="F51" i="82"/>
  <c r="F50" i="82"/>
  <c r="F47" i="82"/>
  <c r="F32" i="82"/>
  <c r="F25" i="82"/>
  <c r="L12" i="82"/>
  <c r="F84" i="82"/>
  <c r="F64" i="82"/>
  <c r="F63" i="82"/>
  <c r="F31" i="82"/>
  <c r="F83" i="82"/>
  <c r="F28" i="82"/>
  <c r="F88" i="82"/>
  <c r="F87" i="82"/>
  <c r="F86" i="82"/>
  <c r="F80" i="82"/>
  <c r="F76" i="82"/>
  <c r="F75" i="82"/>
  <c r="F43" i="82"/>
  <c r="F20" i="82"/>
  <c r="F19" i="82"/>
  <c r="V19" i="74"/>
  <c r="H24" i="74"/>
  <c r="L24" i="74" s="1"/>
  <c r="V31" i="74"/>
  <c r="J35" i="74"/>
  <c r="J39" i="74"/>
  <c r="V43" i="74"/>
  <c r="J47" i="74"/>
  <c r="V51" i="74"/>
  <c r="J55" i="74"/>
  <c r="V59" i="74"/>
  <c r="J61" i="74"/>
  <c r="V67" i="74"/>
  <c r="V71" i="74"/>
  <c r="J73" i="74"/>
  <c r="V75" i="74"/>
  <c r="V19" i="75"/>
  <c r="L12" i="76"/>
  <c r="N12" i="76" s="1"/>
  <c r="J19" i="76"/>
  <c r="F20" i="76"/>
  <c r="J31" i="76"/>
  <c r="F32" i="76"/>
  <c r="J38" i="76"/>
  <c r="J39" i="76"/>
  <c r="J40" i="76"/>
  <c r="F41" i="76"/>
  <c r="V44" i="76"/>
  <c r="V47" i="76"/>
  <c r="V48" i="76"/>
  <c r="J51" i="76"/>
  <c r="F52" i="76"/>
  <c r="J58" i="76"/>
  <c r="N62" i="76"/>
  <c r="F64" i="76"/>
  <c r="F74" i="76"/>
  <c r="J89" i="76"/>
  <c r="J91" i="76"/>
  <c r="L24" i="77"/>
  <c r="T80" i="78"/>
  <c r="Z16" i="78"/>
  <c r="N40" i="78"/>
  <c r="V54" i="78"/>
  <c r="R55" i="78"/>
  <c r="L69" i="78"/>
  <c r="N69" i="78" s="1"/>
  <c r="Z71" i="78"/>
  <c r="R24" i="79"/>
  <c r="R21" i="79"/>
  <c r="X12" i="79"/>
  <c r="R25" i="79"/>
  <c r="R18" i="79"/>
  <c r="R30" i="79"/>
  <c r="R28" i="79"/>
  <c r="R26" i="79"/>
  <c r="R32" i="79"/>
  <c r="R23" i="79"/>
  <c r="R16" i="79"/>
  <c r="R14" i="79"/>
  <c r="R16" i="81"/>
  <c r="R22" i="81"/>
  <c r="R19" i="81"/>
  <c r="R14" i="81"/>
  <c r="R30" i="81"/>
  <c r="R21" i="81"/>
  <c r="R35" i="81"/>
  <c r="R32" i="81"/>
  <c r="R20" i="81"/>
  <c r="R18" i="81"/>
  <c r="R28" i="81"/>
  <c r="R26" i="81"/>
  <c r="R24" i="81"/>
  <c r="P16" i="81"/>
  <c r="Z59" i="82"/>
  <c r="X59" i="82"/>
  <c r="F68" i="82"/>
  <c r="V32" i="81"/>
  <c r="V26" i="81"/>
  <c r="V20" i="81"/>
  <c r="V21" i="81"/>
  <c r="V35" i="81"/>
  <c r="V30" i="81"/>
  <c r="V28" i="81"/>
  <c r="V24" i="81"/>
  <c r="Z12" i="81"/>
  <c r="J34" i="82"/>
  <c r="Z54" i="82"/>
  <c r="Z63" i="82"/>
  <c r="N77" i="82"/>
  <c r="L77" i="82"/>
  <c r="J78" i="82"/>
  <c r="J79" i="82"/>
  <c r="N89" i="82"/>
  <c r="J90" i="82"/>
  <c r="N44" i="83"/>
  <c r="L44" i="83"/>
  <c r="N55" i="83"/>
  <c r="R60" i="84"/>
  <c r="R53" i="84"/>
  <c r="R51" i="84"/>
  <c r="R57" i="84"/>
  <c r="R50" i="84"/>
  <c r="R44" i="84"/>
  <c r="R41" i="84"/>
  <c r="R32" i="84"/>
  <c r="R20" i="84"/>
  <c r="R18" i="84"/>
  <c r="P16" i="84"/>
  <c r="R31" i="84"/>
  <c r="R27" i="84"/>
  <c r="R46" i="84"/>
  <c r="R43" i="84"/>
  <c r="R38" i="84"/>
  <c r="R30" i="84"/>
  <c r="R26" i="84"/>
  <c r="R19" i="84"/>
  <c r="R55" i="84"/>
  <c r="R49" i="84"/>
  <c r="R37" i="84"/>
  <c r="R29" i="84"/>
  <c r="R25" i="84"/>
  <c r="R14" i="84"/>
  <c r="R45" i="84"/>
  <c r="R40" i="84"/>
  <c r="R36" i="84"/>
  <c r="R24" i="84"/>
  <c r="X12" i="84"/>
  <c r="R35" i="84"/>
  <c r="R28" i="84"/>
  <c r="R23" i="84"/>
  <c r="R42" i="84"/>
  <c r="R39" i="84"/>
  <c r="R34" i="84"/>
  <c r="R48" i="84"/>
  <c r="R33" i="84"/>
  <c r="R21" i="84"/>
  <c r="R22" i="84"/>
  <c r="V16" i="77"/>
  <c r="V18" i="77"/>
  <c r="J22" i="77"/>
  <c r="F24" i="77"/>
  <c r="V24" i="77"/>
  <c r="F30" i="77"/>
  <c r="V30" i="77"/>
  <c r="J16" i="78"/>
  <c r="J20" i="78"/>
  <c r="J28" i="78"/>
  <c r="J32" i="78"/>
  <c r="J42" i="78"/>
  <c r="J48" i="78"/>
  <c r="J64" i="78"/>
  <c r="L19" i="79"/>
  <c r="V35" i="80"/>
  <c r="V30" i="80"/>
  <c r="V28" i="80"/>
  <c r="V24" i="80"/>
  <c r="Z12" i="80"/>
  <c r="T16" i="80"/>
  <c r="V32" i="80"/>
  <c r="V26" i="80"/>
  <c r="V20" i="80"/>
  <c r="V14" i="80"/>
  <c r="X23" i="80"/>
  <c r="V16" i="81"/>
  <c r="J19" i="81"/>
  <c r="J35" i="81"/>
  <c r="J27" i="82"/>
  <c r="V34" i="82"/>
  <c r="V35" i="82"/>
  <c r="V39" i="82"/>
  <c r="V59" i="82"/>
  <c r="L65" i="82"/>
  <c r="Z70" i="82"/>
  <c r="V71" i="82"/>
  <c r="V90" i="82"/>
  <c r="V99" i="82"/>
  <c r="X14" i="83"/>
  <c r="Z14" i="83" s="1"/>
  <c r="P12" i="83"/>
  <c r="L23" i="83"/>
  <c r="N23" i="83" s="1"/>
  <c r="J91" i="82"/>
  <c r="J85" i="82"/>
  <c r="J75" i="82"/>
  <c r="J67" i="82"/>
  <c r="J59" i="82"/>
  <c r="J53" i="82"/>
  <c r="J41" i="82"/>
  <c r="J29" i="82"/>
  <c r="J88" i="82"/>
  <c r="J84" i="82"/>
  <c r="J70" i="82"/>
  <c r="J64" i="82"/>
  <c r="J56" i="82"/>
  <c r="J50" i="82"/>
  <c r="J40" i="82"/>
  <c r="J36" i="82"/>
  <c r="J28" i="82"/>
  <c r="J18" i="82"/>
  <c r="J81" i="82"/>
  <c r="J73" i="82"/>
  <c r="J69" i="82"/>
  <c r="J63" i="82"/>
  <c r="J49" i="82"/>
  <c r="J45" i="82"/>
  <c r="J33" i="82"/>
  <c r="J25" i="82"/>
  <c r="J21" i="82"/>
  <c r="J92" i="82"/>
  <c r="J86" i="82"/>
  <c r="J80" i="82"/>
  <c r="J76" i="82"/>
  <c r="J72" i="82"/>
  <c r="J68" i="82"/>
  <c r="J60" i="82"/>
  <c r="J54" i="82"/>
  <c r="J44" i="82"/>
  <c r="J32" i="82"/>
  <c r="J26" i="82"/>
  <c r="J20" i="82"/>
  <c r="N12" i="82"/>
  <c r="N65" i="82"/>
  <c r="J66" i="82"/>
  <c r="J83" i="82"/>
  <c r="Z91" i="82"/>
  <c r="X91" i="82"/>
  <c r="J84" i="78"/>
  <c r="J74" i="78"/>
  <c r="J68" i="78"/>
  <c r="J62" i="78"/>
  <c r="J58" i="78"/>
  <c r="J77" i="78"/>
  <c r="J73" i="78"/>
  <c r="J67" i="78"/>
  <c r="J61" i="78"/>
  <c r="J57" i="78"/>
  <c r="J47" i="78"/>
  <c r="J87" i="78"/>
  <c r="J80" i="78"/>
  <c r="J72" i="78"/>
  <c r="J60" i="78"/>
  <c r="J56" i="78"/>
  <c r="J52" i="78"/>
  <c r="J44" i="78"/>
  <c r="J22" i="78"/>
  <c r="J34" i="78"/>
  <c r="J40" i="78"/>
  <c r="J43" i="78"/>
  <c r="J49" i="78"/>
  <c r="J50" i="78"/>
  <c r="J69" i="78"/>
  <c r="J70" i="78"/>
  <c r="N19" i="79"/>
  <c r="Z18" i="80"/>
  <c r="V23" i="80"/>
  <c r="L16" i="81"/>
  <c r="V18" i="81"/>
  <c r="D28" i="81"/>
  <c r="V19" i="82"/>
  <c r="H23" i="82"/>
  <c r="J31" i="82"/>
  <c r="V42" i="82"/>
  <c r="Z48" i="82"/>
  <c r="L57" i="82"/>
  <c r="N61" i="82"/>
  <c r="L61" i="82"/>
  <c r="J62" i="82"/>
  <c r="J65" i="82"/>
  <c r="V74" i="82"/>
  <c r="V79" i="82"/>
  <c r="J82" i="82"/>
  <c r="Z86" i="82"/>
  <c r="V91" i="82"/>
  <c r="V95" i="82"/>
  <c r="X92" i="76"/>
  <c r="F21" i="77"/>
  <c r="V21" i="77"/>
  <c r="J23" i="78"/>
  <c r="J29" i="78"/>
  <c r="J35" i="78"/>
  <c r="X64" i="78"/>
  <c r="X67" i="78"/>
  <c r="J71" i="78"/>
  <c r="L74" i="78"/>
  <c r="N74" i="78" s="1"/>
  <c r="J75" i="78"/>
  <c r="J82" i="78"/>
  <c r="F34" i="79"/>
  <c r="F28" i="79"/>
  <c r="F14" i="79"/>
  <c r="F23" i="79"/>
  <c r="F20" i="79"/>
  <c r="F37" i="79"/>
  <c r="F30" i="79"/>
  <c r="F16" i="79"/>
  <c r="L18" i="79"/>
  <c r="V18" i="80"/>
  <c r="X19" i="80"/>
  <c r="Z19" i="80" s="1"/>
  <c r="J30" i="81"/>
  <c r="J24" i="81"/>
  <c r="J14" i="81"/>
  <c r="N12" i="81"/>
  <c r="J23" i="81"/>
  <c r="J20" i="81"/>
  <c r="J16" i="81"/>
  <c r="L14" i="81"/>
  <c r="J26" i="81"/>
  <c r="J28" i="81"/>
  <c r="V89" i="82"/>
  <c r="V81" i="82"/>
  <c r="V73" i="82"/>
  <c r="V69" i="82"/>
  <c r="V65" i="82"/>
  <c r="V57" i="82"/>
  <c r="V49" i="82"/>
  <c r="V45" i="82"/>
  <c r="V37" i="82"/>
  <c r="V33" i="82"/>
  <c r="V92" i="82"/>
  <c r="V80" i="82"/>
  <c r="V76" i="82"/>
  <c r="V72" i="82"/>
  <c r="V68" i="82"/>
  <c r="V60" i="82"/>
  <c r="V48" i="82"/>
  <c r="V44" i="82"/>
  <c r="V32" i="82"/>
  <c r="V20" i="82"/>
  <c r="V85" i="82"/>
  <c r="V77" i="82"/>
  <c r="V61" i="82"/>
  <c r="V53" i="82"/>
  <c r="V41" i="82"/>
  <c r="V29" i="82"/>
  <c r="V25" i="82"/>
  <c r="V23" i="82"/>
  <c r="V94" i="82"/>
  <c r="V88" i="82"/>
  <c r="V84" i="82"/>
  <c r="V64" i="82"/>
  <c r="V56" i="82"/>
  <c r="V52" i="82"/>
  <c r="V40" i="82"/>
  <c r="V36" i="82"/>
  <c r="V28" i="82"/>
  <c r="T23" i="82"/>
  <c r="V18" i="82"/>
  <c r="J23" i="82"/>
  <c r="Z26" i="82"/>
  <c r="V43" i="82"/>
  <c r="J46" i="82"/>
  <c r="J47" i="82"/>
  <c r="J51" i="82"/>
  <c r="J55" i="82"/>
  <c r="J58" i="82"/>
  <c r="J61" i="82"/>
  <c r="V66" i="82"/>
  <c r="Z75" i="82"/>
  <c r="X75" i="82"/>
  <c r="V86" i="82"/>
  <c r="V87" i="82"/>
  <c r="R16" i="84"/>
  <c r="F14" i="77"/>
  <c r="V14" i="77"/>
  <c r="V22" i="77"/>
  <c r="F26" i="77"/>
  <c r="V26" i="77"/>
  <c r="V28" i="77"/>
  <c r="N12" i="78"/>
  <c r="J14" i="78"/>
  <c r="J24" i="78"/>
  <c r="J36" i="78"/>
  <c r="J45" i="78"/>
  <c r="Z47" i="78"/>
  <c r="J51" i="78"/>
  <c r="J78" i="78"/>
  <c r="D16" i="79"/>
  <c r="F22" i="79"/>
  <c r="F35" i="80"/>
  <c r="F28" i="80"/>
  <c r="F22" i="80"/>
  <c r="D16" i="80"/>
  <c r="F32" i="80"/>
  <c r="F26" i="80"/>
  <c r="N18" i="80"/>
  <c r="L12" i="81"/>
  <c r="H16" i="81"/>
  <c r="V26" i="82"/>
  <c r="V27" i="82"/>
  <c r="J30" i="82"/>
  <c r="J35" i="82"/>
  <c r="N37" i="82"/>
  <c r="J38" i="82"/>
  <c r="J39" i="82"/>
  <c r="N50" i="82"/>
  <c r="J57" i="82"/>
  <c r="Z67" i="82"/>
  <c r="V75" i="82"/>
  <c r="J94" i="82"/>
  <c r="J99" i="82"/>
  <c r="Z22" i="83"/>
  <c r="Z16" i="84"/>
  <c r="T53" i="84"/>
  <c r="V16" i="79"/>
  <c r="J18" i="79"/>
  <c r="V18" i="79"/>
  <c r="J22" i="79"/>
  <c r="V26" i="79"/>
  <c r="V30" i="79"/>
  <c r="V32" i="79"/>
  <c r="V37" i="79"/>
  <c r="R16" i="80"/>
  <c r="F28" i="81"/>
  <c r="F35" i="81"/>
  <c r="J17" i="83"/>
  <c r="T20" i="83"/>
  <c r="V20" i="83" s="1"/>
  <c r="J36" i="83"/>
  <c r="V40" i="83"/>
  <c r="X53" i="83"/>
  <c r="V72" i="83"/>
  <c r="V80" i="83"/>
  <c r="L18" i="84"/>
  <c r="X41" i="84"/>
  <c r="H16" i="79"/>
  <c r="V23" i="79"/>
  <c r="J25" i="79"/>
  <c r="R23" i="80"/>
  <c r="F21" i="81"/>
  <c r="P12" i="82"/>
  <c r="V83" i="83"/>
  <c r="V71" i="83"/>
  <c r="V67" i="83"/>
  <c r="V63" i="83"/>
  <c r="V59" i="83"/>
  <c r="V55" i="83"/>
  <c r="V47" i="83"/>
  <c r="V39" i="83"/>
  <c r="V27" i="83"/>
  <c r="V82" i="83"/>
  <c r="V70" i="83"/>
  <c r="V66" i="83"/>
  <c r="V62" i="83"/>
  <c r="V58" i="83"/>
  <c r="V50" i="83"/>
  <c r="V46" i="83"/>
  <c r="V38" i="83"/>
  <c r="V85" i="83"/>
  <c r="V69" i="83"/>
  <c r="V61" i="83"/>
  <c r="V49" i="83"/>
  <c r="V37" i="83"/>
  <c r="V88" i="83"/>
  <c r="V84" i="83"/>
  <c r="V76" i="83"/>
  <c r="V68" i="83"/>
  <c r="V52" i="83"/>
  <c r="V48" i="83"/>
  <c r="V36" i="83"/>
  <c r="V32" i="83"/>
  <c r="V79" i="83"/>
  <c r="V75" i="83"/>
  <c r="V51" i="83"/>
  <c r="V43" i="83"/>
  <c r="V35" i="83"/>
  <c r="V31" i="83"/>
  <c r="V23" i="83"/>
  <c r="V78" i="83"/>
  <c r="V74" i="83"/>
  <c r="V54" i="83"/>
  <c r="V42" i="83"/>
  <c r="V34" i="83"/>
  <c r="V30" i="83"/>
  <c r="J18" i="83"/>
  <c r="J22" i="83"/>
  <c r="V28" i="83"/>
  <c r="V29" i="83"/>
  <c r="J32" i="83"/>
  <c r="X33" i="83"/>
  <c r="Z33" i="83" s="1"/>
  <c r="V44" i="83"/>
  <c r="J52" i="83"/>
  <c r="Z53" i="83"/>
  <c r="V57" i="83"/>
  <c r="V64" i="83"/>
  <c r="L19" i="84"/>
  <c r="L43" i="84"/>
  <c r="V22" i="79"/>
  <c r="J26" i="79"/>
  <c r="V28" i="79"/>
  <c r="F26" i="81"/>
  <c r="J23" i="83"/>
  <c r="J24" i="83"/>
  <c r="N46" i="83"/>
  <c r="N51" i="83"/>
  <c r="J55" i="83"/>
  <c r="J66" i="83"/>
  <c r="J76" i="83"/>
  <c r="X77" i="83"/>
  <c r="X18" i="84"/>
  <c r="N48" i="84"/>
  <c r="J88" i="83"/>
  <c r="J79" i="83"/>
  <c r="J75" i="83"/>
  <c r="J61" i="83"/>
  <c r="J43" i="83"/>
  <c r="J35" i="83"/>
  <c r="J31" i="83"/>
  <c r="J84" i="83"/>
  <c r="J78" i="83"/>
  <c r="J74" i="83"/>
  <c r="J68" i="83"/>
  <c r="J54" i="83"/>
  <c r="J48" i="83"/>
  <c r="J42" i="83"/>
  <c r="J34" i="83"/>
  <c r="J30" i="83"/>
  <c r="J81" i="83"/>
  <c r="J73" i="83"/>
  <c r="J65" i="83"/>
  <c r="J57" i="83"/>
  <c r="J51" i="83"/>
  <c r="J45" i="83"/>
  <c r="J41" i="83"/>
  <c r="J92" i="83"/>
  <c r="J72" i="83"/>
  <c r="J64" i="83"/>
  <c r="J60" i="83"/>
  <c r="J56" i="83"/>
  <c r="J40" i="83"/>
  <c r="J87" i="83"/>
  <c r="J83" i="83"/>
  <c r="J77" i="83"/>
  <c r="J71" i="83"/>
  <c r="J67" i="83"/>
  <c r="J63" i="83"/>
  <c r="J59" i="83"/>
  <c r="J53" i="83"/>
  <c r="J47" i="83"/>
  <c r="J39" i="83"/>
  <c r="J33" i="83"/>
  <c r="J27" i="83"/>
  <c r="J90" i="83"/>
  <c r="J80" i="83"/>
  <c r="J70" i="83"/>
  <c r="J62" i="83"/>
  <c r="J50" i="83"/>
  <c r="J44" i="83"/>
  <c r="J38" i="83"/>
  <c r="J26" i="83"/>
  <c r="J16" i="83"/>
  <c r="J29" i="83"/>
  <c r="J46" i="83"/>
  <c r="Z77" i="83"/>
  <c r="N80" i="83"/>
  <c r="L80" i="83"/>
  <c r="D53" i="84"/>
  <c r="T16" i="87"/>
  <c r="Z14" i="87"/>
  <c r="X16" i="85"/>
  <c r="P28" i="85"/>
  <c r="F52" i="87"/>
  <c r="F66" i="87"/>
  <c r="F59" i="87"/>
  <c r="F63" i="87"/>
  <c r="F57" i="87"/>
  <c r="F53" i="87"/>
  <c r="F45" i="87"/>
  <c r="F40" i="87"/>
  <c r="F33" i="87"/>
  <c r="F21" i="87"/>
  <c r="F54" i="87"/>
  <c r="F48" i="87"/>
  <c r="F32" i="87"/>
  <c r="F28" i="87"/>
  <c r="F20" i="87"/>
  <c r="F51" i="87"/>
  <c r="F47" i="87"/>
  <c r="F42" i="87"/>
  <c r="F39" i="87"/>
  <c r="F31" i="87"/>
  <c r="F27" i="87"/>
  <c r="F16" i="87"/>
  <c r="F50" i="87"/>
  <c r="F38" i="87"/>
  <c r="F30" i="87"/>
  <c r="F26" i="87"/>
  <c r="D16" i="87"/>
  <c r="F61" i="87"/>
  <c r="F44" i="87"/>
  <c r="F41" i="87"/>
  <c r="F37" i="87"/>
  <c r="F25" i="87"/>
  <c r="F36" i="87"/>
  <c r="F24" i="87"/>
  <c r="F19" i="87"/>
  <c r="F18" i="87"/>
  <c r="L12" i="87"/>
  <c r="F46" i="87"/>
  <c r="F43" i="87"/>
  <c r="F35" i="87"/>
  <c r="F23" i="87"/>
  <c r="F14" i="87"/>
  <c r="V57" i="84"/>
  <c r="V51" i="84"/>
  <c r="V50" i="84"/>
  <c r="V60" i="84"/>
  <c r="V55" i="84"/>
  <c r="V53" i="84"/>
  <c r="F16" i="84"/>
  <c r="V16" i="84"/>
  <c r="J18" i="84"/>
  <c r="V18" i="84"/>
  <c r="V22" i="84"/>
  <c r="J26" i="84"/>
  <c r="F27" i="84"/>
  <c r="J30" i="84"/>
  <c r="F31" i="84"/>
  <c r="V34" i="84"/>
  <c r="J38" i="84"/>
  <c r="V42" i="84"/>
  <c r="J46" i="84"/>
  <c r="F48" i="84"/>
  <c r="V48" i="84"/>
  <c r="X26" i="85"/>
  <c r="N20" i="86"/>
  <c r="N34" i="86"/>
  <c r="L34" i="86"/>
  <c r="F22" i="87"/>
  <c r="F34" i="87"/>
  <c r="V93" i="88"/>
  <c r="V85" i="88"/>
  <c r="V81" i="88"/>
  <c r="V61" i="88"/>
  <c r="V53" i="88"/>
  <c r="V41" i="88"/>
  <c r="V29" i="88"/>
  <c r="V25" i="88"/>
  <c r="V23" i="88"/>
  <c r="V89" i="88"/>
  <c r="V84" i="88"/>
  <c r="V80" i="88"/>
  <c r="V60" i="88"/>
  <c r="V52" i="88"/>
  <c r="V40" i="88"/>
  <c r="V36" i="88"/>
  <c r="V28" i="88"/>
  <c r="T23" i="88"/>
  <c r="V86" i="88"/>
  <c r="V78" i="88"/>
  <c r="V74" i="88"/>
  <c r="V62" i="88"/>
  <c r="V54" i="88"/>
  <c r="V46" i="88"/>
  <c r="V38" i="88"/>
  <c r="V34" i="88"/>
  <c r="V26" i="88"/>
  <c r="V77" i="88"/>
  <c r="V73" i="88"/>
  <c r="V69" i="88"/>
  <c r="V65" i="88"/>
  <c r="V57" i="88"/>
  <c r="V49" i="88"/>
  <c r="V45" i="88"/>
  <c r="V37" i="88"/>
  <c r="V33" i="88"/>
  <c r="V21" i="88"/>
  <c r="V76" i="88"/>
  <c r="V72" i="88"/>
  <c r="V68" i="88"/>
  <c r="V64" i="88"/>
  <c r="V56" i="88"/>
  <c r="V48" i="88"/>
  <c r="V44" i="88"/>
  <c r="V32" i="88"/>
  <c r="V20" i="88"/>
  <c r="V31" i="88"/>
  <c r="V27" i="88"/>
  <c r="V18" i="88"/>
  <c r="V87" i="88"/>
  <c r="V70" i="88"/>
  <c r="V63" i="88"/>
  <c r="V55" i="88"/>
  <c r="V47" i="88"/>
  <c r="V35" i="88"/>
  <c r="V19" i="88"/>
  <c r="V75" i="88"/>
  <c r="V71" i="88"/>
  <c r="V43" i="88"/>
  <c r="V42" i="88"/>
  <c r="V83" i="88"/>
  <c r="V82" i="88"/>
  <c r="V66" i="88"/>
  <c r="V58" i="88"/>
  <c r="V50" i="88"/>
  <c r="V79" i="88"/>
  <c r="V67" i="88"/>
  <c r="V59" i="88"/>
  <c r="V51" i="88"/>
  <c r="V39" i="88"/>
  <c r="X25" i="88"/>
  <c r="V30" i="88"/>
  <c r="H16" i="84"/>
  <c r="L16" i="84" s="1"/>
  <c r="F20" i="84"/>
  <c r="V23" i="84"/>
  <c r="J27" i="84"/>
  <c r="J31" i="84"/>
  <c r="F32" i="84"/>
  <c r="V35" i="84"/>
  <c r="F39" i="84"/>
  <c r="V39" i="84"/>
  <c r="J41" i="84"/>
  <c r="F44" i="84"/>
  <c r="N14" i="85"/>
  <c r="L14" i="85"/>
  <c r="L18" i="85"/>
  <c r="L18" i="87"/>
  <c r="N18" i="87" s="1"/>
  <c r="L40" i="87"/>
  <c r="Z25" i="88"/>
  <c r="J16" i="84"/>
  <c r="J20" i="84"/>
  <c r="F21" i="84"/>
  <c r="F28" i="84"/>
  <c r="J32" i="84"/>
  <c r="V36" i="84"/>
  <c r="V40" i="84"/>
  <c r="J44" i="84"/>
  <c r="J48" i="84"/>
  <c r="F34" i="86"/>
  <c r="F38" i="86"/>
  <c r="F32" i="86"/>
  <c r="F27" i="86"/>
  <c r="F24" i="86"/>
  <c r="D18" i="86"/>
  <c r="F16" i="86"/>
  <c r="F29" i="86"/>
  <c r="F26" i="86"/>
  <c r="F21" i="86"/>
  <c r="F20" i="86"/>
  <c r="L12" i="86"/>
  <c r="F31" i="86"/>
  <c r="F28" i="86"/>
  <c r="F23" i="86"/>
  <c r="F15" i="86"/>
  <c r="F51" i="84"/>
  <c r="F57" i="84"/>
  <c r="F55" i="84"/>
  <c r="F50" i="84"/>
  <c r="F60" i="84"/>
  <c r="F53" i="84"/>
  <c r="J21" i="84"/>
  <c r="F22" i="84"/>
  <c r="J33" i="84"/>
  <c r="F34" i="84"/>
  <c r="J39" i="84"/>
  <c r="F42" i="84"/>
  <c r="F45" i="84"/>
  <c r="V45" i="84"/>
  <c r="V49" i="84"/>
  <c r="N18" i="85"/>
  <c r="Z20" i="86"/>
  <c r="F29" i="87"/>
  <c r="Z44" i="87"/>
  <c r="F49" i="87"/>
  <c r="L51" i="83"/>
  <c r="X61" i="83"/>
  <c r="Z61" i="83" s="1"/>
  <c r="J57" i="84"/>
  <c r="J55" i="84"/>
  <c r="J50" i="84"/>
  <c r="J60" i="84"/>
  <c r="J53" i="84"/>
  <c r="F14" i="84"/>
  <c r="J22" i="84"/>
  <c r="F23" i="84"/>
  <c r="V26" i="84"/>
  <c r="J28" i="84"/>
  <c r="V30" i="84"/>
  <c r="J34" i="84"/>
  <c r="F35" i="84"/>
  <c r="V38" i="84"/>
  <c r="L39" i="84"/>
  <c r="J42" i="84"/>
  <c r="X45" i="84"/>
  <c r="V46" i="84"/>
  <c r="X49" i="84"/>
  <c r="Z49" i="84" s="1"/>
  <c r="X18" i="85"/>
  <c r="Z18" i="85" s="1"/>
  <c r="H36" i="86"/>
  <c r="N18" i="86"/>
  <c r="N23" i="86"/>
  <c r="X18" i="87"/>
  <c r="Z18" i="87" s="1"/>
  <c r="N46" i="87"/>
  <c r="F55" i="87"/>
  <c r="H28" i="89"/>
  <c r="N18" i="89"/>
  <c r="L12" i="84"/>
  <c r="F18" i="84"/>
  <c r="F19" i="84"/>
  <c r="V19" i="84"/>
  <c r="J23" i="84"/>
  <c r="F24" i="84"/>
  <c r="V27" i="84"/>
  <c r="V31" i="84"/>
  <c r="J35" i="84"/>
  <c r="F36" i="84"/>
  <c r="F40" i="84"/>
  <c r="F43" i="84"/>
  <c r="V43" i="84"/>
  <c r="J45" i="84"/>
  <c r="F49" i="84"/>
  <c r="Z19" i="85"/>
  <c r="T36" i="86"/>
  <c r="F22" i="86"/>
  <c r="F25" i="86"/>
  <c r="X14" i="87"/>
  <c r="X46" i="87"/>
  <c r="Z46" i="87" s="1"/>
  <c r="N12" i="85"/>
  <c r="J14" i="85"/>
  <c r="R16" i="85"/>
  <c r="V20" i="85"/>
  <c r="J24" i="85"/>
  <c r="F26" i="85"/>
  <c r="V26" i="85"/>
  <c r="J30" i="85"/>
  <c r="F32" i="85"/>
  <c r="V32" i="85"/>
  <c r="Z12" i="86"/>
  <c r="J18" i="86"/>
  <c r="Z18" i="86"/>
  <c r="J22" i="86"/>
  <c r="V26" i="86"/>
  <c r="J30" i="86"/>
  <c r="J34" i="86"/>
  <c r="J40" i="86"/>
  <c r="J54" i="87"/>
  <c r="J63" i="87"/>
  <c r="J57" i="87"/>
  <c r="J53" i="87"/>
  <c r="J61" i="87"/>
  <c r="J55" i="87"/>
  <c r="J22" i="87"/>
  <c r="V26" i="87"/>
  <c r="R27" i="87"/>
  <c r="V30" i="87"/>
  <c r="R31" i="87"/>
  <c r="J34" i="87"/>
  <c r="V38" i="87"/>
  <c r="R39" i="87"/>
  <c r="J40" i="87"/>
  <c r="R44" i="87"/>
  <c r="V46" i="87"/>
  <c r="R47" i="87"/>
  <c r="V50" i="87"/>
  <c r="R51" i="87"/>
  <c r="Z26" i="88"/>
  <c r="Z50" i="88"/>
  <c r="Z58" i="88"/>
  <c r="Z66" i="88"/>
  <c r="R78" i="90"/>
  <c r="R70" i="90"/>
  <c r="R85" i="90"/>
  <c r="R77" i="90"/>
  <c r="R74" i="90"/>
  <c r="R91" i="90"/>
  <c r="R84" i="90"/>
  <c r="R82" i="90"/>
  <c r="R80" i="90"/>
  <c r="R72" i="90"/>
  <c r="R69" i="90"/>
  <c r="R40" i="90"/>
  <c r="R36" i="90"/>
  <c r="R28" i="90"/>
  <c r="R86" i="90"/>
  <c r="R79" i="90"/>
  <c r="R63" i="90"/>
  <c r="R60" i="90"/>
  <c r="R55" i="90"/>
  <c r="R52" i="90"/>
  <c r="R47" i="90"/>
  <c r="R39" i="90"/>
  <c r="R35" i="90"/>
  <c r="R27" i="90"/>
  <c r="R25" i="90"/>
  <c r="P23" i="90"/>
  <c r="R23" i="90" s="1"/>
  <c r="R71" i="90"/>
  <c r="R46" i="90"/>
  <c r="R38" i="90"/>
  <c r="R34" i="90"/>
  <c r="R88" i="90"/>
  <c r="R87" i="90"/>
  <c r="R65" i="90"/>
  <c r="R62" i="90"/>
  <c r="R57" i="90"/>
  <c r="R54" i="90"/>
  <c r="R49" i="90"/>
  <c r="R45" i="90"/>
  <c r="R33" i="90"/>
  <c r="R26" i="90"/>
  <c r="R21" i="90"/>
  <c r="R89" i="90"/>
  <c r="R83" i="90"/>
  <c r="R68" i="90"/>
  <c r="R44" i="90"/>
  <c r="R37" i="90"/>
  <c r="R32" i="90"/>
  <c r="R20" i="90"/>
  <c r="X12" i="90"/>
  <c r="Z12" i="90" s="1"/>
  <c r="R76" i="90"/>
  <c r="R75" i="90"/>
  <c r="R67" i="90"/>
  <c r="R64" i="90"/>
  <c r="R59" i="90"/>
  <c r="R56" i="90"/>
  <c r="R51" i="90"/>
  <c r="R48" i="90"/>
  <c r="R43" i="90"/>
  <c r="R31" i="90"/>
  <c r="R19" i="90"/>
  <c r="R95" i="90"/>
  <c r="R29" i="90"/>
  <c r="R66" i="90"/>
  <c r="R30" i="90"/>
  <c r="R53" i="90"/>
  <c r="R41" i="90"/>
  <c r="R81" i="90"/>
  <c r="R61" i="90"/>
  <c r="R50" i="90"/>
  <c r="R42" i="90"/>
  <c r="R18" i="90"/>
  <c r="J19" i="85"/>
  <c r="F22" i="85"/>
  <c r="R23" i="85"/>
  <c r="V15" i="86"/>
  <c r="R16" i="86"/>
  <c r="R21" i="86"/>
  <c r="V23" i="86"/>
  <c r="R24" i="86"/>
  <c r="J25" i="86"/>
  <c r="R29" i="86"/>
  <c r="V31" i="86"/>
  <c r="R32" i="86"/>
  <c r="R38" i="86"/>
  <c r="P16" i="87"/>
  <c r="R18" i="87"/>
  <c r="V19" i="87"/>
  <c r="R20" i="87"/>
  <c r="J23" i="87"/>
  <c r="V27" i="87"/>
  <c r="R28" i="87"/>
  <c r="J29" i="87"/>
  <c r="V31" i="87"/>
  <c r="R32" i="87"/>
  <c r="J35" i="87"/>
  <c r="V39" i="87"/>
  <c r="J43" i="87"/>
  <c r="V47" i="87"/>
  <c r="R48" i="87"/>
  <c r="J49" i="87"/>
  <c r="V51" i="87"/>
  <c r="R52" i="87"/>
  <c r="V53" i="87"/>
  <c r="R57" i="87"/>
  <c r="N48" i="88"/>
  <c r="N56" i="88"/>
  <c r="N64" i="88"/>
  <c r="N70" i="88"/>
  <c r="R58" i="90"/>
  <c r="F16" i="85"/>
  <c r="V16" i="85"/>
  <c r="J18" i="85"/>
  <c r="V18" i="85"/>
  <c r="J22" i="85"/>
  <c r="J26" i="85"/>
  <c r="R28" i="85"/>
  <c r="J32" i="85"/>
  <c r="R35" i="85"/>
  <c r="V24" i="86"/>
  <c r="J28" i="86"/>
  <c r="V32" i="86"/>
  <c r="V36" i="86"/>
  <c r="V38" i="86"/>
  <c r="V43" i="86"/>
  <c r="N12" i="87"/>
  <c r="J14" i="87"/>
  <c r="R16" i="87"/>
  <c r="V20" i="87"/>
  <c r="R21" i="87"/>
  <c r="J24" i="87"/>
  <c r="V28" i="87"/>
  <c r="V32" i="87"/>
  <c r="R33" i="87"/>
  <c r="J36" i="87"/>
  <c r="R42" i="87"/>
  <c r="V44" i="87"/>
  <c r="R45" i="87"/>
  <c r="J46" i="87"/>
  <c r="R54" i="87"/>
  <c r="Z52" i="88"/>
  <c r="Z60" i="88"/>
  <c r="Z75" i="88"/>
  <c r="X75" i="88"/>
  <c r="J67" i="92"/>
  <c r="J63" i="92"/>
  <c r="J51" i="92"/>
  <c r="J73" i="92"/>
  <c r="J60" i="92"/>
  <c r="J56" i="92"/>
  <c r="J66" i="92"/>
  <c r="J62" i="92"/>
  <c r="J58" i="92"/>
  <c r="J77" i="92"/>
  <c r="J65" i="92"/>
  <c r="J55" i="92"/>
  <c r="J49" i="92"/>
  <c r="J61" i="92"/>
  <c r="J57" i="92"/>
  <c r="J43" i="92"/>
  <c r="J35" i="92"/>
  <c r="J23" i="92"/>
  <c r="J69" i="92"/>
  <c r="J34" i="92"/>
  <c r="J30" i="92"/>
  <c r="J22" i="92"/>
  <c r="J48" i="92"/>
  <c r="J47" i="92"/>
  <c r="J40" i="92"/>
  <c r="J32" i="92"/>
  <c r="J28" i="92"/>
  <c r="H17" i="92"/>
  <c r="J70" i="92"/>
  <c r="J53" i="92"/>
  <c r="J50" i="92"/>
  <c r="J39" i="92"/>
  <c r="J27" i="92"/>
  <c r="J19" i="92"/>
  <c r="J64" i="92"/>
  <c r="J26" i="92"/>
  <c r="J20" i="92"/>
  <c r="J54" i="92"/>
  <c r="J44" i="92"/>
  <c r="J42" i="92"/>
  <c r="J33" i="92"/>
  <c r="J21" i="92"/>
  <c r="J46" i="92"/>
  <c r="J45" i="92"/>
  <c r="J41" i="92"/>
  <c r="J59" i="92"/>
  <c r="J17" i="92"/>
  <c r="J72" i="92"/>
  <c r="J38" i="92"/>
  <c r="J37" i="92"/>
  <c r="J31" i="92"/>
  <c r="J29" i="92"/>
  <c r="J68" i="92"/>
  <c r="J25" i="92"/>
  <c r="J15" i="92"/>
  <c r="J52" i="92"/>
  <c r="J36" i="92"/>
  <c r="J24" i="92"/>
  <c r="X12" i="85"/>
  <c r="H16" i="85"/>
  <c r="F20" i="85"/>
  <c r="R21" i="85"/>
  <c r="F23" i="85"/>
  <c r="V23" i="85"/>
  <c r="R24" i="85"/>
  <c r="D28" i="85"/>
  <c r="T28" i="85"/>
  <c r="R30" i="85"/>
  <c r="J15" i="86"/>
  <c r="P18" i="86"/>
  <c r="R18" i="86" s="1"/>
  <c r="R20" i="86"/>
  <c r="R22" i="86"/>
  <c r="J23" i="86"/>
  <c r="R27" i="86"/>
  <c r="V29" i="86"/>
  <c r="R30" i="86"/>
  <c r="J31" i="86"/>
  <c r="R53" i="87"/>
  <c r="R66" i="87"/>
  <c r="R59" i="87"/>
  <c r="R22" i="87"/>
  <c r="R34" i="87"/>
  <c r="J37" i="87"/>
  <c r="J41" i="87"/>
  <c r="R63" i="87"/>
  <c r="L18" i="88"/>
  <c r="N18" i="88" s="1"/>
  <c r="N23" i="89"/>
  <c r="L23" i="89"/>
  <c r="Z12" i="85"/>
  <c r="R14" i="85"/>
  <c r="J16" i="85"/>
  <c r="J20" i="85"/>
  <c r="V24" i="85"/>
  <c r="F28" i="85"/>
  <c r="V28" i="85"/>
  <c r="V30" i="85"/>
  <c r="F35" i="85"/>
  <c r="V35" i="85"/>
  <c r="N12" i="86"/>
  <c r="V22" i="86"/>
  <c r="J26" i="86"/>
  <c r="V30" i="86"/>
  <c r="R34" i="86"/>
  <c r="J36" i="86"/>
  <c r="J43" i="86"/>
  <c r="V52" i="87"/>
  <c r="V66" i="87"/>
  <c r="V61" i="87"/>
  <c r="V59" i="87"/>
  <c r="V55" i="87"/>
  <c r="V63" i="87"/>
  <c r="V57" i="87"/>
  <c r="V16" i="87"/>
  <c r="J18" i="87"/>
  <c r="V18" i="87"/>
  <c r="V22" i="87"/>
  <c r="R23" i="87"/>
  <c r="J26" i="87"/>
  <c r="J30" i="87"/>
  <c r="V34" i="87"/>
  <c r="R35" i="87"/>
  <c r="J38" i="87"/>
  <c r="R40" i="87"/>
  <c r="V42" i="87"/>
  <c r="R43" i="87"/>
  <c r="J44" i="87"/>
  <c r="J50" i="87"/>
  <c r="L52" i="87"/>
  <c r="N52" i="87" s="1"/>
  <c r="V54" i="87"/>
  <c r="D12" i="88"/>
  <c r="L16" i="88"/>
  <c r="H23" i="88"/>
  <c r="L26" i="88"/>
  <c r="N26" i="88" s="1"/>
  <c r="L50" i="88"/>
  <c r="L58" i="88"/>
  <c r="L66" i="88"/>
  <c r="N66" i="88" s="1"/>
  <c r="N86" i="88"/>
  <c r="R19" i="85"/>
  <c r="V21" i="85"/>
  <c r="R22" i="85"/>
  <c r="J23" i="85"/>
  <c r="J21" i="86"/>
  <c r="R25" i="86"/>
  <c r="V27" i="86"/>
  <c r="J29" i="86"/>
  <c r="X12" i="87"/>
  <c r="H16" i="87"/>
  <c r="V23" i="87"/>
  <c r="R24" i="87"/>
  <c r="J27" i="87"/>
  <c r="R29" i="87"/>
  <c r="J31" i="87"/>
  <c r="V35" i="87"/>
  <c r="R36" i="87"/>
  <c r="J39" i="87"/>
  <c r="X42" i="87"/>
  <c r="Z42" i="87" s="1"/>
  <c r="V43" i="87"/>
  <c r="L44" i="87"/>
  <c r="N44" i="87" s="1"/>
  <c r="J47" i="87"/>
  <c r="R49" i="87"/>
  <c r="J51" i="87"/>
  <c r="J59" i="87"/>
  <c r="R61" i="87"/>
  <c r="Z18" i="88"/>
  <c r="Z48" i="88"/>
  <c r="N52" i="88"/>
  <c r="Z56" i="88"/>
  <c r="N60" i="88"/>
  <c r="Z64" i="88"/>
  <c r="T93" i="90"/>
  <c r="V23" i="90"/>
  <c r="R73" i="90"/>
  <c r="R26" i="85"/>
  <c r="J28" i="85"/>
  <c r="J16" i="86"/>
  <c r="V18" i="86"/>
  <c r="J20" i="86"/>
  <c r="V20" i="86"/>
  <c r="J24" i="86"/>
  <c r="V28" i="86"/>
  <c r="J32" i="86"/>
  <c r="V34" i="86"/>
  <c r="Z12" i="87"/>
  <c r="R14" i="87"/>
  <c r="J16" i="87"/>
  <c r="J20" i="87"/>
  <c r="V24" i="87"/>
  <c r="R25" i="87"/>
  <c r="J28" i="87"/>
  <c r="J32" i="87"/>
  <c r="V36" i="87"/>
  <c r="R37" i="87"/>
  <c r="V40" i="87"/>
  <c r="R41" i="87"/>
  <c r="J42" i="87"/>
  <c r="R46" i="87"/>
  <c r="J48" i="87"/>
  <c r="J52" i="87"/>
  <c r="N50" i="88"/>
  <c r="N84" i="88"/>
  <c r="Z86" i="88"/>
  <c r="J18" i="88"/>
  <c r="J28" i="88"/>
  <c r="J36" i="88"/>
  <c r="J40" i="88"/>
  <c r="J50" i="88"/>
  <c r="J58" i="88"/>
  <c r="J66" i="88"/>
  <c r="J70" i="88"/>
  <c r="J80" i="88"/>
  <c r="F23" i="89"/>
  <c r="F26" i="89"/>
  <c r="F30" i="89"/>
  <c r="F24" i="89"/>
  <c r="D18" i="89"/>
  <c r="F18" i="89" s="1"/>
  <c r="L12" i="89"/>
  <c r="F21" i="89"/>
  <c r="N60" i="90"/>
  <c r="Z64" i="90"/>
  <c r="J29" i="88"/>
  <c r="J41" i="88"/>
  <c r="J53" i="88"/>
  <c r="J61" i="88"/>
  <c r="J75" i="88"/>
  <c r="J81" i="88"/>
  <c r="Z18" i="90"/>
  <c r="N26" i="90"/>
  <c r="Z50" i="90"/>
  <c r="V25" i="91"/>
  <c r="J89" i="88"/>
  <c r="J30" i="88"/>
  <c r="J42" i="88"/>
  <c r="J48" i="88"/>
  <c r="J56" i="88"/>
  <c r="J64" i="88"/>
  <c r="J82" i="88"/>
  <c r="P12" i="89"/>
  <c r="F16" i="89"/>
  <c r="N25" i="90"/>
  <c r="N52" i="90"/>
  <c r="Z56" i="90"/>
  <c r="Z60" i="90"/>
  <c r="N66" i="90"/>
  <c r="N16" i="89"/>
  <c r="L16" i="89"/>
  <c r="L62" i="91"/>
  <c r="N62" i="91" s="1"/>
  <c r="Z70" i="91"/>
  <c r="X70" i="91"/>
  <c r="J26" i="88"/>
  <c r="J32" i="88"/>
  <c r="J44" i="88"/>
  <c r="J54" i="88"/>
  <c r="J62" i="88"/>
  <c r="J68" i="88"/>
  <c r="J72" i="88"/>
  <c r="J76" i="88"/>
  <c r="J86" i="88"/>
  <c r="T32" i="89"/>
  <c r="Z28" i="89"/>
  <c r="Z21" i="89"/>
  <c r="X21" i="89"/>
  <c r="L26" i="89"/>
  <c r="X25" i="90"/>
  <c r="Z48" i="90"/>
  <c r="Z52" i="90"/>
  <c r="N58" i="90"/>
  <c r="Z69" i="90"/>
  <c r="L14" i="91"/>
  <c r="N14" i="91" s="1"/>
  <c r="D12" i="91"/>
  <c r="P12" i="91"/>
  <c r="X15" i="91"/>
  <c r="P12" i="88"/>
  <c r="J21" i="88"/>
  <c r="J25" i="88"/>
  <c r="J33" i="88"/>
  <c r="J45" i="88"/>
  <c r="J49" i="88"/>
  <c r="J57" i="88"/>
  <c r="J65" i="88"/>
  <c r="J69" i="88"/>
  <c r="J73" i="88"/>
  <c r="J77" i="88"/>
  <c r="X89" i="88"/>
  <c r="D23" i="90"/>
  <c r="Z25" i="90"/>
  <c r="X58" i="90"/>
  <c r="Z58" i="90" s="1"/>
  <c r="Z66" i="90"/>
  <c r="J16" i="89"/>
  <c r="V22" i="89"/>
  <c r="J28" i="89"/>
  <c r="J35" i="89"/>
  <c r="V91" i="90"/>
  <c r="V85" i="90"/>
  <c r="V77" i="90"/>
  <c r="V69" i="90"/>
  <c r="V84" i="90"/>
  <c r="V76" i="90"/>
  <c r="V87" i="90"/>
  <c r="V83" i="90"/>
  <c r="V95" i="90"/>
  <c r="V93" i="90"/>
  <c r="V89" i="90"/>
  <c r="V81" i="90"/>
  <c r="V79" i="90"/>
  <c r="V75" i="90"/>
  <c r="V71" i="90"/>
  <c r="F18" i="90"/>
  <c r="V18" i="90"/>
  <c r="H23" i="90"/>
  <c r="F27" i="90"/>
  <c r="V30" i="90"/>
  <c r="J34" i="90"/>
  <c r="F35" i="90"/>
  <c r="J38" i="90"/>
  <c r="F39" i="90"/>
  <c r="V42" i="90"/>
  <c r="J46" i="90"/>
  <c r="F47" i="90"/>
  <c r="F50" i="90"/>
  <c r="V50" i="90"/>
  <c r="J52" i="90"/>
  <c r="F55" i="90"/>
  <c r="F58" i="90"/>
  <c r="V58" i="90"/>
  <c r="J60" i="90"/>
  <c r="F63" i="90"/>
  <c r="F66" i="90"/>
  <c r="V66" i="90"/>
  <c r="F71" i="90"/>
  <c r="F86" i="90"/>
  <c r="F87" i="90"/>
  <c r="J88" i="90"/>
  <c r="J21" i="89"/>
  <c r="V19" i="90"/>
  <c r="J23" i="90"/>
  <c r="J27" i="90"/>
  <c r="F28" i="90"/>
  <c r="V31" i="90"/>
  <c r="J35" i="90"/>
  <c r="F36" i="90"/>
  <c r="J39" i="90"/>
  <c r="F40" i="90"/>
  <c r="V43" i="90"/>
  <c r="J47" i="90"/>
  <c r="V51" i="90"/>
  <c r="J55" i="90"/>
  <c r="V59" i="90"/>
  <c r="J63" i="90"/>
  <c r="V67" i="90"/>
  <c r="J69" i="90"/>
  <c r="F70" i="90"/>
  <c r="V72" i="90"/>
  <c r="F79" i="90"/>
  <c r="V80" i="90"/>
  <c r="J82" i="90"/>
  <c r="R20" i="92"/>
  <c r="X20" i="92"/>
  <c r="Z20" i="92" s="1"/>
  <c r="N12" i="89"/>
  <c r="V18" i="89"/>
  <c r="J20" i="89"/>
  <c r="V20" i="89"/>
  <c r="J24" i="89"/>
  <c r="V26" i="89"/>
  <c r="J30" i="89"/>
  <c r="V32" i="89"/>
  <c r="J18" i="90"/>
  <c r="V20" i="90"/>
  <c r="J28" i="90"/>
  <c r="F29" i="90"/>
  <c r="V32" i="90"/>
  <c r="J36" i="90"/>
  <c r="J40" i="90"/>
  <c r="F41" i="90"/>
  <c r="V44" i="90"/>
  <c r="F48" i="90"/>
  <c r="V48" i="90"/>
  <c r="J50" i="90"/>
  <c r="F53" i="90"/>
  <c r="F56" i="90"/>
  <c r="V56" i="90"/>
  <c r="J58" i="90"/>
  <c r="F61" i="90"/>
  <c r="V64" i="90"/>
  <c r="J66" i="90"/>
  <c r="V68" i="90"/>
  <c r="J70" i="90"/>
  <c r="V74" i="90"/>
  <c r="J78" i="90"/>
  <c r="L25" i="91"/>
  <c r="N25" i="91" s="1"/>
  <c r="N26" i="91"/>
  <c r="L17" i="92"/>
  <c r="Z29" i="94"/>
  <c r="X29" i="94"/>
  <c r="F91" i="90"/>
  <c r="F82" i="90"/>
  <c r="F95" i="90"/>
  <c r="F89" i="90"/>
  <c r="F81" i="90"/>
  <c r="F76" i="90"/>
  <c r="F73" i="90"/>
  <c r="F80" i="90"/>
  <c r="F72" i="90"/>
  <c r="F78" i="90"/>
  <c r="F84" i="90"/>
  <c r="J29" i="90"/>
  <c r="F30" i="90"/>
  <c r="V33" i="90"/>
  <c r="F37" i="90"/>
  <c r="V37" i="90"/>
  <c r="J41" i="90"/>
  <c r="F42" i="90"/>
  <c r="V45" i="90"/>
  <c r="V49" i="90"/>
  <c r="J53" i="90"/>
  <c r="V57" i="90"/>
  <c r="V65" i="90"/>
  <c r="F74" i="90"/>
  <c r="F85" i="90"/>
  <c r="J25" i="91"/>
  <c r="L20" i="93"/>
  <c r="N20" i="93"/>
  <c r="J18" i="89"/>
  <c r="Z18" i="89"/>
  <c r="J22" i="89"/>
  <c r="J26" i="89"/>
  <c r="J95" i="90"/>
  <c r="J89" i="90"/>
  <c r="J81" i="90"/>
  <c r="J73" i="90"/>
  <c r="J86" i="90"/>
  <c r="J80" i="90"/>
  <c r="J72" i="90"/>
  <c r="J79" i="90"/>
  <c r="J75" i="90"/>
  <c r="J71" i="90"/>
  <c r="J85" i="90"/>
  <c r="J77" i="90"/>
  <c r="J91" i="90"/>
  <c r="J87" i="90"/>
  <c r="J83" i="90"/>
  <c r="F19" i="90"/>
  <c r="F25" i="90"/>
  <c r="F26" i="90"/>
  <c r="V26" i="90"/>
  <c r="J30" i="90"/>
  <c r="F31" i="90"/>
  <c r="V34" i="90"/>
  <c r="V38" i="90"/>
  <c r="J42" i="90"/>
  <c r="F43" i="90"/>
  <c r="V46" i="90"/>
  <c r="J48" i="90"/>
  <c r="F51" i="90"/>
  <c r="F54" i="90"/>
  <c r="V54" i="90"/>
  <c r="J56" i="90"/>
  <c r="F59" i="90"/>
  <c r="F62" i="90"/>
  <c r="V62" i="90"/>
  <c r="J64" i="90"/>
  <c r="F67" i="90"/>
  <c r="V70" i="90"/>
  <c r="F77" i="90"/>
  <c r="V82" i="90"/>
  <c r="V88" i="90"/>
  <c r="Z26" i="91"/>
  <c r="Z64" i="91"/>
  <c r="L12" i="90"/>
  <c r="N12" i="90" s="1"/>
  <c r="J19" i="90"/>
  <c r="F20" i="90"/>
  <c r="V27" i="90"/>
  <c r="J31" i="90"/>
  <c r="F32" i="90"/>
  <c r="V35" i="90"/>
  <c r="J37" i="90"/>
  <c r="V39" i="90"/>
  <c r="J43" i="90"/>
  <c r="F44" i="90"/>
  <c r="V47" i="90"/>
  <c r="J51" i="90"/>
  <c r="V55" i="90"/>
  <c r="J59" i="90"/>
  <c r="V63" i="90"/>
  <c r="J67" i="90"/>
  <c r="F68" i="90"/>
  <c r="J74" i="90"/>
  <c r="F75" i="90"/>
  <c r="J76" i="90"/>
  <c r="V78" i="90"/>
  <c r="J84" i="90"/>
  <c r="X25" i="91"/>
  <c r="Z25" i="91" s="1"/>
  <c r="X52" i="91"/>
  <c r="Z52" i="91" s="1"/>
  <c r="N54" i="91"/>
  <c r="N90" i="91"/>
  <c r="L90" i="91"/>
  <c r="N31" i="92"/>
  <c r="X42" i="92"/>
  <c r="Z42" i="92" s="1"/>
  <c r="Z13" i="94"/>
  <c r="X13" i="94"/>
  <c r="J94" i="91"/>
  <c r="J88" i="91"/>
  <c r="J76" i="91"/>
  <c r="J72" i="91"/>
  <c r="J68" i="91"/>
  <c r="J82" i="91"/>
  <c r="J64" i="91"/>
  <c r="J56" i="91"/>
  <c r="J48" i="91"/>
  <c r="J42" i="91"/>
  <c r="J87" i="91"/>
  <c r="J81" i="91"/>
  <c r="J75" i="91"/>
  <c r="J61" i="91"/>
  <c r="J53" i="91"/>
  <c r="V26" i="91"/>
  <c r="J30" i="91"/>
  <c r="V34" i="91"/>
  <c r="V38" i="91"/>
  <c r="J44" i="91"/>
  <c r="J45" i="91"/>
  <c r="J46" i="91"/>
  <c r="J54" i="91"/>
  <c r="V56" i="91"/>
  <c r="Z75" i="91"/>
  <c r="V76" i="91"/>
  <c r="J83" i="91"/>
  <c r="F70" i="92"/>
  <c r="F61" i="92"/>
  <c r="F57" i="92"/>
  <c r="F54" i="92"/>
  <c r="F59" i="92"/>
  <c r="F69" i="92"/>
  <c r="F66" i="92"/>
  <c r="F62" i="92"/>
  <c r="F58" i="92"/>
  <c r="F53" i="92"/>
  <c r="F50" i="92"/>
  <c r="F68" i="92"/>
  <c r="F64" i="92"/>
  <c r="F55" i="92"/>
  <c r="F52" i="92"/>
  <c r="F45" i="92"/>
  <c r="F36" i="92"/>
  <c r="F31" i="92"/>
  <c r="F24" i="92"/>
  <c r="F67" i="92"/>
  <c r="F60" i="92"/>
  <c r="F42" i="92"/>
  <c r="F35" i="92"/>
  <c r="F23" i="92"/>
  <c r="F56" i="92"/>
  <c r="F49" i="92"/>
  <c r="F41" i="92"/>
  <c r="F33" i="92"/>
  <c r="F29" i="92"/>
  <c r="F21" i="92"/>
  <c r="F63" i="92"/>
  <c r="F51" i="92"/>
  <c r="F47" i="92"/>
  <c r="F44" i="92"/>
  <c r="F40" i="92"/>
  <c r="F32" i="92"/>
  <c r="F28" i="92"/>
  <c r="F17" i="92"/>
  <c r="L19" i="92"/>
  <c r="N19" i="92" s="1"/>
  <c r="F48" i="92"/>
  <c r="F36" i="93"/>
  <c r="F33" i="93"/>
  <c r="F29" i="93"/>
  <c r="F25" i="93"/>
  <c r="D18" i="93"/>
  <c r="F15" i="93"/>
  <c r="L12" i="93"/>
  <c r="F22" i="93"/>
  <c r="F20" i="93"/>
  <c r="F16" i="93"/>
  <c r="F34" i="93"/>
  <c r="F31" i="93"/>
  <c r="F27" i="93"/>
  <c r="F21" i="93"/>
  <c r="F18" i="93"/>
  <c r="T23" i="91"/>
  <c r="J26" i="91"/>
  <c r="V28" i="91"/>
  <c r="J32" i="91"/>
  <c r="V36" i="91"/>
  <c r="V40" i="91"/>
  <c r="V47" i="91"/>
  <c r="N50" i="91"/>
  <c r="V52" i="91"/>
  <c r="V53" i="91"/>
  <c r="J55" i="91"/>
  <c r="J62" i="91"/>
  <c r="V64" i="91"/>
  <c r="V70" i="91"/>
  <c r="V71" i="91"/>
  <c r="X75" i="91"/>
  <c r="J79" i="91"/>
  <c r="J85" i="91"/>
  <c r="J86" i="91"/>
  <c r="J90" i="91"/>
  <c r="L12" i="92"/>
  <c r="N12" i="92" s="1"/>
  <c r="L15" i="92"/>
  <c r="F46" i="92"/>
  <c r="J50" i="91"/>
  <c r="J51" i="91"/>
  <c r="J57" i="91"/>
  <c r="F22" i="92"/>
  <c r="F34" i="92"/>
  <c r="V90" i="91"/>
  <c r="V84" i="91"/>
  <c r="V80" i="91"/>
  <c r="V86" i="91"/>
  <c r="V78" i="91"/>
  <c r="V74" i="91"/>
  <c r="V62" i="91"/>
  <c r="V54" i="91"/>
  <c r="V46" i="91"/>
  <c r="V85" i="91"/>
  <c r="V77" i="91"/>
  <c r="V73" i="91"/>
  <c r="V69" i="91"/>
  <c r="V65" i="91"/>
  <c r="V57" i="91"/>
  <c r="V49" i="91"/>
  <c r="V45" i="91"/>
  <c r="V18" i="91"/>
  <c r="H23" i="91"/>
  <c r="V30" i="91"/>
  <c r="J34" i="91"/>
  <c r="J38" i="91"/>
  <c r="V44" i="91"/>
  <c r="V55" i="91"/>
  <c r="N58" i="91"/>
  <c r="V60" i="91"/>
  <c r="V61" i="91"/>
  <c r="J63" i="91"/>
  <c r="J65" i="91"/>
  <c r="L70" i="91"/>
  <c r="N70" i="91" s="1"/>
  <c r="J77" i="91"/>
  <c r="J78" i="91"/>
  <c r="V79" i="91"/>
  <c r="X85" i="91"/>
  <c r="Z85" i="91" s="1"/>
  <c r="V94" i="91"/>
  <c r="P75" i="92"/>
  <c r="X17" i="92"/>
  <c r="Z17" i="92" s="1"/>
  <c r="F20" i="92"/>
  <c r="F43" i="92"/>
  <c r="X21" i="93"/>
  <c r="X22" i="93"/>
  <c r="Z22" i="93"/>
  <c r="V19" i="91"/>
  <c r="J23" i="91"/>
  <c r="J27" i="91"/>
  <c r="V31" i="91"/>
  <c r="J35" i="91"/>
  <c r="J39" i="91"/>
  <c r="Z48" i="91"/>
  <c r="J52" i="91"/>
  <c r="X56" i="91"/>
  <c r="Z56" i="91" s="1"/>
  <c r="J58" i="91"/>
  <c r="J59" i="91"/>
  <c r="X60" i="91"/>
  <c r="Z60" i="91" s="1"/>
  <c r="N66" i="91"/>
  <c r="J67" i="91"/>
  <c r="J69" i="91"/>
  <c r="J73" i="91"/>
  <c r="J74" i="91"/>
  <c r="V83" i="91"/>
  <c r="V88" i="91"/>
  <c r="X19" i="92"/>
  <c r="Z19" i="92" s="1"/>
  <c r="N20" i="92"/>
  <c r="F26" i="92"/>
  <c r="F27" i="92"/>
  <c r="F65" i="92"/>
  <c r="F77" i="92"/>
  <c r="J18" i="91"/>
  <c r="V20" i="91"/>
  <c r="J28" i="91"/>
  <c r="V32" i="91"/>
  <c r="J36" i="91"/>
  <c r="J40" i="91"/>
  <c r="V48" i="91"/>
  <c r="V63" i="91"/>
  <c r="J66" i="91"/>
  <c r="J71" i="91"/>
  <c r="V87" i="91"/>
  <c r="T75" i="92"/>
  <c r="R19" i="92"/>
  <c r="F25" i="92"/>
  <c r="F30" i="92"/>
  <c r="X55" i="92"/>
  <c r="Z55" i="92" s="1"/>
  <c r="F73" i="92"/>
  <c r="F24" i="93"/>
  <c r="L33" i="93"/>
  <c r="X34" i="93"/>
  <c r="R66" i="92"/>
  <c r="R62" i="92"/>
  <c r="R58" i="92"/>
  <c r="R55" i="92"/>
  <c r="R50" i="92"/>
  <c r="R77" i="92"/>
  <c r="R72" i="92"/>
  <c r="R65" i="92"/>
  <c r="R70" i="92"/>
  <c r="R67" i="92"/>
  <c r="R63" i="92"/>
  <c r="R54" i="92"/>
  <c r="R51" i="92"/>
  <c r="R69" i="92"/>
  <c r="R60" i="92"/>
  <c r="R56" i="92"/>
  <c r="R53" i="92"/>
  <c r="V17" i="92"/>
  <c r="V19" i="92"/>
  <c r="V23" i="92"/>
  <c r="R24" i="92"/>
  <c r="V35" i="92"/>
  <c r="R36" i="92"/>
  <c r="V44" i="92"/>
  <c r="V45" i="92"/>
  <c r="R59" i="92"/>
  <c r="R73" i="92"/>
  <c r="J21" i="94"/>
  <c r="H18" i="95"/>
  <c r="R27" i="95"/>
  <c r="V77" i="92"/>
  <c r="V75" i="92"/>
  <c r="V65" i="92"/>
  <c r="V61" i="92"/>
  <c r="V57" i="92"/>
  <c r="V49" i="92"/>
  <c r="V68" i="92"/>
  <c r="V64" i="92"/>
  <c r="V52" i="92"/>
  <c r="V70" i="92"/>
  <c r="V54" i="92"/>
  <c r="V73" i="92"/>
  <c r="V69" i="92"/>
  <c r="V53" i="92"/>
  <c r="V59" i="92"/>
  <c r="V55" i="92"/>
  <c r="V47" i="92"/>
  <c r="V24" i="92"/>
  <c r="V36" i="92"/>
  <c r="R37" i="92"/>
  <c r="R42" i="92"/>
  <c r="N51" i="92"/>
  <c r="X53" i="92"/>
  <c r="Z53" i="92" s="1"/>
  <c r="N57" i="92"/>
  <c r="N63" i="92"/>
  <c r="V72" i="92"/>
  <c r="X21" i="94"/>
  <c r="N24" i="94"/>
  <c r="X33" i="94"/>
  <c r="J15" i="95"/>
  <c r="Z12" i="92"/>
  <c r="V26" i="92"/>
  <c r="R27" i="92"/>
  <c r="V38" i="92"/>
  <c r="R39" i="92"/>
  <c r="V42" i="92"/>
  <c r="V43" i="92"/>
  <c r="L44" i="92"/>
  <c r="N44" i="92" s="1"/>
  <c r="R46" i="92"/>
  <c r="R47" i="92"/>
  <c r="X48" i="92"/>
  <c r="Z48" i="92" s="1"/>
  <c r="V50" i="92"/>
  <c r="V62" i="92"/>
  <c r="V36" i="93"/>
  <c r="V33" i="93"/>
  <c r="V29" i="93"/>
  <c r="V25" i="93"/>
  <c r="T18" i="93"/>
  <c r="V15" i="93"/>
  <c r="V22" i="93"/>
  <c r="V20" i="93"/>
  <c r="V16" i="93"/>
  <c r="Z12" i="93"/>
  <c r="V34" i="93"/>
  <c r="V31" i="93"/>
  <c r="V27" i="93"/>
  <c r="X12" i="93"/>
  <c r="V21" i="93"/>
  <c r="J34" i="94"/>
  <c r="J31" i="94"/>
  <c r="J27" i="94"/>
  <c r="J24" i="94"/>
  <c r="J18" i="94"/>
  <c r="J36" i="94"/>
  <c r="J33" i="94"/>
  <c r="J29" i="94"/>
  <c r="J25" i="94"/>
  <c r="H18" i="94"/>
  <c r="J15" i="94"/>
  <c r="V27" i="92"/>
  <c r="R28" i="92"/>
  <c r="V31" i="92"/>
  <c r="R32" i="92"/>
  <c r="V39" i="92"/>
  <c r="R40" i="92"/>
  <c r="R48" i="92"/>
  <c r="R49" i="92"/>
  <c r="Z51" i="92"/>
  <c r="V56" i="92"/>
  <c r="R57" i="92"/>
  <c r="L61" i="92"/>
  <c r="N61" i="92" s="1"/>
  <c r="Z63" i="92"/>
  <c r="N67" i="92"/>
  <c r="X69" i="92"/>
  <c r="Z69" i="92" s="1"/>
  <c r="N12" i="94"/>
  <c r="Z20" i="94"/>
  <c r="L33" i="94"/>
  <c r="J21" i="95"/>
  <c r="J18" i="95"/>
  <c r="J22" i="95"/>
  <c r="N12" i="95"/>
  <c r="J34" i="95"/>
  <c r="J31" i="95"/>
  <c r="J27" i="95"/>
  <c r="J29" i="95"/>
  <c r="L34" i="95"/>
  <c r="X25" i="94"/>
  <c r="X12" i="95"/>
  <c r="R20" i="95"/>
  <c r="R16" i="95"/>
  <c r="R24" i="95"/>
  <c r="R21" i="95"/>
  <c r="R36" i="95"/>
  <c r="R33" i="95"/>
  <c r="R29" i="95"/>
  <c r="R25" i="95"/>
  <c r="P18" i="95"/>
  <c r="R15" i="95"/>
  <c r="X29" i="95"/>
  <c r="J15" i="93"/>
  <c r="H18" i="93"/>
  <c r="J25" i="93"/>
  <c r="R27" i="93"/>
  <c r="J29" i="93"/>
  <c r="R31" i="93"/>
  <c r="J33" i="93"/>
  <c r="R34" i="93"/>
  <c r="J36" i="93"/>
  <c r="L12" i="94"/>
  <c r="F15" i="94"/>
  <c r="V15" i="94"/>
  <c r="D18" i="94"/>
  <c r="T18" i="94"/>
  <c r="R21" i="94"/>
  <c r="F25" i="94"/>
  <c r="V25" i="94"/>
  <c r="F29" i="94"/>
  <c r="V29" i="94"/>
  <c r="F33" i="94"/>
  <c r="V33" i="94"/>
  <c r="F36" i="94"/>
  <c r="V36" i="94"/>
  <c r="J21" i="93"/>
  <c r="F21" i="94"/>
  <c r="V21" i="94"/>
  <c r="R27" i="94"/>
  <c r="R31" i="94"/>
  <c r="R34" i="94"/>
  <c r="L12" i="95"/>
  <c r="F15" i="95"/>
  <c r="V15" i="95"/>
  <c r="D18" i="95"/>
  <c r="T18" i="95"/>
  <c r="F25" i="95"/>
  <c r="V25" i="95"/>
  <c r="F29" i="95"/>
  <c r="V29" i="95"/>
  <c r="F33" i="95"/>
  <c r="V33" i="95"/>
  <c r="F36" i="95"/>
  <c r="V36" i="95"/>
  <c r="J24" i="93"/>
  <c r="V24" i="94"/>
  <c r="V18" i="95"/>
  <c r="J16" i="93"/>
  <c r="V16" i="94"/>
  <c r="F24" i="95"/>
  <c r="V24" i="95"/>
  <c r="D72" i="92"/>
  <c r="L72" i="92" s="1"/>
  <c r="N72" i="92" s="1"/>
  <c r="R25" i="94"/>
  <c r="R29" i="94"/>
  <c r="R33" i="94"/>
  <c r="F27" i="95"/>
  <c r="V27" i="95"/>
  <c r="F31" i="95"/>
  <c r="V31" i="95"/>
  <c r="X18" i="17" l="1"/>
  <c r="L18" i="30"/>
  <c r="L18" i="49"/>
  <c r="N18" i="37"/>
  <c r="X18" i="32"/>
  <c r="N27" i="37"/>
  <c r="Z18" i="11"/>
  <c r="X18" i="47"/>
  <c r="N18" i="29"/>
  <c r="N18" i="8"/>
  <c r="X18" i="93"/>
  <c r="L18" i="7"/>
  <c r="L18" i="13"/>
  <c r="Z27" i="10"/>
  <c r="X18" i="46"/>
  <c r="T27" i="46"/>
  <c r="Z27" i="46" s="1"/>
  <c r="Z18" i="16"/>
  <c r="Z18" i="35"/>
  <c r="Z18" i="10"/>
  <c r="X18" i="94"/>
  <c r="H31" i="4"/>
  <c r="N18" i="4"/>
  <c r="H27" i="38"/>
  <c r="N27" i="38" s="1"/>
  <c r="Z18" i="19"/>
  <c r="X27" i="16"/>
  <c r="X18" i="19"/>
  <c r="X18" i="16"/>
  <c r="Z27" i="30"/>
  <c r="T31" i="30"/>
  <c r="T36" i="30" s="1"/>
  <c r="Z36" i="30" s="1"/>
  <c r="H31" i="5"/>
  <c r="H36" i="5" s="1"/>
  <c r="N36" i="5" s="1"/>
  <c r="L18" i="44"/>
  <c r="N18" i="52"/>
  <c r="L18" i="52"/>
  <c r="N18" i="5"/>
  <c r="H27" i="44"/>
  <c r="N27" i="44" s="1"/>
  <c r="H27" i="32"/>
  <c r="N27" i="32" s="1"/>
  <c r="Z18" i="5"/>
  <c r="X18" i="49"/>
  <c r="L18" i="37"/>
  <c r="X27" i="49"/>
  <c r="T31" i="5"/>
  <c r="T36" i="5" s="1"/>
  <c r="Z36" i="5" s="1"/>
  <c r="X18" i="10"/>
  <c r="H27" i="35"/>
  <c r="N18" i="35"/>
  <c r="D27" i="32"/>
  <c r="L18" i="32"/>
  <c r="N18" i="13"/>
  <c r="H27" i="13"/>
  <c r="H27" i="33"/>
  <c r="N18" i="33"/>
  <c r="H91" i="88"/>
  <c r="J23" i="88"/>
  <c r="Z16" i="87"/>
  <c r="T59" i="87"/>
  <c r="R101" i="67"/>
  <c r="R97" i="67"/>
  <c r="R93" i="67"/>
  <c r="R89" i="67"/>
  <c r="R77" i="67"/>
  <c r="R74" i="67"/>
  <c r="R69" i="67"/>
  <c r="R66" i="67"/>
  <c r="R57" i="67"/>
  <c r="R45" i="67"/>
  <c r="R33" i="67"/>
  <c r="R25" i="67"/>
  <c r="R105" i="67"/>
  <c r="R102" i="67"/>
  <c r="R73" i="67"/>
  <c r="R70" i="67"/>
  <c r="R65" i="67"/>
  <c r="R61" i="67"/>
  <c r="R49" i="67"/>
  <c r="R37" i="67"/>
  <c r="R29" i="67"/>
  <c r="R21" i="67"/>
  <c r="R108" i="67"/>
  <c r="R84" i="67"/>
  <c r="R81" i="67"/>
  <c r="R60" i="67"/>
  <c r="R53" i="67"/>
  <c r="R48" i="67"/>
  <c r="R36" i="67"/>
  <c r="R28" i="67"/>
  <c r="R20" i="67"/>
  <c r="R76" i="67"/>
  <c r="R75" i="67"/>
  <c r="R72" i="67"/>
  <c r="R55" i="67"/>
  <c r="R54" i="67"/>
  <c r="R110" i="67"/>
  <c r="R88" i="67"/>
  <c r="R87" i="67"/>
  <c r="R78" i="67"/>
  <c r="R56" i="67"/>
  <c r="R50" i="67"/>
  <c r="R43" i="67"/>
  <c r="R27" i="67"/>
  <c r="R23" i="67"/>
  <c r="R22" i="67"/>
  <c r="R114" i="67"/>
  <c r="R109" i="67"/>
  <c r="R104" i="67"/>
  <c r="R95" i="67"/>
  <c r="R92" i="67"/>
  <c r="R91" i="67"/>
  <c r="R90" i="67"/>
  <c r="R86" i="67"/>
  <c r="R71" i="67"/>
  <c r="R59" i="67"/>
  <c r="R51" i="67"/>
  <c r="R44" i="67"/>
  <c r="R26" i="67"/>
  <c r="R24" i="67"/>
  <c r="R96" i="67"/>
  <c r="R83" i="67"/>
  <c r="R68" i="67"/>
  <c r="R67" i="67"/>
  <c r="R64" i="67"/>
  <c r="R58" i="67"/>
  <c r="R52" i="67"/>
  <c r="R42" i="67"/>
  <c r="R35" i="67"/>
  <c r="R31" i="67"/>
  <c r="R30" i="67"/>
  <c r="R107" i="67"/>
  <c r="R103" i="67"/>
  <c r="R100" i="67"/>
  <c r="R99" i="67"/>
  <c r="R94" i="67"/>
  <c r="R85" i="67"/>
  <c r="R34" i="67"/>
  <c r="R32" i="67"/>
  <c r="R98" i="67"/>
  <c r="R82" i="67"/>
  <c r="R63" i="67"/>
  <c r="R62" i="67"/>
  <c r="R47" i="67"/>
  <c r="R46" i="67"/>
  <c r="P40" i="67"/>
  <c r="R38" i="67"/>
  <c r="X12" i="67"/>
  <c r="Z12" i="67" s="1"/>
  <c r="R79" i="67"/>
  <c r="R19" i="67"/>
  <c r="R80" i="67"/>
  <c r="T112" i="67"/>
  <c r="V40" i="67"/>
  <c r="P63" i="64"/>
  <c r="X59" i="64"/>
  <c r="N18" i="95"/>
  <c r="H27" i="95"/>
  <c r="T27" i="94"/>
  <c r="X27" i="94" s="1"/>
  <c r="Z18" i="94"/>
  <c r="P27" i="95"/>
  <c r="X18" i="95"/>
  <c r="H92" i="91"/>
  <c r="T92" i="91"/>
  <c r="V23" i="91"/>
  <c r="T97" i="90"/>
  <c r="F93" i="88"/>
  <c r="F78" i="88"/>
  <c r="F74" i="88"/>
  <c r="F46" i="88"/>
  <c r="F38" i="88"/>
  <c r="F34" i="88"/>
  <c r="F84" i="88"/>
  <c r="F77" i="88"/>
  <c r="F73" i="88"/>
  <c r="F69" i="88"/>
  <c r="F65" i="88"/>
  <c r="F60" i="88"/>
  <c r="F57" i="88"/>
  <c r="F52" i="88"/>
  <c r="F49" i="88"/>
  <c r="F45" i="88"/>
  <c r="F33" i="88"/>
  <c r="D23" i="88"/>
  <c r="F23" i="88" s="1"/>
  <c r="F21" i="88"/>
  <c r="F86" i="88"/>
  <c r="F83" i="88"/>
  <c r="F71" i="88"/>
  <c r="F67" i="88"/>
  <c r="F62" i="88"/>
  <c r="F59" i="88"/>
  <c r="F54" i="88"/>
  <c r="F51" i="88"/>
  <c r="F43" i="88"/>
  <c r="F31" i="88"/>
  <c r="F26" i="88"/>
  <c r="F25" i="88"/>
  <c r="F19" i="88"/>
  <c r="F82" i="88"/>
  <c r="F42" i="88"/>
  <c r="F37" i="88"/>
  <c r="F30" i="88"/>
  <c r="F85" i="88"/>
  <c r="F81" i="88"/>
  <c r="F64" i="88"/>
  <c r="F61" i="88"/>
  <c r="F56" i="88"/>
  <c r="F53" i="88"/>
  <c r="F48" i="88"/>
  <c r="F41" i="88"/>
  <c r="F29" i="88"/>
  <c r="F75" i="88"/>
  <c r="F72" i="88"/>
  <c r="F44" i="88"/>
  <c r="L12" i="88"/>
  <c r="N12" i="88" s="1"/>
  <c r="F79" i="88"/>
  <c r="F76" i="88"/>
  <c r="F66" i="88"/>
  <c r="F58" i="88"/>
  <c r="F50" i="88"/>
  <c r="F39" i="88"/>
  <c r="F80" i="88"/>
  <c r="F68" i="88"/>
  <c r="F40" i="88"/>
  <c r="F27" i="88"/>
  <c r="F28" i="88"/>
  <c r="F18" i="88"/>
  <c r="F89" i="88"/>
  <c r="F87" i="88"/>
  <c r="F35" i="88"/>
  <c r="F32" i="88"/>
  <c r="F70" i="88"/>
  <c r="F63" i="88"/>
  <c r="F55" i="88"/>
  <c r="F47" i="88"/>
  <c r="F36" i="88"/>
  <c r="F20" i="88"/>
  <c r="H32" i="89"/>
  <c r="N28" i="89"/>
  <c r="D59" i="87"/>
  <c r="L16" i="87"/>
  <c r="T57" i="84"/>
  <c r="H28" i="81"/>
  <c r="L28" i="81" s="1"/>
  <c r="N16" i="81"/>
  <c r="P34" i="79"/>
  <c r="X30" i="79"/>
  <c r="X16" i="77"/>
  <c r="P26" i="77"/>
  <c r="F23" i="72"/>
  <c r="F19" i="72"/>
  <c r="L12" i="72"/>
  <c r="N12" i="72" s="1"/>
  <c r="F21" i="72"/>
  <c r="F16" i="72"/>
  <c r="D19" i="72"/>
  <c r="F17" i="72"/>
  <c r="F27" i="72"/>
  <c r="H89" i="73"/>
  <c r="T76" i="71"/>
  <c r="F27" i="75"/>
  <c r="F26" i="75"/>
  <c r="F17" i="75"/>
  <c r="F30" i="75"/>
  <c r="F22" i="75"/>
  <c r="F34" i="75"/>
  <c r="F28" i="75"/>
  <c r="D22" i="75"/>
  <c r="F20" i="75"/>
  <c r="F19" i="75"/>
  <c r="F25" i="75"/>
  <c r="F18" i="75"/>
  <c r="F24" i="75"/>
  <c r="L12" i="75"/>
  <c r="N12" i="75" s="1"/>
  <c r="P32" i="80"/>
  <c r="H84" i="68"/>
  <c r="T86" i="63"/>
  <c r="Z30" i="63"/>
  <c r="P86" i="63"/>
  <c r="X30" i="63"/>
  <c r="Z16" i="57"/>
  <c r="T68" i="57"/>
  <c r="P31" i="55"/>
  <c r="X16" i="55"/>
  <c r="H27" i="49"/>
  <c r="L27" i="49" s="1"/>
  <c r="N18" i="49"/>
  <c r="T75" i="48"/>
  <c r="H27" i="50"/>
  <c r="L27" i="50" s="1"/>
  <c r="N18" i="50"/>
  <c r="T27" i="44"/>
  <c r="Z18" i="44"/>
  <c r="T85" i="51"/>
  <c r="T27" i="41"/>
  <c r="X27" i="41" s="1"/>
  <c r="Z18" i="41"/>
  <c r="D38" i="55"/>
  <c r="T27" i="40"/>
  <c r="Z18" i="40"/>
  <c r="T27" i="38"/>
  <c r="Z18" i="38"/>
  <c r="L18" i="43"/>
  <c r="D27" i="43"/>
  <c r="L18" i="50"/>
  <c r="L27" i="37"/>
  <c r="D31" i="37"/>
  <c r="Z18" i="37"/>
  <c r="T27" i="37"/>
  <c r="H27" i="23"/>
  <c r="N18" i="23"/>
  <c r="P31" i="26"/>
  <c r="X18" i="27"/>
  <c r="P27" i="27"/>
  <c r="L18" i="22"/>
  <c r="D27" i="22"/>
  <c r="T27" i="22"/>
  <c r="Z18" i="22"/>
  <c r="P97" i="9"/>
  <c r="X16" i="9"/>
  <c r="H27" i="10"/>
  <c r="N18" i="10"/>
  <c r="T151" i="15"/>
  <c r="F168" i="3"/>
  <c r="P31" i="94"/>
  <c r="R81" i="91"/>
  <c r="R70" i="91"/>
  <c r="R66" i="91"/>
  <c r="R90" i="91"/>
  <c r="R79" i="91"/>
  <c r="R63" i="91"/>
  <c r="R60" i="91"/>
  <c r="R55" i="91"/>
  <c r="R52" i="91"/>
  <c r="R47" i="91"/>
  <c r="R86" i="91"/>
  <c r="R83" i="91"/>
  <c r="R78" i="91"/>
  <c r="R74" i="91"/>
  <c r="R46" i="91"/>
  <c r="R62" i="91"/>
  <c r="R57" i="91"/>
  <c r="R56" i="91"/>
  <c r="R51" i="91"/>
  <c r="R33" i="91"/>
  <c r="R26" i="91"/>
  <c r="R21" i="91"/>
  <c r="R85" i="91"/>
  <c r="R50" i="91"/>
  <c r="R37" i="91"/>
  <c r="R32" i="91"/>
  <c r="R20" i="91"/>
  <c r="X12" i="91"/>
  <c r="Z12" i="91" s="1"/>
  <c r="R88" i="91"/>
  <c r="R87" i="91"/>
  <c r="R84" i="91"/>
  <c r="R80" i="91"/>
  <c r="R54" i="91"/>
  <c r="R49" i="91"/>
  <c r="R48" i="91"/>
  <c r="R31" i="91"/>
  <c r="R19" i="91"/>
  <c r="R94" i="91"/>
  <c r="R61" i="91"/>
  <c r="R45" i="91"/>
  <c r="R44" i="91"/>
  <c r="R30" i="91"/>
  <c r="R43" i="91"/>
  <c r="R42" i="91"/>
  <c r="R41" i="91"/>
  <c r="R29" i="91"/>
  <c r="R18" i="91"/>
  <c r="R82" i="91"/>
  <c r="R73" i="91"/>
  <c r="R72" i="91"/>
  <c r="R69" i="91"/>
  <c r="R68" i="91"/>
  <c r="R67" i="91"/>
  <c r="R64" i="91"/>
  <c r="R59" i="91"/>
  <c r="R39" i="91"/>
  <c r="R35" i="91"/>
  <c r="R27" i="91"/>
  <c r="R25" i="91"/>
  <c r="P23" i="91"/>
  <c r="R77" i="91"/>
  <c r="R36" i="91"/>
  <c r="R71" i="91"/>
  <c r="R38" i="91"/>
  <c r="R34" i="91"/>
  <c r="R75" i="91"/>
  <c r="R53" i="91"/>
  <c r="R23" i="91"/>
  <c r="R65" i="91"/>
  <c r="R58" i="91"/>
  <c r="R40" i="91"/>
  <c r="R76" i="91"/>
  <c r="R28" i="91"/>
  <c r="D36" i="86"/>
  <c r="L18" i="86"/>
  <c r="H112" i="67"/>
  <c r="D89" i="73"/>
  <c r="L21" i="73"/>
  <c r="N21" i="73" s="1"/>
  <c r="F105" i="67"/>
  <c r="F100" i="67"/>
  <c r="F92" i="67"/>
  <c r="F88" i="67"/>
  <c r="F76" i="67"/>
  <c r="F73" i="67"/>
  <c r="F68" i="67"/>
  <c r="F65" i="67"/>
  <c r="F61" i="67"/>
  <c r="F49" i="67"/>
  <c r="F37" i="67"/>
  <c r="F29" i="67"/>
  <c r="F21" i="67"/>
  <c r="F110" i="67"/>
  <c r="F104" i="67"/>
  <c r="F101" i="67"/>
  <c r="F97" i="67"/>
  <c r="F93" i="67"/>
  <c r="F89" i="67"/>
  <c r="F77" i="67"/>
  <c r="F72" i="67"/>
  <c r="F69" i="67"/>
  <c r="F64" i="67"/>
  <c r="F57" i="67"/>
  <c r="F45" i="67"/>
  <c r="F33" i="67"/>
  <c r="F25" i="67"/>
  <c r="F96" i="67"/>
  <c r="F83" i="67"/>
  <c r="F80" i="67"/>
  <c r="F56" i="67"/>
  <c r="F52" i="67"/>
  <c r="F44" i="67"/>
  <c r="F32" i="67"/>
  <c r="F24" i="67"/>
  <c r="F19" i="67"/>
  <c r="F107" i="67"/>
  <c r="F102" i="67"/>
  <c r="F99" i="67"/>
  <c r="F85" i="67"/>
  <c r="F82" i="67"/>
  <c r="F63" i="67"/>
  <c r="F46" i="67"/>
  <c r="F42" i="67"/>
  <c r="F34" i="67"/>
  <c r="L12" i="67"/>
  <c r="N12" i="67" s="1"/>
  <c r="F98" i="67"/>
  <c r="F62" i="67"/>
  <c r="F48" i="67"/>
  <c r="F47" i="67"/>
  <c r="D40" i="67"/>
  <c r="F40" i="67" s="1"/>
  <c r="F38" i="67"/>
  <c r="F81" i="67"/>
  <c r="F20" i="67"/>
  <c r="F79" i="67"/>
  <c r="F55" i="67"/>
  <c r="F75" i="67"/>
  <c r="F74" i="67"/>
  <c r="F54" i="67"/>
  <c r="F50" i="67"/>
  <c r="F28" i="67"/>
  <c r="F23" i="67"/>
  <c r="F114" i="67"/>
  <c r="F87" i="67"/>
  <c r="F78" i="67"/>
  <c r="F71" i="67"/>
  <c r="F51" i="67"/>
  <c r="F27" i="67"/>
  <c r="F22" i="67"/>
  <c r="F109" i="67"/>
  <c r="F108" i="67"/>
  <c r="F91" i="67"/>
  <c r="F90" i="67"/>
  <c r="F86" i="67"/>
  <c r="F70" i="67"/>
  <c r="F60" i="67"/>
  <c r="F59" i="67"/>
  <c r="F53" i="67"/>
  <c r="F43" i="67"/>
  <c r="F36" i="67"/>
  <c r="F31" i="67"/>
  <c r="F26" i="67"/>
  <c r="F84" i="67"/>
  <c r="F94" i="67"/>
  <c r="F35" i="67"/>
  <c r="F95" i="67"/>
  <c r="F66" i="67"/>
  <c r="F67" i="67"/>
  <c r="F58" i="67"/>
  <c r="F30" i="67"/>
  <c r="F103" i="67"/>
  <c r="D67" i="59"/>
  <c r="L16" i="59"/>
  <c r="H68" i="57"/>
  <c r="N16" i="57"/>
  <c r="X18" i="44"/>
  <c r="P27" i="44"/>
  <c r="L18" i="41"/>
  <c r="D27" i="41"/>
  <c r="T27" i="26"/>
  <c r="X27" i="26" s="1"/>
  <c r="Z18" i="26"/>
  <c r="D27" i="94"/>
  <c r="L18" i="94"/>
  <c r="F72" i="92"/>
  <c r="D75" i="92"/>
  <c r="N16" i="85"/>
  <c r="H28" i="85"/>
  <c r="H53" i="84"/>
  <c r="N16" i="84"/>
  <c r="T97" i="82"/>
  <c r="D32" i="81"/>
  <c r="Z16" i="80"/>
  <c r="T28" i="80"/>
  <c r="X28" i="80" s="1"/>
  <c r="F69" i="71"/>
  <c r="F54" i="71"/>
  <c r="F49" i="71"/>
  <c r="F46" i="71"/>
  <c r="F42" i="71"/>
  <c r="F30" i="71"/>
  <c r="D20" i="71"/>
  <c r="F18" i="71"/>
  <c r="F71" i="71"/>
  <c r="F68" i="71"/>
  <c r="F56" i="71"/>
  <c r="F51" i="71"/>
  <c r="F48" i="71"/>
  <c r="F40" i="71"/>
  <c r="F28" i="71"/>
  <c r="F23" i="71"/>
  <c r="F22" i="71"/>
  <c r="L12" i="71"/>
  <c r="N12" i="71" s="1"/>
  <c r="F70" i="71"/>
  <c r="F66" i="71"/>
  <c r="F62" i="71"/>
  <c r="F53" i="71"/>
  <c r="F50" i="71"/>
  <c r="F45" i="71"/>
  <c r="F38" i="71"/>
  <c r="F26" i="71"/>
  <c r="F74" i="71"/>
  <c r="F65" i="71"/>
  <c r="F61" i="71"/>
  <c r="F37" i="71"/>
  <c r="F33" i="71"/>
  <c r="F25" i="71"/>
  <c r="F16" i="71"/>
  <c r="F60" i="71"/>
  <c r="F58" i="71"/>
  <c r="F47" i="71"/>
  <c r="F44" i="71"/>
  <c r="F43" i="71"/>
  <c r="F27" i="71"/>
  <c r="F78" i="71"/>
  <c r="F64" i="71"/>
  <c r="F67" i="71"/>
  <c r="F63" i="71"/>
  <c r="F29" i="71"/>
  <c r="F55" i="71"/>
  <c r="F41" i="71"/>
  <c r="F72" i="71"/>
  <c r="F32" i="71"/>
  <c r="F31" i="71"/>
  <c r="F34" i="71"/>
  <c r="F24" i="71"/>
  <c r="F57" i="71"/>
  <c r="F17" i="71"/>
  <c r="F35" i="71"/>
  <c r="F39" i="71"/>
  <c r="F36" i="71"/>
  <c r="F59" i="71"/>
  <c r="F52" i="71"/>
  <c r="F83" i="69"/>
  <c r="F78" i="69"/>
  <c r="F76" i="69"/>
  <c r="F71" i="69"/>
  <c r="F66" i="69"/>
  <c r="F63" i="69"/>
  <c r="F58" i="69"/>
  <c r="F55" i="69"/>
  <c r="F47" i="69"/>
  <c r="F43" i="69"/>
  <c r="F35" i="69"/>
  <c r="F23" i="69"/>
  <c r="F68" i="69"/>
  <c r="F65" i="69"/>
  <c r="F60" i="69"/>
  <c r="F57" i="69"/>
  <c r="F53" i="69"/>
  <c r="F70" i="69"/>
  <c r="F67" i="69"/>
  <c r="F62" i="69"/>
  <c r="F59" i="69"/>
  <c r="F51" i="69"/>
  <c r="F39" i="69"/>
  <c r="F34" i="69"/>
  <c r="F33" i="69"/>
  <c r="F27" i="69"/>
  <c r="F79" i="69"/>
  <c r="F73" i="69"/>
  <c r="F50" i="69"/>
  <c r="F45" i="69"/>
  <c r="F38" i="69"/>
  <c r="F26" i="69"/>
  <c r="F77" i="69"/>
  <c r="F56" i="69"/>
  <c r="F44" i="69"/>
  <c r="F36" i="69"/>
  <c r="F22" i="69"/>
  <c r="F21" i="69"/>
  <c r="F19" i="69"/>
  <c r="F69" i="69"/>
  <c r="F37" i="69"/>
  <c r="F72" i="69"/>
  <c r="F42" i="69"/>
  <c r="F41" i="69"/>
  <c r="F31" i="69"/>
  <c r="F29" i="69"/>
  <c r="F74" i="69"/>
  <c r="F64" i="69"/>
  <c r="F52" i="69"/>
  <c r="F40" i="69"/>
  <c r="D31" i="69"/>
  <c r="F28" i="69"/>
  <c r="F61" i="69"/>
  <c r="F48" i="69"/>
  <c r="F54" i="69"/>
  <c r="F46" i="69"/>
  <c r="L12" i="69"/>
  <c r="N12" i="69" s="1"/>
  <c r="F25" i="69"/>
  <c r="F49" i="69"/>
  <c r="F24" i="69"/>
  <c r="F20" i="69"/>
  <c r="N16" i="59"/>
  <c r="H67" i="59"/>
  <c r="T105" i="62"/>
  <c r="X16" i="58"/>
  <c r="P77" i="58"/>
  <c r="T27" i="53"/>
  <c r="Z18" i="53"/>
  <c r="H75" i="56"/>
  <c r="L75" i="56" s="1"/>
  <c r="N16" i="56"/>
  <c r="D68" i="57"/>
  <c r="L16" i="57"/>
  <c r="D62" i="60"/>
  <c r="R78" i="51"/>
  <c r="R72" i="51"/>
  <c r="R48" i="51"/>
  <c r="R44" i="51"/>
  <c r="R36" i="51"/>
  <c r="R31" i="51"/>
  <c r="R24" i="51"/>
  <c r="R83" i="51"/>
  <c r="R71" i="51"/>
  <c r="R68" i="51"/>
  <c r="R63" i="51"/>
  <c r="R60" i="51"/>
  <c r="R55" i="51"/>
  <c r="R47" i="51"/>
  <c r="R43" i="51"/>
  <c r="R35" i="51"/>
  <c r="R33" i="51"/>
  <c r="P31" i="51"/>
  <c r="R23" i="51"/>
  <c r="R74" i="51"/>
  <c r="R54" i="51"/>
  <c r="R46" i="51"/>
  <c r="R42" i="51"/>
  <c r="R22" i="51"/>
  <c r="X12" i="51"/>
  <c r="Z12" i="51" s="1"/>
  <c r="R77" i="51"/>
  <c r="R70" i="51"/>
  <c r="R65" i="51"/>
  <c r="R62" i="51"/>
  <c r="R57" i="51"/>
  <c r="R53" i="51"/>
  <c r="R41" i="51"/>
  <c r="R34" i="51"/>
  <c r="R29" i="51"/>
  <c r="R21" i="51"/>
  <c r="R73" i="51"/>
  <c r="R52" i="51"/>
  <c r="R45" i="51"/>
  <c r="R40" i="51"/>
  <c r="R28" i="51"/>
  <c r="R20" i="51"/>
  <c r="R79" i="51"/>
  <c r="R67" i="51"/>
  <c r="R64" i="51"/>
  <c r="R59" i="51"/>
  <c r="R56" i="51"/>
  <c r="R51" i="51"/>
  <c r="R39" i="51"/>
  <c r="R27" i="51"/>
  <c r="R37" i="51"/>
  <c r="R38" i="51"/>
  <c r="R69" i="51"/>
  <c r="R25" i="51"/>
  <c r="R26" i="51"/>
  <c r="R66" i="51"/>
  <c r="R61" i="51"/>
  <c r="R49" i="51"/>
  <c r="R19" i="51"/>
  <c r="R76" i="51"/>
  <c r="R58" i="51"/>
  <c r="R50" i="51"/>
  <c r="P27" i="53"/>
  <c r="X18" i="53"/>
  <c r="N24" i="42"/>
  <c r="J24" i="42"/>
  <c r="H114" i="42"/>
  <c r="X17" i="48"/>
  <c r="Z17" i="48" s="1"/>
  <c r="D27" i="40"/>
  <c r="L18" i="40"/>
  <c r="P31" i="47"/>
  <c r="D27" i="38"/>
  <c r="L18" i="38"/>
  <c r="R127" i="34"/>
  <c r="R115" i="34"/>
  <c r="R111" i="34"/>
  <c r="R103" i="34"/>
  <c r="R99" i="34"/>
  <c r="R95" i="34"/>
  <c r="R83" i="34"/>
  <c r="R71" i="34"/>
  <c r="R68" i="34"/>
  <c r="R59" i="34"/>
  <c r="R47" i="34"/>
  <c r="R42" i="34"/>
  <c r="R35" i="34"/>
  <c r="R27" i="34"/>
  <c r="R110" i="34"/>
  <c r="R106" i="34"/>
  <c r="R102" i="34"/>
  <c r="R98" i="34"/>
  <c r="R94" i="34"/>
  <c r="R91" i="34"/>
  <c r="R86" i="34"/>
  <c r="R79" i="34"/>
  <c r="R74" i="34"/>
  <c r="R58" i="34"/>
  <c r="R54" i="34"/>
  <c r="R46" i="34"/>
  <c r="R44" i="34"/>
  <c r="P42" i="34"/>
  <c r="R34" i="34"/>
  <c r="R26" i="34"/>
  <c r="R19" i="34"/>
  <c r="R126" i="34"/>
  <c r="R120" i="34"/>
  <c r="R108" i="34"/>
  <c r="R93" i="34"/>
  <c r="R88" i="34"/>
  <c r="R85" i="34"/>
  <c r="R76" i="34"/>
  <c r="R64" i="34"/>
  <c r="R56" i="34"/>
  <c r="R52" i="34"/>
  <c r="R45" i="34"/>
  <c r="R40" i="34"/>
  <c r="R32" i="34"/>
  <c r="R24" i="34"/>
  <c r="R131" i="34"/>
  <c r="R119" i="34"/>
  <c r="R116" i="34"/>
  <c r="R104" i="34"/>
  <c r="R100" i="34"/>
  <c r="R96" i="34"/>
  <c r="R72" i="34"/>
  <c r="R67" i="34"/>
  <c r="R63" i="34"/>
  <c r="R51" i="34"/>
  <c r="R39" i="34"/>
  <c r="R31" i="34"/>
  <c r="R23" i="34"/>
  <c r="R122" i="34"/>
  <c r="R107" i="34"/>
  <c r="R90" i="34"/>
  <c r="R87" i="34"/>
  <c r="R78" i="34"/>
  <c r="R75" i="34"/>
  <c r="R62" i="34"/>
  <c r="R55" i="34"/>
  <c r="R50" i="34"/>
  <c r="R38" i="34"/>
  <c r="R30" i="34"/>
  <c r="R22" i="34"/>
  <c r="X12" i="34"/>
  <c r="Z12" i="34" s="1"/>
  <c r="R125" i="34"/>
  <c r="R118" i="34"/>
  <c r="R113" i="34"/>
  <c r="R81" i="34"/>
  <c r="R69" i="34"/>
  <c r="R66" i="34"/>
  <c r="R61" i="34"/>
  <c r="R49" i="34"/>
  <c r="R37" i="34"/>
  <c r="R29" i="34"/>
  <c r="R21" i="34"/>
  <c r="R124" i="34"/>
  <c r="R97" i="34"/>
  <c r="R80" i="34"/>
  <c r="R112" i="34"/>
  <c r="R109" i="34"/>
  <c r="R77" i="34"/>
  <c r="R36" i="34"/>
  <c r="R28" i="34"/>
  <c r="R60" i="34"/>
  <c r="R53" i="34"/>
  <c r="R82" i="34"/>
  <c r="R73" i="34"/>
  <c r="R57" i="34"/>
  <c r="R48" i="34"/>
  <c r="R33" i="34"/>
  <c r="R25" i="34"/>
  <c r="R92" i="34"/>
  <c r="R114" i="34"/>
  <c r="R121" i="34"/>
  <c r="R89" i="34"/>
  <c r="R84" i="34"/>
  <c r="R65" i="34"/>
  <c r="R117" i="34"/>
  <c r="R20" i="34"/>
  <c r="R101" i="34"/>
  <c r="R105" i="34"/>
  <c r="R70" i="34"/>
  <c r="Z27" i="32"/>
  <c r="T31" i="32"/>
  <c r="X31" i="32" s="1"/>
  <c r="X27" i="32"/>
  <c r="N18" i="19"/>
  <c r="H27" i="19"/>
  <c r="X18" i="22"/>
  <c r="P27" i="22"/>
  <c r="R88" i="21"/>
  <c r="R84" i="21"/>
  <c r="R72" i="21"/>
  <c r="R68" i="21"/>
  <c r="R65" i="21"/>
  <c r="R60" i="21"/>
  <c r="R48" i="21"/>
  <c r="R40" i="21"/>
  <c r="R36" i="21"/>
  <c r="X12" i="21"/>
  <c r="Z12" i="21" s="1"/>
  <c r="R94" i="21"/>
  <c r="R87" i="21"/>
  <c r="R83" i="21"/>
  <c r="R71" i="21"/>
  <c r="R56" i="21"/>
  <c r="R51" i="21"/>
  <c r="R47" i="21"/>
  <c r="R35" i="21"/>
  <c r="R28" i="21"/>
  <c r="R23" i="21"/>
  <c r="R90" i="21"/>
  <c r="R82" i="21"/>
  <c r="R78" i="21"/>
  <c r="R74" i="21"/>
  <c r="R70" i="21"/>
  <c r="R67" i="21"/>
  <c r="R62" i="21"/>
  <c r="R59" i="21"/>
  <c r="R46" i="21"/>
  <c r="R39" i="21"/>
  <c r="R34" i="21"/>
  <c r="R22" i="21"/>
  <c r="R86" i="21"/>
  <c r="R81" i="21"/>
  <c r="R77" i="21"/>
  <c r="R53" i="21"/>
  <c r="R50" i="21"/>
  <c r="R45" i="21"/>
  <c r="R33" i="21"/>
  <c r="R21" i="21"/>
  <c r="R98" i="21"/>
  <c r="R92" i="21"/>
  <c r="R89" i="21"/>
  <c r="R80" i="21"/>
  <c r="R76" i="21"/>
  <c r="R73" i="21"/>
  <c r="R69" i="21"/>
  <c r="R64" i="21"/>
  <c r="R61" i="21"/>
  <c r="R44" i="21"/>
  <c r="R32" i="21"/>
  <c r="R91" i="21"/>
  <c r="R79" i="21"/>
  <c r="R75" i="21"/>
  <c r="R66" i="21"/>
  <c r="R63" i="21"/>
  <c r="R58" i="21"/>
  <c r="R42" i="21"/>
  <c r="R38" i="21"/>
  <c r="R30" i="21"/>
  <c r="R43" i="21"/>
  <c r="P25" i="21"/>
  <c r="R37" i="21"/>
  <c r="R27" i="21"/>
  <c r="R54" i="21"/>
  <c r="R41" i="21"/>
  <c r="R31" i="21"/>
  <c r="R85" i="21"/>
  <c r="R29" i="21"/>
  <c r="R57" i="21"/>
  <c r="R55" i="21"/>
  <c r="R20" i="21"/>
  <c r="R49" i="21"/>
  <c r="R52" i="21"/>
  <c r="N27" i="24"/>
  <c r="H31" i="24"/>
  <c r="D27" i="23"/>
  <c r="L18" i="23"/>
  <c r="T100" i="21"/>
  <c r="P22" i="6"/>
  <c r="X16" i="6"/>
  <c r="D36" i="13"/>
  <c r="X27" i="10"/>
  <c r="P31" i="10"/>
  <c r="X18" i="8"/>
  <c r="P27" i="8"/>
  <c r="D101" i="9"/>
  <c r="X16" i="81"/>
  <c r="P28" i="81"/>
  <c r="T32" i="81"/>
  <c r="Z28" i="81"/>
  <c r="F96" i="45"/>
  <c r="F93" i="45"/>
  <c r="F89" i="45"/>
  <c r="F68" i="45"/>
  <c r="F100" i="45"/>
  <c r="F95" i="45"/>
  <c r="F87" i="45"/>
  <c r="F74" i="45"/>
  <c r="F70" i="45"/>
  <c r="F67" i="45"/>
  <c r="F62" i="45"/>
  <c r="F97" i="45"/>
  <c r="F85" i="45"/>
  <c r="F77" i="45"/>
  <c r="F73" i="45"/>
  <c r="F69" i="45"/>
  <c r="F64" i="45"/>
  <c r="F61" i="45"/>
  <c r="F91" i="45"/>
  <c r="F84" i="45"/>
  <c r="F80" i="45"/>
  <c r="F76" i="45"/>
  <c r="F72" i="45"/>
  <c r="F104" i="45"/>
  <c r="F71" i="45"/>
  <c r="F59" i="45"/>
  <c r="F44" i="45"/>
  <c r="F39" i="45"/>
  <c r="F32" i="45"/>
  <c r="F94" i="45"/>
  <c r="F88" i="45"/>
  <c r="F83" i="45"/>
  <c r="F81" i="45"/>
  <c r="F55" i="45"/>
  <c r="F50" i="45"/>
  <c r="F43" i="45"/>
  <c r="F31" i="45"/>
  <c r="F58" i="45"/>
  <c r="F42" i="45"/>
  <c r="F38" i="45"/>
  <c r="F30" i="45"/>
  <c r="F79" i="45"/>
  <c r="F78" i="45"/>
  <c r="F57" i="45"/>
  <c r="F52" i="45"/>
  <c r="F49" i="45"/>
  <c r="F41" i="45"/>
  <c r="F37" i="45"/>
  <c r="F29" i="45"/>
  <c r="F20" i="45"/>
  <c r="F98" i="45"/>
  <c r="F66" i="45"/>
  <c r="F65" i="45"/>
  <c r="F63" i="45"/>
  <c r="F48" i="45"/>
  <c r="F40" i="45"/>
  <c r="F36" i="45"/>
  <c r="F25" i="45"/>
  <c r="L12" i="45"/>
  <c r="N12" i="45" s="1"/>
  <c r="F92" i="45"/>
  <c r="F90" i="45"/>
  <c r="F75" i="45"/>
  <c r="F54" i="45"/>
  <c r="F51" i="45"/>
  <c r="F47" i="45"/>
  <c r="F35" i="45"/>
  <c r="D25" i="45"/>
  <c r="F23" i="45"/>
  <c r="F60" i="45"/>
  <c r="F46" i="45"/>
  <c r="F34" i="45"/>
  <c r="F22" i="45"/>
  <c r="F56" i="45"/>
  <c r="F33" i="45"/>
  <c r="F86" i="45"/>
  <c r="F53" i="45"/>
  <c r="F45" i="45"/>
  <c r="F82" i="45"/>
  <c r="F28" i="45"/>
  <c r="F27" i="45"/>
  <c r="F21" i="45"/>
  <c r="X18" i="40"/>
  <c r="P27" i="40"/>
  <c r="X18" i="7"/>
  <c r="P27" i="7"/>
  <c r="T35" i="89"/>
  <c r="Z35" i="89" s="1"/>
  <c r="Z32" i="89"/>
  <c r="Z28" i="85"/>
  <c r="T32" i="85"/>
  <c r="H75" i="92"/>
  <c r="N17" i="92"/>
  <c r="T91" i="88"/>
  <c r="D30" i="79"/>
  <c r="L16" i="79"/>
  <c r="H90" i="74"/>
  <c r="L90" i="74" s="1"/>
  <c r="N24" i="74"/>
  <c r="J24" i="74"/>
  <c r="D30" i="77"/>
  <c r="L26" i="77"/>
  <c r="H84" i="78"/>
  <c r="H94" i="83"/>
  <c r="D94" i="74"/>
  <c r="H76" i="71"/>
  <c r="T98" i="76"/>
  <c r="V94" i="76"/>
  <c r="F72" i="68"/>
  <c r="F71" i="68"/>
  <c r="F79" i="68"/>
  <c r="F75" i="68"/>
  <c r="F65" i="68"/>
  <c r="F56" i="68"/>
  <c r="F41" i="68"/>
  <c r="F36" i="68"/>
  <c r="F29" i="68"/>
  <c r="F64" i="68"/>
  <c r="F61" i="68"/>
  <c r="F57" i="68"/>
  <c r="F45" i="68"/>
  <c r="F37" i="68"/>
  <c r="F33" i="68"/>
  <c r="D23" i="68"/>
  <c r="F21" i="68"/>
  <c r="F60" i="68"/>
  <c r="F51" i="68"/>
  <c r="F48" i="68"/>
  <c r="F44" i="68"/>
  <c r="F32" i="68"/>
  <c r="F20" i="68"/>
  <c r="F55" i="68"/>
  <c r="F53" i="68"/>
  <c r="F52" i="68"/>
  <c r="F19" i="68"/>
  <c r="F70" i="68"/>
  <c r="F50" i="68"/>
  <c r="F34" i="68"/>
  <c r="F25" i="68"/>
  <c r="F38" i="68"/>
  <c r="F35" i="68"/>
  <c r="F28" i="68"/>
  <c r="F27" i="68"/>
  <c r="F26" i="68"/>
  <c r="F49" i="68"/>
  <c r="F40" i="68"/>
  <c r="F39" i="68"/>
  <c r="F74" i="68"/>
  <c r="F68" i="68"/>
  <c r="F67" i="68"/>
  <c r="F66" i="68"/>
  <c r="F47" i="68"/>
  <c r="F43" i="68"/>
  <c r="F42" i="68"/>
  <c r="F30" i="68"/>
  <c r="L12" i="68"/>
  <c r="N12" i="68" s="1"/>
  <c r="F69" i="68"/>
  <c r="F63" i="68"/>
  <c r="F59" i="68"/>
  <c r="F46" i="68"/>
  <c r="F31" i="68"/>
  <c r="F58" i="68"/>
  <c r="F54" i="68"/>
  <c r="F62" i="68"/>
  <c r="H28" i="80"/>
  <c r="N16" i="80"/>
  <c r="T63" i="64"/>
  <c r="Z59" i="64"/>
  <c r="P101" i="62"/>
  <c r="L18" i="53"/>
  <c r="D27" i="53"/>
  <c r="T75" i="56"/>
  <c r="Z16" i="56"/>
  <c r="N16" i="55"/>
  <c r="H31" i="55"/>
  <c r="L18" i="47"/>
  <c r="D27" i="47"/>
  <c r="H27" i="43"/>
  <c r="N18" i="43"/>
  <c r="H27" i="41"/>
  <c r="N18" i="41"/>
  <c r="P79" i="48"/>
  <c r="X75" i="48"/>
  <c r="H75" i="48"/>
  <c r="H27" i="47"/>
  <c r="N18" i="47"/>
  <c r="V116" i="39"/>
  <c r="T120" i="39"/>
  <c r="P31" i="54"/>
  <c r="H122" i="36"/>
  <c r="H129" i="34"/>
  <c r="R111" i="39"/>
  <c r="R104" i="39"/>
  <c r="R91" i="39"/>
  <c r="R87" i="39"/>
  <c r="R83" i="39"/>
  <c r="R79" i="39"/>
  <c r="R75" i="39"/>
  <c r="R71" i="39"/>
  <c r="R68" i="39"/>
  <c r="R56" i="39"/>
  <c r="R51" i="39"/>
  <c r="R47" i="39"/>
  <c r="R35" i="39"/>
  <c r="R28" i="39"/>
  <c r="R23" i="39"/>
  <c r="R107" i="39"/>
  <c r="R98" i="39"/>
  <c r="R90" i="39"/>
  <c r="R82" i="39"/>
  <c r="R78" i="39"/>
  <c r="R74" i="39"/>
  <c r="R113" i="39"/>
  <c r="R118" i="39"/>
  <c r="R100" i="39"/>
  <c r="R96" i="39"/>
  <c r="R77" i="39"/>
  <c r="R64" i="39"/>
  <c r="R61" i="39"/>
  <c r="R44" i="39"/>
  <c r="R32" i="39"/>
  <c r="R70" i="39"/>
  <c r="R65" i="39"/>
  <c r="R63" i="39"/>
  <c r="R58" i="39"/>
  <c r="R57" i="39"/>
  <c r="R22" i="39"/>
  <c r="R95" i="39"/>
  <c r="R94" i="39"/>
  <c r="R80" i="39"/>
  <c r="R62" i="39"/>
  <c r="R50" i="39"/>
  <c r="R29" i="39"/>
  <c r="R25" i="39"/>
  <c r="R21" i="39"/>
  <c r="R20" i="39"/>
  <c r="R81" i="39"/>
  <c r="R76" i="39"/>
  <c r="R69" i="39"/>
  <c r="R105" i="39"/>
  <c r="R88" i="39"/>
  <c r="R55" i="39"/>
  <c r="R54" i="39"/>
  <c r="R46" i="39"/>
  <c r="R43" i="39"/>
  <c r="R42" i="39"/>
  <c r="R40" i="39"/>
  <c r="R39" i="39"/>
  <c r="R34" i="39"/>
  <c r="R112" i="39"/>
  <c r="R110" i="39"/>
  <c r="R108" i="39"/>
  <c r="R103" i="39"/>
  <c r="R102" i="39"/>
  <c r="R99" i="39"/>
  <c r="R97" i="39"/>
  <c r="R89" i="39"/>
  <c r="R86" i="39"/>
  <c r="R49" i="39"/>
  <c r="R45" i="39"/>
  <c r="R33" i="39"/>
  <c r="R114" i="39"/>
  <c r="R106" i="39"/>
  <c r="R67" i="39"/>
  <c r="R66" i="39"/>
  <c r="R60" i="39"/>
  <c r="R59" i="39"/>
  <c r="R48" i="39"/>
  <c r="R37" i="39"/>
  <c r="R101" i="39"/>
  <c r="R85" i="39"/>
  <c r="R84" i="39"/>
  <c r="R73" i="39"/>
  <c r="R72" i="39"/>
  <c r="R53" i="39"/>
  <c r="R38" i="39"/>
  <c r="R36" i="39"/>
  <c r="R27" i="39"/>
  <c r="R93" i="39"/>
  <c r="R92" i="39"/>
  <c r="R52" i="39"/>
  <c r="R30" i="39"/>
  <c r="R41" i="39"/>
  <c r="R31" i="39"/>
  <c r="X12" i="39"/>
  <c r="Z12" i="39" s="1"/>
  <c r="P25" i="39"/>
  <c r="D77" i="31"/>
  <c r="L23" i="31"/>
  <c r="N23" i="31" s="1"/>
  <c r="P27" i="29"/>
  <c r="X18" i="29"/>
  <c r="L18" i="27"/>
  <c r="D27" i="27"/>
  <c r="T77" i="31"/>
  <c r="X18" i="24"/>
  <c r="P27" i="24"/>
  <c r="L18" i="20"/>
  <c r="D27" i="20"/>
  <c r="H159" i="18"/>
  <c r="Z27" i="16"/>
  <c r="T31" i="16"/>
  <c r="T27" i="17"/>
  <c r="X27" i="17" s="1"/>
  <c r="Z18" i="17"/>
  <c r="R155" i="12"/>
  <c r="R149" i="12"/>
  <c r="R145" i="12"/>
  <c r="R137" i="12"/>
  <c r="R129" i="12"/>
  <c r="R101" i="12"/>
  <c r="R157" i="12"/>
  <c r="R151" i="12"/>
  <c r="R147" i="12"/>
  <c r="R144" i="12"/>
  <c r="R135" i="12"/>
  <c r="R131" i="12"/>
  <c r="R127" i="12"/>
  <c r="R123" i="12"/>
  <c r="R119" i="12"/>
  <c r="R103" i="12"/>
  <c r="R91" i="12"/>
  <c r="R162" i="12"/>
  <c r="R154" i="12"/>
  <c r="R134" i="12"/>
  <c r="R126" i="12"/>
  <c r="R122" i="12"/>
  <c r="R118" i="12"/>
  <c r="R114" i="12"/>
  <c r="R111" i="12"/>
  <c r="R106" i="12"/>
  <c r="R150" i="12"/>
  <c r="R146" i="12"/>
  <c r="R130" i="12"/>
  <c r="R121" i="12"/>
  <c r="R117" i="12"/>
  <c r="R102" i="12"/>
  <c r="R156" i="12"/>
  <c r="R140" i="12"/>
  <c r="R133" i="12"/>
  <c r="R125" i="12"/>
  <c r="R116" i="12"/>
  <c r="R113" i="12"/>
  <c r="R108" i="12"/>
  <c r="R105" i="12"/>
  <c r="R96" i="12"/>
  <c r="R93" i="12"/>
  <c r="R153" i="12"/>
  <c r="R136" i="12"/>
  <c r="R98" i="12"/>
  <c r="R94" i="12"/>
  <c r="R83" i="12"/>
  <c r="R74" i="12"/>
  <c r="R62" i="12"/>
  <c r="R50" i="12"/>
  <c r="R42" i="12"/>
  <c r="R34" i="12"/>
  <c r="R26" i="12"/>
  <c r="X12" i="12"/>
  <c r="Z12" i="12" s="1"/>
  <c r="R158" i="12"/>
  <c r="R141" i="12"/>
  <c r="R112" i="12"/>
  <c r="R109" i="12"/>
  <c r="R73" i="12"/>
  <c r="R69" i="12"/>
  <c r="R61" i="12"/>
  <c r="R56" i="12"/>
  <c r="R49" i="12"/>
  <c r="R41" i="12"/>
  <c r="R33" i="12"/>
  <c r="R148" i="12"/>
  <c r="R132" i="12"/>
  <c r="R115" i="12"/>
  <c r="R86" i="12"/>
  <c r="R80" i="12"/>
  <c r="R72" i="12"/>
  <c r="R68" i="12"/>
  <c r="R60" i="12"/>
  <c r="R58" i="12"/>
  <c r="P56" i="12"/>
  <c r="R48" i="12"/>
  <c r="R40" i="12"/>
  <c r="R32" i="12"/>
  <c r="R25" i="12"/>
  <c r="R97" i="12"/>
  <c r="R95" i="12"/>
  <c r="R87" i="12"/>
  <c r="R51" i="12"/>
  <c r="R43" i="12"/>
  <c r="R143" i="12"/>
  <c r="R142" i="12"/>
  <c r="R128" i="12"/>
  <c r="R110" i="12"/>
  <c r="R90" i="12"/>
  <c r="R85" i="12"/>
  <c r="R79" i="12"/>
  <c r="R71" i="12"/>
  <c r="R67" i="12"/>
  <c r="R47" i="12"/>
  <c r="R39" i="12"/>
  <c r="R31" i="12"/>
  <c r="R120" i="12"/>
  <c r="R104" i="12"/>
  <c r="R92" i="12"/>
  <c r="R82" i="12"/>
  <c r="R78" i="12"/>
  <c r="R66" i="12"/>
  <c r="R59" i="12"/>
  <c r="R54" i="12"/>
  <c r="R46" i="12"/>
  <c r="R38" i="12"/>
  <c r="R30" i="12"/>
  <c r="R107" i="12"/>
  <c r="R99" i="12"/>
  <c r="R89" i="12"/>
  <c r="R77" i="12"/>
  <c r="R70" i="12"/>
  <c r="R65" i="12"/>
  <c r="R53" i="12"/>
  <c r="R45" i="12"/>
  <c r="R37" i="12"/>
  <c r="R29" i="12"/>
  <c r="R75" i="12"/>
  <c r="R35" i="12"/>
  <c r="R27" i="12"/>
  <c r="R139" i="12"/>
  <c r="R138" i="12"/>
  <c r="R124" i="12"/>
  <c r="R100" i="12"/>
  <c r="R88" i="12"/>
  <c r="R84" i="12"/>
  <c r="R81" i="12"/>
  <c r="R76" i="12"/>
  <c r="R64" i="12"/>
  <c r="R52" i="12"/>
  <c r="R44" i="12"/>
  <c r="R36" i="12"/>
  <c r="R28" i="12"/>
  <c r="R63" i="12"/>
  <c r="L18" i="11"/>
  <c r="H27" i="11"/>
  <c r="N18" i="11"/>
  <c r="P27" i="13"/>
  <c r="X18" i="13"/>
  <c r="D31" i="16"/>
  <c r="R141" i="15"/>
  <c r="R137" i="15"/>
  <c r="R121" i="15"/>
  <c r="R117" i="15"/>
  <c r="R108" i="15"/>
  <c r="R105" i="15"/>
  <c r="R100" i="15"/>
  <c r="R93" i="15"/>
  <c r="R88" i="15"/>
  <c r="R81" i="15"/>
  <c r="R76" i="15"/>
  <c r="R72" i="15"/>
  <c r="R60" i="15"/>
  <c r="R53" i="15"/>
  <c r="R48" i="15"/>
  <c r="R40" i="15"/>
  <c r="R32" i="15"/>
  <c r="R24" i="15"/>
  <c r="R147" i="15"/>
  <c r="R131" i="15"/>
  <c r="R124" i="15"/>
  <c r="R112" i="15"/>
  <c r="R96" i="15"/>
  <c r="R84" i="15"/>
  <c r="R71" i="15"/>
  <c r="R64" i="15"/>
  <c r="R59" i="15"/>
  <c r="R47" i="15"/>
  <c r="R39" i="15"/>
  <c r="R31" i="15"/>
  <c r="R23" i="15"/>
  <c r="R134" i="15"/>
  <c r="R130" i="15"/>
  <c r="R107" i="15"/>
  <c r="R102" i="15"/>
  <c r="R99" i="15"/>
  <c r="R90" i="15"/>
  <c r="R87" i="15"/>
  <c r="R78" i="15"/>
  <c r="R75" i="15"/>
  <c r="R70" i="15"/>
  <c r="R58" i="15"/>
  <c r="R46" i="15"/>
  <c r="R38" i="15"/>
  <c r="R30" i="15"/>
  <c r="R22" i="15"/>
  <c r="R149" i="15"/>
  <c r="R144" i="15"/>
  <c r="R133" i="15"/>
  <c r="R129" i="15"/>
  <c r="R69" i="15"/>
  <c r="R57" i="15"/>
  <c r="R45" i="15"/>
  <c r="R37" i="15"/>
  <c r="R29" i="15"/>
  <c r="R146" i="15"/>
  <c r="R140" i="15"/>
  <c r="R136" i="15"/>
  <c r="R128" i="15"/>
  <c r="R120" i="15"/>
  <c r="R116" i="15"/>
  <c r="R104" i="15"/>
  <c r="R101" i="15"/>
  <c r="R92" i="15"/>
  <c r="R89" i="15"/>
  <c r="R80" i="15"/>
  <c r="R77" i="15"/>
  <c r="R68" i="15"/>
  <c r="R56" i="15"/>
  <c r="R44" i="15"/>
  <c r="R36" i="15"/>
  <c r="R28" i="15"/>
  <c r="R21" i="15"/>
  <c r="R139" i="15"/>
  <c r="R132" i="15"/>
  <c r="R127" i="15"/>
  <c r="R123" i="15"/>
  <c r="R119" i="15"/>
  <c r="R115" i="15"/>
  <c r="R111" i="15"/>
  <c r="R95" i="15"/>
  <c r="R83" i="15"/>
  <c r="R67" i="15"/>
  <c r="R63" i="15"/>
  <c r="R55" i="15"/>
  <c r="R43" i="15"/>
  <c r="R35" i="15"/>
  <c r="R27" i="15"/>
  <c r="R113" i="15"/>
  <c r="R97" i="15"/>
  <c r="R26" i="15"/>
  <c r="R25" i="15"/>
  <c r="R142" i="15"/>
  <c r="R135" i="15"/>
  <c r="R114" i="15"/>
  <c r="R110" i="15"/>
  <c r="R109" i="15"/>
  <c r="R98" i="15"/>
  <c r="R82" i="15"/>
  <c r="R65" i="15"/>
  <c r="R61" i="15"/>
  <c r="R94" i="15"/>
  <c r="R66" i="15"/>
  <c r="R62" i="15"/>
  <c r="R52" i="15"/>
  <c r="R138" i="15"/>
  <c r="P50" i="15"/>
  <c r="R50" i="15" s="1"/>
  <c r="R125" i="15"/>
  <c r="R118" i="15"/>
  <c r="R106" i="15"/>
  <c r="R79" i="15"/>
  <c r="R148" i="15"/>
  <c r="R122" i="15"/>
  <c r="R91" i="15"/>
  <c r="R126" i="15"/>
  <c r="R54" i="15"/>
  <c r="R153" i="15"/>
  <c r="R145" i="15"/>
  <c r="R103" i="15"/>
  <c r="R74" i="15"/>
  <c r="R73" i="15"/>
  <c r="R42" i="15"/>
  <c r="R41" i="15"/>
  <c r="X12" i="15"/>
  <c r="Z12" i="15" s="1"/>
  <c r="R86" i="15"/>
  <c r="R85" i="15"/>
  <c r="R34" i="15"/>
  <c r="R33" i="15"/>
  <c r="N18" i="20"/>
  <c r="H27" i="20"/>
  <c r="D36" i="11"/>
  <c r="D31" i="6"/>
  <c r="L26" i="6"/>
  <c r="D31" i="7"/>
  <c r="Z31" i="10"/>
  <c r="T36" i="10"/>
  <c r="Z36" i="10" s="1"/>
  <c r="D160" i="12"/>
  <c r="L56" i="12"/>
  <c r="T40" i="86"/>
  <c r="H66" i="64"/>
  <c r="D105" i="62"/>
  <c r="L101" i="62"/>
  <c r="N101" i="62" s="1"/>
  <c r="T27" i="47"/>
  <c r="X27" i="47" s="1"/>
  <c r="Z18" i="47"/>
  <c r="F77" i="51"/>
  <c r="F52" i="51"/>
  <c r="F40" i="51"/>
  <c r="F28" i="51"/>
  <c r="F20" i="51"/>
  <c r="F70" i="51"/>
  <c r="F67" i="51"/>
  <c r="F62" i="51"/>
  <c r="F59" i="51"/>
  <c r="F51" i="51"/>
  <c r="F39" i="51"/>
  <c r="F34" i="51"/>
  <c r="F33" i="51"/>
  <c r="F27" i="51"/>
  <c r="F79" i="51"/>
  <c r="F73" i="51"/>
  <c r="F50" i="51"/>
  <c r="F45" i="51"/>
  <c r="F38" i="51"/>
  <c r="F26" i="51"/>
  <c r="F69" i="51"/>
  <c r="F64" i="51"/>
  <c r="F61" i="51"/>
  <c r="F56" i="51"/>
  <c r="F49" i="51"/>
  <c r="F37" i="51"/>
  <c r="F25" i="51"/>
  <c r="F72" i="51"/>
  <c r="F48" i="51"/>
  <c r="F44" i="51"/>
  <c r="F36" i="51"/>
  <c r="F24" i="51"/>
  <c r="F19" i="51"/>
  <c r="F83" i="51"/>
  <c r="F78" i="51"/>
  <c r="F76" i="51"/>
  <c r="F71" i="51"/>
  <c r="F66" i="51"/>
  <c r="F63" i="51"/>
  <c r="F58" i="51"/>
  <c r="F55" i="51"/>
  <c r="F47" i="51"/>
  <c r="F43" i="51"/>
  <c r="F35" i="51"/>
  <c r="F23" i="51"/>
  <c r="F57" i="51"/>
  <c r="F54" i="51"/>
  <c r="L12" i="51"/>
  <c r="N12" i="51" s="1"/>
  <c r="F41" i="51"/>
  <c r="F74" i="51"/>
  <c r="F68" i="51"/>
  <c r="F60" i="51"/>
  <c r="F42" i="51"/>
  <c r="F29" i="51"/>
  <c r="F21" i="51"/>
  <c r="F65" i="51"/>
  <c r="F46" i="51"/>
  <c r="F31" i="51"/>
  <c r="F22" i="51"/>
  <c r="D31" i="51"/>
  <c r="F53" i="51"/>
  <c r="X27" i="38"/>
  <c r="P31" i="38"/>
  <c r="D36" i="30"/>
  <c r="T27" i="24"/>
  <c r="Z18" i="24"/>
  <c r="T97" i="9"/>
  <c r="Z16" i="9"/>
  <c r="L18" i="5"/>
  <c r="D27" i="5"/>
  <c r="T27" i="7"/>
  <c r="Z18" i="7"/>
  <c r="L18" i="17"/>
  <c r="D27" i="17"/>
  <c r="L18" i="93"/>
  <c r="D27" i="93"/>
  <c r="R89" i="88"/>
  <c r="R82" i="88"/>
  <c r="R75" i="88"/>
  <c r="R42" i="88"/>
  <c r="R30" i="88"/>
  <c r="R85" i="88"/>
  <c r="R81" i="88"/>
  <c r="R70" i="88"/>
  <c r="R66" i="88"/>
  <c r="R61" i="88"/>
  <c r="R58" i="88"/>
  <c r="R53" i="88"/>
  <c r="R50" i="88"/>
  <c r="R41" i="88"/>
  <c r="R29" i="88"/>
  <c r="R18" i="88"/>
  <c r="R87" i="88"/>
  <c r="R84" i="88"/>
  <c r="R79" i="88"/>
  <c r="R63" i="88"/>
  <c r="R60" i="88"/>
  <c r="R55" i="88"/>
  <c r="R52" i="88"/>
  <c r="R47" i="88"/>
  <c r="R39" i="88"/>
  <c r="R35" i="88"/>
  <c r="R27" i="88"/>
  <c r="R25" i="88"/>
  <c r="P23" i="88"/>
  <c r="R78" i="88"/>
  <c r="R74" i="88"/>
  <c r="R46" i="88"/>
  <c r="R38" i="88"/>
  <c r="R34" i="88"/>
  <c r="R93" i="88"/>
  <c r="R86" i="88"/>
  <c r="R77" i="88"/>
  <c r="R73" i="88"/>
  <c r="R69" i="88"/>
  <c r="R65" i="88"/>
  <c r="R62" i="88"/>
  <c r="R57" i="88"/>
  <c r="R54" i="88"/>
  <c r="R49" i="88"/>
  <c r="R45" i="88"/>
  <c r="R33" i="88"/>
  <c r="R26" i="88"/>
  <c r="R21" i="88"/>
  <c r="R80" i="88"/>
  <c r="R23" i="88"/>
  <c r="R31" i="88"/>
  <c r="R28" i="88"/>
  <c r="R64" i="88"/>
  <c r="R56" i="88"/>
  <c r="R48" i="88"/>
  <c r="R32" i="88"/>
  <c r="R20" i="88"/>
  <c r="R37" i="88"/>
  <c r="R36" i="88"/>
  <c r="R19" i="88"/>
  <c r="R71" i="88"/>
  <c r="R72" i="88"/>
  <c r="R44" i="88"/>
  <c r="R43" i="88"/>
  <c r="R83" i="88"/>
  <c r="R76" i="88"/>
  <c r="X12" i="88"/>
  <c r="Z12" i="88" s="1"/>
  <c r="R51" i="88"/>
  <c r="R40" i="88"/>
  <c r="R59" i="88"/>
  <c r="R67" i="88"/>
  <c r="R68" i="88"/>
  <c r="L28" i="85"/>
  <c r="D32" i="85"/>
  <c r="F18" i="86"/>
  <c r="P32" i="85"/>
  <c r="X28" i="85"/>
  <c r="L16" i="85"/>
  <c r="N16" i="79"/>
  <c r="H30" i="79"/>
  <c r="T90" i="83"/>
  <c r="P53" i="84"/>
  <c r="X16" i="84"/>
  <c r="D90" i="83"/>
  <c r="L20" i="83"/>
  <c r="N20" i="83" s="1"/>
  <c r="Z30" i="79"/>
  <c r="T34" i="79"/>
  <c r="T94" i="74"/>
  <c r="X21" i="73"/>
  <c r="R21" i="73"/>
  <c r="P89" i="73"/>
  <c r="T77" i="68"/>
  <c r="V23" i="68"/>
  <c r="H29" i="72"/>
  <c r="H57" i="61"/>
  <c r="N16" i="61"/>
  <c r="F57" i="64"/>
  <c r="F43" i="64"/>
  <c r="F40" i="64"/>
  <c r="F35" i="64"/>
  <c r="F32" i="64"/>
  <c r="D22" i="64"/>
  <c r="F22" i="64" s="1"/>
  <c r="F20" i="64"/>
  <c r="L12" i="64"/>
  <c r="F48" i="64"/>
  <c r="F44" i="64"/>
  <c r="F39" i="64"/>
  <c r="F36" i="64"/>
  <c r="F31" i="64"/>
  <c r="F54" i="64"/>
  <c r="F51" i="64"/>
  <c r="F47" i="64"/>
  <c r="F27" i="64"/>
  <c r="F18" i="64"/>
  <c r="F28" i="64"/>
  <c r="F25" i="64"/>
  <c r="F38" i="64"/>
  <c r="F19" i="64"/>
  <c r="F61" i="64"/>
  <c r="F50" i="64"/>
  <c r="F34" i="64"/>
  <c r="F33" i="64"/>
  <c r="F52" i="64"/>
  <c r="F49" i="64"/>
  <c r="F46" i="64"/>
  <c r="F30" i="64"/>
  <c r="F24" i="64"/>
  <c r="F55" i="64"/>
  <c r="F53" i="64"/>
  <c r="F45" i="64"/>
  <c r="F37" i="64"/>
  <c r="F42" i="64"/>
  <c r="F41" i="64"/>
  <c r="F29" i="64"/>
  <c r="F26" i="64"/>
  <c r="P58" i="60"/>
  <c r="X16" i="60"/>
  <c r="T71" i="59"/>
  <c r="X18" i="50"/>
  <c r="P27" i="50"/>
  <c r="D79" i="56"/>
  <c r="L17" i="48"/>
  <c r="N17" i="48" s="1"/>
  <c r="D75" i="48"/>
  <c r="L27" i="52"/>
  <c r="D31" i="52"/>
  <c r="R103" i="42"/>
  <c r="R100" i="42"/>
  <c r="R91" i="42"/>
  <c r="R83" i="42"/>
  <c r="R75" i="42"/>
  <c r="R59" i="42"/>
  <c r="R47" i="42"/>
  <c r="R39" i="42"/>
  <c r="R35" i="42"/>
  <c r="R112" i="42"/>
  <c r="R106" i="42"/>
  <c r="R90" i="42"/>
  <c r="R82" i="42"/>
  <c r="R74" i="42"/>
  <c r="R70" i="42"/>
  <c r="R67" i="42"/>
  <c r="R55" i="42"/>
  <c r="R50" i="42"/>
  <c r="R46" i="42"/>
  <c r="R34" i="42"/>
  <c r="R27" i="42"/>
  <c r="R22" i="42"/>
  <c r="X12" i="42"/>
  <c r="Z12" i="42" s="1"/>
  <c r="R109" i="42"/>
  <c r="R102" i="42"/>
  <c r="R89" i="42"/>
  <c r="R85" i="42"/>
  <c r="R81" i="42"/>
  <c r="R77" i="42"/>
  <c r="R73" i="42"/>
  <c r="R61" i="42"/>
  <c r="R58" i="42"/>
  <c r="R45" i="42"/>
  <c r="R38" i="42"/>
  <c r="R33" i="42"/>
  <c r="R21" i="42"/>
  <c r="R105" i="42"/>
  <c r="R96" i="42"/>
  <c r="R88" i="42"/>
  <c r="R80" i="42"/>
  <c r="R72" i="42"/>
  <c r="R69" i="42"/>
  <c r="R64" i="42"/>
  <c r="R52" i="42"/>
  <c r="R49" i="42"/>
  <c r="R44" i="42"/>
  <c r="R32" i="42"/>
  <c r="R20" i="42"/>
  <c r="R111" i="42"/>
  <c r="R99" i="42"/>
  <c r="R95" i="42"/>
  <c r="R87" i="42"/>
  <c r="R84" i="42"/>
  <c r="R79" i="42"/>
  <c r="R76" i="42"/>
  <c r="R63" i="42"/>
  <c r="R60" i="42"/>
  <c r="R43" i="42"/>
  <c r="R31" i="42"/>
  <c r="R116" i="42"/>
  <c r="R98" i="42"/>
  <c r="R94" i="42"/>
  <c r="R71" i="42"/>
  <c r="R66" i="42"/>
  <c r="R54" i="42"/>
  <c r="R51" i="42"/>
  <c r="R42" i="42"/>
  <c r="R30" i="42"/>
  <c r="R19" i="42"/>
  <c r="R108" i="42"/>
  <c r="R101" i="42"/>
  <c r="R93" i="42"/>
  <c r="R86" i="42"/>
  <c r="R78" i="42"/>
  <c r="R62" i="42"/>
  <c r="R57" i="42"/>
  <c r="R41" i="42"/>
  <c r="R37" i="42"/>
  <c r="R29" i="42"/>
  <c r="R65" i="42"/>
  <c r="R56" i="42"/>
  <c r="R92" i="42"/>
  <c r="R36" i="42"/>
  <c r="P24" i="42"/>
  <c r="R24" i="42" s="1"/>
  <c r="R53" i="42"/>
  <c r="R26" i="42"/>
  <c r="R97" i="42"/>
  <c r="R40" i="42"/>
  <c r="R104" i="42"/>
  <c r="R68" i="42"/>
  <c r="R28" i="42"/>
  <c r="R110" i="42"/>
  <c r="R48" i="42"/>
  <c r="N27" i="52"/>
  <c r="H31" i="52"/>
  <c r="Z27" i="50"/>
  <c r="T31" i="50"/>
  <c r="T114" i="42"/>
  <c r="N27" i="53"/>
  <c r="H31" i="53"/>
  <c r="N18" i="40"/>
  <c r="H27" i="40"/>
  <c r="P31" i="41"/>
  <c r="L18" i="35"/>
  <c r="D27" i="35"/>
  <c r="R113" i="36"/>
  <c r="R104" i="36"/>
  <c r="R96" i="36"/>
  <c r="R92" i="36"/>
  <c r="R88" i="36"/>
  <c r="R84" i="36"/>
  <c r="R80" i="36"/>
  <c r="R68" i="36"/>
  <c r="R65" i="36"/>
  <c r="R60" i="36"/>
  <c r="R44" i="36"/>
  <c r="R40" i="36"/>
  <c r="R32" i="36"/>
  <c r="R27" i="36"/>
  <c r="X12" i="36"/>
  <c r="Z12" i="36" s="1"/>
  <c r="R119" i="36"/>
  <c r="R107" i="36"/>
  <c r="R103" i="36"/>
  <c r="R95" i="36"/>
  <c r="R87" i="36"/>
  <c r="R79" i="36"/>
  <c r="R76" i="36"/>
  <c r="R71" i="36"/>
  <c r="R59" i="36"/>
  <c r="R56" i="36"/>
  <c r="R51" i="36"/>
  <c r="R43" i="36"/>
  <c r="R39" i="36"/>
  <c r="R31" i="36"/>
  <c r="R29" i="36"/>
  <c r="P27" i="36"/>
  <c r="R116" i="36"/>
  <c r="R109" i="36"/>
  <c r="R101" i="36"/>
  <c r="R94" i="36"/>
  <c r="R78" i="36"/>
  <c r="R73" i="36"/>
  <c r="R70" i="36"/>
  <c r="R58" i="36"/>
  <c r="R53" i="36"/>
  <c r="R49" i="36"/>
  <c r="R37" i="36"/>
  <c r="R30" i="36"/>
  <c r="R25" i="36"/>
  <c r="R118" i="36"/>
  <c r="R112" i="36"/>
  <c r="R105" i="36"/>
  <c r="R100" i="36"/>
  <c r="R85" i="36"/>
  <c r="R64" i="36"/>
  <c r="R61" i="36"/>
  <c r="R48" i="36"/>
  <c r="R41" i="36"/>
  <c r="R36" i="36"/>
  <c r="R24" i="36"/>
  <c r="R111" i="36"/>
  <c r="R108" i="36"/>
  <c r="R99" i="36"/>
  <c r="R75" i="36"/>
  <c r="R72" i="36"/>
  <c r="R55" i="36"/>
  <c r="R52" i="36"/>
  <c r="R47" i="36"/>
  <c r="R35" i="36"/>
  <c r="R23" i="36"/>
  <c r="R120" i="36"/>
  <c r="R114" i="36"/>
  <c r="R98" i="36"/>
  <c r="R90" i="36"/>
  <c r="R82" i="36"/>
  <c r="R66" i="36"/>
  <c r="R63" i="36"/>
  <c r="R46" i="36"/>
  <c r="R34" i="36"/>
  <c r="R117" i="36"/>
  <c r="R89" i="36"/>
  <c r="R86" i="36"/>
  <c r="R42" i="36"/>
  <c r="R110" i="36"/>
  <c r="R67" i="36"/>
  <c r="R106" i="36"/>
  <c r="R81" i="36"/>
  <c r="R77" i="36"/>
  <c r="R50" i="36"/>
  <c r="R22" i="36"/>
  <c r="R124" i="36"/>
  <c r="R91" i="36"/>
  <c r="R33" i="36"/>
  <c r="R74" i="36"/>
  <c r="R83" i="36"/>
  <c r="R69" i="36"/>
  <c r="R57" i="36"/>
  <c r="R93" i="36"/>
  <c r="R45" i="36"/>
  <c r="R38" i="36"/>
  <c r="R102" i="36"/>
  <c r="R97" i="36"/>
  <c r="R62" i="36"/>
  <c r="R54" i="36"/>
  <c r="H31" i="32"/>
  <c r="R88" i="25"/>
  <c r="R81" i="25"/>
  <c r="R68" i="25"/>
  <c r="R52" i="25"/>
  <c r="R45" i="25"/>
  <c r="R40" i="25"/>
  <c r="R28" i="25"/>
  <c r="R20" i="25"/>
  <c r="R84" i="25"/>
  <c r="R64" i="25"/>
  <c r="R59" i="25"/>
  <c r="R56" i="25"/>
  <c r="R51" i="25"/>
  <c r="R39" i="25"/>
  <c r="R27" i="25"/>
  <c r="R90" i="25"/>
  <c r="R74" i="25"/>
  <c r="R70" i="25"/>
  <c r="R67" i="25"/>
  <c r="R50" i="25"/>
  <c r="R38" i="25"/>
  <c r="R26" i="25"/>
  <c r="R19" i="25"/>
  <c r="R95" i="25"/>
  <c r="R77" i="25"/>
  <c r="R73" i="25"/>
  <c r="R61" i="25"/>
  <c r="R58" i="25"/>
  <c r="R49" i="25"/>
  <c r="R37" i="25"/>
  <c r="R25" i="25"/>
  <c r="R87" i="25"/>
  <c r="R80" i="25"/>
  <c r="R76" i="25"/>
  <c r="R72" i="25"/>
  <c r="R69" i="25"/>
  <c r="R48" i="25"/>
  <c r="R44" i="25"/>
  <c r="R36" i="25"/>
  <c r="R24" i="25"/>
  <c r="R89" i="25"/>
  <c r="R83" i="25"/>
  <c r="R79" i="25"/>
  <c r="R63" i="25"/>
  <c r="R60" i="25"/>
  <c r="R55" i="25"/>
  <c r="R47" i="25"/>
  <c r="R43" i="25"/>
  <c r="R35" i="25"/>
  <c r="R33" i="25"/>
  <c r="P31" i="25"/>
  <c r="R31" i="25" s="1"/>
  <c r="R82" i="25"/>
  <c r="R75" i="25"/>
  <c r="R71" i="25"/>
  <c r="R66" i="25"/>
  <c r="R54" i="25"/>
  <c r="R46" i="25"/>
  <c r="R42" i="25"/>
  <c r="R22" i="25"/>
  <c r="X12" i="25"/>
  <c r="Z12" i="25" s="1"/>
  <c r="R23" i="25"/>
  <c r="R91" i="25"/>
  <c r="R34" i="25"/>
  <c r="R29" i="25"/>
  <c r="R65" i="25"/>
  <c r="R85" i="25"/>
  <c r="R78" i="25"/>
  <c r="R57" i="25"/>
  <c r="R41" i="25"/>
  <c r="R21" i="25"/>
  <c r="R62" i="25"/>
  <c r="R53" i="25"/>
  <c r="T27" i="29"/>
  <c r="Z18" i="29"/>
  <c r="T27" i="20"/>
  <c r="Z18" i="20"/>
  <c r="H27" i="14"/>
  <c r="N18" i="14"/>
  <c r="J50" i="15"/>
  <c r="H151" i="15"/>
  <c r="D27" i="29"/>
  <c r="L18" i="29"/>
  <c r="H27" i="22"/>
  <c r="N18" i="22"/>
  <c r="T31" i="19"/>
  <c r="Z27" i="19"/>
  <c r="J31" i="25"/>
  <c r="H93" i="25"/>
  <c r="T93" i="25"/>
  <c r="H27" i="16"/>
  <c r="L27" i="16" s="1"/>
  <c r="N18" i="16"/>
  <c r="T36" i="13"/>
  <c r="Z36" i="13" s="1"/>
  <c r="Z31" i="13"/>
  <c r="Z18" i="27"/>
  <c r="T27" i="27"/>
  <c r="T27" i="8"/>
  <c r="Z18" i="8"/>
  <c r="D159" i="18"/>
  <c r="L56" i="18"/>
  <c r="N56" i="18" s="1"/>
  <c r="F56" i="18"/>
  <c r="L18" i="16"/>
  <c r="H31" i="6"/>
  <c r="N26" i="6"/>
  <c r="T36" i="11"/>
  <c r="Z36" i="11" s="1"/>
  <c r="Z31" i="11"/>
  <c r="D178" i="3"/>
  <c r="L64" i="3"/>
  <c r="N64" i="3" s="1"/>
  <c r="R90" i="82"/>
  <c r="R82" i="82"/>
  <c r="R74" i="82"/>
  <c r="R66" i="82"/>
  <c r="R63" i="82"/>
  <c r="R58" i="82"/>
  <c r="R46" i="82"/>
  <c r="R38" i="82"/>
  <c r="R34" i="82"/>
  <c r="R86" i="82"/>
  <c r="R81" i="82"/>
  <c r="R73" i="82"/>
  <c r="R69" i="82"/>
  <c r="R54" i="82"/>
  <c r="R49" i="82"/>
  <c r="R45" i="82"/>
  <c r="R33" i="82"/>
  <c r="R26" i="82"/>
  <c r="R21" i="82"/>
  <c r="R91" i="82"/>
  <c r="R78" i="82"/>
  <c r="R75" i="82"/>
  <c r="R67" i="82"/>
  <c r="R62" i="82"/>
  <c r="R59" i="82"/>
  <c r="R42" i="82"/>
  <c r="R30" i="82"/>
  <c r="R85" i="82"/>
  <c r="R70" i="82"/>
  <c r="R53" i="82"/>
  <c r="R50" i="82"/>
  <c r="R41" i="82"/>
  <c r="R29" i="82"/>
  <c r="R18" i="82"/>
  <c r="R84" i="82"/>
  <c r="R83" i="82"/>
  <c r="R65" i="82"/>
  <c r="R64" i="82"/>
  <c r="X12" i="82"/>
  <c r="Z12" i="82" s="1"/>
  <c r="R28" i="82"/>
  <c r="R27" i="82"/>
  <c r="R87" i="82"/>
  <c r="R68" i="82"/>
  <c r="R44" i="82"/>
  <c r="R43" i="82"/>
  <c r="R95" i="82"/>
  <c r="R89" i="82"/>
  <c r="R88" i="82"/>
  <c r="R80" i="82"/>
  <c r="R79" i="82"/>
  <c r="R77" i="82"/>
  <c r="R76" i="82"/>
  <c r="R20" i="82"/>
  <c r="R19" i="82"/>
  <c r="R94" i="82"/>
  <c r="R52" i="82"/>
  <c r="R48" i="82"/>
  <c r="R25" i="82"/>
  <c r="R57" i="82"/>
  <c r="R56" i="82"/>
  <c r="R55" i="82"/>
  <c r="R51" i="82"/>
  <c r="R47" i="82"/>
  <c r="R40" i="82"/>
  <c r="R23" i="82"/>
  <c r="P23" i="82"/>
  <c r="R92" i="82"/>
  <c r="R31" i="82"/>
  <c r="R39" i="82"/>
  <c r="R32" i="82"/>
  <c r="R60" i="82"/>
  <c r="R99" i="82"/>
  <c r="R71" i="82"/>
  <c r="R61" i="82"/>
  <c r="R35" i="82"/>
  <c r="R72" i="82"/>
  <c r="R37" i="82"/>
  <c r="R36" i="82"/>
  <c r="R34" i="75"/>
  <c r="R28" i="75"/>
  <c r="R25" i="75"/>
  <c r="R20" i="75"/>
  <c r="R19" i="75"/>
  <c r="R27" i="75"/>
  <c r="R18" i="75"/>
  <c r="X12" i="75"/>
  <c r="Z12" i="75" s="1"/>
  <c r="R17" i="75"/>
  <c r="R30" i="75"/>
  <c r="R22" i="75"/>
  <c r="R24" i="75"/>
  <c r="R26" i="75"/>
  <c r="P22" i="75"/>
  <c r="T93" i="65"/>
  <c r="D22" i="54"/>
  <c r="L16" i="54"/>
  <c r="P31" i="43"/>
  <c r="Z18" i="93"/>
  <c r="T27" i="93"/>
  <c r="T27" i="95"/>
  <c r="Z18" i="95"/>
  <c r="H27" i="93"/>
  <c r="N18" i="93"/>
  <c r="H93" i="90"/>
  <c r="P36" i="93"/>
  <c r="X16" i="87"/>
  <c r="P59" i="87"/>
  <c r="L23" i="82"/>
  <c r="D97" i="82"/>
  <c r="T32" i="75"/>
  <c r="D80" i="78"/>
  <c r="L16" i="78"/>
  <c r="T89" i="73"/>
  <c r="Z21" i="73"/>
  <c r="V21" i="73"/>
  <c r="F90" i="74"/>
  <c r="F21" i="73"/>
  <c r="R23" i="72"/>
  <c r="R19" i="72"/>
  <c r="R27" i="72"/>
  <c r="R17" i="72"/>
  <c r="R16" i="72"/>
  <c r="X12" i="72"/>
  <c r="Z12" i="72" s="1"/>
  <c r="R21" i="72"/>
  <c r="P19" i="72"/>
  <c r="T25" i="72"/>
  <c r="V19" i="72"/>
  <c r="D94" i="76"/>
  <c r="L23" i="76"/>
  <c r="N23" i="76" s="1"/>
  <c r="F23" i="76"/>
  <c r="H81" i="69"/>
  <c r="X16" i="59"/>
  <c r="P67" i="59"/>
  <c r="T57" i="61"/>
  <c r="Z16" i="61"/>
  <c r="H27" i="46"/>
  <c r="N18" i="46"/>
  <c r="Z16" i="55"/>
  <c r="T31" i="55"/>
  <c r="V24" i="42"/>
  <c r="D31" i="44"/>
  <c r="L27" i="44"/>
  <c r="X18" i="41"/>
  <c r="H26" i="54"/>
  <c r="N22" i="54"/>
  <c r="P36" i="46"/>
  <c r="D81" i="58"/>
  <c r="L77" i="58"/>
  <c r="F131" i="34"/>
  <c r="F126" i="34"/>
  <c r="F124" i="34"/>
  <c r="F119" i="34"/>
  <c r="F114" i="34"/>
  <c r="F82" i="34"/>
  <c r="F70" i="34"/>
  <c r="F67" i="34"/>
  <c r="F63" i="34"/>
  <c r="F51" i="34"/>
  <c r="F39" i="34"/>
  <c r="F31" i="34"/>
  <c r="F23" i="34"/>
  <c r="F122" i="34"/>
  <c r="F93" i="34"/>
  <c r="F90" i="34"/>
  <c r="F85" i="34"/>
  <c r="F78" i="34"/>
  <c r="F62" i="34"/>
  <c r="F50" i="34"/>
  <c r="F45" i="34"/>
  <c r="F44" i="34"/>
  <c r="F38" i="34"/>
  <c r="F30" i="34"/>
  <c r="F22" i="34"/>
  <c r="L12" i="34"/>
  <c r="N12" i="34" s="1"/>
  <c r="F125" i="34"/>
  <c r="F112" i="34"/>
  <c r="F107" i="34"/>
  <c r="F92" i="34"/>
  <c r="F87" i="34"/>
  <c r="F84" i="34"/>
  <c r="F80" i="34"/>
  <c r="F75" i="34"/>
  <c r="F60" i="34"/>
  <c r="F55" i="34"/>
  <c r="F48" i="34"/>
  <c r="F36" i="34"/>
  <c r="F28" i="34"/>
  <c r="F20" i="34"/>
  <c r="F118" i="34"/>
  <c r="F115" i="34"/>
  <c r="F111" i="34"/>
  <c r="F103" i="34"/>
  <c r="F99" i="34"/>
  <c r="F95" i="34"/>
  <c r="F83" i="34"/>
  <c r="F71" i="34"/>
  <c r="F66" i="34"/>
  <c r="F59" i="34"/>
  <c r="F47" i="34"/>
  <c r="F35" i="34"/>
  <c r="F27" i="34"/>
  <c r="F127" i="34"/>
  <c r="F121" i="34"/>
  <c r="F110" i="34"/>
  <c r="F106" i="34"/>
  <c r="F102" i="34"/>
  <c r="F98" i="34"/>
  <c r="F94" i="34"/>
  <c r="F89" i="34"/>
  <c r="F86" i="34"/>
  <c r="F77" i="34"/>
  <c r="F74" i="34"/>
  <c r="F58" i="34"/>
  <c r="F54" i="34"/>
  <c r="F46" i="34"/>
  <c r="F34" i="34"/>
  <c r="F26" i="34"/>
  <c r="F117" i="34"/>
  <c r="F109" i="34"/>
  <c r="F105" i="34"/>
  <c r="F101" i="34"/>
  <c r="F97" i="34"/>
  <c r="F73" i="34"/>
  <c r="F68" i="34"/>
  <c r="F65" i="34"/>
  <c r="F57" i="34"/>
  <c r="F53" i="34"/>
  <c r="F42" i="34"/>
  <c r="F33" i="34"/>
  <c r="F25" i="34"/>
  <c r="F96" i="34"/>
  <c r="F64" i="34"/>
  <c r="F108" i="34"/>
  <c r="F104" i="34"/>
  <c r="F100" i="34"/>
  <c r="F52" i="34"/>
  <c r="F19" i="34"/>
  <c r="F116" i="34"/>
  <c r="F76" i="34"/>
  <c r="F56" i="34"/>
  <c r="F81" i="34"/>
  <c r="F40" i="34"/>
  <c r="F32" i="34"/>
  <c r="F24" i="34"/>
  <c r="F113" i="34"/>
  <c r="F91" i="34"/>
  <c r="F37" i="34"/>
  <c r="F29" i="34"/>
  <c r="F21" i="34"/>
  <c r="F72" i="34"/>
  <c r="F61" i="34"/>
  <c r="D42" i="34"/>
  <c r="F88" i="34"/>
  <c r="F120" i="34"/>
  <c r="F79" i="34"/>
  <c r="F49" i="34"/>
  <c r="F69" i="34"/>
  <c r="T27" i="33"/>
  <c r="Z18" i="33"/>
  <c r="F23" i="31"/>
  <c r="H27" i="26"/>
  <c r="N18" i="26"/>
  <c r="L18" i="24"/>
  <c r="D27" i="24"/>
  <c r="P27" i="35"/>
  <c r="X18" i="35"/>
  <c r="L18" i="19"/>
  <c r="D27" i="19"/>
  <c r="L18" i="14"/>
  <c r="D27" i="14"/>
  <c r="X23" i="31"/>
  <c r="Z23" i="31" s="1"/>
  <c r="P77" i="31"/>
  <c r="V31" i="25"/>
  <c r="H96" i="21"/>
  <c r="T164" i="12"/>
  <c r="D27" i="8"/>
  <c r="L18" i="8"/>
  <c r="T27" i="4"/>
  <c r="Z18" i="4"/>
  <c r="T178" i="3"/>
  <c r="Z64" i="3"/>
  <c r="X18" i="4"/>
  <c r="P27" i="4"/>
  <c r="R154" i="18"/>
  <c r="R148" i="18"/>
  <c r="R144" i="18"/>
  <c r="R141" i="18"/>
  <c r="R151" i="18"/>
  <c r="R150" i="18"/>
  <c r="R146" i="18"/>
  <c r="R137" i="18"/>
  <c r="R130" i="18"/>
  <c r="R118" i="18"/>
  <c r="R142" i="18"/>
  <c r="R136" i="18"/>
  <c r="R113" i="18"/>
  <c r="R108" i="18"/>
  <c r="R105" i="18"/>
  <c r="R96" i="18"/>
  <c r="R93" i="18"/>
  <c r="R84" i="18"/>
  <c r="R81" i="18"/>
  <c r="R76" i="18"/>
  <c r="R64" i="18"/>
  <c r="R52" i="18"/>
  <c r="R44" i="18"/>
  <c r="R36" i="18"/>
  <c r="R28" i="18"/>
  <c r="R21" i="18"/>
  <c r="R135" i="18"/>
  <c r="R75" i="18"/>
  <c r="R63" i="18"/>
  <c r="R51" i="18"/>
  <c r="R43" i="18"/>
  <c r="R35" i="18"/>
  <c r="R27" i="18"/>
  <c r="R134" i="18"/>
  <c r="R126" i="18"/>
  <c r="R122" i="18"/>
  <c r="R110" i="18"/>
  <c r="R107" i="18"/>
  <c r="R98" i="18"/>
  <c r="R95" i="18"/>
  <c r="R86" i="18"/>
  <c r="R83" i="18"/>
  <c r="R74" i="18"/>
  <c r="R62" i="18"/>
  <c r="R50" i="18"/>
  <c r="R42" i="18"/>
  <c r="R34" i="18"/>
  <c r="R26" i="18"/>
  <c r="X12" i="18"/>
  <c r="Z12" i="18" s="1"/>
  <c r="R157" i="18"/>
  <c r="R156" i="18"/>
  <c r="R140" i="18"/>
  <c r="R139" i="18"/>
  <c r="R133" i="18"/>
  <c r="R129" i="18"/>
  <c r="R125" i="18"/>
  <c r="R121" i="18"/>
  <c r="R117" i="18"/>
  <c r="R101" i="18"/>
  <c r="R89" i="18"/>
  <c r="R73" i="18"/>
  <c r="R69" i="18"/>
  <c r="R61" i="18"/>
  <c r="R49" i="18"/>
  <c r="R41" i="18"/>
  <c r="R33" i="18"/>
  <c r="R25" i="18"/>
  <c r="R155" i="18"/>
  <c r="R153" i="18"/>
  <c r="R138" i="18"/>
  <c r="R132" i="18"/>
  <c r="R128" i="18"/>
  <c r="R124" i="18"/>
  <c r="R120" i="18"/>
  <c r="R116" i="18"/>
  <c r="R112" i="18"/>
  <c r="R109" i="18"/>
  <c r="R104" i="18"/>
  <c r="R100" i="18"/>
  <c r="R97" i="18"/>
  <c r="R92" i="18"/>
  <c r="R88" i="18"/>
  <c r="R85" i="18"/>
  <c r="R80" i="18"/>
  <c r="R72" i="18"/>
  <c r="R68" i="18"/>
  <c r="R60" i="18"/>
  <c r="R58" i="18"/>
  <c r="P56" i="18"/>
  <c r="R48" i="18"/>
  <c r="R40" i="18"/>
  <c r="R32" i="18"/>
  <c r="R24" i="18"/>
  <c r="R161" i="18"/>
  <c r="R152" i="18"/>
  <c r="R147" i="18"/>
  <c r="R143" i="18"/>
  <c r="R131" i="18"/>
  <c r="R119" i="18"/>
  <c r="R115" i="18"/>
  <c r="R103" i="18"/>
  <c r="R91" i="18"/>
  <c r="R79" i="18"/>
  <c r="R71" i="18"/>
  <c r="R67" i="18"/>
  <c r="R47" i="18"/>
  <c r="R39" i="18"/>
  <c r="R31" i="18"/>
  <c r="R23" i="18"/>
  <c r="R127" i="18"/>
  <c r="R94" i="18"/>
  <c r="R66" i="18"/>
  <c r="R30" i="18"/>
  <c r="R22" i="18"/>
  <c r="R145" i="18"/>
  <c r="R87" i="18"/>
  <c r="R70" i="18"/>
  <c r="R90" i="18"/>
  <c r="R65" i="18"/>
  <c r="R114" i="18"/>
  <c r="R111" i="18"/>
  <c r="R102" i="18"/>
  <c r="R53" i="18"/>
  <c r="R99" i="18"/>
  <c r="R77" i="18"/>
  <c r="R54" i="18"/>
  <c r="R45" i="18"/>
  <c r="R123" i="18"/>
  <c r="R82" i="18"/>
  <c r="R78" i="18"/>
  <c r="R46" i="18"/>
  <c r="R37" i="18"/>
  <c r="R106" i="18"/>
  <c r="R59" i="18"/>
  <c r="R38" i="18"/>
  <c r="R29" i="18"/>
  <c r="H97" i="9"/>
  <c r="N16" i="9"/>
  <c r="X64" i="3"/>
  <c r="P178" i="3"/>
  <c r="F56" i="12"/>
  <c r="F153" i="12"/>
  <c r="H40" i="86"/>
  <c r="T84" i="78"/>
  <c r="Z18" i="52"/>
  <c r="T27" i="52"/>
  <c r="R126" i="28"/>
  <c r="R119" i="28"/>
  <c r="R112" i="28"/>
  <c r="R109" i="28"/>
  <c r="R104" i="28"/>
  <c r="R97" i="28"/>
  <c r="R93" i="28"/>
  <c r="R60" i="28"/>
  <c r="R53" i="28"/>
  <c r="R48" i="28"/>
  <c r="R36" i="28"/>
  <c r="R28" i="28"/>
  <c r="R20" i="28"/>
  <c r="R121" i="28"/>
  <c r="R115" i="28"/>
  <c r="R100" i="28"/>
  <c r="R87" i="28"/>
  <c r="R84" i="28"/>
  <c r="R75" i="28"/>
  <c r="R72" i="28"/>
  <c r="R67" i="28"/>
  <c r="R64" i="28"/>
  <c r="R59" i="28"/>
  <c r="R47" i="28"/>
  <c r="R35" i="28"/>
  <c r="R27" i="28"/>
  <c r="R114" i="28"/>
  <c r="R111" i="28"/>
  <c r="R103" i="28"/>
  <c r="R78" i="28"/>
  <c r="R58" i="28"/>
  <c r="R46" i="28"/>
  <c r="R34" i="28"/>
  <c r="R26" i="28"/>
  <c r="R19" i="28"/>
  <c r="R117" i="28"/>
  <c r="R89" i="28"/>
  <c r="R86" i="28"/>
  <c r="R81" i="28"/>
  <c r="R77" i="28"/>
  <c r="R74" i="28"/>
  <c r="R69" i="28"/>
  <c r="R66" i="28"/>
  <c r="R57" i="28"/>
  <c r="R45" i="28"/>
  <c r="R33" i="28"/>
  <c r="R25" i="28"/>
  <c r="R120" i="28"/>
  <c r="R113" i="28"/>
  <c r="R108" i="28"/>
  <c r="R96" i="28"/>
  <c r="R92" i="28"/>
  <c r="R80" i="28"/>
  <c r="R56" i="28"/>
  <c r="R52" i="28"/>
  <c r="R44" i="28"/>
  <c r="R42" i="28"/>
  <c r="P40" i="28"/>
  <c r="R40" i="28" s="1"/>
  <c r="R32" i="28"/>
  <c r="R24" i="28"/>
  <c r="R116" i="28"/>
  <c r="R107" i="28"/>
  <c r="R99" i="28"/>
  <c r="R95" i="28"/>
  <c r="R91" i="28"/>
  <c r="R88" i="28"/>
  <c r="R83" i="28"/>
  <c r="R76" i="28"/>
  <c r="R71" i="28"/>
  <c r="R68" i="28"/>
  <c r="R63" i="28"/>
  <c r="R55" i="28"/>
  <c r="R51" i="28"/>
  <c r="R31" i="28"/>
  <c r="R23" i="28"/>
  <c r="R122" i="28"/>
  <c r="R110" i="28"/>
  <c r="R106" i="28"/>
  <c r="R102" i="28"/>
  <c r="R98" i="28"/>
  <c r="R94" i="28"/>
  <c r="R79" i="28"/>
  <c r="R62" i="28"/>
  <c r="R54" i="28"/>
  <c r="R50" i="28"/>
  <c r="R43" i="28"/>
  <c r="R38" i="28"/>
  <c r="R30" i="28"/>
  <c r="R22" i="28"/>
  <c r="X12" i="28"/>
  <c r="Z12" i="28" s="1"/>
  <c r="R101" i="28"/>
  <c r="R85" i="28"/>
  <c r="R73" i="28"/>
  <c r="R65" i="28"/>
  <c r="R37" i="28"/>
  <c r="R82" i="28"/>
  <c r="R61" i="28"/>
  <c r="R29" i="28"/>
  <c r="R90" i="28"/>
  <c r="R21" i="28"/>
  <c r="R105" i="28"/>
  <c r="R70" i="28"/>
  <c r="R49" i="28"/>
  <c r="X18" i="20"/>
  <c r="P27" i="20"/>
  <c r="L18" i="95"/>
  <c r="D27" i="95"/>
  <c r="T79" i="92"/>
  <c r="R30" i="89"/>
  <c r="R24" i="89"/>
  <c r="R21" i="89"/>
  <c r="X12" i="89"/>
  <c r="R16" i="89"/>
  <c r="R26" i="89"/>
  <c r="R18" i="89"/>
  <c r="R20" i="89"/>
  <c r="P18" i="89"/>
  <c r="R23" i="89"/>
  <c r="R22" i="89"/>
  <c r="L16" i="80"/>
  <c r="D28" i="80"/>
  <c r="R92" i="83"/>
  <c r="R87" i="83"/>
  <c r="R77" i="83"/>
  <c r="R72" i="83"/>
  <c r="R64" i="83"/>
  <c r="R60" i="83"/>
  <c r="R56" i="83"/>
  <c r="R53" i="83"/>
  <c r="R40" i="83"/>
  <c r="R33" i="83"/>
  <c r="R28" i="83"/>
  <c r="R97" i="83"/>
  <c r="R90" i="83"/>
  <c r="R83" i="83"/>
  <c r="R80" i="83"/>
  <c r="R71" i="83"/>
  <c r="R67" i="83"/>
  <c r="R63" i="83"/>
  <c r="R59" i="83"/>
  <c r="R47" i="83"/>
  <c r="R44" i="83"/>
  <c r="R39" i="83"/>
  <c r="R27" i="83"/>
  <c r="R70" i="83"/>
  <c r="R62" i="83"/>
  <c r="R55" i="83"/>
  <c r="R50" i="83"/>
  <c r="R38" i="83"/>
  <c r="R85" i="83"/>
  <c r="R82" i="83"/>
  <c r="R69" i="83"/>
  <c r="R66" i="83"/>
  <c r="R58" i="83"/>
  <c r="R49" i="83"/>
  <c r="R46" i="83"/>
  <c r="R37" i="83"/>
  <c r="R88" i="83"/>
  <c r="R76" i="83"/>
  <c r="R61" i="83"/>
  <c r="R52" i="83"/>
  <c r="R36" i="83"/>
  <c r="R32" i="83"/>
  <c r="R24" i="83"/>
  <c r="R22" i="83"/>
  <c r="R94" i="83"/>
  <c r="R84" i="83"/>
  <c r="R79" i="83"/>
  <c r="R75" i="83"/>
  <c r="R68" i="83"/>
  <c r="R48" i="83"/>
  <c r="R43" i="83"/>
  <c r="R35" i="83"/>
  <c r="R31" i="83"/>
  <c r="R81" i="83"/>
  <c r="R65" i="83"/>
  <c r="R26" i="83"/>
  <c r="R73" i="83"/>
  <c r="R41" i="83"/>
  <c r="R18" i="83"/>
  <c r="R16" i="83"/>
  <c r="R57" i="83"/>
  <c r="R30" i="83"/>
  <c r="R29" i="83"/>
  <c r="R78" i="83"/>
  <c r="R42" i="83"/>
  <c r="X12" i="83"/>
  <c r="Z12" i="83" s="1"/>
  <c r="R51" i="83"/>
  <c r="R23" i="83"/>
  <c r="R20" i="83"/>
  <c r="R54" i="83"/>
  <c r="P20" i="83"/>
  <c r="R74" i="83"/>
  <c r="R25" i="83"/>
  <c r="R17" i="83"/>
  <c r="R34" i="83"/>
  <c r="R45" i="83"/>
  <c r="T30" i="77"/>
  <c r="Z26" i="77"/>
  <c r="R85" i="74"/>
  <c r="R72" i="74"/>
  <c r="R68" i="74"/>
  <c r="R65" i="74"/>
  <c r="R60" i="74"/>
  <c r="R44" i="74"/>
  <c r="R37" i="74"/>
  <c r="R32" i="74"/>
  <c r="R20" i="74"/>
  <c r="X12" i="74"/>
  <c r="Z12" i="74" s="1"/>
  <c r="R79" i="74"/>
  <c r="R75" i="74"/>
  <c r="R71" i="74"/>
  <c r="R56" i="74"/>
  <c r="R51" i="74"/>
  <c r="R48" i="74"/>
  <c r="R43" i="74"/>
  <c r="R31" i="74"/>
  <c r="R19" i="74"/>
  <c r="R78" i="74"/>
  <c r="R74" i="74"/>
  <c r="R67" i="74"/>
  <c r="R62" i="74"/>
  <c r="R59" i="74"/>
  <c r="R42" i="74"/>
  <c r="R30" i="74"/>
  <c r="R88" i="74"/>
  <c r="R81" i="74"/>
  <c r="R77" i="74"/>
  <c r="R70" i="74"/>
  <c r="R53" i="74"/>
  <c r="R50" i="74"/>
  <c r="R41" i="74"/>
  <c r="R29" i="74"/>
  <c r="R24" i="74"/>
  <c r="R18" i="74"/>
  <c r="R84" i="74"/>
  <c r="R73" i="74"/>
  <c r="R64" i="74"/>
  <c r="R61" i="74"/>
  <c r="R40" i="74"/>
  <c r="R36" i="74"/>
  <c r="R28" i="74"/>
  <c r="R26" i="74"/>
  <c r="P24" i="74"/>
  <c r="R83" i="74"/>
  <c r="R80" i="74"/>
  <c r="R76" i="74"/>
  <c r="R55" i="74"/>
  <c r="R52" i="74"/>
  <c r="R47" i="74"/>
  <c r="R39" i="74"/>
  <c r="R35" i="74"/>
  <c r="R46" i="74"/>
  <c r="R86" i="74"/>
  <c r="R63" i="74"/>
  <c r="R58" i="74"/>
  <c r="R22" i="74"/>
  <c r="R21" i="74"/>
  <c r="R92" i="74"/>
  <c r="R54" i="74"/>
  <c r="R49" i="74"/>
  <c r="R45" i="74"/>
  <c r="R69" i="74"/>
  <c r="R33" i="74"/>
  <c r="R27" i="74"/>
  <c r="R82" i="74"/>
  <c r="R34" i="74"/>
  <c r="R57" i="74"/>
  <c r="R38" i="74"/>
  <c r="R66" i="74"/>
  <c r="R79" i="69"/>
  <c r="R67" i="69"/>
  <c r="R64" i="69"/>
  <c r="R59" i="69"/>
  <c r="R56" i="69"/>
  <c r="R51" i="69"/>
  <c r="R39" i="69"/>
  <c r="R27" i="69"/>
  <c r="R76" i="69"/>
  <c r="R69" i="69"/>
  <c r="R66" i="69"/>
  <c r="R61" i="69"/>
  <c r="R58" i="69"/>
  <c r="R83" i="69"/>
  <c r="R71" i="69"/>
  <c r="R68" i="69"/>
  <c r="R63" i="69"/>
  <c r="R60" i="69"/>
  <c r="R55" i="69"/>
  <c r="R47" i="69"/>
  <c r="R43" i="69"/>
  <c r="R35" i="69"/>
  <c r="R33" i="69"/>
  <c r="P31" i="69"/>
  <c r="R23" i="69"/>
  <c r="R74" i="69"/>
  <c r="R54" i="69"/>
  <c r="R46" i="69"/>
  <c r="R42" i="69"/>
  <c r="R22" i="69"/>
  <c r="X12" i="69"/>
  <c r="Z12" i="69" s="1"/>
  <c r="R62" i="69"/>
  <c r="R50" i="69"/>
  <c r="R41" i="69"/>
  <c r="R29" i="69"/>
  <c r="R26" i="69"/>
  <c r="R73" i="69"/>
  <c r="R72" i="69"/>
  <c r="R52" i="69"/>
  <c r="R40" i="69"/>
  <c r="R28" i="69"/>
  <c r="R78" i="69"/>
  <c r="R77" i="69"/>
  <c r="R21" i="69"/>
  <c r="R20" i="69"/>
  <c r="R19" i="69"/>
  <c r="R44" i="69"/>
  <c r="R36" i="69"/>
  <c r="R38" i="69"/>
  <c r="R25" i="69"/>
  <c r="R24" i="69"/>
  <c r="R49" i="69"/>
  <c r="R48" i="69"/>
  <c r="R57" i="69"/>
  <c r="R45" i="69"/>
  <c r="R65" i="69"/>
  <c r="R53" i="69"/>
  <c r="R34" i="69"/>
  <c r="R37" i="69"/>
  <c r="R70" i="69"/>
  <c r="H93" i="65"/>
  <c r="J31" i="65"/>
  <c r="R89" i="65"/>
  <c r="R83" i="65"/>
  <c r="R79" i="65"/>
  <c r="R63" i="65"/>
  <c r="R60" i="65"/>
  <c r="R55" i="65"/>
  <c r="R47" i="65"/>
  <c r="R43" i="65"/>
  <c r="R35" i="65"/>
  <c r="R33" i="65"/>
  <c r="P31" i="65"/>
  <c r="R23" i="65"/>
  <c r="R84" i="65"/>
  <c r="R64" i="65"/>
  <c r="R59" i="65"/>
  <c r="R56" i="65"/>
  <c r="R51" i="65"/>
  <c r="R39" i="65"/>
  <c r="R27" i="65"/>
  <c r="R90" i="65"/>
  <c r="R74" i="65"/>
  <c r="R70" i="65"/>
  <c r="R67" i="65"/>
  <c r="R50" i="65"/>
  <c r="R38" i="65"/>
  <c r="R26" i="65"/>
  <c r="R19" i="65"/>
  <c r="R95" i="65"/>
  <c r="R48" i="65"/>
  <c r="R65" i="65"/>
  <c r="R62" i="65"/>
  <c r="R61" i="65"/>
  <c r="X12" i="65"/>
  <c r="Z12" i="65" s="1"/>
  <c r="R53" i="65"/>
  <c r="R41" i="65"/>
  <c r="R40" i="65"/>
  <c r="R21" i="65"/>
  <c r="R73" i="65"/>
  <c r="R57" i="65"/>
  <c r="R54" i="65"/>
  <c r="R42" i="65"/>
  <c r="R25" i="65"/>
  <c r="R22" i="65"/>
  <c r="R81" i="65"/>
  <c r="R78" i="65"/>
  <c r="R77" i="65"/>
  <c r="R76" i="65"/>
  <c r="R75" i="65"/>
  <c r="R72" i="65"/>
  <c r="R69" i="65"/>
  <c r="R45" i="65"/>
  <c r="R34" i="65"/>
  <c r="R24" i="65"/>
  <c r="R91" i="65"/>
  <c r="R88" i="65"/>
  <c r="R87" i="65"/>
  <c r="R82" i="65"/>
  <c r="R71" i="65"/>
  <c r="R46" i="65"/>
  <c r="R80" i="65"/>
  <c r="R31" i="65"/>
  <c r="R85" i="65"/>
  <c r="R58" i="65"/>
  <c r="R44" i="65"/>
  <c r="R36" i="65"/>
  <c r="R66" i="65"/>
  <c r="R52" i="65"/>
  <c r="R37" i="65"/>
  <c r="R68" i="65"/>
  <c r="R28" i="65"/>
  <c r="R29" i="65"/>
  <c r="R20" i="65"/>
  <c r="R49" i="65"/>
  <c r="V31" i="65"/>
  <c r="L16" i="61"/>
  <c r="D57" i="61"/>
  <c r="D86" i="63"/>
  <c r="L30" i="63"/>
  <c r="N30" i="63" s="1"/>
  <c r="X16" i="57"/>
  <c r="P68" i="57"/>
  <c r="T22" i="54"/>
  <c r="Z16" i="54"/>
  <c r="L16" i="55"/>
  <c r="D31" i="49"/>
  <c r="H102" i="45"/>
  <c r="J25" i="45"/>
  <c r="P79" i="56"/>
  <c r="X75" i="56"/>
  <c r="T102" i="45"/>
  <c r="D27" i="33"/>
  <c r="L18" i="33"/>
  <c r="L24" i="42"/>
  <c r="D114" i="42"/>
  <c r="F108" i="42"/>
  <c r="X18" i="37"/>
  <c r="P27" i="37"/>
  <c r="R97" i="45"/>
  <c r="R94" i="45"/>
  <c r="R85" i="45"/>
  <c r="R77" i="45"/>
  <c r="R73" i="45"/>
  <c r="R69" i="45"/>
  <c r="R66" i="45"/>
  <c r="R96" i="45"/>
  <c r="R83" i="45"/>
  <c r="R75" i="45"/>
  <c r="R71" i="45"/>
  <c r="R68" i="45"/>
  <c r="R63" i="45"/>
  <c r="R60" i="45"/>
  <c r="R100" i="45"/>
  <c r="R93" i="45"/>
  <c r="R89" i="45"/>
  <c r="R74" i="45"/>
  <c r="R70" i="45"/>
  <c r="R65" i="45"/>
  <c r="R62" i="45"/>
  <c r="R57" i="45"/>
  <c r="R92" i="45"/>
  <c r="R88" i="45"/>
  <c r="R81" i="45"/>
  <c r="R64" i="45"/>
  <c r="R48" i="45"/>
  <c r="R40" i="45"/>
  <c r="R36" i="45"/>
  <c r="X12" i="45"/>
  <c r="Z12" i="45" s="1"/>
  <c r="R98" i="45"/>
  <c r="R91" i="45"/>
  <c r="R90" i="45"/>
  <c r="R84" i="45"/>
  <c r="R78" i="45"/>
  <c r="R56" i="45"/>
  <c r="R51" i="45"/>
  <c r="R47" i="45"/>
  <c r="R35" i="45"/>
  <c r="R28" i="45"/>
  <c r="R23" i="45"/>
  <c r="R67" i="45"/>
  <c r="R61" i="45"/>
  <c r="R46" i="45"/>
  <c r="R39" i="45"/>
  <c r="R34" i="45"/>
  <c r="R22" i="45"/>
  <c r="R53" i="45"/>
  <c r="R50" i="45"/>
  <c r="R45" i="45"/>
  <c r="R33" i="45"/>
  <c r="R21" i="45"/>
  <c r="R82" i="45"/>
  <c r="R59" i="45"/>
  <c r="R44" i="45"/>
  <c r="R32" i="45"/>
  <c r="R87" i="45"/>
  <c r="R86" i="45"/>
  <c r="R76" i="45"/>
  <c r="R58" i="45"/>
  <c r="R55" i="45"/>
  <c r="R52" i="45"/>
  <c r="R43" i="45"/>
  <c r="R31" i="45"/>
  <c r="R20" i="45"/>
  <c r="R104" i="45"/>
  <c r="R80" i="45"/>
  <c r="R79" i="45"/>
  <c r="R42" i="45"/>
  <c r="R38" i="45"/>
  <c r="R30" i="45"/>
  <c r="R54" i="45"/>
  <c r="R49" i="45"/>
  <c r="R37" i="45"/>
  <c r="R29" i="45"/>
  <c r="R41" i="45"/>
  <c r="R95" i="45"/>
  <c r="P25" i="45"/>
  <c r="R25" i="45" s="1"/>
  <c r="R72" i="45"/>
  <c r="R27" i="45"/>
  <c r="P27" i="52"/>
  <c r="X18" i="52"/>
  <c r="X18" i="38"/>
  <c r="P36" i="32"/>
  <c r="H31" i="38"/>
  <c r="T133" i="34"/>
  <c r="T27" i="23"/>
  <c r="X27" i="23" s="1"/>
  <c r="Z18" i="23"/>
  <c r="N27" i="29"/>
  <c r="H31" i="29"/>
  <c r="F149" i="15"/>
  <c r="F140" i="15"/>
  <c r="F136" i="15"/>
  <c r="F128" i="15"/>
  <c r="F120" i="15"/>
  <c r="F116" i="15"/>
  <c r="F107" i="15"/>
  <c r="F104" i="15"/>
  <c r="F99" i="15"/>
  <c r="F92" i="15"/>
  <c r="F87" i="15"/>
  <c r="F80" i="15"/>
  <c r="F75" i="15"/>
  <c r="F68" i="15"/>
  <c r="F56" i="15"/>
  <c r="F44" i="15"/>
  <c r="F36" i="15"/>
  <c r="F28" i="15"/>
  <c r="F146" i="15"/>
  <c r="F144" i="15"/>
  <c r="F139" i="15"/>
  <c r="F127" i="15"/>
  <c r="F123" i="15"/>
  <c r="F119" i="15"/>
  <c r="F115" i="15"/>
  <c r="F111" i="15"/>
  <c r="F95" i="15"/>
  <c r="F83" i="15"/>
  <c r="F67" i="15"/>
  <c r="F63" i="15"/>
  <c r="F55" i="15"/>
  <c r="F43" i="15"/>
  <c r="F35" i="15"/>
  <c r="F27" i="15"/>
  <c r="F142" i="15"/>
  <c r="F138" i="15"/>
  <c r="F126" i="15"/>
  <c r="F122" i="15"/>
  <c r="F118" i="15"/>
  <c r="F114" i="15"/>
  <c r="F110" i="15"/>
  <c r="F106" i="15"/>
  <c r="F101" i="15"/>
  <c r="F98" i="15"/>
  <c r="F94" i="15"/>
  <c r="F89" i="15"/>
  <c r="F86" i="15"/>
  <c r="F82" i="15"/>
  <c r="F77" i="15"/>
  <c r="F74" i="15"/>
  <c r="F66" i="15"/>
  <c r="F62" i="15"/>
  <c r="F54" i="15"/>
  <c r="F42" i="15"/>
  <c r="F34" i="15"/>
  <c r="F26" i="15"/>
  <c r="F21" i="15"/>
  <c r="L12" i="15"/>
  <c r="N12" i="15" s="1"/>
  <c r="F153" i="15"/>
  <c r="F148" i="15"/>
  <c r="F132" i="15"/>
  <c r="F125" i="15"/>
  <c r="F113" i="15"/>
  <c r="F109" i="15"/>
  <c r="F97" i="15"/>
  <c r="F85" i="15"/>
  <c r="F73" i="15"/>
  <c r="F65" i="15"/>
  <c r="F61" i="15"/>
  <c r="F50" i="15"/>
  <c r="F41" i="15"/>
  <c r="F33" i="15"/>
  <c r="F25" i="15"/>
  <c r="F145" i="15"/>
  <c r="F135" i="15"/>
  <c r="F108" i="15"/>
  <c r="F103" i="15"/>
  <c r="F100" i="15"/>
  <c r="F91" i="15"/>
  <c r="F88" i="15"/>
  <c r="F79" i="15"/>
  <c r="F76" i="15"/>
  <c r="F72" i="15"/>
  <c r="F60" i="15"/>
  <c r="D50" i="15"/>
  <c r="F48" i="15"/>
  <c r="F40" i="15"/>
  <c r="F32" i="15"/>
  <c r="F24" i="15"/>
  <c r="F131" i="15"/>
  <c r="F71" i="15"/>
  <c r="F59" i="15"/>
  <c r="F47" i="15"/>
  <c r="F39" i="15"/>
  <c r="F31" i="15"/>
  <c r="F23" i="15"/>
  <c r="F129" i="15"/>
  <c r="F112" i="15"/>
  <c r="F102" i="15"/>
  <c r="F84" i="15"/>
  <c r="F57" i="15"/>
  <c r="F46" i="15"/>
  <c r="F37" i="15"/>
  <c r="F141" i="15"/>
  <c r="F96" i="15"/>
  <c r="F64" i="15"/>
  <c r="F38" i="15"/>
  <c r="F29" i="15"/>
  <c r="F133" i="15"/>
  <c r="F81" i="15"/>
  <c r="F30" i="15"/>
  <c r="F70" i="15"/>
  <c r="F45" i="15"/>
  <c r="F134" i="15"/>
  <c r="F130" i="15"/>
  <c r="F124" i="15"/>
  <c r="F117" i="15"/>
  <c r="F93" i="15"/>
  <c r="F58" i="15"/>
  <c r="F22" i="15"/>
  <c r="F121" i="15"/>
  <c r="F105" i="15"/>
  <c r="F69" i="15"/>
  <c r="F147" i="15"/>
  <c r="F78" i="15"/>
  <c r="F52" i="15"/>
  <c r="F90" i="15"/>
  <c r="F53" i="15"/>
  <c r="F137" i="15"/>
  <c r="X18" i="14"/>
  <c r="P27" i="14"/>
  <c r="N27" i="27"/>
  <c r="H31" i="27"/>
  <c r="P31" i="23"/>
  <c r="X18" i="26"/>
  <c r="D27" i="4"/>
  <c r="L18" i="4"/>
  <c r="P27" i="30"/>
  <c r="X18" i="30"/>
  <c r="F150" i="18"/>
  <c r="L18" i="10"/>
  <c r="D27" i="10"/>
  <c r="F64" i="3"/>
  <c r="N56" i="12"/>
  <c r="H160" i="12"/>
  <c r="H36" i="4"/>
  <c r="N36" i="4" s="1"/>
  <c r="N31" i="4"/>
  <c r="T81" i="69"/>
  <c r="V31" i="69"/>
  <c r="P94" i="76"/>
  <c r="X23" i="76"/>
  <c r="Z23" i="76" s="1"/>
  <c r="H81" i="51"/>
  <c r="F80" i="25"/>
  <c r="F76" i="25"/>
  <c r="F72" i="25"/>
  <c r="F67" i="25"/>
  <c r="F48" i="25"/>
  <c r="F44" i="25"/>
  <c r="F36" i="25"/>
  <c r="F24" i="25"/>
  <c r="F19" i="25"/>
  <c r="F83" i="25"/>
  <c r="F79" i="25"/>
  <c r="F63" i="25"/>
  <c r="F58" i="25"/>
  <c r="F55" i="25"/>
  <c r="F47" i="25"/>
  <c r="F43" i="25"/>
  <c r="F35" i="25"/>
  <c r="F23" i="25"/>
  <c r="F89" i="25"/>
  <c r="F87" i="25"/>
  <c r="F82" i="25"/>
  <c r="F69" i="25"/>
  <c r="F66" i="25"/>
  <c r="F54" i="25"/>
  <c r="F46" i="25"/>
  <c r="F42" i="25"/>
  <c r="F31" i="25"/>
  <c r="F22" i="25"/>
  <c r="L12" i="25"/>
  <c r="N12" i="25" s="1"/>
  <c r="F85" i="25"/>
  <c r="F65" i="25"/>
  <c r="F60" i="25"/>
  <c r="F57" i="25"/>
  <c r="F53" i="25"/>
  <c r="F41" i="25"/>
  <c r="D31" i="25"/>
  <c r="F29" i="25"/>
  <c r="F21" i="25"/>
  <c r="F91" i="25"/>
  <c r="F75" i="25"/>
  <c r="F71" i="25"/>
  <c r="F68" i="25"/>
  <c r="F52" i="25"/>
  <c r="F40" i="25"/>
  <c r="F28" i="25"/>
  <c r="F20" i="25"/>
  <c r="F88" i="25"/>
  <c r="F78" i="25"/>
  <c r="F62" i="25"/>
  <c r="F59" i="25"/>
  <c r="F51" i="25"/>
  <c r="F39" i="25"/>
  <c r="F34" i="25"/>
  <c r="F33" i="25"/>
  <c r="F27" i="25"/>
  <c r="F81" i="25"/>
  <c r="F74" i="25"/>
  <c r="F70" i="25"/>
  <c r="F50" i="25"/>
  <c r="F45" i="25"/>
  <c r="F38" i="25"/>
  <c r="F26" i="25"/>
  <c r="F56" i="25"/>
  <c r="F84" i="25"/>
  <c r="F73" i="25"/>
  <c r="F90" i="25"/>
  <c r="F37" i="25"/>
  <c r="F95" i="25"/>
  <c r="F77" i="25"/>
  <c r="F64" i="25"/>
  <c r="F61" i="25"/>
  <c r="F49" i="25"/>
  <c r="F25" i="25"/>
  <c r="H124" i="28"/>
  <c r="J40" i="28"/>
  <c r="F98" i="21"/>
  <c r="F92" i="21"/>
  <c r="F80" i="21"/>
  <c r="F76" i="21"/>
  <c r="F67" i="21"/>
  <c r="F64" i="21"/>
  <c r="F59" i="21"/>
  <c r="F44" i="21"/>
  <c r="F39" i="21"/>
  <c r="F32" i="21"/>
  <c r="F86" i="21"/>
  <c r="F55" i="21"/>
  <c r="F50" i="21"/>
  <c r="F43" i="21"/>
  <c r="F31" i="21"/>
  <c r="F89" i="21"/>
  <c r="F73" i="21"/>
  <c r="F69" i="21"/>
  <c r="F66" i="21"/>
  <c r="F61" i="21"/>
  <c r="F58" i="21"/>
  <c r="F42" i="21"/>
  <c r="F38" i="21"/>
  <c r="F30" i="21"/>
  <c r="F85" i="21"/>
  <c r="F57" i="21"/>
  <c r="F52" i="21"/>
  <c r="F49" i="21"/>
  <c r="F41" i="21"/>
  <c r="F37" i="21"/>
  <c r="F29" i="21"/>
  <c r="F20" i="21"/>
  <c r="F91" i="21"/>
  <c r="F88" i="21"/>
  <c r="F84" i="21"/>
  <c r="F79" i="21"/>
  <c r="F75" i="21"/>
  <c r="F72" i="21"/>
  <c r="F68" i="21"/>
  <c r="F63" i="21"/>
  <c r="F60" i="21"/>
  <c r="F48" i="21"/>
  <c r="F40" i="21"/>
  <c r="F36" i="21"/>
  <c r="L12" i="21"/>
  <c r="N12" i="21" s="1"/>
  <c r="F90" i="21"/>
  <c r="F82" i="21"/>
  <c r="F78" i="21"/>
  <c r="F74" i="21"/>
  <c r="F70" i="21"/>
  <c r="F65" i="21"/>
  <c r="F62" i="21"/>
  <c r="F46" i="21"/>
  <c r="F34" i="21"/>
  <c r="F22" i="21"/>
  <c r="F87" i="21"/>
  <c r="F83" i="21"/>
  <c r="F33" i="21"/>
  <c r="F51" i="21"/>
  <c r="D25" i="21"/>
  <c r="F21" i="21"/>
  <c r="F77" i="21"/>
  <c r="F47" i="21"/>
  <c r="F71" i="21"/>
  <c r="F81" i="21"/>
  <c r="F53" i="21"/>
  <c r="F94" i="21"/>
  <c r="F54" i="21"/>
  <c r="F28" i="21"/>
  <c r="F27" i="21"/>
  <c r="F45" i="21"/>
  <c r="F35" i="21"/>
  <c r="F23" i="21"/>
  <c r="F56" i="21"/>
  <c r="V56" i="18"/>
  <c r="T159" i="18"/>
  <c r="T124" i="28"/>
  <c r="P31" i="19"/>
  <c r="X27" i="19"/>
  <c r="H27" i="94"/>
  <c r="N18" i="94"/>
  <c r="X75" i="92"/>
  <c r="Z75" i="92" s="1"/>
  <c r="R75" i="92"/>
  <c r="P79" i="92"/>
  <c r="L23" i="90"/>
  <c r="N23" i="90" s="1"/>
  <c r="D93" i="90"/>
  <c r="F23" i="90"/>
  <c r="F90" i="91"/>
  <c r="F77" i="91"/>
  <c r="F73" i="91"/>
  <c r="F69" i="91"/>
  <c r="F65" i="91"/>
  <c r="F71" i="91"/>
  <c r="F67" i="91"/>
  <c r="F62" i="91"/>
  <c r="F59" i="91"/>
  <c r="F54" i="91"/>
  <c r="F51" i="91"/>
  <c r="F43" i="91"/>
  <c r="F85" i="91"/>
  <c r="F82" i="91"/>
  <c r="F83" i="91"/>
  <c r="F53" i="91"/>
  <c r="F47" i="91"/>
  <c r="F41" i="91"/>
  <c r="F29" i="91"/>
  <c r="F72" i="91"/>
  <c r="F70" i="91"/>
  <c r="F68" i="91"/>
  <c r="F60" i="91"/>
  <c r="F40" i="91"/>
  <c r="F36" i="91"/>
  <c r="F28" i="91"/>
  <c r="F76" i="91"/>
  <c r="F74" i="91"/>
  <c r="F66" i="91"/>
  <c r="F39" i="91"/>
  <c r="F35" i="91"/>
  <c r="F27" i="91"/>
  <c r="F18" i="91"/>
  <c r="F78" i="91"/>
  <c r="F75" i="91"/>
  <c r="F64" i="91"/>
  <c r="F63" i="91"/>
  <c r="F58" i="91"/>
  <c r="F52" i="91"/>
  <c r="F38" i="91"/>
  <c r="F34" i="91"/>
  <c r="F23" i="91"/>
  <c r="F57" i="91"/>
  <c r="F33" i="91"/>
  <c r="D23" i="91"/>
  <c r="F21" i="91"/>
  <c r="F94" i="91"/>
  <c r="F87" i="91"/>
  <c r="F84" i="91"/>
  <c r="F81" i="91"/>
  <c r="F80" i="91"/>
  <c r="F61" i="91"/>
  <c r="F49" i="91"/>
  <c r="F31" i="91"/>
  <c r="F26" i="91"/>
  <c r="F25" i="91"/>
  <c r="F19" i="91"/>
  <c r="F86" i="91"/>
  <c r="F79" i="91"/>
  <c r="L12" i="91"/>
  <c r="N12" i="91" s="1"/>
  <c r="F45" i="91"/>
  <c r="F55" i="91"/>
  <c r="F50" i="91"/>
  <c r="F32" i="91"/>
  <c r="F20" i="91"/>
  <c r="F56" i="91"/>
  <c r="F46" i="91"/>
  <c r="F42" i="91"/>
  <c r="F37" i="91"/>
  <c r="F30" i="91"/>
  <c r="F88" i="91"/>
  <c r="F44" i="91"/>
  <c r="F48" i="91"/>
  <c r="D28" i="89"/>
  <c r="L18" i="89"/>
  <c r="H59" i="87"/>
  <c r="N16" i="87"/>
  <c r="P36" i="86"/>
  <c r="X18" i="86"/>
  <c r="P93" i="90"/>
  <c r="X23" i="90"/>
  <c r="Z23" i="90" s="1"/>
  <c r="D57" i="84"/>
  <c r="L53" i="84"/>
  <c r="H97" i="82"/>
  <c r="N23" i="82"/>
  <c r="P80" i="78"/>
  <c r="X16" i="78"/>
  <c r="H94" i="76"/>
  <c r="H32" i="75"/>
  <c r="R70" i="71"/>
  <c r="R66" i="71"/>
  <c r="R62" i="71"/>
  <c r="R55" i="71"/>
  <c r="R50" i="71"/>
  <c r="R47" i="71"/>
  <c r="R38" i="71"/>
  <c r="R26" i="71"/>
  <c r="R78" i="71"/>
  <c r="R72" i="71"/>
  <c r="R69" i="71"/>
  <c r="R52" i="71"/>
  <c r="R49" i="71"/>
  <c r="R44" i="71"/>
  <c r="R36" i="71"/>
  <c r="R32" i="71"/>
  <c r="R24" i="71"/>
  <c r="R22" i="71"/>
  <c r="P20" i="71"/>
  <c r="R71" i="71"/>
  <c r="R54" i="71"/>
  <c r="R51" i="71"/>
  <c r="R46" i="71"/>
  <c r="R42" i="71"/>
  <c r="R30" i="71"/>
  <c r="R23" i="71"/>
  <c r="R18" i="71"/>
  <c r="R57" i="71"/>
  <c r="R41" i="71"/>
  <c r="R34" i="71"/>
  <c r="R29" i="71"/>
  <c r="R17" i="71"/>
  <c r="R53" i="71"/>
  <c r="R40" i="71"/>
  <c r="R39" i="71"/>
  <c r="R31" i="71"/>
  <c r="R74" i="71"/>
  <c r="R56" i="71"/>
  <c r="R35" i="71"/>
  <c r="R64" i="71"/>
  <c r="R58" i="71"/>
  <c r="R43" i="71"/>
  <c r="R33" i="71"/>
  <c r="X12" i="71"/>
  <c r="Z12" i="71" s="1"/>
  <c r="R65" i="71"/>
  <c r="R61" i="71"/>
  <c r="R59" i="71"/>
  <c r="R48" i="71"/>
  <c r="R45" i="71"/>
  <c r="R37" i="71"/>
  <c r="R28" i="71"/>
  <c r="R67" i="71"/>
  <c r="R25" i="71"/>
  <c r="R68" i="71"/>
  <c r="R63" i="71"/>
  <c r="R60" i="71"/>
  <c r="R16" i="71"/>
  <c r="R27" i="71"/>
  <c r="N26" i="77"/>
  <c r="H30" i="77"/>
  <c r="X16" i="80"/>
  <c r="X23" i="68"/>
  <c r="Z23" i="68" s="1"/>
  <c r="P77" i="68"/>
  <c r="F88" i="65"/>
  <c r="F78" i="65"/>
  <c r="F62" i="65"/>
  <c r="F59" i="65"/>
  <c r="F51" i="65"/>
  <c r="F39" i="65"/>
  <c r="F34" i="65"/>
  <c r="F33" i="65"/>
  <c r="F27" i="65"/>
  <c r="F83" i="65"/>
  <c r="F79" i="65"/>
  <c r="F63" i="65"/>
  <c r="F58" i="65"/>
  <c r="F55" i="65"/>
  <c r="F47" i="65"/>
  <c r="F43" i="65"/>
  <c r="F35" i="65"/>
  <c r="F23" i="65"/>
  <c r="F89" i="65"/>
  <c r="F87" i="65"/>
  <c r="F82" i="65"/>
  <c r="F69" i="65"/>
  <c r="F66" i="65"/>
  <c r="F54" i="65"/>
  <c r="F46" i="65"/>
  <c r="F42" i="65"/>
  <c r="F22" i="65"/>
  <c r="L12" i="65"/>
  <c r="N12" i="65" s="1"/>
  <c r="F76" i="65"/>
  <c r="F74" i="65"/>
  <c r="F73" i="65"/>
  <c r="F56" i="65"/>
  <c r="F26" i="65"/>
  <c r="F25" i="65"/>
  <c r="F19" i="65"/>
  <c r="F77" i="65"/>
  <c r="F75" i="65"/>
  <c r="F72" i="65"/>
  <c r="F70" i="65"/>
  <c r="F24" i="65"/>
  <c r="F91" i="65"/>
  <c r="F90" i="65"/>
  <c r="F84" i="65"/>
  <c r="F68" i="65"/>
  <c r="F50" i="65"/>
  <c r="F49" i="65"/>
  <c r="F38" i="65"/>
  <c r="F37" i="65"/>
  <c r="D31" i="65"/>
  <c r="F31" i="65" s="1"/>
  <c r="F28" i="65"/>
  <c r="F95" i="65"/>
  <c r="F65" i="65"/>
  <c r="F48" i="65"/>
  <c r="F67" i="65"/>
  <c r="F64" i="65"/>
  <c r="F61" i="65"/>
  <c r="F60" i="65"/>
  <c r="F53" i="65"/>
  <c r="F52" i="65"/>
  <c r="F41" i="65"/>
  <c r="F85" i="65"/>
  <c r="F71" i="65"/>
  <c r="F45" i="65"/>
  <c r="F20" i="65"/>
  <c r="F80" i="65"/>
  <c r="F40" i="65"/>
  <c r="F29" i="65"/>
  <c r="F21" i="65"/>
  <c r="F81" i="65"/>
  <c r="F57" i="65"/>
  <c r="F44" i="65"/>
  <c r="F36" i="65"/>
  <c r="X16" i="61"/>
  <c r="P57" i="61"/>
  <c r="H90" i="63"/>
  <c r="H58" i="60"/>
  <c r="N16" i="60"/>
  <c r="H77" i="58"/>
  <c r="N16" i="58"/>
  <c r="T62" i="60"/>
  <c r="H108" i="62"/>
  <c r="T81" i="58"/>
  <c r="L18" i="46"/>
  <c r="D27" i="46"/>
  <c r="T27" i="43"/>
  <c r="Z18" i="43"/>
  <c r="Z27" i="49"/>
  <c r="T31" i="49"/>
  <c r="X18" i="43"/>
  <c r="H116" i="39"/>
  <c r="J25" i="39"/>
  <c r="D31" i="50"/>
  <c r="F103" i="39"/>
  <c r="F95" i="39"/>
  <c r="F86" i="39"/>
  <c r="F70" i="39"/>
  <c r="F67" i="39"/>
  <c r="F55" i="39"/>
  <c r="F50" i="39"/>
  <c r="F43" i="39"/>
  <c r="F31" i="39"/>
  <c r="F106" i="39"/>
  <c r="F94" i="39"/>
  <c r="F77" i="39"/>
  <c r="F112" i="39"/>
  <c r="F110" i="39"/>
  <c r="F108" i="39"/>
  <c r="F99" i="39"/>
  <c r="F92" i="39"/>
  <c r="F84" i="39"/>
  <c r="F76" i="39"/>
  <c r="F63" i="39"/>
  <c r="F60" i="39"/>
  <c r="F48" i="39"/>
  <c r="F40" i="39"/>
  <c r="F36" i="39"/>
  <c r="L12" i="39"/>
  <c r="N12" i="39" s="1"/>
  <c r="F114" i="39"/>
  <c r="F113" i="39"/>
  <c r="F104" i="39"/>
  <c r="F102" i="39"/>
  <c r="F100" i="39"/>
  <c r="F91" i="39"/>
  <c r="F88" i="39"/>
  <c r="F68" i="39"/>
  <c r="F54" i="39"/>
  <c r="F49" i="39"/>
  <c r="F45" i="39"/>
  <c r="F39" i="39"/>
  <c r="F101" i="39"/>
  <c r="F85" i="39"/>
  <c r="F74" i="39"/>
  <c r="F38" i="39"/>
  <c r="F37" i="39"/>
  <c r="F93" i="39"/>
  <c r="F75" i="39"/>
  <c r="F73" i="39"/>
  <c r="F66" i="39"/>
  <c r="F59" i="39"/>
  <c r="F53" i="39"/>
  <c r="F72" i="39"/>
  <c r="F71" i="39"/>
  <c r="F64" i="39"/>
  <c r="F58" i="39"/>
  <c r="F78" i="39"/>
  <c r="F65" i="39"/>
  <c r="F57" i="39"/>
  <c r="F52" i="39"/>
  <c r="F51" i="39"/>
  <c r="F27" i="39"/>
  <c r="F23" i="39"/>
  <c r="F22" i="39"/>
  <c r="F21" i="39"/>
  <c r="F118" i="39"/>
  <c r="F82" i="39"/>
  <c r="F81" i="39"/>
  <c r="F79" i="39"/>
  <c r="F62" i="39"/>
  <c r="F30" i="39"/>
  <c r="F29" i="39"/>
  <c r="F105" i="39"/>
  <c r="F96" i="39"/>
  <c r="F83" i="39"/>
  <c r="F80" i="39"/>
  <c r="F69" i="39"/>
  <c r="F56" i="39"/>
  <c r="F42" i="39"/>
  <c r="F41" i="39"/>
  <c r="F32" i="39"/>
  <c r="D25" i="39"/>
  <c r="F25" i="39" s="1"/>
  <c r="F20" i="39"/>
  <c r="F111" i="39"/>
  <c r="F107" i="39"/>
  <c r="F98" i="39"/>
  <c r="F97" i="39"/>
  <c r="F90" i="39"/>
  <c r="F89" i="39"/>
  <c r="F87" i="39"/>
  <c r="F61" i="39"/>
  <c r="F47" i="39"/>
  <c r="F33" i="39"/>
  <c r="F34" i="39"/>
  <c r="F35" i="39"/>
  <c r="F44" i="39"/>
  <c r="F28" i="39"/>
  <c r="F46" i="39"/>
  <c r="T31" i="35"/>
  <c r="Z27" i="35"/>
  <c r="F112" i="36"/>
  <c r="F100" i="36"/>
  <c r="F91" i="36"/>
  <c r="F83" i="36"/>
  <c r="F67" i="36"/>
  <c r="F64" i="36"/>
  <c r="F48" i="36"/>
  <c r="F36" i="36"/>
  <c r="F24" i="36"/>
  <c r="F118" i="36"/>
  <c r="F116" i="36"/>
  <c r="F111" i="36"/>
  <c r="F99" i="36"/>
  <c r="F94" i="36"/>
  <c r="F78" i="36"/>
  <c r="F75" i="36"/>
  <c r="F70" i="36"/>
  <c r="F58" i="36"/>
  <c r="F55" i="36"/>
  <c r="F47" i="36"/>
  <c r="F35" i="36"/>
  <c r="F30" i="36"/>
  <c r="F29" i="36"/>
  <c r="F23" i="36"/>
  <c r="F120" i="36"/>
  <c r="F108" i="36"/>
  <c r="F97" i="36"/>
  <c r="F93" i="36"/>
  <c r="F89" i="36"/>
  <c r="F81" i="36"/>
  <c r="F77" i="36"/>
  <c r="F72" i="36"/>
  <c r="F69" i="36"/>
  <c r="F57" i="36"/>
  <c r="F52" i="36"/>
  <c r="F45" i="36"/>
  <c r="F33" i="36"/>
  <c r="F117" i="36"/>
  <c r="F104" i="36"/>
  <c r="F96" i="36"/>
  <c r="F92" i="36"/>
  <c r="F88" i="36"/>
  <c r="F84" i="36"/>
  <c r="F80" i="36"/>
  <c r="F68" i="36"/>
  <c r="F63" i="36"/>
  <c r="F60" i="36"/>
  <c r="F44" i="36"/>
  <c r="F40" i="36"/>
  <c r="F32" i="36"/>
  <c r="L12" i="36"/>
  <c r="N12" i="36" s="1"/>
  <c r="F110" i="36"/>
  <c r="F107" i="36"/>
  <c r="F103" i="36"/>
  <c r="F95" i="36"/>
  <c r="F87" i="36"/>
  <c r="F79" i="36"/>
  <c r="F74" i="36"/>
  <c r="F71" i="36"/>
  <c r="F59" i="36"/>
  <c r="F54" i="36"/>
  <c r="F51" i="36"/>
  <c r="F43" i="36"/>
  <c r="F39" i="36"/>
  <c r="F31" i="36"/>
  <c r="F22" i="36"/>
  <c r="F124" i="36"/>
  <c r="F119" i="36"/>
  <c r="F113" i="36"/>
  <c r="F106" i="36"/>
  <c r="F102" i="36"/>
  <c r="F86" i="36"/>
  <c r="F65" i="36"/>
  <c r="F62" i="36"/>
  <c r="F50" i="36"/>
  <c r="F42" i="36"/>
  <c r="F38" i="36"/>
  <c r="F85" i="36"/>
  <c r="F41" i="36"/>
  <c r="F53" i="36"/>
  <c r="F105" i="36"/>
  <c r="F66" i="36"/>
  <c r="F49" i="36"/>
  <c r="F46" i="36"/>
  <c r="F109" i="36"/>
  <c r="F98" i="36"/>
  <c r="F76" i="36"/>
  <c r="F90" i="36"/>
  <c r="F25" i="36"/>
  <c r="F114" i="36"/>
  <c r="F101" i="36"/>
  <c r="F82" i="36"/>
  <c r="F73" i="36"/>
  <c r="F56" i="36"/>
  <c r="F37" i="36"/>
  <c r="D27" i="36"/>
  <c r="F61" i="36"/>
  <c r="F34" i="36"/>
  <c r="J77" i="31"/>
  <c r="H81" i="31"/>
  <c r="P27" i="33"/>
  <c r="X18" i="33"/>
  <c r="D27" i="26"/>
  <c r="L18" i="26"/>
  <c r="N18" i="30"/>
  <c r="H27" i="30"/>
  <c r="F111" i="28"/>
  <c r="F108" i="28"/>
  <c r="F103" i="28"/>
  <c r="F96" i="28"/>
  <c r="F92" i="28"/>
  <c r="F80" i="28"/>
  <c r="F56" i="28"/>
  <c r="F52" i="28"/>
  <c r="F44" i="28"/>
  <c r="F32" i="28"/>
  <c r="F24" i="28"/>
  <c r="F19" i="28"/>
  <c r="F126" i="28"/>
  <c r="F120" i="28"/>
  <c r="F107" i="28"/>
  <c r="F99" i="28"/>
  <c r="F95" i="28"/>
  <c r="F91" i="28"/>
  <c r="F86" i="28"/>
  <c r="F83" i="28"/>
  <c r="F74" i="28"/>
  <c r="F71" i="28"/>
  <c r="F66" i="28"/>
  <c r="F63" i="28"/>
  <c r="F55" i="28"/>
  <c r="F51" i="28"/>
  <c r="F40" i="28"/>
  <c r="F31" i="28"/>
  <c r="F23" i="28"/>
  <c r="F113" i="28"/>
  <c r="F110" i="28"/>
  <c r="F106" i="28"/>
  <c r="F102" i="28"/>
  <c r="F98" i="28"/>
  <c r="F94" i="28"/>
  <c r="F62" i="28"/>
  <c r="F54" i="28"/>
  <c r="F50" i="28"/>
  <c r="D40" i="28"/>
  <c r="F38" i="28"/>
  <c r="F30" i="28"/>
  <c r="F22" i="28"/>
  <c r="L12" i="28"/>
  <c r="N12" i="28" s="1"/>
  <c r="F122" i="28"/>
  <c r="F116" i="28"/>
  <c r="F105" i="28"/>
  <c r="F101" i="28"/>
  <c r="F88" i="28"/>
  <c r="F85" i="28"/>
  <c r="F76" i="28"/>
  <c r="F73" i="28"/>
  <c r="F68" i="28"/>
  <c r="F65" i="28"/>
  <c r="F61" i="28"/>
  <c r="F49" i="28"/>
  <c r="F37" i="28"/>
  <c r="F29" i="28"/>
  <c r="F21" i="28"/>
  <c r="F112" i="28"/>
  <c r="F104" i="28"/>
  <c r="F79" i="28"/>
  <c r="F60" i="28"/>
  <c r="F48" i="28"/>
  <c r="F43" i="28"/>
  <c r="F42" i="28"/>
  <c r="F36" i="28"/>
  <c r="F28" i="28"/>
  <c r="F20" i="28"/>
  <c r="F115" i="28"/>
  <c r="F90" i="28"/>
  <c r="F87" i="28"/>
  <c r="F82" i="28"/>
  <c r="F75" i="28"/>
  <c r="F70" i="28"/>
  <c r="F67" i="28"/>
  <c r="F59" i="28"/>
  <c r="F47" i="28"/>
  <c r="F35" i="28"/>
  <c r="F27" i="28"/>
  <c r="F121" i="28"/>
  <c r="F119" i="28"/>
  <c r="F114" i="28"/>
  <c r="F109" i="28"/>
  <c r="F97" i="28"/>
  <c r="F93" i="28"/>
  <c r="F78" i="28"/>
  <c r="F58" i="28"/>
  <c r="F53" i="28"/>
  <c r="F46" i="28"/>
  <c r="F34" i="28"/>
  <c r="F26" i="28"/>
  <c r="F117" i="28"/>
  <c r="F84" i="28"/>
  <c r="F77" i="28"/>
  <c r="F100" i="28"/>
  <c r="F89" i="28"/>
  <c r="F72" i="28"/>
  <c r="F57" i="28"/>
  <c r="F81" i="28"/>
  <c r="F69" i="28"/>
  <c r="F64" i="28"/>
  <c r="F45" i="28"/>
  <c r="F33" i="28"/>
  <c r="F25" i="28"/>
  <c r="T129" i="36"/>
  <c r="H27" i="7"/>
  <c r="N18" i="7"/>
  <c r="H27" i="17"/>
  <c r="N18" i="17"/>
  <c r="T27" i="14"/>
  <c r="Z18" i="14"/>
  <c r="P27" i="5"/>
  <c r="X18" i="5"/>
  <c r="P31" i="17"/>
  <c r="X18" i="11"/>
  <c r="P27" i="11"/>
  <c r="T31" i="6"/>
  <c r="Z26" i="6"/>
  <c r="J178" i="3"/>
  <c r="H182" i="3"/>
  <c r="H36" i="8"/>
  <c r="N36" i="8" s="1"/>
  <c r="N31" i="8"/>
  <c r="X27" i="46" l="1"/>
  <c r="N31" i="5"/>
  <c r="T31" i="46"/>
  <c r="X31" i="46" s="1"/>
  <c r="Z31" i="30"/>
  <c r="H31" i="44"/>
  <c r="N31" i="44" s="1"/>
  <c r="Z31" i="5"/>
  <c r="L27" i="32"/>
  <c r="D31" i="32"/>
  <c r="N27" i="35"/>
  <c r="H31" i="35"/>
  <c r="N27" i="33"/>
  <c r="H31" i="33"/>
  <c r="H36" i="44"/>
  <c r="N36" i="44" s="1"/>
  <c r="N27" i="13"/>
  <c r="L27" i="13"/>
  <c r="H31" i="13"/>
  <c r="H164" i="12"/>
  <c r="J160" i="12"/>
  <c r="X31" i="69"/>
  <c r="Z31" i="69" s="1"/>
  <c r="P81" i="69"/>
  <c r="T97" i="65"/>
  <c r="V93" i="65"/>
  <c r="Z27" i="27"/>
  <c r="T31" i="27"/>
  <c r="Z31" i="50"/>
  <c r="T36" i="50"/>
  <c r="Z36" i="50" s="1"/>
  <c r="D35" i="85"/>
  <c r="D108" i="62"/>
  <c r="L108" i="62" s="1"/>
  <c r="L105" i="62"/>
  <c r="N105" i="62" s="1"/>
  <c r="T81" i="31"/>
  <c r="V77" i="31"/>
  <c r="D104" i="9"/>
  <c r="H31" i="10"/>
  <c r="N27" i="10"/>
  <c r="T31" i="44"/>
  <c r="Z27" i="44"/>
  <c r="X63" i="64"/>
  <c r="P66" i="64"/>
  <c r="R63" i="64"/>
  <c r="N27" i="7"/>
  <c r="H31" i="7"/>
  <c r="N27" i="30"/>
  <c r="H31" i="30"/>
  <c r="L27" i="30"/>
  <c r="T36" i="35"/>
  <c r="Z36" i="35" s="1"/>
  <c r="Z31" i="35"/>
  <c r="T84" i="58"/>
  <c r="N58" i="60"/>
  <c r="H62" i="60"/>
  <c r="L25" i="21"/>
  <c r="N25" i="21" s="1"/>
  <c r="D96" i="21"/>
  <c r="F25" i="21"/>
  <c r="D93" i="25"/>
  <c r="L31" i="25"/>
  <c r="N31" i="25" s="1"/>
  <c r="P31" i="30"/>
  <c r="X27" i="30"/>
  <c r="X27" i="14"/>
  <c r="P31" i="14"/>
  <c r="L50" i="15"/>
  <c r="N50" i="15" s="1"/>
  <c r="D151" i="15"/>
  <c r="N31" i="38"/>
  <c r="H36" i="38"/>
  <c r="N36" i="38" s="1"/>
  <c r="D31" i="95"/>
  <c r="L27" i="95"/>
  <c r="L27" i="8"/>
  <c r="D31" i="8"/>
  <c r="L27" i="14"/>
  <c r="D31" i="14"/>
  <c r="T29" i="72"/>
  <c r="V25" i="72"/>
  <c r="T93" i="73"/>
  <c r="V89" i="73"/>
  <c r="T31" i="95"/>
  <c r="Z27" i="95"/>
  <c r="H97" i="25"/>
  <c r="J93" i="25"/>
  <c r="Z27" i="29"/>
  <c r="T31" i="29"/>
  <c r="T97" i="74"/>
  <c r="V94" i="74"/>
  <c r="T94" i="83"/>
  <c r="V90" i="83"/>
  <c r="L27" i="7"/>
  <c r="L27" i="27"/>
  <c r="D31" i="27"/>
  <c r="H31" i="41"/>
  <c r="N27" i="41"/>
  <c r="T79" i="56"/>
  <c r="Z75" i="56"/>
  <c r="H87" i="78"/>
  <c r="P31" i="7"/>
  <c r="X27" i="7"/>
  <c r="P31" i="8"/>
  <c r="X27" i="8"/>
  <c r="P36" i="47"/>
  <c r="P81" i="51"/>
  <c r="X31" i="51"/>
  <c r="Z31" i="51" s="1"/>
  <c r="D35" i="81"/>
  <c r="L75" i="92"/>
  <c r="D79" i="92"/>
  <c r="F75" i="92"/>
  <c r="P31" i="44"/>
  <c r="X27" i="44"/>
  <c r="H116" i="67"/>
  <c r="J112" i="67"/>
  <c r="P92" i="91"/>
  <c r="X23" i="91"/>
  <c r="Z23" i="91" s="1"/>
  <c r="T72" i="57"/>
  <c r="Z68" i="57"/>
  <c r="P112" i="67"/>
  <c r="X40" i="67"/>
  <c r="Z40" i="67" s="1"/>
  <c r="X93" i="90"/>
  <c r="Z93" i="90" s="1"/>
  <c r="P97" i="90"/>
  <c r="R93" i="90"/>
  <c r="P72" i="57"/>
  <c r="X68" i="57"/>
  <c r="Z27" i="52"/>
  <c r="T31" i="52"/>
  <c r="P63" i="87"/>
  <c r="X59" i="87"/>
  <c r="P62" i="60"/>
  <c r="X58" i="60"/>
  <c r="Z58" i="60" s="1"/>
  <c r="T101" i="76"/>
  <c r="V98" i="76"/>
  <c r="P26" i="6"/>
  <c r="X22" i="6"/>
  <c r="D76" i="71"/>
  <c r="L20" i="71"/>
  <c r="N20" i="71" s="1"/>
  <c r="P36" i="94"/>
  <c r="L31" i="37"/>
  <c r="D36" i="37"/>
  <c r="L36" i="37" s="1"/>
  <c r="L25" i="39"/>
  <c r="N25" i="39" s="1"/>
  <c r="D116" i="39"/>
  <c r="T36" i="49"/>
  <c r="Z31" i="49"/>
  <c r="X31" i="49"/>
  <c r="N108" i="62"/>
  <c r="H93" i="63"/>
  <c r="J90" i="63"/>
  <c r="X77" i="68"/>
  <c r="P81" i="68"/>
  <c r="R77" i="68"/>
  <c r="P76" i="71"/>
  <c r="X20" i="71"/>
  <c r="Z20" i="71" s="1"/>
  <c r="X80" i="78"/>
  <c r="Z80" i="78" s="1"/>
  <c r="P84" i="78"/>
  <c r="P40" i="86"/>
  <c r="X36" i="86"/>
  <c r="Z36" i="86" s="1"/>
  <c r="R36" i="86"/>
  <c r="H31" i="94"/>
  <c r="N27" i="94"/>
  <c r="H128" i="28"/>
  <c r="J124" i="28"/>
  <c r="P98" i="76"/>
  <c r="X94" i="76"/>
  <c r="Z94" i="76" s="1"/>
  <c r="R94" i="76"/>
  <c r="T31" i="23"/>
  <c r="X31" i="23" s="1"/>
  <c r="Z27" i="23"/>
  <c r="P102" i="45"/>
  <c r="X25" i="45"/>
  <c r="Z25" i="45" s="1"/>
  <c r="H106" i="45"/>
  <c r="J102" i="45"/>
  <c r="P93" i="65"/>
  <c r="X31" i="65"/>
  <c r="Z31" i="65" s="1"/>
  <c r="T33" i="77"/>
  <c r="Z33" i="77" s="1"/>
  <c r="Z30" i="77"/>
  <c r="P182" i="3"/>
  <c r="X178" i="3"/>
  <c r="R178" i="3"/>
  <c r="P31" i="4"/>
  <c r="X27" i="4"/>
  <c r="T167" i="12"/>
  <c r="V164" i="12"/>
  <c r="N27" i="26"/>
  <c r="H31" i="26"/>
  <c r="T31" i="93"/>
  <c r="Z27" i="93"/>
  <c r="X27" i="93"/>
  <c r="P32" i="75"/>
  <c r="X22" i="75"/>
  <c r="Z22" i="75" s="1"/>
  <c r="H155" i="15"/>
  <c r="J151" i="15"/>
  <c r="N27" i="40"/>
  <c r="H31" i="40"/>
  <c r="H36" i="52"/>
  <c r="N36" i="52" s="1"/>
  <c r="N31" i="52"/>
  <c r="D82" i="56"/>
  <c r="T37" i="79"/>
  <c r="H34" i="79"/>
  <c r="T31" i="7"/>
  <c r="Z27" i="7"/>
  <c r="D36" i="7"/>
  <c r="H31" i="11"/>
  <c r="N27" i="11"/>
  <c r="L27" i="11"/>
  <c r="H163" i="18"/>
  <c r="N159" i="18"/>
  <c r="J159" i="18"/>
  <c r="H133" i="34"/>
  <c r="J129" i="34"/>
  <c r="L27" i="53"/>
  <c r="D31" i="53"/>
  <c r="H32" i="80"/>
  <c r="N28" i="80"/>
  <c r="T95" i="88"/>
  <c r="V91" i="88"/>
  <c r="T35" i="81"/>
  <c r="Z35" i="81" s="1"/>
  <c r="Z32" i="81"/>
  <c r="T103" i="21"/>
  <c r="V100" i="21"/>
  <c r="T36" i="32"/>
  <c r="Z36" i="32" s="1"/>
  <c r="Z31" i="32"/>
  <c r="P31" i="53"/>
  <c r="X27" i="53"/>
  <c r="Z27" i="53"/>
  <c r="T31" i="53"/>
  <c r="D112" i="67"/>
  <c r="L40" i="67"/>
  <c r="N40" i="67" s="1"/>
  <c r="P101" i="9"/>
  <c r="X97" i="9"/>
  <c r="H31" i="50"/>
  <c r="L31" i="50" s="1"/>
  <c r="N27" i="50"/>
  <c r="P35" i="80"/>
  <c r="D25" i="72"/>
  <c r="L19" i="72"/>
  <c r="N19" i="72" s="1"/>
  <c r="T60" i="84"/>
  <c r="P31" i="95"/>
  <c r="X27" i="95"/>
  <c r="T116" i="67"/>
  <c r="V112" i="67"/>
  <c r="P36" i="17"/>
  <c r="H98" i="76"/>
  <c r="J94" i="76"/>
  <c r="T136" i="34"/>
  <c r="V133" i="34"/>
  <c r="P90" i="83"/>
  <c r="X20" i="83"/>
  <c r="Z20" i="83" s="1"/>
  <c r="D31" i="29"/>
  <c r="L27" i="29"/>
  <c r="N75" i="56"/>
  <c r="H79" i="56"/>
  <c r="Z27" i="40"/>
  <c r="T31" i="40"/>
  <c r="N28" i="81"/>
  <c r="H32" i="81"/>
  <c r="L27" i="4"/>
  <c r="D31" i="4"/>
  <c r="D31" i="33"/>
  <c r="L27" i="33"/>
  <c r="D36" i="49"/>
  <c r="D90" i="63"/>
  <c r="L86" i="63"/>
  <c r="N86" i="63" s="1"/>
  <c r="F86" i="63"/>
  <c r="P28" i="89"/>
  <c r="X18" i="89"/>
  <c r="P31" i="20"/>
  <c r="X27" i="20"/>
  <c r="D31" i="19"/>
  <c r="L27" i="19"/>
  <c r="L42" i="34"/>
  <c r="N42" i="34" s="1"/>
  <c r="D129" i="34"/>
  <c r="H31" i="54"/>
  <c r="N26" i="54"/>
  <c r="H31" i="46"/>
  <c r="N27" i="46"/>
  <c r="H85" i="69"/>
  <c r="J81" i="69"/>
  <c r="D84" i="78"/>
  <c r="L80" i="78"/>
  <c r="N80" i="78" s="1"/>
  <c r="X27" i="50"/>
  <c r="P31" i="50"/>
  <c r="L27" i="5"/>
  <c r="D31" i="5"/>
  <c r="P36" i="38"/>
  <c r="D31" i="20"/>
  <c r="L27" i="20"/>
  <c r="H31" i="47"/>
  <c r="N27" i="47"/>
  <c r="H31" i="43"/>
  <c r="N27" i="43"/>
  <c r="H80" i="71"/>
  <c r="J76" i="71"/>
  <c r="D33" i="77"/>
  <c r="L30" i="77"/>
  <c r="P31" i="40"/>
  <c r="X27" i="40"/>
  <c r="P32" i="81"/>
  <c r="X28" i="81"/>
  <c r="P36" i="10"/>
  <c r="X36" i="10" s="1"/>
  <c r="X31" i="10"/>
  <c r="L58" i="60"/>
  <c r="P81" i="58"/>
  <c r="X77" i="58"/>
  <c r="Z77" i="58" s="1"/>
  <c r="D40" i="86"/>
  <c r="L36" i="86"/>
  <c r="N36" i="86" s="1"/>
  <c r="F36" i="86"/>
  <c r="T155" i="15"/>
  <c r="V151" i="15"/>
  <c r="P36" i="26"/>
  <c r="D31" i="43"/>
  <c r="L27" i="43"/>
  <c r="T79" i="48"/>
  <c r="Z75" i="48"/>
  <c r="V75" i="48"/>
  <c r="D32" i="75"/>
  <c r="L22" i="75"/>
  <c r="N22" i="75" s="1"/>
  <c r="P30" i="77"/>
  <c r="X26" i="77"/>
  <c r="T100" i="90"/>
  <c r="V97" i="90"/>
  <c r="T63" i="87"/>
  <c r="Z59" i="87"/>
  <c r="H120" i="39"/>
  <c r="J116" i="39"/>
  <c r="T163" i="18"/>
  <c r="V159" i="18"/>
  <c r="D118" i="42"/>
  <c r="L114" i="42"/>
  <c r="F114" i="42"/>
  <c r="T35" i="55"/>
  <c r="Z31" i="55"/>
  <c r="P36" i="41"/>
  <c r="Z27" i="24"/>
  <c r="T31" i="24"/>
  <c r="P31" i="13"/>
  <c r="X27" i="13"/>
  <c r="D34" i="79"/>
  <c r="L30" i="79"/>
  <c r="N30" i="79" s="1"/>
  <c r="P31" i="27"/>
  <c r="X27" i="27"/>
  <c r="P35" i="55"/>
  <c r="X31" i="55"/>
  <c r="H96" i="91"/>
  <c r="J92" i="91"/>
  <c r="H187" i="3"/>
  <c r="J182" i="3"/>
  <c r="P31" i="5"/>
  <c r="X27" i="5"/>
  <c r="V129" i="36"/>
  <c r="D31" i="26"/>
  <c r="L27" i="26"/>
  <c r="L27" i="36"/>
  <c r="N27" i="36" s="1"/>
  <c r="D122" i="36"/>
  <c r="P61" i="61"/>
  <c r="X57" i="61"/>
  <c r="H101" i="82"/>
  <c r="J97" i="82"/>
  <c r="N59" i="87"/>
  <c r="H63" i="87"/>
  <c r="L23" i="91"/>
  <c r="N23" i="91" s="1"/>
  <c r="D92" i="91"/>
  <c r="D97" i="90"/>
  <c r="L93" i="90"/>
  <c r="F93" i="90"/>
  <c r="P36" i="19"/>
  <c r="X31" i="19"/>
  <c r="P31" i="37"/>
  <c r="X27" i="37"/>
  <c r="D61" i="61"/>
  <c r="L57" i="61"/>
  <c r="H100" i="21"/>
  <c r="J96" i="21"/>
  <c r="P25" i="72"/>
  <c r="X19" i="72"/>
  <c r="Z19" i="72" s="1"/>
  <c r="N93" i="90"/>
  <c r="H97" i="90"/>
  <c r="J93" i="90"/>
  <c r="P36" i="43"/>
  <c r="T36" i="19"/>
  <c r="Z36" i="19" s="1"/>
  <c r="Z31" i="19"/>
  <c r="H36" i="53"/>
  <c r="N36" i="53" s="1"/>
  <c r="N31" i="53"/>
  <c r="T81" i="68"/>
  <c r="Z77" i="68"/>
  <c r="V77" i="68"/>
  <c r="T43" i="86"/>
  <c r="L31" i="6"/>
  <c r="N31" i="6" s="1"/>
  <c r="X27" i="29"/>
  <c r="P31" i="29"/>
  <c r="H126" i="36"/>
  <c r="J122" i="36"/>
  <c r="H79" i="48"/>
  <c r="J75" i="48"/>
  <c r="D31" i="47"/>
  <c r="L27" i="47"/>
  <c r="P105" i="62"/>
  <c r="X101" i="62"/>
  <c r="Z101" i="62" s="1"/>
  <c r="L23" i="68"/>
  <c r="N23" i="68" s="1"/>
  <c r="D77" i="68"/>
  <c r="H79" i="92"/>
  <c r="N75" i="92"/>
  <c r="J75" i="92"/>
  <c r="L25" i="45"/>
  <c r="N25" i="45" s="1"/>
  <c r="D102" i="45"/>
  <c r="D31" i="23"/>
  <c r="L27" i="23"/>
  <c r="D31" i="40"/>
  <c r="L27" i="40"/>
  <c r="D65" i="60"/>
  <c r="L62" i="60"/>
  <c r="D81" i="69"/>
  <c r="L31" i="69"/>
  <c r="N31" i="69" s="1"/>
  <c r="T101" i="82"/>
  <c r="V97" i="82"/>
  <c r="D31" i="94"/>
  <c r="L27" i="94"/>
  <c r="H72" i="57"/>
  <c r="T31" i="41"/>
  <c r="Z27" i="41"/>
  <c r="X86" i="63"/>
  <c r="P90" i="63"/>
  <c r="R86" i="63"/>
  <c r="L59" i="87"/>
  <c r="D63" i="87"/>
  <c r="Z27" i="94"/>
  <c r="T31" i="94"/>
  <c r="X31" i="94" s="1"/>
  <c r="Z27" i="14"/>
  <c r="T31" i="14"/>
  <c r="D36" i="50"/>
  <c r="T31" i="43"/>
  <c r="X31" i="43" s="1"/>
  <c r="Z27" i="43"/>
  <c r="T65" i="60"/>
  <c r="N30" i="77"/>
  <c r="H33" i="77"/>
  <c r="N33" i="77" s="1"/>
  <c r="T85" i="69"/>
  <c r="V81" i="69"/>
  <c r="D31" i="10"/>
  <c r="L27" i="10"/>
  <c r="T106" i="45"/>
  <c r="V102" i="45"/>
  <c r="R31" i="69"/>
  <c r="X40" i="28"/>
  <c r="Z40" i="28" s="1"/>
  <c r="P124" i="28"/>
  <c r="T87" i="78"/>
  <c r="H101" i="9"/>
  <c r="L101" i="9" s="1"/>
  <c r="X56" i="18"/>
  <c r="Z56" i="18" s="1"/>
  <c r="P159" i="18"/>
  <c r="Z178" i="3"/>
  <c r="T182" i="3"/>
  <c r="V178" i="3"/>
  <c r="Z27" i="33"/>
  <c r="T31" i="33"/>
  <c r="T61" i="61"/>
  <c r="Z57" i="61"/>
  <c r="T36" i="75"/>
  <c r="V32" i="75"/>
  <c r="X27" i="43"/>
  <c r="D182" i="3"/>
  <c r="L178" i="3"/>
  <c r="N178" i="3" s="1"/>
  <c r="F178" i="3"/>
  <c r="D163" i="18"/>
  <c r="L159" i="18"/>
  <c r="F159" i="18"/>
  <c r="H31" i="16"/>
  <c r="N27" i="16"/>
  <c r="N27" i="14"/>
  <c r="H31" i="14"/>
  <c r="X24" i="42"/>
  <c r="Z24" i="42" s="1"/>
  <c r="P114" i="42"/>
  <c r="D36" i="52"/>
  <c r="L31" i="52"/>
  <c r="L22" i="64"/>
  <c r="D59" i="64"/>
  <c r="H61" i="61"/>
  <c r="N57" i="61"/>
  <c r="X89" i="73"/>
  <c r="Z89" i="73" s="1"/>
  <c r="P93" i="73"/>
  <c r="R89" i="73"/>
  <c r="D94" i="83"/>
  <c r="L90" i="83"/>
  <c r="N90" i="83" s="1"/>
  <c r="P91" i="88"/>
  <c r="X23" i="88"/>
  <c r="Z23" i="88" s="1"/>
  <c r="L27" i="93"/>
  <c r="D31" i="93"/>
  <c r="D36" i="16"/>
  <c r="P31" i="24"/>
  <c r="X27" i="24"/>
  <c r="D97" i="74"/>
  <c r="F94" i="74"/>
  <c r="T35" i="85"/>
  <c r="H36" i="24"/>
  <c r="N36" i="24" s="1"/>
  <c r="N31" i="24"/>
  <c r="X25" i="21"/>
  <c r="Z25" i="21" s="1"/>
  <c r="P96" i="21"/>
  <c r="P31" i="22"/>
  <c r="X27" i="22"/>
  <c r="T31" i="22"/>
  <c r="Z27" i="22"/>
  <c r="N27" i="23"/>
  <c r="H31" i="23"/>
  <c r="T80" i="71"/>
  <c r="V76" i="71"/>
  <c r="L23" i="88"/>
  <c r="N23" i="88" s="1"/>
  <c r="D91" i="88"/>
  <c r="N27" i="95"/>
  <c r="H31" i="95"/>
  <c r="P71" i="59"/>
  <c r="X67" i="59"/>
  <c r="Z67" i="59" s="1"/>
  <c r="D101" i="82"/>
  <c r="L97" i="82"/>
  <c r="N97" i="82" s="1"/>
  <c r="F97" i="82"/>
  <c r="T97" i="25"/>
  <c r="V93" i="25"/>
  <c r="N27" i="22"/>
  <c r="H31" i="22"/>
  <c r="D31" i="35"/>
  <c r="L27" i="35"/>
  <c r="T118" i="42"/>
  <c r="V114" i="42"/>
  <c r="T74" i="59"/>
  <c r="H32" i="72"/>
  <c r="J29" i="72"/>
  <c r="P35" i="85"/>
  <c r="X32" i="85"/>
  <c r="Z32" i="85" s="1"/>
  <c r="T101" i="9"/>
  <c r="Z97" i="9"/>
  <c r="D81" i="51"/>
  <c r="L31" i="51"/>
  <c r="N31" i="51" s="1"/>
  <c r="Z27" i="47"/>
  <c r="T31" i="47"/>
  <c r="D164" i="12"/>
  <c r="L160" i="12"/>
  <c r="N160" i="12" s="1"/>
  <c r="F160" i="12"/>
  <c r="P151" i="15"/>
  <c r="X50" i="15"/>
  <c r="Z50" i="15" s="1"/>
  <c r="Z27" i="17"/>
  <c r="T31" i="17"/>
  <c r="L77" i="31"/>
  <c r="N77" i="31" s="1"/>
  <c r="D81" i="31"/>
  <c r="F77" i="31"/>
  <c r="H35" i="55"/>
  <c r="L31" i="55"/>
  <c r="N31" i="55" s="1"/>
  <c r="T66" i="64"/>
  <c r="Z63" i="64"/>
  <c r="H94" i="74"/>
  <c r="L94" i="74" s="1"/>
  <c r="N90" i="74"/>
  <c r="J90" i="74"/>
  <c r="N114" i="42"/>
  <c r="J114" i="42"/>
  <c r="H118" i="42"/>
  <c r="D72" i="57"/>
  <c r="L68" i="57"/>
  <c r="N68" i="57" s="1"/>
  <c r="T108" i="62"/>
  <c r="H57" i="84"/>
  <c r="N53" i="84"/>
  <c r="T31" i="26"/>
  <c r="X31" i="26" s="1"/>
  <c r="Z27" i="26"/>
  <c r="D71" i="59"/>
  <c r="L67" i="59"/>
  <c r="D31" i="22"/>
  <c r="L27" i="22"/>
  <c r="Z27" i="37"/>
  <c r="T31" i="37"/>
  <c r="T31" i="38"/>
  <c r="Z27" i="38"/>
  <c r="T88" i="51"/>
  <c r="V85" i="51"/>
  <c r="H31" i="49"/>
  <c r="L31" i="49" s="1"/>
  <c r="N27" i="49"/>
  <c r="T90" i="63"/>
  <c r="Z86" i="63"/>
  <c r="V86" i="63"/>
  <c r="X34" i="79"/>
  <c r="Z34" i="79" s="1"/>
  <c r="P37" i="79"/>
  <c r="X37" i="79" s="1"/>
  <c r="N32" i="89"/>
  <c r="H35" i="89"/>
  <c r="N35" i="89" s="1"/>
  <c r="T96" i="91"/>
  <c r="V92" i="91"/>
  <c r="H95" i="88"/>
  <c r="J91" i="88"/>
  <c r="X27" i="11"/>
  <c r="P31" i="11"/>
  <c r="P31" i="33"/>
  <c r="X27" i="33"/>
  <c r="L27" i="46"/>
  <c r="D31" i="46"/>
  <c r="L31" i="65"/>
  <c r="N31" i="65" s="1"/>
  <c r="D93" i="65"/>
  <c r="H36" i="75"/>
  <c r="J32" i="75"/>
  <c r="L57" i="84"/>
  <c r="D60" i="84"/>
  <c r="D32" i="89"/>
  <c r="L28" i="89"/>
  <c r="F28" i="89"/>
  <c r="P82" i="92"/>
  <c r="X79" i="92"/>
  <c r="R79" i="92"/>
  <c r="T128" i="28"/>
  <c r="V124" i="28"/>
  <c r="P36" i="23"/>
  <c r="H43" i="86"/>
  <c r="P31" i="35"/>
  <c r="X27" i="35"/>
  <c r="D36" i="44"/>
  <c r="L31" i="44"/>
  <c r="L94" i="76"/>
  <c r="N94" i="76" s="1"/>
  <c r="D98" i="76"/>
  <c r="F94" i="76"/>
  <c r="H31" i="17"/>
  <c r="N27" i="17"/>
  <c r="D124" i="28"/>
  <c r="L40" i="28"/>
  <c r="N40" i="28" s="1"/>
  <c r="H84" i="31"/>
  <c r="J81" i="31"/>
  <c r="F27" i="36"/>
  <c r="H81" i="58"/>
  <c r="N77" i="58"/>
  <c r="R20" i="71"/>
  <c r="H85" i="51"/>
  <c r="J81" i="51"/>
  <c r="H36" i="27"/>
  <c r="N36" i="27" s="1"/>
  <c r="N31" i="27"/>
  <c r="N31" i="29"/>
  <c r="H36" i="29"/>
  <c r="N36" i="29" s="1"/>
  <c r="P31" i="52"/>
  <c r="X27" i="52"/>
  <c r="P82" i="56"/>
  <c r="X79" i="56"/>
  <c r="T26" i="54"/>
  <c r="Z22" i="54"/>
  <c r="X22" i="54"/>
  <c r="H97" i="65"/>
  <c r="J93" i="65"/>
  <c r="P90" i="74"/>
  <c r="X24" i="74"/>
  <c r="Z24" i="74" s="1"/>
  <c r="D32" i="80"/>
  <c r="L28" i="80"/>
  <c r="T82" i="92"/>
  <c r="Z79" i="92"/>
  <c r="V79" i="92"/>
  <c r="R56" i="18"/>
  <c r="Z27" i="4"/>
  <c r="T31" i="4"/>
  <c r="P81" i="31"/>
  <c r="X77" i="31"/>
  <c r="Z77" i="31" s="1"/>
  <c r="R77" i="31"/>
  <c r="L27" i="24"/>
  <c r="D31" i="24"/>
  <c r="D84" i="58"/>
  <c r="L81" i="58"/>
  <c r="N27" i="93"/>
  <c r="H31" i="93"/>
  <c r="D26" i="54"/>
  <c r="L22" i="54"/>
  <c r="P97" i="82"/>
  <c r="X23" i="82"/>
  <c r="Z23" i="82" s="1"/>
  <c r="T31" i="8"/>
  <c r="Z27" i="8"/>
  <c r="T31" i="20"/>
  <c r="Z27" i="20"/>
  <c r="X31" i="25"/>
  <c r="Z31" i="25" s="1"/>
  <c r="P93" i="25"/>
  <c r="H36" i="32"/>
  <c r="N36" i="32" s="1"/>
  <c r="N31" i="32"/>
  <c r="P122" i="36"/>
  <c r="X27" i="36"/>
  <c r="Z27" i="36" s="1"/>
  <c r="D79" i="48"/>
  <c r="L75" i="48"/>
  <c r="N75" i="48" s="1"/>
  <c r="F75" i="48"/>
  <c r="P57" i="84"/>
  <c r="X53" i="84"/>
  <c r="Z53" i="84" s="1"/>
  <c r="D31" i="17"/>
  <c r="L27" i="17"/>
  <c r="N27" i="20"/>
  <c r="H31" i="20"/>
  <c r="P160" i="12"/>
  <c r="X56" i="12"/>
  <c r="Z56" i="12" s="1"/>
  <c r="T36" i="16"/>
  <c r="Z31" i="16"/>
  <c r="X31" i="16"/>
  <c r="P116" i="39"/>
  <c r="X25" i="39"/>
  <c r="Z25" i="39" s="1"/>
  <c r="T123" i="39"/>
  <c r="V120" i="39"/>
  <c r="P82" i="48"/>
  <c r="X79" i="48"/>
  <c r="R79" i="48"/>
  <c r="F23" i="68"/>
  <c r="H97" i="83"/>
  <c r="J94" i="83"/>
  <c r="L97" i="9"/>
  <c r="N97" i="9" s="1"/>
  <c r="R25" i="21"/>
  <c r="N27" i="19"/>
  <c r="H31" i="19"/>
  <c r="X42" i="34"/>
  <c r="Z42" i="34" s="1"/>
  <c r="P129" i="34"/>
  <c r="D31" i="38"/>
  <c r="L27" i="38"/>
  <c r="H71" i="59"/>
  <c r="N67" i="59"/>
  <c r="F20" i="71"/>
  <c r="Z28" i="80"/>
  <c r="T32" i="80"/>
  <c r="X32" i="80" s="1"/>
  <c r="H32" i="85"/>
  <c r="L32" i="85" s="1"/>
  <c r="N28" i="85"/>
  <c r="D31" i="41"/>
  <c r="L27" i="41"/>
  <c r="D93" i="73"/>
  <c r="L89" i="73"/>
  <c r="N89" i="73" s="1"/>
  <c r="F89" i="73"/>
  <c r="J84" i="68"/>
  <c r="H93" i="73"/>
  <c r="J89" i="73"/>
  <c r="R40" i="67"/>
  <c r="T36" i="46" l="1"/>
  <c r="Z36" i="46" s="1"/>
  <c r="Z31" i="46"/>
  <c r="L36" i="52"/>
  <c r="X36" i="46"/>
  <c r="L36" i="44"/>
  <c r="N31" i="33"/>
  <c r="H36" i="33"/>
  <c r="N36" i="33" s="1"/>
  <c r="H36" i="35"/>
  <c r="N36" i="35" s="1"/>
  <c r="N31" i="35"/>
  <c r="X36" i="32"/>
  <c r="H36" i="13"/>
  <c r="L31" i="13"/>
  <c r="N31" i="13"/>
  <c r="D36" i="32"/>
  <c r="L36" i="32" s="1"/>
  <c r="L31" i="32"/>
  <c r="X36" i="19"/>
  <c r="D82" i="48"/>
  <c r="L79" i="48"/>
  <c r="F79" i="48"/>
  <c r="D81" i="68"/>
  <c r="L77" i="68"/>
  <c r="N77" i="68" s="1"/>
  <c r="F77" i="68"/>
  <c r="D29" i="72"/>
  <c r="L25" i="72"/>
  <c r="N25" i="72" s="1"/>
  <c r="F25" i="72"/>
  <c r="P106" i="45"/>
  <c r="X102" i="45"/>
  <c r="Z102" i="45" s="1"/>
  <c r="R102" i="45"/>
  <c r="X129" i="34"/>
  <c r="Z129" i="34" s="1"/>
  <c r="P133" i="34"/>
  <c r="R129" i="34"/>
  <c r="P94" i="74"/>
  <c r="X90" i="74"/>
  <c r="Z90" i="74" s="1"/>
  <c r="R90" i="74"/>
  <c r="L93" i="65"/>
  <c r="N93" i="65" s="1"/>
  <c r="D97" i="65"/>
  <c r="F93" i="65"/>
  <c r="D167" i="12"/>
  <c r="L164" i="12"/>
  <c r="F164" i="12"/>
  <c r="X35" i="85"/>
  <c r="Z35" i="85" s="1"/>
  <c r="T121" i="42"/>
  <c r="V118" i="42"/>
  <c r="N31" i="14"/>
  <c r="H36" i="14"/>
  <c r="N36" i="14" s="1"/>
  <c r="Z31" i="33"/>
  <c r="T36" i="33"/>
  <c r="Z36" i="33" s="1"/>
  <c r="T109" i="45"/>
  <c r="V106" i="45"/>
  <c r="T104" i="82"/>
  <c r="V101" i="82"/>
  <c r="H103" i="21"/>
  <c r="J100" i="21"/>
  <c r="D36" i="26"/>
  <c r="L31" i="26"/>
  <c r="D37" i="79"/>
  <c r="L34" i="79"/>
  <c r="T38" i="55"/>
  <c r="H123" i="39"/>
  <c r="J120" i="39"/>
  <c r="X30" i="77"/>
  <c r="P33" i="77"/>
  <c r="X33" i="77" s="1"/>
  <c r="P36" i="40"/>
  <c r="X31" i="40"/>
  <c r="P36" i="50"/>
  <c r="X36" i="50" s="1"/>
  <c r="X31" i="50"/>
  <c r="V116" i="67"/>
  <c r="T119" i="67"/>
  <c r="L112" i="67"/>
  <c r="N112" i="67" s="1"/>
  <c r="D116" i="67"/>
  <c r="F112" i="67"/>
  <c r="H35" i="80"/>
  <c r="H166" i="18"/>
  <c r="J163" i="18"/>
  <c r="T36" i="7"/>
  <c r="Z36" i="7" s="1"/>
  <c r="Z31" i="7"/>
  <c r="P80" i="71"/>
  <c r="X76" i="71"/>
  <c r="Z76" i="71" s="1"/>
  <c r="R76" i="71"/>
  <c r="P116" i="67"/>
  <c r="X112" i="67"/>
  <c r="Z112" i="67" s="1"/>
  <c r="R112" i="67"/>
  <c r="P85" i="51"/>
  <c r="X81" i="51"/>
  <c r="Z81" i="51" s="1"/>
  <c r="R81" i="51"/>
  <c r="N87" i="78"/>
  <c r="T36" i="95"/>
  <c r="Z36" i="95" s="1"/>
  <c r="Z31" i="95"/>
  <c r="D36" i="14"/>
  <c r="L31" i="14"/>
  <c r="X31" i="30"/>
  <c r="P36" i="30"/>
  <c r="X36" i="30" s="1"/>
  <c r="Z31" i="20"/>
  <c r="T36" i="20"/>
  <c r="Z36" i="20" s="1"/>
  <c r="J84" i="31"/>
  <c r="H36" i="43"/>
  <c r="N36" i="43" s="1"/>
  <c r="N31" i="43"/>
  <c r="V167" i="12"/>
  <c r="H36" i="7"/>
  <c r="N36" i="7" s="1"/>
  <c r="N31" i="7"/>
  <c r="P126" i="36"/>
  <c r="X122" i="36"/>
  <c r="Z122" i="36" s="1"/>
  <c r="R122" i="36"/>
  <c r="H88" i="51"/>
  <c r="J85" i="51"/>
  <c r="V88" i="51"/>
  <c r="D74" i="59"/>
  <c r="L71" i="59"/>
  <c r="D75" i="57"/>
  <c r="L72" i="57"/>
  <c r="Z66" i="64"/>
  <c r="Z31" i="17"/>
  <c r="T36" i="17"/>
  <c r="Z36" i="17" s="1"/>
  <c r="Z31" i="47"/>
  <c r="T36" i="47"/>
  <c r="Z36" i="47" s="1"/>
  <c r="X31" i="22"/>
  <c r="P36" i="22"/>
  <c r="F97" i="74"/>
  <c r="H64" i="61"/>
  <c r="D187" i="3"/>
  <c r="L182" i="3"/>
  <c r="N182" i="3" s="1"/>
  <c r="F182" i="3"/>
  <c r="D36" i="23"/>
  <c r="L31" i="23"/>
  <c r="H99" i="91"/>
  <c r="J96" i="91"/>
  <c r="P84" i="58"/>
  <c r="X84" i="58" s="1"/>
  <c r="X81" i="58"/>
  <c r="Z81" i="58" s="1"/>
  <c r="H36" i="47"/>
  <c r="N36" i="47" s="1"/>
  <c r="N31" i="47"/>
  <c r="N31" i="46"/>
  <c r="H36" i="46"/>
  <c r="N36" i="46" s="1"/>
  <c r="P36" i="20"/>
  <c r="X31" i="20"/>
  <c r="H82" i="56"/>
  <c r="V136" i="34"/>
  <c r="T36" i="53"/>
  <c r="Z36" i="53" s="1"/>
  <c r="Z31" i="53"/>
  <c r="V103" i="21"/>
  <c r="D36" i="53"/>
  <c r="L36" i="53" s="1"/>
  <c r="L31" i="53"/>
  <c r="H37" i="79"/>
  <c r="N34" i="79"/>
  <c r="H36" i="40"/>
  <c r="N36" i="40" s="1"/>
  <c r="N31" i="40"/>
  <c r="P36" i="4"/>
  <c r="X31" i="4"/>
  <c r="T36" i="23"/>
  <c r="Z36" i="23" s="1"/>
  <c r="Z31" i="23"/>
  <c r="N31" i="94"/>
  <c r="H36" i="94"/>
  <c r="N36" i="94" s="1"/>
  <c r="X62" i="60"/>
  <c r="Z62" i="60" s="1"/>
  <c r="P65" i="60"/>
  <c r="X65" i="60" s="1"/>
  <c r="Z65" i="60" s="1"/>
  <c r="P36" i="44"/>
  <c r="X31" i="44"/>
  <c r="X31" i="47"/>
  <c r="T36" i="29"/>
  <c r="Z36" i="29" s="1"/>
  <c r="Z31" i="29"/>
  <c r="Z84" i="58"/>
  <c r="T100" i="65"/>
  <c r="V97" i="65"/>
  <c r="H96" i="73"/>
  <c r="J93" i="73"/>
  <c r="P93" i="63"/>
  <c r="X90" i="63"/>
  <c r="R90" i="63"/>
  <c r="D36" i="43"/>
  <c r="L31" i="43"/>
  <c r="Z31" i="40"/>
  <c r="T36" i="40"/>
  <c r="Z36" i="40" s="1"/>
  <c r="X32" i="75"/>
  <c r="Z32" i="75" s="1"/>
  <c r="P36" i="75"/>
  <c r="R32" i="75"/>
  <c r="H119" i="67"/>
  <c r="J116" i="67"/>
  <c r="P120" i="39"/>
  <c r="X116" i="39"/>
  <c r="Z116" i="39" s="1"/>
  <c r="R116" i="39"/>
  <c r="D36" i="24"/>
  <c r="L36" i="24" s="1"/>
  <c r="L31" i="24"/>
  <c r="P36" i="52"/>
  <c r="X31" i="52"/>
  <c r="D128" i="28"/>
  <c r="L124" i="28"/>
  <c r="N124" i="28" s="1"/>
  <c r="F124" i="28"/>
  <c r="D35" i="89"/>
  <c r="L32" i="89"/>
  <c r="F32" i="89"/>
  <c r="D36" i="46"/>
  <c r="L31" i="46"/>
  <c r="H98" i="88"/>
  <c r="J95" i="88"/>
  <c r="H121" i="42"/>
  <c r="J118" i="42"/>
  <c r="J32" i="72"/>
  <c r="D36" i="35"/>
  <c r="L31" i="35"/>
  <c r="L101" i="82"/>
  <c r="D104" i="82"/>
  <c r="F101" i="82"/>
  <c r="T83" i="71"/>
  <c r="V80" i="71"/>
  <c r="P100" i="21"/>
  <c r="X96" i="21"/>
  <c r="Z96" i="21" s="1"/>
  <c r="R96" i="21"/>
  <c r="P95" i="88"/>
  <c r="X91" i="88"/>
  <c r="Z91" i="88" s="1"/>
  <c r="R91" i="88"/>
  <c r="L59" i="64"/>
  <c r="N59" i="64" s="1"/>
  <c r="D63" i="64"/>
  <c r="F59" i="64"/>
  <c r="D36" i="10"/>
  <c r="L31" i="10"/>
  <c r="Z31" i="94"/>
  <c r="T36" i="94"/>
  <c r="Z36" i="94" s="1"/>
  <c r="T36" i="41"/>
  <c r="Z36" i="41" s="1"/>
  <c r="Z31" i="41"/>
  <c r="D106" i="45"/>
  <c r="L102" i="45"/>
  <c r="N102" i="45" s="1"/>
  <c r="F102" i="45"/>
  <c r="P108" i="62"/>
  <c r="X108" i="62" s="1"/>
  <c r="X105" i="62"/>
  <c r="Z105" i="62" s="1"/>
  <c r="H129" i="36"/>
  <c r="J126" i="36"/>
  <c r="T84" i="68"/>
  <c r="V81" i="68"/>
  <c r="H100" i="90"/>
  <c r="J97" i="90"/>
  <c r="L61" i="61"/>
  <c r="N61" i="61" s="1"/>
  <c r="D64" i="61"/>
  <c r="L64" i="61" s="1"/>
  <c r="H104" i="82"/>
  <c r="N101" i="82"/>
  <c r="J101" i="82"/>
  <c r="X31" i="13"/>
  <c r="P36" i="13"/>
  <c r="X36" i="13" s="1"/>
  <c r="D36" i="75"/>
  <c r="L32" i="75"/>
  <c r="N32" i="75" s="1"/>
  <c r="F32" i="75"/>
  <c r="L33" i="77"/>
  <c r="D36" i="33"/>
  <c r="L31" i="33"/>
  <c r="T36" i="93"/>
  <c r="Z31" i="93"/>
  <c r="X31" i="93"/>
  <c r="P97" i="65"/>
  <c r="X93" i="65"/>
  <c r="Z93" i="65" s="1"/>
  <c r="R93" i="65"/>
  <c r="X81" i="68"/>
  <c r="Z81" i="68" s="1"/>
  <c r="P84" i="68"/>
  <c r="R81" i="68"/>
  <c r="Z36" i="49"/>
  <c r="X36" i="49"/>
  <c r="L76" i="71"/>
  <c r="N76" i="71" s="1"/>
  <c r="D80" i="71"/>
  <c r="F76" i="71"/>
  <c r="T75" i="57"/>
  <c r="T82" i="56"/>
  <c r="X82" i="56" s="1"/>
  <c r="Z79" i="56"/>
  <c r="D36" i="8"/>
  <c r="L36" i="8" s="1"/>
  <c r="L31" i="8"/>
  <c r="D97" i="25"/>
  <c r="L93" i="25"/>
  <c r="N93" i="25" s="1"/>
  <c r="F93" i="25"/>
  <c r="X66" i="64"/>
  <c r="R66" i="64"/>
  <c r="P85" i="69"/>
  <c r="X81" i="69"/>
  <c r="Z81" i="69" s="1"/>
  <c r="R81" i="69"/>
  <c r="V123" i="39"/>
  <c r="T36" i="4"/>
  <c r="Z36" i="4" s="1"/>
  <c r="Z31" i="4"/>
  <c r="H97" i="74"/>
  <c r="L97" i="74" s="1"/>
  <c r="N94" i="74"/>
  <c r="J94" i="74"/>
  <c r="H82" i="48"/>
  <c r="N79" i="48"/>
  <c r="J79" i="48"/>
  <c r="J187" i="3"/>
  <c r="P101" i="82"/>
  <c r="X97" i="82"/>
  <c r="Z97" i="82" s="1"/>
  <c r="R97" i="82"/>
  <c r="H100" i="65"/>
  <c r="J97" i="65"/>
  <c r="P36" i="35"/>
  <c r="X36" i="35" s="1"/>
  <c r="X31" i="35"/>
  <c r="T131" i="28"/>
  <c r="V128" i="28"/>
  <c r="Z31" i="38"/>
  <c r="T36" i="38"/>
  <c r="Z36" i="38" s="1"/>
  <c r="T36" i="26"/>
  <c r="Z36" i="26" s="1"/>
  <c r="Z31" i="26"/>
  <c r="H36" i="22"/>
  <c r="N36" i="22" s="1"/>
  <c r="N31" i="22"/>
  <c r="N31" i="16"/>
  <c r="H36" i="16"/>
  <c r="N36" i="16" s="1"/>
  <c r="T187" i="3"/>
  <c r="Z182" i="3"/>
  <c r="V182" i="3"/>
  <c r="X124" i="28"/>
  <c r="Z124" i="28" s="1"/>
  <c r="P128" i="28"/>
  <c r="R124" i="28"/>
  <c r="T36" i="43"/>
  <c r="Z36" i="43" s="1"/>
  <c r="Z31" i="43"/>
  <c r="D85" i="69"/>
  <c r="L81" i="69"/>
  <c r="N81" i="69" s="1"/>
  <c r="F81" i="69"/>
  <c r="P36" i="29"/>
  <c r="X36" i="29" s="1"/>
  <c r="X31" i="29"/>
  <c r="D100" i="90"/>
  <c r="L97" i="90"/>
  <c r="N97" i="90" s="1"/>
  <c r="F97" i="90"/>
  <c r="T36" i="24"/>
  <c r="Z36" i="24" s="1"/>
  <c r="Z31" i="24"/>
  <c r="D121" i="42"/>
  <c r="L118" i="42"/>
  <c r="N118" i="42" s="1"/>
  <c r="F118" i="42"/>
  <c r="T66" i="87"/>
  <c r="L31" i="20"/>
  <c r="D36" i="20"/>
  <c r="N31" i="54"/>
  <c r="X28" i="89"/>
  <c r="P32" i="89"/>
  <c r="R28" i="89"/>
  <c r="D36" i="4"/>
  <c r="L36" i="4" s="1"/>
  <c r="L31" i="4"/>
  <c r="P36" i="95"/>
  <c r="X31" i="95"/>
  <c r="H36" i="50"/>
  <c r="N36" i="50" s="1"/>
  <c r="N31" i="50"/>
  <c r="H36" i="11"/>
  <c r="N31" i="11"/>
  <c r="L31" i="11"/>
  <c r="Z37" i="79"/>
  <c r="H36" i="26"/>
  <c r="N36" i="26" s="1"/>
  <c r="N31" i="26"/>
  <c r="L116" i="39"/>
  <c r="N116" i="39" s="1"/>
  <c r="D120" i="39"/>
  <c r="F116" i="39"/>
  <c r="P66" i="87"/>
  <c r="X66" i="87" s="1"/>
  <c r="X63" i="87"/>
  <c r="Z63" i="87" s="1"/>
  <c r="P75" i="57"/>
  <c r="X75" i="57" s="1"/>
  <c r="X72" i="57"/>
  <c r="Z72" i="57" s="1"/>
  <c r="D82" i="92"/>
  <c r="L79" i="92"/>
  <c r="N79" i="92" s="1"/>
  <c r="F79" i="92"/>
  <c r="T97" i="83"/>
  <c r="V94" i="83"/>
  <c r="T96" i="73"/>
  <c r="V93" i="73"/>
  <c r="D155" i="15"/>
  <c r="L151" i="15"/>
  <c r="N151" i="15" s="1"/>
  <c r="F151" i="15"/>
  <c r="X82" i="92"/>
  <c r="R82" i="92"/>
  <c r="L81" i="31"/>
  <c r="N81" i="31" s="1"/>
  <c r="D84" i="31"/>
  <c r="F81" i="31"/>
  <c r="Z31" i="22"/>
  <c r="T36" i="22"/>
  <c r="Z36" i="22" s="1"/>
  <c r="H104" i="9"/>
  <c r="N101" i="9"/>
  <c r="D43" i="86"/>
  <c r="L40" i="86"/>
  <c r="N40" i="86" s="1"/>
  <c r="F40" i="86"/>
  <c r="D36" i="19"/>
  <c r="L31" i="19"/>
  <c r="J97" i="83"/>
  <c r="Z32" i="80"/>
  <c r="T35" i="80"/>
  <c r="T36" i="8"/>
  <c r="Z36" i="8" s="1"/>
  <c r="Z31" i="8"/>
  <c r="L31" i="17"/>
  <c r="D36" i="17"/>
  <c r="P60" i="84"/>
  <c r="X60" i="84" s="1"/>
  <c r="X57" i="84"/>
  <c r="Z57" i="84" s="1"/>
  <c r="H84" i="58"/>
  <c r="N81" i="58"/>
  <c r="T99" i="91"/>
  <c r="V96" i="91"/>
  <c r="T93" i="63"/>
  <c r="Z90" i="63"/>
  <c r="V90" i="63"/>
  <c r="Z31" i="37"/>
  <c r="T36" i="37"/>
  <c r="Z36" i="37" s="1"/>
  <c r="H38" i="55"/>
  <c r="L35" i="55"/>
  <c r="N35" i="55" s="1"/>
  <c r="P155" i="15"/>
  <c r="X151" i="15"/>
  <c r="Z151" i="15" s="1"/>
  <c r="R151" i="15"/>
  <c r="D85" i="51"/>
  <c r="L81" i="51"/>
  <c r="N81" i="51" s="1"/>
  <c r="F81" i="51"/>
  <c r="P74" i="59"/>
  <c r="X74" i="59" s="1"/>
  <c r="X71" i="59"/>
  <c r="Z71" i="59" s="1"/>
  <c r="H36" i="23"/>
  <c r="N36" i="23" s="1"/>
  <c r="N31" i="23"/>
  <c r="P36" i="24"/>
  <c r="X31" i="24"/>
  <c r="D97" i="83"/>
  <c r="L97" i="83" s="1"/>
  <c r="N97" i="83" s="1"/>
  <c r="L94" i="83"/>
  <c r="N94" i="83" s="1"/>
  <c r="D66" i="87"/>
  <c r="L66" i="87" s="1"/>
  <c r="L63" i="87"/>
  <c r="N72" i="57"/>
  <c r="H75" i="57"/>
  <c r="L31" i="47"/>
  <c r="D36" i="47"/>
  <c r="P36" i="37"/>
  <c r="X31" i="37"/>
  <c r="L92" i="91"/>
  <c r="N92" i="91" s="1"/>
  <c r="D96" i="91"/>
  <c r="F92" i="91"/>
  <c r="P64" i="61"/>
  <c r="X61" i="61"/>
  <c r="P36" i="5"/>
  <c r="X36" i="5" s="1"/>
  <c r="X31" i="5"/>
  <c r="P38" i="55"/>
  <c r="X38" i="55" s="1"/>
  <c r="X35" i="55"/>
  <c r="Z35" i="55" s="1"/>
  <c r="T158" i="15"/>
  <c r="V155" i="15"/>
  <c r="X31" i="38"/>
  <c r="L84" i="78"/>
  <c r="N84" i="78" s="1"/>
  <c r="D87" i="78"/>
  <c r="L87" i="78" s="1"/>
  <c r="D133" i="34"/>
  <c r="L129" i="34"/>
  <c r="N129" i="34" s="1"/>
  <c r="F129" i="34"/>
  <c r="D36" i="29"/>
  <c r="L36" i="29" s="1"/>
  <c r="L31" i="29"/>
  <c r="H101" i="76"/>
  <c r="J98" i="76"/>
  <c r="Z60" i="84"/>
  <c r="P36" i="53"/>
  <c r="X36" i="53" s="1"/>
  <c r="X31" i="53"/>
  <c r="L31" i="7"/>
  <c r="P187" i="3"/>
  <c r="X182" i="3"/>
  <c r="R182" i="3"/>
  <c r="H109" i="45"/>
  <c r="J106" i="45"/>
  <c r="P101" i="76"/>
  <c r="X98" i="76"/>
  <c r="Z98" i="76" s="1"/>
  <c r="R98" i="76"/>
  <c r="P43" i="86"/>
  <c r="X40" i="86"/>
  <c r="Z40" i="86" s="1"/>
  <c r="R40" i="86"/>
  <c r="P31" i="6"/>
  <c r="X31" i="6" s="1"/>
  <c r="Z31" i="6" s="1"/>
  <c r="X26" i="6"/>
  <c r="P96" i="91"/>
  <c r="X92" i="91"/>
  <c r="Z92" i="91" s="1"/>
  <c r="R92" i="91"/>
  <c r="P36" i="8"/>
  <c r="X31" i="8"/>
  <c r="H36" i="41"/>
  <c r="N36" i="41" s="1"/>
  <c r="N31" i="41"/>
  <c r="D100" i="21"/>
  <c r="L96" i="21"/>
  <c r="N96" i="21" s="1"/>
  <c r="F96" i="21"/>
  <c r="D36" i="38"/>
  <c r="L36" i="38" s="1"/>
  <c r="L31" i="38"/>
  <c r="L31" i="22"/>
  <c r="D36" i="22"/>
  <c r="D95" i="88"/>
  <c r="L91" i="88"/>
  <c r="N91" i="88" s="1"/>
  <c r="F91" i="88"/>
  <c r="Z61" i="61"/>
  <c r="T64" i="61"/>
  <c r="L31" i="40"/>
  <c r="D36" i="40"/>
  <c r="H35" i="85"/>
  <c r="L35" i="85" s="1"/>
  <c r="N32" i="85"/>
  <c r="L84" i="58"/>
  <c r="H36" i="19"/>
  <c r="N36" i="19" s="1"/>
  <c r="N31" i="19"/>
  <c r="D96" i="73"/>
  <c r="L93" i="73"/>
  <c r="N93" i="73" s="1"/>
  <c r="F93" i="73"/>
  <c r="X82" i="48"/>
  <c r="R82" i="48"/>
  <c r="P97" i="25"/>
  <c r="X93" i="25"/>
  <c r="Z93" i="25" s="1"/>
  <c r="R93" i="25"/>
  <c r="H36" i="17"/>
  <c r="N36" i="17" s="1"/>
  <c r="N31" i="17"/>
  <c r="N71" i="59"/>
  <c r="H74" i="59"/>
  <c r="D31" i="54"/>
  <c r="L31" i="54" s="1"/>
  <c r="L26" i="54"/>
  <c r="P36" i="33"/>
  <c r="X31" i="33"/>
  <c r="H60" i="84"/>
  <c r="N57" i="84"/>
  <c r="Z74" i="59"/>
  <c r="H36" i="95"/>
  <c r="N36" i="95" s="1"/>
  <c r="N31" i="95"/>
  <c r="L31" i="16"/>
  <c r="T39" i="75"/>
  <c r="V36" i="75"/>
  <c r="P163" i="18"/>
  <c r="X159" i="18"/>
  <c r="Z159" i="18" s="1"/>
  <c r="R159" i="18"/>
  <c r="T88" i="69"/>
  <c r="V85" i="69"/>
  <c r="X25" i="72"/>
  <c r="Z25" i="72" s="1"/>
  <c r="P29" i="72"/>
  <c r="R25" i="72"/>
  <c r="D126" i="36"/>
  <c r="L122" i="36"/>
  <c r="N122" i="36" s="1"/>
  <c r="F122" i="36"/>
  <c r="X31" i="41"/>
  <c r="T166" i="18"/>
  <c r="V163" i="18"/>
  <c r="V100" i="90"/>
  <c r="Z79" i="48"/>
  <c r="T82" i="48"/>
  <c r="V79" i="48"/>
  <c r="H83" i="71"/>
  <c r="J80" i="71"/>
  <c r="H35" i="81"/>
  <c r="N35" i="81" s="1"/>
  <c r="N32" i="81"/>
  <c r="X31" i="17"/>
  <c r="H136" i="34"/>
  <c r="J133" i="34"/>
  <c r="L79" i="56"/>
  <c r="N79" i="56" s="1"/>
  <c r="H158" i="15"/>
  <c r="J155" i="15"/>
  <c r="X84" i="78"/>
  <c r="Z84" i="78" s="1"/>
  <c r="P87" i="78"/>
  <c r="X87" i="78" s="1"/>
  <c r="Z87" i="78" s="1"/>
  <c r="J93" i="63"/>
  <c r="X97" i="90"/>
  <c r="Z97" i="90" s="1"/>
  <c r="P100" i="90"/>
  <c r="R97" i="90"/>
  <c r="D36" i="27"/>
  <c r="L36" i="27" s="1"/>
  <c r="L31" i="27"/>
  <c r="V97" i="74"/>
  <c r="H100" i="25"/>
  <c r="J97" i="25"/>
  <c r="T32" i="72"/>
  <c r="V29" i="72"/>
  <c r="D36" i="95"/>
  <c r="L31" i="95"/>
  <c r="P36" i="14"/>
  <c r="X31" i="14"/>
  <c r="H36" i="30"/>
  <c r="N31" i="30"/>
  <c r="L31" i="30"/>
  <c r="T36" i="44"/>
  <c r="Z36" i="44" s="1"/>
  <c r="Z31" i="44"/>
  <c r="T84" i="31"/>
  <c r="V81" i="31"/>
  <c r="T36" i="27"/>
  <c r="Z36" i="27" s="1"/>
  <c r="Z31" i="27"/>
  <c r="H36" i="20"/>
  <c r="N36" i="20" s="1"/>
  <c r="N31" i="20"/>
  <c r="H39" i="75"/>
  <c r="J36" i="75"/>
  <c r="D36" i="93"/>
  <c r="L31" i="93"/>
  <c r="H36" i="10"/>
  <c r="N36" i="10" s="1"/>
  <c r="N31" i="10"/>
  <c r="Z36" i="16"/>
  <c r="X36" i="16"/>
  <c r="Z82" i="92"/>
  <c r="V82" i="92"/>
  <c r="D36" i="41"/>
  <c r="L31" i="41"/>
  <c r="P164" i="12"/>
  <c r="X160" i="12"/>
  <c r="Z160" i="12" s="1"/>
  <c r="R160" i="12"/>
  <c r="N31" i="93"/>
  <c r="H36" i="93"/>
  <c r="N36" i="93" s="1"/>
  <c r="X81" i="31"/>
  <c r="Z81" i="31" s="1"/>
  <c r="P84" i="31"/>
  <c r="R81" i="31"/>
  <c r="L32" i="80"/>
  <c r="N32" i="80" s="1"/>
  <c r="D35" i="80"/>
  <c r="T31" i="54"/>
  <c r="Z26" i="54"/>
  <c r="X26" i="54"/>
  <c r="D101" i="76"/>
  <c r="L98" i="76"/>
  <c r="N98" i="76" s="1"/>
  <c r="F98" i="76"/>
  <c r="P36" i="11"/>
  <c r="X36" i="11" s="1"/>
  <c r="X31" i="11"/>
  <c r="H36" i="49"/>
  <c r="N36" i="49" s="1"/>
  <c r="N31" i="49"/>
  <c r="Z108" i="62"/>
  <c r="T104" i="9"/>
  <c r="T100" i="25"/>
  <c r="V97" i="25"/>
  <c r="P96" i="73"/>
  <c r="X93" i="73"/>
  <c r="Z93" i="73" s="1"/>
  <c r="R93" i="73"/>
  <c r="P118" i="42"/>
  <c r="X114" i="42"/>
  <c r="Z114" i="42" s="1"/>
  <c r="R114" i="42"/>
  <c r="L163" i="18"/>
  <c r="N163" i="18" s="1"/>
  <c r="D166" i="18"/>
  <c r="F163" i="18"/>
  <c r="T36" i="14"/>
  <c r="Z36" i="14" s="1"/>
  <c r="Z31" i="14"/>
  <c r="D36" i="94"/>
  <c r="L31" i="94"/>
  <c r="H82" i="92"/>
  <c r="J79" i="92"/>
  <c r="H66" i="87"/>
  <c r="N63" i="87"/>
  <c r="P36" i="27"/>
  <c r="X31" i="27"/>
  <c r="P35" i="81"/>
  <c r="X35" i="81" s="1"/>
  <c r="X32" i="81"/>
  <c r="D36" i="5"/>
  <c r="L36" i="5" s="1"/>
  <c r="L31" i="5"/>
  <c r="H88" i="69"/>
  <c r="J85" i="69"/>
  <c r="D93" i="63"/>
  <c r="L90" i="63"/>
  <c r="N90" i="63" s="1"/>
  <c r="F90" i="63"/>
  <c r="P94" i="83"/>
  <c r="X90" i="83"/>
  <c r="Z90" i="83" s="1"/>
  <c r="X101" i="9"/>
  <c r="Z101" i="9" s="1"/>
  <c r="P104" i="9"/>
  <c r="T98" i="88"/>
  <c r="V95" i="88"/>
  <c r="L82" i="56"/>
  <c r="H131" i="28"/>
  <c r="J128" i="28"/>
  <c r="V101" i="76"/>
  <c r="T36" i="52"/>
  <c r="Z36" i="52" s="1"/>
  <c r="Z31" i="52"/>
  <c r="L32" i="81"/>
  <c r="P36" i="7"/>
  <c r="X31" i="7"/>
  <c r="N62" i="60"/>
  <c r="H65" i="60"/>
  <c r="L65" i="60" s="1"/>
  <c r="N164" i="12"/>
  <c r="H167" i="12"/>
  <c r="J164" i="12"/>
  <c r="L36" i="47" l="1"/>
  <c r="L36" i="35"/>
  <c r="X36" i="7"/>
  <c r="X36" i="41"/>
  <c r="L36" i="95"/>
  <c r="L36" i="40"/>
  <c r="L36" i="43"/>
  <c r="L36" i="94"/>
  <c r="L36" i="7"/>
  <c r="X36" i="8"/>
  <c r="X36" i="17"/>
  <c r="X36" i="33"/>
  <c r="L36" i="16"/>
  <c r="X36" i="37"/>
  <c r="L36" i="93"/>
  <c r="L36" i="22"/>
  <c r="X36" i="95"/>
  <c r="X36" i="47"/>
  <c r="X36" i="24"/>
  <c r="X36" i="14"/>
  <c r="X36" i="38"/>
  <c r="L36" i="14"/>
  <c r="L36" i="19"/>
  <c r="L36" i="33"/>
  <c r="L36" i="49"/>
  <c r="X36" i="27"/>
  <c r="L36" i="46"/>
  <c r="X36" i="20"/>
  <c r="N36" i="13"/>
  <c r="L36" i="13"/>
  <c r="P98" i="88"/>
  <c r="X95" i="88"/>
  <c r="Z95" i="88" s="1"/>
  <c r="R95" i="88"/>
  <c r="D32" i="72"/>
  <c r="L29" i="72"/>
  <c r="N29" i="72" s="1"/>
  <c r="F29" i="72"/>
  <c r="N66" i="87"/>
  <c r="P32" i="72"/>
  <c r="X29" i="72"/>
  <c r="Z29" i="72" s="1"/>
  <c r="R29" i="72"/>
  <c r="X163" i="18"/>
  <c r="Z163" i="18" s="1"/>
  <c r="P166" i="18"/>
  <c r="R163" i="18"/>
  <c r="D136" i="34"/>
  <c r="L133" i="34"/>
  <c r="N133" i="34" s="1"/>
  <c r="F133" i="34"/>
  <c r="L36" i="50"/>
  <c r="V99" i="91"/>
  <c r="L82" i="92"/>
  <c r="F82" i="92"/>
  <c r="L36" i="20"/>
  <c r="D88" i="69"/>
  <c r="L85" i="69"/>
  <c r="N85" i="69" s="1"/>
  <c r="F85" i="69"/>
  <c r="V187" i="3"/>
  <c r="Z36" i="93"/>
  <c r="X36" i="93"/>
  <c r="J96" i="73"/>
  <c r="L36" i="23"/>
  <c r="J88" i="51"/>
  <c r="J123" i="39"/>
  <c r="V109" i="45"/>
  <c r="V121" i="42"/>
  <c r="J131" i="28"/>
  <c r="J100" i="25"/>
  <c r="L104" i="82"/>
  <c r="N104" i="82" s="1"/>
  <c r="F104" i="82"/>
  <c r="P97" i="83"/>
  <c r="X97" i="83" s="1"/>
  <c r="X94" i="83"/>
  <c r="Z94" i="83" s="1"/>
  <c r="X96" i="73"/>
  <c r="R96" i="73"/>
  <c r="J39" i="75"/>
  <c r="V166" i="18"/>
  <c r="J109" i="45"/>
  <c r="N38" i="55"/>
  <c r="L38" i="55"/>
  <c r="L84" i="31"/>
  <c r="N84" i="31" s="1"/>
  <c r="F84" i="31"/>
  <c r="L60" i="84"/>
  <c r="N60" i="84" s="1"/>
  <c r="J100" i="65"/>
  <c r="J82" i="48"/>
  <c r="X84" i="68"/>
  <c r="R84" i="68"/>
  <c r="L36" i="10"/>
  <c r="J98" i="88"/>
  <c r="X120" i="39"/>
  <c r="Z120" i="39" s="1"/>
  <c r="P123" i="39"/>
  <c r="R120" i="39"/>
  <c r="X36" i="22"/>
  <c r="L75" i="57"/>
  <c r="P83" i="71"/>
  <c r="X80" i="71"/>
  <c r="Z80" i="71" s="1"/>
  <c r="R80" i="71"/>
  <c r="Z38" i="55"/>
  <c r="J103" i="21"/>
  <c r="D158" i="15"/>
  <c r="L155" i="15"/>
  <c r="N155" i="15" s="1"/>
  <c r="F155" i="15"/>
  <c r="L166" i="18"/>
  <c r="N166" i="18" s="1"/>
  <c r="F166" i="18"/>
  <c r="X31" i="54"/>
  <c r="Z31" i="54" s="1"/>
  <c r="J136" i="34"/>
  <c r="J83" i="71"/>
  <c r="L96" i="73"/>
  <c r="N96" i="73" s="1"/>
  <c r="F96" i="73"/>
  <c r="L43" i="86"/>
  <c r="N43" i="86" s="1"/>
  <c r="F43" i="86"/>
  <c r="Z96" i="73"/>
  <c r="V96" i="73"/>
  <c r="Z66" i="87"/>
  <c r="Z75" i="57"/>
  <c r="P103" i="21"/>
  <c r="X100" i="21"/>
  <c r="Z100" i="21" s="1"/>
  <c r="R100" i="21"/>
  <c r="D131" i="28"/>
  <c r="L128" i="28"/>
  <c r="N128" i="28" s="1"/>
  <c r="F128" i="28"/>
  <c r="N82" i="56"/>
  <c r="P88" i="51"/>
  <c r="X85" i="51"/>
  <c r="Z85" i="51" s="1"/>
  <c r="R85" i="51"/>
  <c r="D119" i="67"/>
  <c r="L116" i="67"/>
  <c r="N116" i="67" s="1"/>
  <c r="F116" i="67"/>
  <c r="X36" i="43"/>
  <c r="D84" i="68"/>
  <c r="L81" i="68"/>
  <c r="N81" i="68" s="1"/>
  <c r="F81" i="68"/>
  <c r="J121" i="42"/>
  <c r="N35" i="80"/>
  <c r="J167" i="12"/>
  <c r="V98" i="88"/>
  <c r="L35" i="80"/>
  <c r="V39" i="75"/>
  <c r="X43" i="86"/>
  <c r="Z43" i="86" s="1"/>
  <c r="R43" i="86"/>
  <c r="N101" i="76"/>
  <c r="J101" i="76"/>
  <c r="D88" i="51"/>
  <c r="L85" i="51"/>
  <c r="N85" i="51" s="1"/>
  <c r="F85" i="51"/>
  <c r="N84" i="58"/>
  <c r="L100" i="90"/>
  <c r="F100" i="90"/>
  <c r="P88" i="69"/>
  <c r="X85" i="69"/>
  <c r="Z85" i="69" s="1"/>
  <c r="R85" i="69"/>
  <c r="D100" i="25"/>
  <c r="L97" i="25"/>
  <c r="N97" i="25" s="1"/>
  <c r="F97" i="25"/>
  <c r="J104" i="82"/>
  <c r="Z84" i="68"/>
  <c r="V84" i="68"/>
  <c r="L106" i="45"/>
  <c r="N106" i="45" s="1"/>
  <c r="D109" i="45"/>
  <c r="F106" i="45"/>
  <c r="D66" i="64"/>
  <c r="L63" i="64"/>
  <c r="N63" i="64" s="1"/>
  <c r="F63" i="64"/>
  <c r="J119" i="67"/>
  <c r="X36" i="44"/>
  <c r="X36" i="4"/>
  <c r="X36" i="26"/>
  <c r="L74" i="59"/>
  <c r="X36" i="40"/>
  <c r="P97" i="74"/>
  <c r="X94" i="74"/>
  <c r="Z94" i="74" s="1"/>
  <c r="R94" i="74"/>
  <c r="J88" i="69"/>
  <c r="L101" i="76"/>
  <c r="F101" i="76"/>
  <c r="V84" i="31"/>
  <c r="L35" i="89"/>
  <c r="F35" i="89"/>
  <c r="N82" i="92"/>
  <c r="J82" i="92"/>
  <c r="L93" i="63"/>
  <c r="N93" i="63" s="1"/>
  <c r="F93" i="63"/>
  <c r="P167" i="12"/>
  <c r="X164" i="12"/>
  <c r="Z164" i="12" s="1"/>
  <c r="R164" i="12"/>
  <c r="V32" i="72"/>
  <c r="L35" i="81"/>
  <c r="Z82" i="48"/>
  <c r="V82" i="48"/>
  <c r="X96" i="91"/>
  <c r="Z96" i="91" s="1"/>
  <c r="P99" i="91"/>
  <c r="R96" i="91"/>
  <c r="X187" i="3"/>
  <c r="Z187" i="3" s="1"/>
  <c r="R187" i="3"/>
  <c r="X64" i="61"/>
  <c r="Z64" i="61" s="1"/>
  <c r="N75" i="57"/>
  <c r="X128" i="28"/>
  <c r="Z128" i="28" s="1"/>
  <c r="P131" i="28"/>
  <c r="R128" i="28"/>
  <c r="V131" i="28"/>
  <c r="P104" i="82"/>
  <c r="X101" i="82"/>
  <c r="Z101" i="82" s="1"/>
  <c r="R101" i="82"/>
  <c r="N97" i="74"/>
  <c r="J97" i="74"/>
  <c r="D83" i="71"/>
  <c r="L80" i="71"/>
  <c r="N80" i="71" s="1"/>
  <c r="F80" i="71"/>
  <c r="X36" i="52"/>
  <c r="V100" i="65"/>
  <c r="L187" i="3"/>
  <c r="N187" i="3" s="1"/>
  <c r="F187" i="3"/>
  <c r="P129" i="36"/>
  <c r="X126" i="36"/>
  <c r="Z126" i="36" s="1"/>
  <c r="R126" i="36"/>
  <c r="V119" i="67"/>
  <c r="L37" i="79"/>
  <c r="N37" i="79" s="1"/>
  <c r="V104" i="82"/>
  <c r="L167" i="12"/>
  <c r="N167" i="12" s="1"/>
  <c r="F167" i="12"/>
  <c r="X106" i="45"/>
  <c r="Z106" i="45" s="1"/>
  <c r="P109" i="45"/>
  <c r="R106" i="45"/>
  <c r="N74" i="59"/>
  <c r="Z82" i="56"/>
  <c r="N100" i="90"/>
  <c r="J100" i="90"/>
  <c r="N65" i="60"/>
  <c r="X104" i="9"/>
  <c r="V100" i="25"/>
  <c r="N36" i="30"/>
  <c r="L36" i="30"/>
  <c r="V88" i="69"/>
  <c r="P100" i="25"/>
  <c r="X97" i="25"/>
  <c r="Z97" i="25" s="1"/>
  <c r="R97" i="25"/>
  <c r="D103" i="21"/>
  <c r="L100" i="21"/>
  <c r="N100" i="21" s="1"/>
  <c r="F100" i="21"/>
  <c r="V158" i="15"/>
  <c r="N104" i="9"/>
  <c r="Z97" i="83"/>
  <c r="V97" i="83"/>
  <c r="N36" i="11"/>
  <c r="L36" i="11"/>
  <c r="P35" i="89"/>
  <c r="X32" i="89"/>
  <c r="R32" i="89"/>
  <c r="P100" i="65"/>
  <c r="X97" i="65"/>
  <c r="Z97" i="65" s="1"/>
  <c r="R97" i="65"/>
  <c r="V83" i="71"/>
  <c r="L104" i="9"/>
  <c r="P119" i="67"/>
  <c r="X116" i="67"/>
  <c r="Z116" i="67" s="1"/>
  <c r="R116" i="67"/>
  <c r="P136" i="34"/>
  <c r="X133" i="34"/>
  <c r="Z133" i="34" s="1"/>
  <c r="R133" i="34"/>
  <c r="Z104" i="9"/>
  <c r="N35" i="85"/>
  <c r="P121" i="42"/>
  <c r="X118" i="42"/>
  <c r="Z118" i="42" s="1"/>
  <c r="R118" i="42"/>
  <c r="X84" i="31"/>
  <c r="Z84" i="31" s="1"/>
  <c r="R84" i="31"/>
  <c r="L36" i="41"/>
  <c r="X100" i="90"/>
  <c r="Z100" i="90" s="1"/>
  <c r="R100" i="90"/>
  <c r="J158" i="15"/>
  <c r="L126" i="36"/>
  <c r="N126" i="36" s="1"/>
  <c r="D129" i="36"/>
  <c r="F126" i="36"/>
  <c r="L95" i="88"/>
  <c r="N95" i="88" s="1"/>
  <c r="D98" i="88"/>
  <c r="F95" i="88"/>
  <c r="X101" i="76"/>
  <c r="Z101" i="76" s="1"/>
  <c r="R101" i="76"/>
  <c r="L96" i="91"/>
  <c r="N96" i="91" s="1"/>
  <c r="D99" i="91"/>
  <c r="F96" i="91"/>
  <c r="P158" i="15"/>
  <c r="X155" i="15"/>
  <c r="Z155" i="15" s="1"/>
  <c r="R155" i="15"/>
  <c r="V93" i="63"/>
  <c r="L36" i="17"/>
  <c r="D123" i="39"/>
  <c r="L120" i="39"/>
  <c r="N120" i="39" s="1"/>
  <c r="F120" i="39"/>
  <c r="L121" i="42"/>
  <c r="N121" i="42" s="1"/>
  <c r="F121" i="42"/>
  <c r="D39" i="75"/>
  <c r="L36" i="75"/>
  <c r="N36" i="75" s="1"/>
  <c r="F36" i="75"/>
  <c r="J129" i="36"/>
  <c r="P39" i="75"/>
  <c r="X36" i="75"/>
  <c r="Z36" i="75" s="1"/>
  <c r="R36" i="75"/>
  <c r="X93" i="63"/>
  <c r="Z93" i="63" s="1"/>
  <c r="R93" i="63"/>
  <c r="X35" i="80"/>
  <c r="Z35" i="80" s="1"/>
  <c r="J99" i="91"/>
  <c r="N64" i="61"/>
  <c r="X36" i="23"/>
  <c r="X36" i="94"/>
  <c r="J166" i="18"/>
  <c r="L36" i="26"/>
  <c r="L97" i="65"/>
  <c r="N97" i="65" s="1"/>
  <c r="D100" i="65"/>
  <c r="F97" i="65"/>
  <c r="L82" i="48"/>
  <c r="N82" i="48" s="1"/>
  <c r="F82" i="48"/>
  <c r="X83" i="71" l="1"/>
  <c r="Z83" i="71" s="1"/>
  <c r="R83" i="71"/>
  <c r="L39" i="75"/>
  <c r="N39" i="75" s="1"/>
  <c r="F39" i="75"/>
  <c r="X121" i="42"/>
  <c r="Z121" i="42" s="1"/>
  <c r="R121" i="42"/>
  <c r="X119" i="67"/>
  <c r="Z119" i="67" s="1"/>
  <c r="R119" i="67"/>
  <c r="X131" i="28"/>
  <c r="Z131" i="28" s="1"/>
  <c r="R131" i="28"/>
  <c r="X167" i="12"/>
  <c r="Z167" i="12" s="1"/>
  <c r="R167" i="12"/>
  <c r="X97" i="74"/>
  <c r="Z97" i="74" s="1"/>
  <c r="R97" i="74"/>
  <c r="L136" i="34"/>
  <c r="N136" i="34" s="1"/>
  <c r="F136" i="34"/>
  <c r="X129" i="36"/>
  <c r="Z129" i="36" s="1"/>
  <c r="R129" i="36"/>
  <c r="X35" i="89"/>
  <c r="R35" i="89"/>
  <c r="L131" i="28"/>
  <c r="N131" i="28" s="1"/>
  <c r="F131" i="28"/>
  <c r="L158" i="15"/>
  <c r="N158" i="15" s="1"/>
  <c r="F158" i="15"/>
  <c r="X100" i="25"/>
  <c r="Z100" i="25" s="1"/>
  <c r="R100" i="25"/>
  <c r="L84" i="68"/>
  <c r="N84" i="68" s="1"/>
  <c r="F84" i="68"/>
  <c r="L98" i="88"/>
  <c r="N98" i="88" s="1"/>
  <c r="F98" i="88"/>
  <c r="L66" i="64"/>
  <c r="N66" i="64" s="1"/>
  <c r="F66" i="64"/>
  <c r="L119" i="67"/>
  <c r="N119" i="67" s="1"/>
  <c r="F119" i="67"/>
  <c r="X166" i="18"/>
  <c r="Z166" i="18" s="1"/>
  <c r="R166" i="18"/>
  <c r="L32" i="72"/>
  <c r="N32" i="72" s="1"/>
  <c r="F32" i="72"/>
  <c r="X88" i="69"/>
  <c r="Z88" i="69" s="1"/>
  <c r="R88" i="69"/>
  <c r="L103" i="21"/>
  <c r="N103" i="21" s="1"/>
  <c r="F103" i="21"/>
  <c r="X123" i="39"/>
  <c r="Z123" i="39" s="1"/>
  <c r="R123" i="39"/>
  <c r="X100" i="65"/>
  <c r="Z100" i="65" s="1"/>
  <c r="R100" i="65"/>
  <c r="X32" i="72"/>
  <c r="Z32" i="72" s="1"/>
  <c r="R32" i="72"/>
  <c r="X99" i="91"/>
  <c r="Z99" i="91" s="1"/>
  <c r="R99" i="91"/>
  <c r="X39" i="75"/>
  <c r="Z39" i="75" s="1"/>
  <c r="R39" i="75"/>
  <c r="X158" i="15"/>
  <c r="Z158" i="15" s="1"/>
  <c r="R158" i="15"/>
  <c r="L100" i="65"/>
  <c r="N100" i="65" s="1"/>
  <c r="F100" i="65"/>
  <c r="X109" i="45"/>
  <c r="Z109" i="45" s="1"/>
  <c r="R109" i="45"/>
  <c r="X104" i="82"/>
  <c r="Z104" i="82" s="1"/>
  <c r="R104" i="82"/>
  <c r="L109" i="45"/>
  <c r="N109" i="45" s="1"/>
  <c r="F109" i="45"/>
  <c r="L100" i="25"/>
  <c r="N100" i="25" s="1"/>
  <c r="F100" i="25"/>
  <c r="X103" i="21"/>
  <c r="Z103" i="21" s="1"/>
  <c r="R103" i="21"/>
  <c r="L83" i="71"/>
  <c r="N83" i="71" s="1"/>
  <c r="F83" i="71"/>
  <c r="L88" i="69"/>
  <c r="N88" i="69" s="1"/>
  <c r="F88" i="69"/>
  <c r="L123" i="39"/>
  <c r="N123" i="39" s="1"/>
  <c r="F123" i="39"/>
  <c r="L99" i="91"/>
  <c r="N99" i="91" s="1"/>
  <c r="F99" i="91"/>
  <c r="L129" i="36"/>
  <c r="N129" i="36" s="1"/>
  <c r="F129" i="36"/>
  <c r="X136" i="34"/>
  <c r="Z136" i="34" s="1"/>
  <c r="R136" i="34"/>
  <c r="L88" i="51"/>
  <c r="N88" i="51" s="1"/>
  <c r="F88" i="51"/>
  <c r="X88" i="51"/>
  <c r="Z88" i="51" s="1"/>
  <c r="R88" i="51"/>
  <c r="X98" i="88"/>
  <c r="Z98" i="88" s="1"/>
  <c r="R98" i="88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<sst xmlns="http://schemas.openxmlformats.org/spreadsheetml/2006/main" count="2740" uniqueCount="316">
  <si>
    <t>Interface Setting Grid Number</t>
  </si>
  <si>
    <t>Active Grid Number</t>
  </si>
  <si>
    <t>Sheet Name</t>
  </si>
  <si>
    <t>Running Actual Sheet row Number</t>
  </si>
  <si>
    <t>Running Actual Grid Number</t>
  </si>
  <si>
    <t>Grid Title</t>
  </si>
  <si>
    <t>Chart Legend Location</t>
  </si>
  <si>
    <t>ChartType</t>
  </si>
  <si>
    <t>ChartDisplayLabel</t>
  </si>
  <si>
    <t>ChartXAxiesLabel</t>
  </si>
  <si>
    <t>Chart 1stData Series</t>
  </si>
  <si>
    <t>Chart 1st DataSeries Name</t>
  </si>
  <si>
    <t>Chart 2nd Data Series</t>
  </si>
  <si>
    <t>Chart 2nd Data Series Name</t>
  </si>
  <si>
    <t>Chart 3rd Data Series</t>
  </si>
  <si>
    <t>Chart 3rd Data SeriesName</t>
  </si>
  <si>
    <t>Chart 4th Data Series</t>
  </si>
  <si>
    <t>Chart 4th Data Series Name</t>
  </si>
  <si>
    <t>Chart 5th Data Series</t>
  </si>
  <si>
    <t>Chart 5th Data Series Name</t>
  </si>
  <si>
    <t>ChartHide</t>
  </si>
  <si>
    <t>DGCol Label</t>
  </si>
  <si>
    <t>DGRow Label</t>
  </si>
  <si>
    <t>DGData</t>
  </si>
  <si>
    <t>DG Display Label</t>
  </si>
  <si>
    <t>DG Decimal Digits</t>
  </si>
  <si>
    <t>DGHide</t>
  </si>
  <si>
    <t>IGColLabelRange</t>
  </si>
  <si>
    <t>IGRowLabelRange</t>
  </si>
  <si>
    <t>IGDataRange</t>
  </si>
  <si>
    <t>IGDisplayLabel</t>
  </si>
  <si>
    <t>IGDecimalDigits</t>
  </si>
  <si>
    <t>IGHide</t>
  </si>
  <si>
    <t>LIDColLabelRange</t>
  </si>
  <si>
    <t>LIDActualDataRange</t>
  </si>
  <si>
    <t>LIDDisplayLabel</t>
  </si>
  <si>
    <t>LIDRowsNumber</t>
  </si>
  <si>
    <t>LIDHide</t>
  </si>
  <si>
    <t>SliderMaxpercentage</t>
  </si>
  <si>
    <t>SliderMinMovePer</t>
  </si>
  <si>
    <t>SaveType</t>
  </si>
  <si>
    <t>FormatType</t>
  </si>
  <si>
    <t>BudgetTotal</t>
  </si>
  <si>
    <t>ActualTotal</t>
  </si>
  <si>
    <t>TotalHide</t>
  </si>
  <si>
    <t>TotalGridHeadings</t>
  </si>
  <si>
    <t>EnableLID</t>
  </si>
  <si>
    <t>Chart 6th Data Series</t>
  </si>
  <si>
    <t>Chart 6th Data Series Name</t>
  </si>
  <si>
    <t>MinChart</t>
  </si>
  <si>
    <t>MinDG</t>
  </si>
  <si>
    <t>EnableCustomSpreading</t>
  </si>
  <si>
    <t>Created Date</t>
  </si>
  <si>
    <t>Updated Date</t>
  </si>
  <si>
    <t>InfoManager Number</t>
  </si>
  <si>
    <t>Grid Cell Range</t>
  </si>
  <si>
    <t>Grid Special Rules</t>
  </si>
  <si>
    <t>Module Name</t>
  </si>
  <si>
    <t>Entity</t>
  </si>
  <si>
    <t>Entity Relate to data</t>
  </si>
  <si>
    <t>Entity Special Rules</t>
  </si>
  <si>
    <t>Entity Text</t>
  </si>
  <si>
    <t>Time</t>
  </si>
  <si>
    <t>Time  Relate to data</t>
  </si>
  <si>
    <t>Time  Special Rules</t>
  </si>
  <si>
    <t>Time Text</t>
  </si>
  <si>
    <t>Scenario</t>
  </si>
  <si>
    <t>Scenario  Relate to data</t>
  </si>
  <si>
    <t>Scenario  Special Rules</t>
  </si>
  <si>
    <t>Scenario Text</t>
  </si>
  <si>
    <t>Category</t>
  </si>
  <si>
    <t>Category  Relate to data</t>
  </si>
  <si>
    <t>Category  Special Rules</t>
  </si>
  <si>
    <t>Category Text</t>
  </si>
  <si>
    <t xml:space="preserve">FxCode </t>
  </si>
  <si>
    <t>FxCode  Relate to data</t>
  </si>
  <si>
    <t>FxCode  Special Rules</t>
  </si>
  <si>
    <t>FxCode Text</t>
  </si>
  <si>
    <t>Dim0</t>
  </si>
  <si>
    <t>Dim Label0</t>
  </si>
  <si>
    <t>Dim0Relate to data</t>
  </si>
  <si>
    <t>Dim0Special Rules</t>
  </si>
  <si>
    <t>Dim0Text</t>
  </si>
  <si>
    <t>Dim1</t>
  </si>
  <si>
    <t>Dim Label1</t>
  </si>
  <si>
    <t>Dim1Relate to data</t>
  </si>
  <si>
    <t>Dim1Special Rules</t>
  </si>
  <si>
    <t>Dim1Text</t>
  </si>
  <si>
    <t>Dim2</t>
  </si>
  <si>
    <t>Dim Label2</t>
  </si>
  <si>
    <t>Dim2Relate to data</t>
  </si>
  <si>
    <t>Dim2Special Rules</t>
  </si>
  <si>
    <t>Dim2Text</t>
  </si>
  <si>
    <t>Dim3</t>
  </si>
  <si>
    <t>Dim Label3</t>
  </si>
  <si>
    <t>Dim3Relate to data</t>
  </si>
  <si>
    <t>Dim3Special Rules</t>
  </si>
  <si>
    <t>Dim3Text</t>
  </si>
  <si>
    <t>Dim4</t>
  </si>
  <si>
    <t>Dim Label4</t>
  </si>
  <si>
    <t>Dim4Relate to data</t>
  </si>
  <si>
    <t>Dim4Special Rules</t>
  </si>
  <si>
    <t>Dim4Text</t>
  </si>
  <si>
    <t>Dim5</t>
  </si>
  <si>
    <t>Dim Label5</t>
  </si>
  <si>
    <t>Dim5Relate to data</t>
  </si>
  <si>
    <t>Dim5Special Rules</t>
  </si>
  <si>
    <t>Dim5Text</t>
  </si>
  <si>
    <t>Dim6</t>
  </si>
  <si>
    <t>Dim Label6</t>
  </si>
  <si>
    <t>Dim6Relate to data</t>
  </si>
  <si>
    <t>Dim6Special Rules</t>
  </si>
  <si>
    <t>Dim6Text</t>
  </si>
  <si>
    <t>Dim7</t>
  </si>
  <si>
    <t>Dim Label7</t>
  </si>
  <si>
    <t>Dim7Relate to data</t>
  </si>
  <si>
    <t>Dim7Special Rules</t>
  </si>
  <si>
    <t>Dim7Text</t>
  </si>
  <si>
    <t>Dim8</t>
  </si>
  <si>
    <t>Dim Label8</t>
  </si>
  <si>
    <t>Dim8Relate to data</t>
  </si>
  <si>
    <t>Dim8Special Rules</t>
  </si>
  <si>
    <t>Dim8Text</t>
  </si>
  <si>
    <t>Dim9</t>
  </si>
  <si>
    <t>Dim Label9</t>
  </si>
  <si>
    <t>Dim9Relate to data</t>
  </si>
  <si>
    <t>Dim9Special Rules</t>
  </si>
  <si>
    <t>Dim9Text</t>
  </si>
  <si>
    <t>Variable Dim Name0</t>
  </si>
  <si>
    <t>Variable Dim0</t>
  </si>
  <si>
    <t>Variable Dim0Relate to data</t>
  </si>
  <si>
    <t>Variable Dim0Special Rules</t>
  </si>
  <si>
    <t>Variable Dim0Text</t>
  </si>
  <si>
    <t>Variable Dim Name1</t>
  </si>
  <si>
    <t>Variable Dim1</t>
  </si>
  <si>
    <t>Variable Dim1Relate to data</t>
  </si>
  <si>
    <t>Variable Dim1Special Rules</t>
  </si>
  <si>
    <t>Variable Dim1Text</t>
  </si>
  <si>
    <t>Variable Dim Name2</t>
  </si>
  <si>
    <t>Variable Dim2</t>
  </si>
  <si>
    <t>Variable Dim2Relate to data</t>
  </si>
  <si>
    <t>Variable Dim2Special Rules</t>
  </si>
  <si>
    <t>Variable Dim2Text</t>
  </si>
  <si>
    <t>Variable Dim Name3</t>
  </si>
  <si>
    <t>Variable Dim3</t>
  </si>
  <si>
    <t>Variable Dim3Relate to data</t>
  </si>
  <si>
    <t>Variable Dim3Special Rules</t>
  </si>
  <si>
    <t>Variable Dim3Text</t>
  </si>
  <si>
    <t>Variable Dim Name4</t>
  </si>
  <si>
    <t>Variable Dim4</t>
  </si>
  <si>
    <t>Variable Dim4Relate to data</t>
  </si>
  <si>
    <t>Variable Dim4Special Rules</t>
  </si>
  <si>
    <t>Variable Dim4Text</t>
  </si>
  <si>
    <t>Variable Dim Name5</t>
  </si>
  <si>
    <t>Variable Dim5</t>
  </si>
  <si>
    <t>Variable Dim5Relate to data</t>
  </si>
  <si>
    <t>Variable Dim5Special Rules</t>
  </si>
  <si>
    <t>Variable Dim5Text</t>
  </si>
  <si>
    <t>Variable Dim Name6</t>
  </si>
  <si>
    <t>Variable Dim6</t>
  </si>
  <si>
    <t>Variable Dim6Relate to data</t>
  </si>
  <si>
    <t>Variable Dim6Special Rules</t>
  </si>
  <si>
    <t>Variable Dim6Text</t>
  </si>
  <si>
    <t>Variable Dim Name7</t>
  </si>
  <si>
    <t>Variable Dim7</t>
  </si>
  <si>
    <t>Variable Dim7Relate to data</t>
  </si>
  <si>
    <t>Variable Dim7Special Rules</t>
  </si>
  <si>
    <t>Variable Dim7Text</t>
  </si>
  <si>
    <t>Variable Dim Name8</t>
  </si>
  <si>
    <t>Variable Dim8</t>
  </si>
  <si>
    <t>Variable Dim8Relate to data</t>
  </si>
  <si>
    <t>Variable Dim8Special Rules</t>
  </si>
  <si>
    <t>Variable Dim8Text</t>
  </si>
  <si>
    <t>Variable Dim Name9</t>
  </si>
  <si>
    <t>Variable Dim9</t>
  </si>
  <si>
    <t>Variable Dim9Relate to data</t>
  </si>
  <si>
    <t>Variable Dim9Special Rules</t>
  </si>
  <si>
    <t>Variable Dim9Text</t>
  </si>
  <si>
    <t>Variable Dim Name10</t>
  </si>
  <si>
    <t>Variable Dim10</t>
  </si>
  <si>
    <t>Variable Dim10Relate to data</t>
  </si>
  <si>
    <t>Variable Dim10Special Rules</t>
  </si>
  <si>
    <t>Variable Dim10Text</t>
  </si>
  <si>
    <t>Variable Dim Name11</t>
  </si>
  <si>
    <t>Variable Dim11</t>
  </si>
  <si>
    <t>Variable Dim11Relate to data</t>
  </si>
  <si>
    <t>Variable Dim11Special Rules</t>
  </si>
  <si>
    <t>Variable Dim11Text</t>
  </si>
  <si>
    <t>Variable Dim Name12</t>
  </si>
  <si>
    <t>Variable Dim12</t>
  </si>
  <si>
    <t>Variable Dim12Relate to data</t>
  </si>
  <si>
    <t>Variable Dim12Special Rules</t>
  </si>
  <si>
    <t>Variable Dim12Text</t>
  </si>
  <si>
    <t>Variable Dim Name13</t>
  </si>
  <si>
    <t>Variable Dim13</t>
  </si>
  <si>
    <t>Variable Dim13Relate to data</t>
  </si>
  <si>
    <t>Variable Dim13Special Rules</t>
  </si>
  <si>
    <t>Variable Dim13Text</t>
  </si>
  <si>
    <t>Variable Dim Name14</t>
  </si>
  <si>
    <t>Variable Dim14</t>
  </si>
  <si>
    <t>Variable Dim14Relate to data</t>
  </si>
  <si>
    <t>Variable Dim14Special Rules</t>
  </si>
  <si>
    <t>Variable Dim14Text</t>
  </si>
  <si>
    <t>Variable Dim Name15</t>
  </si>
  <si>
    <t>Variable Dim15</t>
  </si>
  <si>
    <t>Variable Dim15Relate to data</t>
  </si>
  <si>
    <t>Variable Dim15Special Rules</t>
  </si>
  <si>
    <t>Variable Dim15Text</t>
  </si>
  <si>
    <t>Variable Dim Name16</t>
  </si>
  <si>
    <t>Variable Dim16</t>
  </si>
  <si>
    <t>Variable Dim16Relate to data</t>
  </si>
  <si>
    <t>Variable Dim16Special Rules</t>
  </si>
  <si>
    <t>Variable Dim16Text</t>
  </si>
  <si>
    <t>Variable Dim Name17</t>
  </si>
  <si>
    <t>Variable Dim17</t>
  </si>
  <si>
    <t>Variable Dim17Relate to data</t>
  </si>
  <si>
    <t>Variable Dim17Special Rules</t>
  </si>
  <si>
    <t>Variable Dim17Text</t>
  </si>
  <si>
    <t>Variable Dim Name18</t>
  </si>
  <si>
    <t>Variable Dim18</t>
  </si>
  <si>
    <t>Variable Dim18Relate to data</t>
  </si>
  <si>
    <t>Variable Dim18Special Rules</t>
  </si>
  <si>
    <t>Variable Dim18Text</t>
  </si>
  <si>
    <t>Variable Dim Name19</t>
  </si>
  <si>
    <t>Variable Dim19</t>
  </si>
  <si>
    <t>Variable Dim19Relate to data</t>
  </si>
  <si>
    <t>Variable Dim19Special Rules</t>
  </si>
  <si>
    <t>Variable Dim19Text</t>
  </si>
  <si>
    <t>Storage Field0</t>
  </si>
  <si>
    <t>Storage Field0 Name</t>
  </si>
  <si>
    <t>Storage Field1</t>
  </si>
  <si>
    <t>Storage Field1 Name</t>
  </si>
  <si>
    <t>Storage Field2</t>
  </si>
  <si>
    <t>Storage Field2 Name</t>
  </si>
  <si>
    <t>Storage Field3</t>
  </si>
  <si>
    <t>Storage Field3 Name</t>
  </si>
  <si>
    <t>Storage Field4</t>
  </si>
  <si>
    <t>Storage Field4 Name</t>
  </si>
  <si>
    <t>Storage Field5</t>
  </si>
  <si>
    <t>Storage Field5 Name</t>
  </si>
  <si>
    <t>Storage Field6</t>
  </si>
  <si>
    <t>Storage Field6 Name</t>
  </si>
  <si>
    <t>Storage Field7</t>
  </si>
  <si>
    <t>Storage Field7 Name</t>
  </si>
  <si>
    <t>Storage Field8</t>
  </si>
  <si>
    <t>Storage Field8 Name</t>
  </si>
  <si>
    <t>Storage Field9</t>
  </si>
  <si>
    <t>Storage Field9 Name</t>
  </si>
  <si>
    <t>Storage Field10</t>
  </si>
  <si>
    <t>Storage Field10 Name</t>
  </si>
  <si>
    <t>Storage Field11</t>
  </si>
  <si>
    <t>Storage Field11 Name</t>
  </si>
  <si>
    <t>Storage Field12</t>
  </si>
  <si>
    <t>Storage Field12 Name</t>
  </si>
  <si>
    <t>Storage Field13</t>
  </si>
  <si>
    <t>Storage Field13 Name</t>
  </si>
  <si>
    <t>Storage Field14</t>
  </si>
  <si>
    <t>Storage Field14 Name</t>
  </si>
  <si>
    <t>Storage Field15</t>
  </si>
  <si>
    <t>Storage Field15 Name</t>
  </si>
  <si>
    <t>Storage Field16</t>
  </si>
  <si>
    <t>Storage Field16 Name</t>
  </si>
  <si>
    <t>Storage Field17</t>
  </si>
  <si>
    <t>Storage Field17 Name</t>
  </si>
  <si>
    <t>Storage Field18</t>
  </si>
  <si>
    <t>Storage Field18 Name</t>
  </si>
  <si>
    <t>Storage Field19</t>
  </si>
  <si>
    <t>Storage Field19 Name</t>
  </si>
  <si>
    <t>Enable SIMWindow</t>
  </si>
  <si>
    <t>Period Type</t>
  </si>
  <si>
    <t>Storage Type</t>
  </si>
  <si>
    <t>Retain Zero Value</t>
  </si>
  <si>
    <t>DimGridName</t>
  </si>
  <si>
    <t>DimSheetName</t>
  </si>
  <si>
    <t>StorageGridName</t>
  </si>
  <si>
    <t>StorageSheetName</t>
  </si>
  <si>
    <t xml:space="preserve">Forty Niner Shops, Inc. </t>
  </si>
  <si>
    <t>Combined Operating Statement by Department</t>
  </si>
  <si>
    <t>All Departments</t>
  </si>
  <si>
    <t>CURRENT PERIOD</t>
  </si>
  <si>
    <t>YEAR TO DATE</t>
  </si>
  <si>
    <t>Actual</t>
  </si>
  <si>
    <t>% of Sales</t>
  </si>
  <si>
    <t>Budget</t>
  </si>
  <si>
    <t>% Budget Sales</t>
  </si>
  <si>
    <t>Variance</t>
  </si>
  <si>
    <t>% Variance</t>
  </si>
  <si>
    <t>Sales</t>
  </si>
  <si>
    <t>Cost of Goods Sold</t>
  </si>
  <si>
    <t>GROSS MARGIN</t>
  </si>
  <si>
    <t>Operating Expenses</t>
  </si>
  <si>
    <t>Credits &amp; Revenues</t>
  </si>
  <si>
    <t>OPERATING INCOME</t>
  </si>
  <si>
    <t>G &amp; A Allocation</t>
  </si>
  <si>
    <t>OPERATING CONTRIBUTION</t>
  </si>
  <si>
    <t>Gain/(Loss) on FMV of Investments</t>
  </si>
  <si>
    <t>Interest Income/Other</t>
  </si>
  <si>
    <t>NET CONTRIBUTION</t>
  </si>
  <si>
    <t>Tess.Monzon@csulb.edu</t>
  </si>
  <si>
    <t>Division 1 - Corporate</t>
  </si>
  <si>
    <t>Division 2 - Administration</t>
  </si>
  <si>
    <t>Division 3 - Bookstore &amp; C-Stores</t>
  </si>
  <si>
    <t>Division 300 - Bookstore</t>
  </si>
  <si>
    <t>Division 300 &amp; 317 - Bookstore &amp; Computer Store</t>
  </si>
  <si>
    <t>Division 310 - C-Stores</t>
  </si>
  <si>
    <t>Division 330 - Combined 307 &amp; 314</t>
  </si>
  <si>
    <t>Division 308 - Combined Textbooks</t>
  </si>
  <si>
    <t>Division 331 - Combined 315 &amp; 326</t>
  </si>
  <si>
    <t>Division 332 - Combined 316, 320, &amp; 323</t>
  </si>
  <si>
    <t>Division 333 - Combined 307, 315, &amp; 326</t>
  </si>
  <si>
    <t>Division 4 - Food Services</t>
  </si>
  <si>
    <t>Division 310 &amp; 491 - C-Stores &amp; Cash Food Operations</t>
  </si>
  <si>
    <t>Division 491 - Cash Food Operations</t>
  </si>
  <si>
    <t>Division 492 - Residential Dining</t>
  </si>
  <si>
    <t>Division 5 - ID Card Services</t>
  </si>
  <si>
    <t>Division 6 - Computer Store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</si>
</sst>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4" formatCode="_(&quot;$&quot;* #,##0.00_);_(&quot;$&quot;* \(#,##0.00\);_(&quot;$&quot;* &quot;-&quot;??_);_(@_)"/>
    <numFmt numFmtId="164" formatCode="_(* #,##0_);_(* \(#,##0\);_(* &quot;-&quot;??_);_(@_)"/>
    <numFmt numFmtId="165" formatCode="#,##0.0%;\(#,##0.0%\)"/>
    <numFmt numFmtId="166" formatCode="_(&quot;$&quot;* #,##0_);_(&quot;$&quot;* \(#,##0\);_(&quot;$&quot;* &quot;-&quot;??_);_(@_)"/>
    <numFmt numFmtId="167" formatCode="[$-409]m/d/yy\ h:mm\ AM/PM;@"/>
    <numFmt numFmtId="168" formatCode="[$-409]mmmm\ d\,\ yyyy;@"/>
  </numFmts>
  <fonts count="7" x14ac:knownFonts="1">
    <font>
      <sz val="11"/>
      <color theme="1"/>
      <name val="Calibri"/>
      <scheme val="minor"/>
    </font>
    <font>
      <sz val="11"/>
      <color indexed="0"/>
      <name val="Calibri"/>
      <family val="2"/>
    </font>
    <font>
      <b/>
      <sz val="11"/>
      <color theme="1"/>
      <name val="Calibri"/>
      <scheme val="minor"/>
    </font>
    <font>
      <i/>
      <sz val="11"/>
      <color theme="1"/>
      <name val="Calibri"/>
      <scheme val="minor"/>
    </font>
    <font>
      <sz val="11"/>
      <color theme="0" tint="-0.499984740745262"/>
      <name val="Calibri"/>
      <scheme val="minor"/>
    </font>
    <font>
      <sz val="8"/>
      <color theme="0" tint="-0.499984740745262"/>
      <name val="Calibri"/>
      <scheme val="minor"/>
    </font>
    <font>
      <b/>
      <sz val="12"/>
      <color theme="1"/>
      <name val="Calibri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C324"/>
      </patternFill>
    </fill>
    <fill>
      <patternFill patternType="solid">
        <fgColor rgb="FFFFFF99"/>
      </patternFill>
    </fill>
  </fills>
  <borders count="6"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 style="thin">
        <color rgb="FF000000"/>
      </top>
      <bottom style="double">
        <color rgb="FF000000"/>
      </bottom>
      <diagonal/>
    </border>
    <border>
      <left/>
      <right/>
      <top/>
      <bottom style="double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4">
    <xf numFmtId="0" fontId="0" fillId="0" borderId="0" applyFill="0" applyBorder="0"/>
    <xf numFmtId="0" fontId="1" fillId="0" borderId="0" applyFont="0" applyFill="0" applyBorder="0">
      <alignment vertical="top"/>
    </xf>
    <xf numFmtId="44" fontId="1" fillId="0" borderId="0" applyFont="0" applyFill="0" applyBorder="0">
      <alignment vertical="top"/>
    </xf>
    <xf numFmtId="9" fontId="1" fillId="0" borderId="0" applyFont="0" applyFill="0" applyBorder="0">
      <alignment vertical="top"/>
    </xf>
  </cellStyleXfs>
  <cellXfs count="72">
    <xf numFmtId="0" fontId="0" fillId="0" borderId="0" xfId="0" applyNumberFormat="1" applyFont="1"/>
    <xf numFmtId="0" fontId="0" fillId="0" borderId="0" xfId="0" applyNumberFormat="1" applyFont="1"/>
    <xf numFmtId="164" fontId="0" fillId="0" borderId="0" xfId="1" applyNumberFormat="1" applyFont="1" applyAlignment="1"/>
    <xf numFmtId="164" fontId="3" fillId="0" borderId="0" xfId="1" applyNumberFormat="1" applyFont="1" applyAlignment="1"/>
    <xf numFmtId="164" fontId="0" fillId="0" borderId="0" xfId="1" applyNumberFormat="1" applyFont="1" applyAlignment="1"/>
    <xf numFmtId="164" fontId="2" fillId="0" borderId="0" xfId="1" applyNumberFormat="1" applyFont="1" applyAlignment="1"/>
    <xf numFmtId="165" fontId="0" fillId="0" borderId="0" xfId="3" applyNumberFormat="1" applyFont="1" applyAlignment="1"/>
    <xf numFmtId="164" fontId="3" fillId="0" borderId="0" xfId="1" applyNumberFormat="1" applyFont="1" applyAlignment="1"/>
    <xf numFmtId="165" fontId="3" fillId="0" borderId="0" xfId="3" applyNumberFormat="1" applyFont="1" applyAlignment="1"/>
    <xf numFmtId="165" fontId="0" fillId="0" borderId="0" xfId="3" applyNumberFormat="1" applyFont="1" applyAlignment="1"/>
    <xf numFmtId="0" fontId="0" fillId="0" borderId="0" xfId="0" applyNumberFormat="1" applyFont="1"/>
    <xf numFmtId="0" fontId="2" fillId="0" borderId="0" xfId="0" applyNumberFormat="1" applyFont="1"/>
    <xf numFmtId="0" fontId="3" fillId="0" borderId="0" xfId="0" applyNumberFormat="1" applyFont="1"/>
    <xf numFmtId="165" fontId="2" fillId="0" borderId="0" xfId="3" applyNumberFormat="1" applyFont="1" applyAlignment="1"/>
    <xf numFmtId="0" fontId="0" fillId="0" borderId="0" xfId="0" applyNumberFormat="1" applyFont="1"/>
    <xf numFmtId="164" fontId="2" fillId="2" borderId="0" xfId="1" applyNumberFormat="1" applyFont="1" applyFill="1" applyAlignment="1"/>
    <xf numFmtId="164" fontId="2" fillId="2" borderId="0" xfId="1" applyNumberFormat="1" applyFont="1" applyFill="1" applyAlignment="1"/>
    <xf numFmtId="0" fontId="2" fillId="2" borderId="1" xfId="0" applyNumberFormat="1" applyFont="1" applyFill="1" applyBorder="1" applyAlignment="1">
      <alignment horizontal="left"/>
    </xf>
    <xf numFmtId="0" fontId="0" fillId="0" borderId="0" xfId="0" applyNumberFormat="1" applyFont="1" applyAlignment="1">
      <alignment horizontal="left"/>
    </xf>
    <xf numFmtId="164" fontId="0" fillId="0" borderId="0" xfId="1" applyNumberFormat="1" applyFont="1" applyAlignment="1"/>
    <xf numFmtId="165" fontId="3" fillId="0" borderId="0" xfId="3" applyNumberFormat="1" applyFont="1" applyAlignment="1"/>
    <xf numFmtId="166" fontId="2" fillId="2" borderId="2" xfId="2" applyNumberFormat="1" applyFont="1" applyFill="1" applyBorder="1" applyAlignment="1"/>
    <xf numFmtId="164" fontId="2" fillId="0" borderId="0" xfId="1" applyNumberFormat="1" applyFont="1" applyAlignment="1"/>
    <xf numFmtId="165" fontId="2" fillId="2" borderId="2" xfId="3" applyNumberFormat="1" applyFont="1" applyFill="1" applyBorder="1" applyAlignment="1"/>
    <xf numFmtId="0" fontId="2" fillId="0" borderId="0" xfId="0" applyNumberFormat="1" applyFont="1"/>
    <xf numFmtId="49" fontId="0" fillId="0" borderId="0" xfId="0" applyNumberFormat="1" applyFont="1" applyAlignment="1">
      <alignment horizontal="right"/>
    </xf>
    <xf numFmtId="49" fontId="3" fillId="0" borderId="0" xfId="0" applyNumberFormat="1" applyFont="1" applyAlignment="1">
      <alignment horizontal="right"/>
    </xf>
    <xf numFmtId="0" fontId="2" fillId="2" borderId="0" xfId="0" applyNumberFormat="1" applyFont="1" applyFill="1" applyAlignment="1">
      <alignment horizontal="left"/>
    </xf>
    <xf numFmtId="0" fontId="2" fillId="0" borderId="0" xfId="0" applyNumberFormat="1" applyFont="1" applyAlignment="1">
      <alignment horizontal="left"/>
    </xf>
    <xf numFmtId="165" fontId="2" fillId="2" borderId="3" xfId="3" applyNumberFormat="1" applyFont="1" applyFill="1" applyBorder="1" applyAlignment="1"/>
    <xf numFmtId="165" fontId="2" fillId="0" borderId="0" xfId="3" applyNumberFormat="1" applyFont="1" applyAlignment="1"/>
    <xf numFmtId="165" fontId="2" fillId="2" borderId="4" xfId="3" applyNumberFormat="1" applyFont="1" applyFill="1" applyBorder="1" applyAlignment="1"/>
    <xf numFmtId="166" fontId="2" fillId="2" borderId="4" xfId="2" applyNumberFormat="1" applyFont="1" applyFill="1" applyBorder="1" applyAlignment="1"/>
    <xf numFmtId="49" fontId="2" fillId="0" borderId="0" xfId="0" applyNumberFormat="1" applyFont="1" applyAlignment="1">
      <alignment horizontal="center"/>
    </xf>
    <xf numFmtId="166" fontId="2" fillId="2" borderId="3" xfId="2" applyNumberFormat="1" applyFont="1" applyFill="1" applyBorder="1" applyAlignment="1"/>
    <xf numFmtId="0" fontId="0" fillId="0" borderId="0" xfId="0" applyNumberFormat="1" applyFont="1"/>
    <xf numFmtId="165" fontId="2" fillId="2" borderId="1" xfId="3" applyNumberFormat="1" applyFont="1" applyFill="1" applyBorder="1" applyAlignment="1">
      <alignment horizontal="left"/>
    </xf>
    <xf numFmtId="165" fontId="2" fillId="2" borderId="1" xfId="3" applyNumberFormat="1" applyFont="1" applyFill="1" applyBorder="1" applyAlignment="1">
      <alignment horizontal="center"/>
    </xf>
    <xf numFmtId="165" fontId="0" fillId="0" borderId="0" xfId="0" applyNumberFormat="1" applyFont="1" applyAlignment="1">
      <alignment horizontal="left"/>
    </xf>
    <xf numFmtId="0" fontId="0" fillId="3" borderId="5" xfId="0" applyNumberFormat="1" applyFont="1" applyFill="1" applyBorder="1" applyAlignment="1">
      <alignment horizontal="center" vertical="center" wrapText="1"/>
    </xf>
    <xf numFmtId="165" fontId="0" fillId="0" borderId="0" xfId="1" applyNumberFormat="1" applyFont="1" applyAlignment="1"/>
    <xf numFmtId="0" fontId="2" fillId="2" borderId="1" xfId="0" applyNumberFormat="1" applyFont="1" applyFill="1" applyBorder="1" applyAlignment="1">
      <alignment horizontal="center"/>
    </xf>
    <xf numFmtId="49" fontId="3" fillId="0" borderId="0" xfId="0" applyNumberFormat="1" applyFont="1"/>
    <xf numFmtId="165" fontId="2" fillId="2" borderId="1" xfId="0" applyNumberFormat="1" applyFont="1" applyFill="1" applyBorder="1" applyAlignment="1">
      <alignment horizontal="left"/>
    </xf>
    <xf numFmtId="165" fontId="0" fillId="0" borderId="0" xfId="3" applyNumberFormat="1" applyFont="1" applyAlignment="1">
      <alignment horizontal="left"/>
    </xf>
    <xf numFmtId="165" fontId="2" fillId="2" borderId="1" xfId="0" applyNumberFormat="1" applyFont="1" applyFill="1" applyBorder="1" applyAlignment="1">
      <alignment horizontal="center"/>
    </xf>
    <xf numFmtId="165" fontId="0" fillId="0" borderId="0" xfId="0" applyNumberFormat="1" applyFont="1"/>
    <xf numFmtId="164" fontId="2" fillId="0" borderId="0" xfId="1" applyNumberFormat="1" applyFont="1" applyAlignment="1">
      <alignment horizontal="left"/>
    </xf>
    <xf numFmtId="0" fontId="2" fillId="2" borderId="1" xfId="0" applyNumberFormat="1" applyFont="1" applyFill="1" applyBorder="1" applyAlignment="1">
      <alignment horizontal="center"/>
    </xf>
    <xf numFmtId="49" fontId="2" fillId="0" borderId="0" xfId="0" applyNumberFormat="1" applyFont="1"/>
    <xf numFmtId="0" fontId="4" fillId="0" borderId="0" xfId="0" applyNumberFormat="1" applyFont="1"/>
    <xf numFmtId="167" fontId="5" fillId="0" borderId="0" xfId="0" applyNumberFormat="1" applyFont="1" applyAlignment="1">
      <alignment horizontal="left"/>
    </xf>
    <xf numFmtId="168" fontId="0" fillId="0" borderId="0" xfId="0" applyNumberFormat="1" applyFont="1"/>
    <xf numFmtId="0" fontId="0" fillId="0" borderId="0" xfId="0" applyNumberFormat="1" applyFont="1" applyAlignment="1">
      <alignment horizontal="left"/>
    </xf>
    <xf numFmtId="0" fontId="2" fillId="0" borderId="0" xfId="0" applyNumberFormat="1" applyFont="1" applyAlignment="1">
      <alignment horizontal="left"/>
    </xf>
    <xf numFmtId="0" fontId="6" fillId="0" borderId="0" xfId="0" applyNumberFormat="1" applyFont="1"/>
    <xf numFmtId="49" fontId="2" fillId="2" borderId="1" xfId="0" applyNumberFormat="1" applyFont="1" applyFill="1" applyBorder="1" applyAlignment="1">
      <alignment horizontal="center"/>
    </xf>
    <xf numFmtId="0" fontId="2" fillId="0" borderId="0" xfId="0" applyNumberFormat="1" applyFont="1"/>
    <xf numFmtId="0" fontId="5" fillId="0" borderId="0" xfId="0" applyNumberFormat="1" applyFont="1" applyAlignment="1">
      <alignment horizontal="left"/>
    </xf>
    <xf numFmtId="164" fontId="2" fillId="0" borderId="0" xfId="1" applyNumberFormat="1" applyFont="1" applyAlignment="1">
      <alignment horizontal="left"/>
    </xf>
    <xf numFmtId="14" fontId="2" fillId="0" borderId="0" xfId="0" applyNumberFormat="1" applyFont="1" applyAlignment="1">
      <alignment horizontal="left"/>
    </xf>
    <xf numFmtId="0" fontId="2" fillId="0" borderId="0" xfId="0" applyNumberFormat="1" applyFont="1" applyAlignment="1">
      <alignment horizontal="left"/>
    </xf>
    <xf numFmtId="49" fontId="0" fillId="3" borderId="5" xfId="0" applyNumberFormat="1" applyFont="1" applyFill="1" applyBorder="1" applyAlignment="1">
      <alignment horizontal="center" vertical="center" wrapText="1"/>
    </xf>
    <xf numFmtId="0" fontId="2" fillId="0" borderId="0" xfId="0" applyNumberFormat="1" applyFont="1"/>
    <xf numFmtId="0" fontId="0" fillId="0" borderId="0" xfId="0" applyNumberFormat="1" applyFont="1"/>
    <xf numFmtId="0" fontId="0" fillId="0" borderId="0" xfId="0" applyNumberFormat="1" applyFont="1"/>
    <xf numFmtId="0" fontId="0" fillId="0" borderId="0" xfId="0" applyNumberFormat="1" applyFont="1"/>
    <xf numFmtId="165" fontId="0" fillId="0" borderId="0" xfId="0" applyNumberFormat="1" applyFont="1"/>
    <xf numFmtId="165" fontId="0" fillId="0" borderId="0" xfId="0" applyNumberFormat="1" applyFont="1"/>
    <xf numFmtId="0" fontId="0" fillId="0" borderId="0" xfId="0" applyNumberFormat="1" applyFont="1"/>
    <xf numFmtId="0" fontId="3" fillId="0" borderId="0" xfId="0" applyNumberFormat="1" applyFont="1"/>
    <xf numFmtId="49" fontId="0" fillId="0" borderId="0" xfId="0" applyNumberFormat="1" applyFont="1"/>
  </cellXfs>
  <cellStyles count="4">
    <cellStyle name="Comma" xfId="1" builtinId="3"/>
    <cellStyle name="Currency" xfId="2" builtinId="4"/>
    <cellStyle name="Normal" xfId="0" builtinId="0"/>
    <cellStyle name="Percent" xfId="3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styles" Target="styles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sheetMetadata" Target="metadata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4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4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4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4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4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4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3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4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4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4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4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4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4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4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4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5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5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5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5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5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5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5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5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5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5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5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5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5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5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10001</xdr:colOff>
      <xdr:row>1</xdr:row>
      <xdr:rowOff>11525</xdr:rowOff>
    </xdr:from>
    <xdr:to>
      <xdr:col>1</xdr:col>
      <xdr:colOff>1772222</xdr:colOff>
      <xdr:row>8</xdr:row>
      <xdr:rowOff>56198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5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  <a:ln w="0">
          <a:noFill/>
          <a:prstDash val="solid"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6.xml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7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8.xml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9.xml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0.xml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1.xml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2.xml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3.xml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4.xml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5.xml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6.xml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7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8.xml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9.xml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0.xml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1.xml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2.xml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3.xml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4.xml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5.xml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6.xml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7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8.xml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9.xml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0.xml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1.xml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2.xml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3.xml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4.xml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5.xml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6.xml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7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8.xml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9.xml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0.xml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1.xml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2.xml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3.xml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4.xml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5.xml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6.xml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8.xml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9.xml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0.xml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1.xml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2.xml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3.xml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4.xml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5.xml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6.xml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8.xml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9.xml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0.xml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F6BEE9-8F5C-0982-B8EB-8A27EDECDCAD}">
  <dimension ref="A1:DZ3"/>
  <sheetViews>
    <sheetView showGridLines="0" defaultGridColor="0" colorId="8" workbookViewId="0"/>
  </sheetViews>
  <sheetFormatPr defaultRowHeight="15" customHeight="1" x14ac:dyDescent="0.3"/>
  <cols>
    <col min="1" max="130" width="20.6640625" style="66" customWidth="1"/>
  </cols>
  <sheetData>
    <row r="1" spans="1:130" ht="15" customHeight="1" x14ac:dyDescent="0.3">
      <c r="B1" s="1">
        <v>4</v>
      </c>
    </row>
    <row r="3" spans="1:130" ht="30" customHeight="1" x14ac:dyDescent="0.3">
      <c r="A3" s="39" t="s">
        <v>0</v>
      </c>
      <c r="B3" s="39" t="s">
        <v>1</v>
      </c>
      <c r="C3" s="39" t="s">
        <v>2</v>
      </c>
      <c r="D3" s="39" t="s">
        <v>3</v>
      </c>
      <c r="E3" s="39" t="s">
        <v>4</v>
      </c>
      <c r="F3" s="39" t="s">
        <v>5</v>
      </c>
      <c r="G3" s="39" t="s">
        <v>6</v>
      </c>
      <c r="H3" s="39" t="s">
        <v>7</v>
      </c>
      <c r="I3" s="39" t="s">
        <v>8</v>
      </c>
      <c r="J3" s="39" t="s">
        <v>9</v>
      </c>
      <c r="K3" s="39" t="s">
        <v>10</v>
      </c>
      <c r="L3" s="39" t="s">
        <v>11</v>
      </c>
      <c r="M3" s="39" t="s">
        <v>12</v>
      </c>
      <c r="N3" s="39" t="s">
        <v>13</v>
      </c>
      <c r="O3" s="39" t="s">
        <v>14</v>
      </c>
      <c r="P3" s="39" t="s">
        <v>15</v>
      </c>
      <c r="Q3" s="39" t="s">
        <v>16</v>
      </c>
      <c r="R3" s="39" t="s">
        <v>17</v>
      </c>
      <c r="S3" s="39" t="s">
        <v>18</v>
      </c>
      <c r="T3" s="39" t="s">
        <v>19</v>
      </c>
      <c r="U3" s="39" t="s">
        <v>20</v>
      </c>
      <c r="V3" s="39" t="s">
        <v>21</v>
      </c>
      <c r="W3" s="39" t="s">
        <v>22</v>
      </c>
      <c r="X3" s="39" t="s">
        <v>23</v>
      </c>
      <c r="Y3" s="39" t="s">
        <v>24</v>
      </c>
      <c r="Z3" s="39" t="s">
        <v>25</v>
      </c>
      <c r="AA3" s="39" t="s">
        <v>26</v>
      </c>
      <c r="AB3" s="39" t="s">
        <v>27</v>
      </c>
      <c r="AC3" s="39" t="s">
        <v>28</v>
      </c>
      <c r="AD3" s="39" t="s">
        <v>29</v>
      </c>
      <c r="AE3" s="39" t="s">
        <v>30</v>
      </c>
      <c r="AF3" s="39" t="s">
        <v>31</v>
      </c>
      <c r="AG3" s="39" t="s">
        <v>32</v>
      </c>
      <c r="AH3" s="39" t="s">
        <v>33</v>
      </c>
      <c r="AI3" s="39" t="s">
        <v>34</v>
      </c>
      <c r="AJ3" s="39" t="s">
        <v>35</v>
      </c>
      <c r="AK3" s="39" t="s">
        <v>36</v>
      </c>
      <c r="AL3" s="39" t="s">
        <v>37</v>
      </c>
      <c r="AM3" s="39" t="s">
        <v>38</v>
      </c>
      <c r="AN3" s="39" t="s">
        <v>39</v>
      </c>
      <c r="AO3" s="39" t="s">
        <v>40</v>
      </c>
      <c r="AP3" s="39" t="s">
        <v>41</v>
      </c>
      <c r="AQ3" s="39" t="s">
        <v>42</v>
      </c>
      <c r="AR3" s="39" t="s">
        <v>43</v>
      </c>
      <c r="AS3" s="39" t="s">
        <v>44</v>
      </c>
      <c r="AT3" s="39" t="s">
        <v>45</v>
      </c>
      <c r="AU3" s="39" t="s">
        <v>46</v>
      </c>
      <c r="AV3" s="39" t="s">
        <v>47</v>
      </c>
      <c r="AW3" s="39" t="s">
        <v>48</v>
      </c>
      <c r="AX3" s="39" t="s">
        <v>49</v>
      </c>
      <c r="AY3" s="39" t="s">
        <v>50</v>
      </c>
      <c r="AZ3" s="39" t="s">
        <v>51</v>
      </c>
      <c r="BA3" s="39" t="s">
        <v>52</v>
      </c>
      <c r="BB3" s="39" t="s">
        <v>53</v>
      </c>
      <c r="BC3" s="39"/>
      <c r="BD3" s="39"/>
      <c r="BE3" s="39"/>
      <c r="BF3" s="39"/>
      <c r="BG3" s="39"/>
      <c r="BH3" s="39"/>
      <c r="BI3" s="39"/>
      <c r="BJ3" s="39"/>
      <c r="BK3" s="39"/>
      <c r="BL3" s="39"/>
      <c r="BM3" s="39"/>
      <c r="BN3" s="39"/>
      <c r="BO3" s="39"/>
      <c r="BP3" s="39"/>
      <c r="BQ3" s="39"/>
      <c r="BR3" s="39"/>
      <c r="BS3" s="39"/>
      <c r="BT3" s="39"/>
      <c r="BU3" s="39"/>
      <c r="BV3" s="39"/>
      <c r="BW3" s="39"/>
      <c r="BX3" s="39"/>
      <c r="BY3" s="39"/>
      <c r="BZ3" s="39"/>
      <c r="CA3" s="39"/>
      <c r="CB3" s="39"/>
      <c r="CC3" s="39"/>
      <c r="CD3" s="39"/>
      <c r="CE3" s="39"/>
      <c r="CF3" s="39"/>
      <c r="CG3" s="39"/>
      <c r="CH3" s="39"/>
      <c r="CI3" s="39"/>
      <c r="CJ3" s="39"/>
      <c r="CK3" s="39"/>
      <c r="CL3" s="39"/>
      <c r="CM3" s="39"/>
      <c r="CN3" s="39"/>
      <c r="CO3" s="39"/>
      <c r="CP3" s="39"/>
      <c r="CQ3" s="39"/>
      <c r="CR3" s="39"/>
      <c r="CS3" s="39"/>
      <c r="CT3" s="39"/>
      <c r="CU3" s="39"/>
      <c r="CV3" s="39"/>
      <c r="CW3" s="39"/>
      <c r="CX3" s="39"/>
      <c r="CY3" s="39"/>
      <c r="CZ3" s="39"/>
      <c r="DA3" s="39"/>
      <c r="DB3" s="39"/>
      <c r="DC3" s="39"/>
      <c r="DD3" s="39"/>
      <c r="DE3" s="39"/>
      <c r="DF3" s="39"/>
      <c r="DG3" s="39"/>
      <c r="DH3" s="39"/>
      <c r="DI3" s="39"/>
      <c r="DJ3" s="39"/>
      <c r="DK3" s="39"/>
      <c r="DL3" s="39"/>
      <c r="DM3" s="39"/>
      <c r="DN3" s="39"/>
      <c r="DO3" s="39"/>
      <c r="DP3" s="39"/>
      <c r="DQ3" s="39"/>
      <c r="DR3" s="39"/>
      <c r="DS3" s="39"/>
      <c r="DT3" s="39"/>
      <c r="DU3" s="39"/>
      <c r="DV3" s="39"/>
      <c r="DW3" s="39"/>
      <c r="DX3" s="39"/>
      <c r="DY3" s="39"/>
      <c r="DZ3" s="39"/>
    </row>
  </sheetData>
  <pageMargins left="0.7" right="0.7" top="0.75" bottom="0.75" header="0.3" footer="0.3"/>
  <pageSetup orientation="portrait"/>
  <headerFooter>
    <oddHeader>&amp;L&amp;C&amp;R</oddHeader>
    <oddFooter>&amp;L&amp;C&amp;R</oddFooter>
    <evenHeader>&amp;L&amp;C&amp;R</evenHeader>
    <evenFooter>&amp;L&amp;C&amp;R</even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CC7245-7D3C-201F-5BD8-865279DBE37E}">
  <sheetPr>
    <tabColor rgb="FFFFC000"/>
    <outlinePr summaryBelow="0" summaryRight="0"/>
  </sheetPr>
  <dimension ref="A2:Z41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6" customWidth="1"/>
    <col min="2" max="2" width="33.44140625" style="66" customWidth="1"/>
    <col min="3" max="3" width="1.88671875" style="66" customWidth="1"/>
    <col min="4" max="4" width="15" style="66" customWidth="1"/>
    <col min="5" max="5" width="1.88671875" style="66" customWidth="1" outlineLevel="1"/>
    <col min="6" max="6" width="15" style="67" customWidth="1" outlineLevel="1"/>
    <col min="7" max="7" width="1.88671875" style="66" customWidth="1" outlineLevel="1"/>
    <col min="8" max="8" width="15" style="66" customWidth="1" outlineLevel="1"/>
    <col min="9" max="9" width="1.88671875" style="66" customWidth="1" outlineLevel="1"/>
    <col min="10" max="10" width="15" style="68" customWidth="1" outlineLevel="1"/>
    <col min="11" max="11" width="1.88671875" style="66" customWidth="1" outlineLevel="1"/>
    <col min="12" max="12" width="15" style="66" customWidth="1" outlineLevel="1"/>
    <col min="13" max="13" width="1.88671875" style="66" customWidth="1" outlineLevel="1"/>
    <col min="14" max="14" width="15" style="67" customWidth="1" outlineLevel="1"/>
    <col min="15" max="15" width="1.88671875" style="64" customWidth="1"/>
    <col min="16" max="16" width="15" style="66" customWidth="1"/>
    <col min="17" max="17" width="1.88671875" style="66" customWidth="1" outlineLevel="1"/>
    <col min="18" max="18" width="15" style="68" customWidth="1" outlineLevel="1"/>
    <col min="19" max="19" width="1.88671875" style="66" customWidth="1" outlineLevel="1"/>
    <col min="20" max="20" width="15" style="66" customWidth="1" outlineLevel="1"/>
    <col min="21" max="21" width="1.88671875" style="66" customWidth="1" outlineLevel="1"/>
    <col min="22" max="22" width="15" style="68" customWidth="1" outlineLevel="1"/>
    <col min="23" max="23" width="1.88671875" style="66" customWidth="1" outlineLevel="1"/>
    <col min="24" max="24" width="15" style="66" customWidth="1" outlineLevel="1"/>
    <col min="25" max="25" width="1.88671875" style="66" customWidth="1" outlineLevel="1"/>
    <col min="26" max="26" width="15" style="68" customWidth="1" outlineLevel="1"/>
  </cols>
  <sheetData>
    <row r="2" spans="1:26" ht="15" customHeight="1" x14ac:dyDescent="0.3">
      <c r="D2" s="54" t="s">
        <v>276</v>
      </c>
    </row>
    <row r="3" spans="1:26" ht="15" customHeight="1" x14ac:dyDescent="0.3">
      <c r="D3" s="54" t="s">
        <v>277</v>
      </c>
      <c r="E3" s="18"/>
      <c r="F3" s="44"/>
      <c r="G3" s="18"/>
      <c r="H3" s="18"/>
      <c r="I3" s="18"/>
      <c r="J3" s="38"/>
      <c r="K3" s="18"/>
      <c r="L3" s="18"/>
      <c r="M3" s="18"/>
      <c r="N3" s="44"/>
      <c r="O3" s="53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ht="15" customHeight="1" x14ac:dyDescent="0.3">
      <c r="D4" s="54" t="e">
        <f ca="1">CONCATENATE("Period ",RIGHT(_xll.ONESTOP.REPORTPLAYER.OSRFUNCTIONS.OSRGET("Period","PeriodId"),2),", ",_xll.ONESTOP.REPORTPLAYER.OSRFUNCTIONS.OSRGET("Period","Year"))</f>
        <v>#NAME?</v>
      </c>
      <c r="E4" s="18"/>
      <c r="F4" s="44"/>
      <c r="G4" s="18"/>
      <c r="H4" s="18"/>
      <c r="I4" s="18"/>
      <c r="J4" s="38"/>
      <c r="K4" s="18"/>
      <c r="L4" s="18"/>
      <c r="M4" s="18"/>
      <c r="N4" s="44"/>
      <c r="O4" s="53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ht="15" customHeight="1" x14ac:dyDescent="0.3">
      <c r="A5" s="24"/>
      <c r="D5" s="61" t="e">
        <f ca="1">_xll.ONESTOP.REPORTPLAYER.OSRFUNCTIONS.OSRGET("Period","PeriodEnd")</f>
        <v>#NAME?</v>
      </c>
      <c r="E5" s="18"/>
      <c r="F5" s="44"/>
      <c r="G5" s="18"/>
      <c r="H5" s="18"/>
      <c r="I5" s="18"/>
      <c r="J5" s="38"/>
      <c r="K5" s="18"/>
      <c r="L5" s="18"/>
      <c r="M5" s="18"/>
      <c r="N5" s="44"/>
      <c r="O5" s="53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ht="15" customHeight="1" x14ac:dyDescent="0.3">
      <c r="A6" s="24"/>
      <c r="B6" s="47"/>
      <c r="C6" s="47"/>
      <c r="D6" s="24" t="s">
        <v>300</v>
      </c>
      <c r="E6" s="18"/>
      <c r="F6" s="44"/>
      <c r="G6" s="18"/>
      <c r="H6" s="18"/>
      <c r="I6" s="18"/>
      <c r="J6" s="38"/>
      <c r="K6" s="18"/>
      <c r="L6" s="18"/>
      <c r="M6" s="18"/>
      <c r="N6" s="44"/>
      <c r="O6" s="59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ht="15" customHeight="1" x14ac:dyDescent="0.3">
      <c r="B7" s="52"/>
    </row>
    <row r="8" spans="1:26" ht="15" customHeight="1" x14ac:dyDescent="0.3">
      <c r="B8" s="52"/>
    </row>
    <row r="9" spans="1:26" ht="15" customHeight="1" x14ac:dyDescent="0.3">
      <c r="B9" s="10"/>
      <c r="C9" s="10"/>
      <c r="D9" s="17" t="s">
        <v>279</v>
      </c>
      <c r="E9" s="17"/>
      <c r="F9" s="36"/>
      <c r="G9" s="17"/>
      <c r="H9" s="17"/>
      <c r="I9" s="17"/>
      <c r="J9" s="43"/>
      <c r="K9" s="17"/>
      <c r="L9" s="17"/>
      <c r="M9" s="17"/>
      <c r="N9" s="36"/>
      <c r="P9" s="17" t="s">
        <v>280</v>
      </c>
      <c r="Q9" s="17"/>
      <c r="R9" s="36"/>
      <c r="S9" s="17"/>
      <c r="T9" s="17"/>
      <c r="U9" s="17"/>
      <c r="V9" s="43"/>
      <c r="W9" s="17"/>
      <c r="X9" s="17"/>
      <c r="Y9" s="17"/>
      <c r="Z9" s="36"/>
    </row>
    <row r="10" spans="1:26" ht="15" customHeight="1" x14ac:dyDescent="0.3">
      <c r="A10" s="11"/>
      <c r="B10" s="57"/>
      <c r="C10" s="11"/>
      <c r="D10" s="41" t="s">
        <v>281</v>
      </c>
      <c r="E10" s="33"/>
      <c r="F10" s="37" t="s">
        <v>282</v>
      </c>
      <c r="G10" s="33"/>
      <c r="H10" s="48" t="s">
        <v>283</v>
      </c>
      <c r="I10" s="33"/>
      <c r="J10" s="45" t="s">
        <v>284</v>
      </c>
      <c r="K10" s="11"/>
      <c r="L10" s="41" t="s">
        <v>285</v>
      </c>
      <c r="M10" s="11"/>
      <c r="N10" s="37" t="s">
        <v>286</v>
      </c>
      <c r="O10" s="11"/>
      <c r="P10" s="56" t="s">
        <v>281</v>
      </c>
      <c r="Q10" s="33"/>
      <c r="R10" s="37" t="s">
        <v>282</v>
      </c>
      <c r="S10" s="33"/>
      <c r="T10" s="48" t="s">
        <v>283</v>
      </c>
      <c r="U10" s="33"/>
      <c r="V10" s="45" t="s">
        <v>284</v>
      </c>
      <c r="W10" s="11"/>
      <c r="X10" s="41" t="s">
        <v>285</v>
      </c>
      <c r="Y10" s="11"/>
      <c r="Z10" s="37" t="s">
        <v>286</v>
      </c>
    </row>
    <row r="11" spans="1:26" ht="16.5" customHeight="1" x14ac:dyDescent="0.3">
      <c r="A11" s="10"/>
      <c r="B11" s="55"/>
      <c r="C11" s="10"/>
      <c r="D11" s="10"/>
      <c r="E11" s="10"/>
      <c r="F11" s="9"/>
      <c r="G11" s="10"/>
      <c r="H11" s="10"/>
      <c r="I11" s="10"/>
      <c r="J11" s="46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6"/>
      <c r="W11" s="10"/>
      <c r="X11" s="10"/>
      <c r="Y11" s="10"/>
      <c r="Z11" s="9"/>
    </row>
    <row r="12" spans="1:26" s="63" customFormat="1" ht="15" customHeight="1" collapsed="1" x14ac:dyDescent="0.3">
      <c r="A12" s="11"/>
      <c r="B12" s="28" t="s">
        <v>287</v>
      </c>
      <c r="C12" s="11"/>
      <c r="D12" s="5" t="e">
        <f ca="1">SUM(_xll.ONESTOP.REPORTPLAYER.OSRFUNCTIONS.OSRREF(D13))</f>
        <v>#NAME?</v>
      </c>
      <c r="E12" s="5"/>
      <c r="F12" s="13"/>
      <c r="G12" s="5"/>
      <c r="H12" s="5" t="e">
        <f ca="1">SUM(_xll.ONESTOP.REPORTPLAYER.OSRFUNCTIONS.OSRREF(H13))</f>
        <v>#NAME?</v>
      </c>
      <c r="I12" s="5"/>
      <c r="J12" s="13"/>
      <c r="K12" s="5"/>
      <c r="L12" s="5" t="e">
        <f ca="1">+D12-H12</f>
        <v>#NAME?</v>
      </c>
      <c r="M12" s="5"/>
      <c r="N12" s="13" t="e">
        <f ca="1">IF(H12=0,0,L12/H12)</f>
        <v>#NAME?</v>
      </c>
      <c r="O12" s="11"/>
      <c r="P12" s="5" t="e">
        <f ca="1">SUM(_xll.ONESTOP.REPORTPLAYER.OSRFUNCTIONS.OSRREF(P13))</f>
        <v>#NAME?</v>
      </c>
      <c r="Q12" s="5"/>
      <c r="R12" s="13"/>
      <c r="S12" s="5"/>
      <c r="T12" s="5" t="e">
        <f ca="1">SUM(_xll.ONESTOP.REPORTPLAYER.OSRFUNCTIONS.OSRREF(T13))</f>
        <v>#NAME?</v>
      </c>
      <c r="U12" s="5"/>
      <c r="V12" s="13"/>
      <c r="W12" s="5"/>
      <c r="X12" s="5" t="e">
        <f ca="1">+P12-T12</f>
        <v>#NAME?</v>
      </c>
      <c r="Y12" s="5"/>
      <c r="Z12" s="13" t="e">
        <f ca="1">IF(T12=0,0,X12/T12)</f>
        <v>#NAME?</v>
      </c>
    </row>
    <row r="13" spans="1:26" s="70" customFormat="1" ht="15" hidden="1" customHeight="1" outlineLevel="1" x14ac:dyDescent="0.3">
      <c r="A13" s="42"/>
      <c r="B13" s="12" t="e">
        <f ca="1">CONCATENATE("          ",_xll.ONESTOP.REPORTPLAYER.OSRFUNCTIONS.OSRGET("d_Account","Code")," - ",_xll.ONESTOP.REPORTPLAYER.OSRFUNCTIONS.OSRGET("d_Account","Description"))</f>
        <v>#NAME?</v>
      </c>
      <c r="C13" s="12"/>
      <c r="D13" s="3" t="e">
        <f ca="1">-_xll.ONESTOP.REPORTPLAYER.OSRFUNCTIONS.OSRGET("GL_F_Trans","Value1")</f>
        <v>#NAME?</v>
      </c>
      <c r="E13" s="3"/>
      <c r="F13" s="20"/>
      <c r="G13" s="3"/>
      <c r="H13" s="3" t="e">
        <f ca="1">_xll.ONESTOP.REPORTPLAYER.OSRFUNCTIONS.OSRGET("GL_F_Trans","Value1")</f>
        <v>#NAME?</v>
      </c>
      <c r="I13" s="3"/>
      <c r="J13" s="20"/>
      <c r="K13" s="3"/>
      <c r="L13" s="3" t="e">
        <f ca="1">+D13-H13</f>
        <v>#NAME?</v>
      </c>
      <c r="M13" s="3"/>
      <c r="N13" s="20" t="e">
        <f ca="1">IF(H13=0,0,L13/H13)</f>
        <v>#NAME?</v>
      </c>
      <c r="O13" s="12"/>
      <c r="P13" s="3" t="e">
        <f ca="1">-_xll.ONESTOP.REPORTPLAYER.OSRFUNCTIONS.OSRGET("GL_F_Trans","Value1")</f>
        <v>#NAME?</v>
      </c>
      <c r="Q13" s="3"/>
      <c r="R13" s="20"/>
      <c r="S13" s="3"/>
      <c r="T13" s="3" t="e">
        <f ca="1">_xll.ONESTOP.REPORTPLAYER.OSRFUNCTIONS.OSRGET("GL_F_Trans","Value1")</f>
        <v>#NAME?</v>
      </c>
      <c r="U13" s="3"/>
      <c r="V13" s="20"/>
      <c r="W13" s="3"/>
      <c r="X13" s="3" t="e">
        <f ca="1">+P13-T13</f>
        <v>#NAME?</v>
      </c>
      <c r="Y13" s="3"/>
      <c r="Z13" s="20" t="e">
        <f ca="1">IF(T13=0,0,X13/T13)</f>
        <v>#NAME?</v>
      </c>
    </row>
    <row r="14" spans="1:26" ht="15" customHeight="1" x14ac:dyDescent="0.3">
      <c r="A14" s="10"/>
      <c r="B14" s="11"/>
      <c r="C14" s="10"/>
      <c r="D14" s="4"/>
      <c r="E14" s="4"/>
      <c r="F14" s="9"/>
      <c r="G14" s="4"/>
      <c r="H14" s="4"/>
      <c r="I14" s="4"/>
      <c r="J14" s="9"/>
      <c r="K14" s="4"/>
      <c r="L14" s="4"/>
      <c r="M14" s="4"/>
      <c r="N14" s="9"/>
      <c r="P14" s="4"/>
      <c r="Q14" s="4"/>
      <c r="R14" s="9"/>
      <c r="S14" s="4"/>
      <c r="T14" s="4"/>
      <c r="U14" s="4"/>
      <c r="V14" s="9"/>
      <c r="W14" s="4"/>
      <c r="X14" s="4"/>
      <c r="Y14" s="4"/>
      <c r="Z14" s="9"/>
    </row>
    <row r="15" spans="1:26" s="63" customFormat="1" ht="15" customHeight="1" collapsed="1" x14ac:dyDescent="0.3">
      <c r="A15" s="11"/>
      <c r="B15" s="28" t="s">
        <v>288</v>
      </c>
      <c r="C15" s="11"/>
      <c r="D15" s="5" t="e">
        <f ca="1">SUM(_xll.ONESTOP.REPORTPLAYER.OSRFUNCTIONS.OSRREF(D16))</f>
        <v>#NAME?</v>
      </c>
      <c r="E15" s="5"/>
      <c r="F15" s="13" t="e">
        <f ca="1">IF(D$12=0,0,D15/D$12)</f>
        <v>#NAME?</v>
      </c>
      <c r="G15" s="5"/>
      <c r="H15" s="5" t="e">
        <f ca="1">SUM(_xll.ONESTOP.REPORTPLAYER.OSRFUNCTIONS.OSRREF(H16))</f>
        <v>#NAME?</v>
      </c>
      <c r="I15" s="5"/>
      <c r="J15" s="13" t="e">
        <f ca="1">IF(H$12=0,0,H15/H$12)</f>
        <v>#NAME?</v>
      </c>
      <c r="K15" s="5"/>
      <c r="L15" s="5" t="e">
        <f ca="1">+D15-H15</f>
        <v>#NAME?</v>
      </c>
      <c r="M15" s="5"/>
      <c r="N15" s="13" t="e">
        <f ca="1">IF(H15=0,0,L15/H15)</f>
        <v>#NAME?</v>
      </c>
      <c r="O15" s="11"/>
      <c r="P15" s="5" t="e">
        <f ca="1">SUM(_xll.ONESTOP.REPORTPLAYER.OSRFUNCTIONS.OSRREF(P16))</f>
        <v>#NAME?</v>
      </c>
      <c r="Q15" s="5"/>
      <c r="R15" s="13" t="e">
        <f ca="1">IF(P$12=0,0,P15/P$12)</f>
        <v>#NAME?</v>
      </c>
      <c r="S15" s="5"/>
      <c r="T15" s="5" t="e">
        <f ca="1">SUM(_xll.ONESTOP.REPORTPLAYER.OSRFUNCTIONS.OSRREF(T16))</f>
        <v>#NAME?</v>
      </c>
      <c r="U15" s="5"/>
      <c r="V15" s="13" t="e">
        <f ca="1">IF(T$12=0,0,T15/T$12)</f>
        <v>#NAME?</v>
      </c>
      <c r="W15" s="5"/>
      <c r="X15" s="5" t="e">
        <f ca="1">+P15-T15</f>
        <v>#NAME?</v>
      </c>
      <c r="Y15" s="5"/>
      <c r="Z15" s="13" t="e">
        <f ca="1">IF(T15=0,0,X15/T15)</f>
        <v>#NAME?</v>
      </c>
    </row>
    <row r="16" spans="1:26" s="70" customFormat="1" ht="15" hidden="1" customHeight="1" outlineLevel="1" x14ac:dyDescent="0.3">
      <c r="A16" s="42"/>
      <c r="B16" s="12" t="e">
        <f ca="1">CONCATENATE("          ",_xll.ONESTOP.REPORTPLAYER.OSRFUNCTIONS.OSRGET("d_Account","Code")," - ",_xll.ONESTOP.REPORTPLAYER.OSRFUNCTIONS.OSRGET("d_Account","Description"))</f>
        <v>#NAME?</v>
      </c>
      <c r="C16" s="12"/>
      <c r="D16" s="3" t="e">
        <f ca="1">_xll.ONESTOP.REPORTPLAYER.OSRFUNCTIONS.OSRGET("GL_F_Trans","Value1")</f>
        <v>#NAME?</v>
      </c>
      <c r="E16" s="3"/>
      <c r="F16" s="20" t="e">
        <f ca="1">IF(D$12=0,0,D16/D$12)</f>
        <v>#NAME?</v>
      </c>
      <c r="G16" s="3"/>
      <c r="H16" s="3" t="e">
        <f ca="1">_xll.ONESTOP.REPORTPLAYER.OSRFUNCTIONS.OSRGET("GL_F_Trans","Value1")</f>
        <v>#NAME?</v>
      </c>
      <c r="I16" s="3"/>
      <c r="J16" s="20" t="e">
        <f ca="1">IF(H$12=0,0,H16/H$12)</f>
        <v>#NAME?</v>
      </c>
      <c r="K16" s="3"/>
      <c r="L16" s="3" t="e">
        <f ca="1">+D16-H16</f>
        <v>#NAME?</v>
      </c>
      <c r="M16" s="3"/>
      <c r="N16" s="20" t="e">
        <f ca="1">IF(H16=0,0,L16/H16)</f>
        <v>#NAME?</v>
      </c>
      <c r="O16" s="12"/>
      <c r="P16" s="3" t="e">
        <f ca="1">_xll.ONESTOP.REPORTPLAYER.OSRFUNCTIONS.OSRGET("GL_F_Trans","Value1")</f>
        <v>#NAME?</v>
      </c>
      <c r="Q16" s="3"/>
      <c r="R16" s="20" t="e">
        <f ca="1">IF(P$12=0,0,P16/P$12)</f>
        <v>#NAME?</v>
      </c>
      <c r="S16" s="3"/>
      <c r="T16" s="3" t="e">
        <f ca="1">_xll.ONESTOP.REPORTPLAYER.OSRFUNCTIONS.OSRGET("GL_F_Trans","Value1")</f>
        <v>#NAME?</v>
      </c>
      <c r="U16" s="3"/>
      <c r="V16" s="20" t="e">
        <f ca="1">IF(T$12=0,0,T16/T$12)</f>
        <v>#NAME?</v>
      </c>
      <c r="W16" s="3"/>
      <c r="X16" s="3" t="e">
        <f ca="1">+P16-T16</f>
        <v>#NAME?</v>
      </c>
      <c r="Y16" s="3"/>
      <c r="Z16" s="20" t="e">
        <f ca="1">IF(T16=0,0,X16/T16)</f>
        <v>#NAME?</v>
      </c>
    </row>
    <row r="17" spans="1:26" ht="15" customHeight="1" x14ac:dyDescent="0.3">
      <c r="A17" s="10"/>
      <c r="B17" s="11"/>
      <c r="C17" s="11"/>
      <c r="D17" s="4"/>
      <c r="E17" s="4"/>
      <c r="F17" s="9"/>
      <c r="G17" s="4"/>
      <c r="H17" s="4"/>
      <c r="I17" s="4"/>
      <c r="J17" s="9"/>
      <c r="K17" s="4"/>
      <c r="L17" s="4"/>
      <c r="M17" s="4"/>
      <c r="N17" s="9"/>
      <c r="O17" s="11"/>
      <c r="P17" s="4"/>
      <c r="Q17" s="4"/>
      <c r="R17" s="9"/>
      <c r="S17" s="4"/>
      <c r="T17" s="4"/>
      <c r="U17" s="4"/>
      <c r="V17" s="9"/>
      <c r="W17" s="4"/>
      <c r="X17" s="4"/>
      <c r="Y17" s="4"/>
      <c r="Z17" s="9"/>
    </row>
    <row r="18" spans="1:26" s="63" customFormat="1" ht="15" customHeight="1" x14ac:dyDescent="0.3">
      <c r="A18" s="11"/>
      <c r="B18" s="27" t="s">
        <v>289</v>
      </c>
      <c r="C18" s="27"/>
      <c r="D18" s="21" t="e">
        <f ca="1">D12-D15</f>
        <v>#NAME?</v>
      </c>
      <c r="E18" s="15"/>
      <c r="F18" s="23" t="e">
        <f ca="1">IF(D$12=0,0,D18/D$12)</f>
        <v>#NAME?</v>
      </c>
      <c r="G18" s="15"/>
      <c r="H18" s="21" t="e">
        <f ca="1">H12-H15</f>
        <v>#NAME?</v>
      </c>
      <c r="I18" s="15"/>
      <c r="J18" s="23" t="e">
        <f ca="1">IF(H$12=0,0,H18/H$12)</f>
        <v>#NAME?</v>
      </c>
      <c r="K18" s="16"/>
      <c r="L18" s="21" t="e">
        <f ca="1">+D18-H18</f>
        <v>#NAME?</v>
      </c>
      <c r="M18" s="16"/>
      <c r="N18" s="23" t="e">
        <f ca="1">IF(H18=0,0,L18/H18)</f>
        <v>#NAME?</v>
      </c>
      <c r="O18" s="28"/>
      <c r="P18" s="21" t="e">
        <f ca="1">P12-P15</f>
        <v>#NAME?</v>
      </c>
      <c r="Q18" s="15"/>
      <c r="R18" s="23" t="e">
        <f ca="1">IF(P$12=0,0,P18/P$12)</f>
        <v>#NAME?</v>
      </c>
      <c r="S18" s="15"/>
      <c r="T18" s="21" t="e">
        <f ca="1">T12-T15</f>
        <v>#NAME?</v>
      </c>
      <c r="U18" s="15"/>
      <c r="V18" s="23" t="e">
        <f ca="1">IF(T$12=0,0,T18/T$12)</f>
        <v>#NAME?</v>
      </c>
      <c r="W18" s="16"/>
      <c r="X18" s="21" t="e">
        <f ca="1">+P18-T18</f>
        <v>#NAME?</v>
      </c>
      <c r="Y18" s="16"/>
      <c r="Z18" s="23" t="e">
        <f ca="1">IF(T18=0,0,X18/T18)</f>
        <v>#NAME?</v>
      </c>
    </row>
    <row r="19" spans="1:26" ht="15" customHeight="1" x14ac:dyDescent="0.3">
      <c r="A19" s="10"/>
      <c r="B19" s="11"/>
      <c r="C19" s="10"/>
      <c r="D19" s="2"/>
      <c r="E19" s="2"/>
      <c r="F19" s="6"/>
      <c r="G19" s="2"/>
      <c r="H19" s="2"/>
      <c r="I19" s="2"/>
      <c r="J19" s="6"/>
      <c r="K19" s="2"/>
      <c r="L19" s="2"/>
      <c r="M19" s="2"/>
      <c r="N19" s="6"/>
      <c r="O19" s="35"/>
      <c r="P19" s="2"/>
      <c r="Q19" s="2"/>
      <c r="R19" s="6"/>
      <c r="S19" s="2"/>
      <c r="T19" s="2"/>
      <c r="U19" s="2"/>
      <c r="V19" s="6"/>
      <c r="W19" s="2"/>
      <c r="X19" s="2"/>
      <c r="Y19" s="2"/>
      <c r="Z19" s="6"/>
    </row>
    <row r="20" spans="1:26" s="63" customFormat="1" ht="15" customHeight="1" x14ac:dyDescent="0.3">
      <c r="A20" s="11"/>
      <c r="B20" s="28" t="s">
        <v>290</v>
      </c>
      <c r="C20" s="11"/>
      <c r="D20" s="22" t="e">
        <f ca="1">SUM(_xll.ONESTOP.REPORTPLAYER.OSRFUNCTIONS.OSRREF(D22))</f>
        <v>#NAME?</v>
      </c>
      <c r="E20" s="22"/>
      <c r="F20" s="30" t="e">
        <f ca="1">IF(D$12=0,0,D20/D$12)</f>
        <v>#NAME?</v>
      </c>
      <c r="G20" s="22"/>
      <c r="H20" s="22" t="e">
        <f ca="1">SUM(_xll.ONESTOP.REPORTPLAYER.OSRFUNCTIONS.OSRREF(H22))</f>
        <v>#NAME?</v>
      </c>
      <c r="I20" s="22"/>
      <c r="J20" s="30" t="e">
        <f ca="1">IF(H$12=0,0,H20/H$12)</f>
        <v>#NAME?</v>
      </c>
      <c r="K20" s="5"/>
      <c r="L20" s="22" t="e">
        <f ca="1">+D20-H20</f>
        <v>#NAME?</v>
      </c>
      <c r="M20" s="5"/>
      <c r="N20" s="30" t="e">
        <f ca="1">IF(H20=0,0,L20/H20)</f>
        <v>#NAME?</v>
      </c>
      <c r="O20" s="11"/>
      <c r="P20" s="22" t="e">
        <f ca="1">SUM(_xll.ONESTOP.REPORTPLAYER.OSRFUNCTIONS.OSRREF(P22))</f>
        <v>#NAME?</v>
      </c>
      <c r="Q20" s="22"/>
      <c r="R20" s="30" t="e">
        <f ca="1">IF(P$12=0,0,P20/P$12)</f>
        <v>#NAME?</v>
      </c>
      <c r="S20" s="22"/>
      <c r="T20" s="22" t="e">
        <f ca="1">SUM(_xll.ONESTOP.REPORTPLAYER.OSRFUNCTIONS.OSRREF(T22))</f>
        <v>#NAME?</v>
      </c>
      <c r="U20" s="22"/>
      <c r="V20" s="30" t="e">
        <f ca="1">IF(T$12=0,0,T20/T$12)</f>
        <v>#NAME?</v>
      </c>
      <c r="W20" s="5"/>
      <c r="X20" s="22" t="e">
        <f ca="1">+P20-T20</f>
        <v>#NAME?</v>
      </c>
      <c r="Y20" s="5"/>
      <c r="Z20" s="30" t="e">
        <f ca="1">IF(T20=0,0,X20/T20)</f>
        <v>#NAME?</v>
      </c>
    </row>
    <row r="21" spans="1:26" s="69" customFormat="1" ht="15" customHeight="1" outlineLevel="1" collapsed="1" x14ac:dyDescent="0.3">
      <c r="A21" s="25"/>
      <c r="B21" s="14" t="e">
        <f ca="1">CONCATENATE("     ",_xll.ONESTOP.REPORTPLAYER.OSRFUNCTIONS.OSRGET("d_Account","AccountCategory"))</f>
        <v>#NAME?</v>
      </c>
      <c r="C21" s="14"/>
      <c r="D21" s="2" t="e">
        <f ca="1">SUM(_xll.ONESTOP.REPORTPLAYER.OSRFUNCTIONS.OSRREF(D22))</f>
        <v>#NAME?</v>
      </c>
      <c r="E21" s="2"/>
      <c r="F21" s="6" t="e">
        <f ca="1">IF(D$12=0,0,D21/D$12)</f>
        <v>#NAME?</v>
      </c>
      <c r="G21" s="2"/>
      <c r="H21" s="2" t="e">
        <f ca="1">SUM(_xll.ONESTOP.REPORTPLAYER.OSRFUNCTIONS.OSRREF(H22))</f>
        <v>#NAME?</v>
      </c>
      <c r="I21" s="2"/>
      <c r="J21" s="6" t="e">
        <f ca="1">IF(H$12=0,0,H21/H$12)</f>
        <v>#NAME?</v>
      </c>
      <c r="K21" s="2"/>
      <c r="L21" s="2" t="e">
        <f ca="1">+D21-H21</f>
        <v>#NAME?</v>
      </c>
      <c r="M21" s="2"/>
      <c r="N21" s="6" t="e">
        <f ca="1">IF(H21=0,0,L21/H21)</f>
        <v>#NAME?</v>
      </c>
      <c r="O21" s="14"/>
      <c r="P21" s="2" t="e">
        <f ca="1">SUM(_xll.ONESTOP.REPORTPLAYER.OSRFUNCTIONS.OSRREF(P22))</f>
        <v>#NAME?</v>
      </c>
      <c r="Q21" s="2"/>
      <c r="R21" s="6" t="e">
        <f ca="1">IF(P$12=0,0,P21/P$12)</f>
        <v>#NAME?</v>
      </c>
      <c r="S21" s="2"/>
      <c r="T21" s="2" t="e">
        <f ca="1">SUM(_xll.ONESTOP.REPORTPLAYER.OSRFUNCTIONS.OSRREF(T22))</f>
        <v>#NAME?</v>
      </c>
      <c r="U21" s="2"/>
      <c r="V21" s="6" t="e">
        <f ca="1">IF(T$12=0,0,T21/T$12)</f>
        <v>#NAME?</v>
      </c>
      <c r="W21" s="2"/>
      <c r="X21" s="2" t="e">
        <f ca="1">+P21-T21</f>
        <v>#NAME?</v>
      </c>
      <c r="Y21" s="2"/>
      <c r="Z21" s="6" t="e">
        <f ca="1">IF(T21=0,0,X21/T21)</f>
        <v>#NAME?</v>
      </c>
    </row>
    <row r="22" spans="1:26" s="70" customFormat="1" ht="15" hidden="1" customHeight="1" outlineLevel="2" x14ac:dyDescent="0.3">
      <c r="A22" s="26"/>
      <c r="B22" s="12" t="e">
        <f ca="1">CONCATENATE("          ",_xll.ONESTOP.REPORTPLAYER.OSRFUNCTIONS.OSRGET("d_Account","Code")," - ",_xll.ONESTOP.REPORTPLAYER.OSRFUNCTIONS.OSRGET("d_Account","Description"))</f>
        <v>#NAME?</v>
      </c>
      <c r="C22" s="12"/>
      <c r="D22" s="7" t="e">
        <f ca="1">_xll.ONESTOP.REPORTPLAYER.OSRFUNCTIONS.OSRGET("GL_F_Trans","Value1")</f>
        <v>#NAME?</v>
      </c>
      <c r="E22" s="3"/>
      <c r="F22" s="8" t="e">
        <f ca="1">IF(D$12=0,0,D22/D$12)</f>
        <v>#NAME?</v>
      </c>
      <c r="G22" s="3"/>
      <c r="H22" s="7" t="e">
        <f ca="1">_xll.ONESTOP.REPORTPLAYER.OSRFUNCTIONS.OSRGET("GL_F_Trans","Value1")</f>
        <v>#NAME?</v>
      </c>
      <c r="I22" s="3"/>
      <c r="J22" s="8" t="e">
        <f ca="1">IF(H$12=0,0,H22/H$12)</f>
        <v>#NAME?</v>
      </c>
      <c r="K22" s="3"/>
      <c r="L22" s="7" t="e">
        <f ca="1">+D22-H22</f>
        <v>#NAME?</v>
      </c>
      <c r="M22" s="3"/>
      <c r="N22" s="8" t="e">
        <f ca="1">IF(H22=0,0,L22/H22)</f>
        <v>#NAME?</v>
      </c>
      <c r="O22" s="12"/>
      <c r="P22" s="7" t="e">
        <f ca="1">_xll.ONESTOP.REPORTPLAYER.OSRFUNCTIONS.OSRGET("GL_F_Trans","Value1")</f>
        <v>#NAME?</v>
      </c>
      <c r="Q22" s="3"/>
      <c r="R22" s="8" t="e">
        <f ca="1">IF(P$12=0,0,P22/P$12)</f>
        <v>#NAME?</v>
      </c>
      <c r="S22" s="3"/>
      <c r="T22" s="7" t="e">
        <f ca="1">_xll.ONESTOP.REPORTPLAYER.OSRFUNCTIONS.OSRGET("GL_F_Trans","Value1")</f>
        <v>#NAME?</v>
      </c>
      <c r="U22" s="3"/>
      <c r="V22" s="8" t="e">
        <f ca="1">IF(T$12=0,0,T22/T$12)</f>
        <v>#NAME?</v>
      </c>
      <c r="W22" s="3"/>
      <c r="X22" s="7" t="e">
        <f ca="1">+P22-T22</f>
        <v>#NAME?</v>
      </c>
      <c r="Y22" s="3"/>
      <c r="Z22" s="8" t="e">
        <f ca="1">IF(T22=0,0,X22/T22)</f>
        <v>#NAME?</v>
      </c>
    </row>
    <row r="23" spans="1:26" s="65" customFormat="1" ht="15" customHeight="1" x14ac:dyDescent="0.3">
      <c r="A23" s="35"/>
      <c r="B23" s="35"/>
      <c r="C23" s="35"/>
      <c r="D23" s="2"/>
      <c r="E23" s="2"/>
      <c r="F23" s="6"/>
      <c r="G23" s="2"/>
      <c r="H23" s="2"/>
      <c r="I23" s="2"/>
      <c r="J23" s="6"/>
      <c r="K23" s="2"/>
      <c r="L23" s="2"/>
      <c r="M23" s="2"/>
      <c r="N23" s="6"/>
      <c r="O23" s="35"/>
      <c r="P23" s="2"/>
      <c r="Q23" s="2"/>
      <c r="R23" s="6"/>
      <c r="S23" s="2"/>
      <c r="T23" s="2"/>
      <c r="U23" s="2"/>
      <c r="V23" s="6"/>
      <c r="W23" s="2"/>
      <c r="X23" s="2"/>
      <c r="Y23" s="2"/>
      <c r="Z23" s="6"/>
    </row>
    <row r="24" spans="1:26" s="63" customFormat="1" ht="15" customHeight="1" collapsed="1" x14ac:dyDescent="0.3">
      <c r="A24" s="11"/>
      <c r="B24" s="28" t="s">
        <v>291</v>
      </c>
      <c r="C24" s="11"/>
      <c r="D24" s="5" t="e">
        <f ca="1">SUM(_xll.ONESTOP.REPORTPLAYER.OSRFUNCTIONS.OSRREF(D25))</f>
        <v>#NAME?</v>
      </c>
      <c r="E24" s="5"/>
      <c r="F24" s="13" t="e">
        <f ca="1">IF(D$12=0,0,D24/D$12)</f>
        <v>#NAME?</v>
      </c>
      <c r="G24" s="5"/>
      <c r="H24" s="5" t="e">
        <f ca="1">SUM(_xll.ONESTOP.REPORTPLAYER.OSRFUNCTIONS.OSRREF(H25))</f>
        <v>#NAME?</v>
      </c>
      <c r="I24" s="5"/>
      <c r="J24" s="13" t="e">
        <f ca="1">IF(H$12=0,0,H24/H$12)</f>
        <v>#NAME?</v>
      </c>
      <c r="K24" s="5"/>
      <c r="L24" s="5" t="e">
        <f ca="1">+D24-H24</f>
        <v>#NAME?</v>
      </c>
      <c r="M24" s="5"/>
      <c r="N24" s="13" t="e">
        <f ca="1">IF(H24=0,0,L24/H24)</f>
        <v>#NAME?</v>
      </c>
      <c r="O24" s="11"/>
      <c r="P24" s="5" t="e">
        <f ca="1">SUM(_xll.ONESTOP.REPORTPLAYER.OSRFUNCTIONS.OSRREF(P25))</f>
        <v>#NAME?</v>
      </c>
      <c r="Q24" s="5"/>
      <c r="R24" s="13" t="e">
        <f ca="1">IF(P$12=0,0,P24/P$12)</f>
        <v>#NAME?</v>
      </c>
      <c r="S24" s="5"/>
      <c r="T24" s="5" t="e">
        <f ca="1">SUM(_xll.ONESTOP.REPORTPLAYER.OSRFUNCTIONS.OSRREF(T25))</f>
        <v>#NAME?</v>
      </c>
      <c r="U24" s="5"/>
      <c r="V24" s="13" t="e">
        <f ca="1">IF(T$12=0,0,T24/T$12)</f>
        <v>#NAME?</v>
      </c>
      <c r="W24" s="5"/>
      <c r="X24" s="5" t="e">
        <f ca="1">+P24-T24</f>
        <v>#NAME?</v>
      </c>
      <c r="Y24" s="5"/>
      <c r="Z24" s="13" t="e">
        <f ca="1">IF(T24=0,0,X24/T24)</f>
        <v>#NAME?</v>
      </c>
    </row>
    <row r="25" spans="1:26" s="70" customFormat="1" ht="15" hidden="1" customHeight="1" outlineLevel="1" x14ac:dyDescent="0.3">
      <c r="A25" s="42"/>
      <c r="B25" s="12" t="e">
        <f ca="1">CONCATENATE("          ",_xll.ONESTOP.REPORTPLAYER.OSRFUNCTIONS.OSRGET("d_Account","Code")," - ",_xll.ONESTOP.REPORTPLAYER.OSRFUNCTIONS.OSRGET("d_Account","Description"))</f>
        <v>#NAME?</v>
      </c>
      <c r="C25" s="12"/>
      <c r="D25" s="3" t="e">
        <f ca="1">-_xll.ONESTOP.REPORTPLAYER.OSRFUNCTIONS.OSRGET("GL_F_Trans","Value1")</f>
        <v>#NAME?</v>
      </c>
      <c r="E25" s="3"/>
      <c r="F25" s="20" t="e">
        <f ca="1">IF(D$12=0,0,D25/D$12)</f>
        <v>#NAME?</v>
      </c>
      <c r="G25" s="3"/>
      <c r="H25" s="3" t="e">
        <f ca="1">_xll.ONESTOP.REPORTPLAYER.OSRFUNCTIONS.OSRGET("GL_F_Trans","Value1")</f>
        <v>#NAME?</v>
      </c>
      <c r="I25" s="3"/>
      <c r="J25" s="20" t="e">
        <f ca="1">IF(H$12=0,0,H25/H$12)</f>
        <v>#NAME?</v>
      </c>
      <c r="K25" s="3"/>
      <c r="L25" s="3" t="e">
        <f ca="1">+D25-H25</f>
        <v>#NAME?</v>
      </c>
      <c r="M25" s="3"/>
      <c r="N25" s="20" t="e">
        <f ca="1">IF(H25=0,0,L25/H25)</f>
        <v>#NAME?</v>
      </c>
      <c r="O25" s="12"/>
      <c r="P25" s="3" t="e">
        <f ca="1">-_xll.ONESTOP.REPORTPLAYER.OSRFUNCTIONS.OSRGET("GL_F_Trans","Value1")</f>
        <v>#NAME?</v>
      </c>
      <c r="Q25" s="3"/>
      <c r="R25" s="20" t="e">
        <f ca="1">IF(P$12=0,0,P25/P$12)</f>
        <v>#NAME?</v>
      </c>
      <c r="S25" s="3"/>
      <c r="T25" s="3" t="e">
        <f ca="1">_xll.ONESTOP.REPORTPLAYER.OSRFUNCTIONS.OSRGET("GL_F_Trans","Value1")</f>
        <v>#NAME?</v>
      </c>
      <c r="U25" s="3"/>
      <c r="V25" s="20" t="e">
        <f ca="1">IF(T$12=0,0,T25/T$12)</f>
        <v>#NAME?</v>
      </c>
      <c r="W25" s="3"/>
      <c r="X25" s="3" t="e">
        <f ca="1">+P25-T25</f>
        <v>#NAME?</v>
      </c>
      <c r="Y25" s="3"/>
      <c r="Z25" s="20" t="e">
        <f ca="1">IF(T25=0,0,X25/T25)</f>
        <v>#NAME?</v>
      </c>
    </row>
    <row r="26" spans="1:26" ht="15" customHeight="1" x14ac:dyDescent="0.3">
      <c r="A26" s="10"/>
      <c r="B26" s="11"/>
      <c r="C26" s="11"/>
      <c r="D26" s="4"/>
      <c r="E26" s="4"/>
      <c r="F26" s="9"/>
      <c r="G26" s="4"/>
      <c r="H26" s="4"/>
      <c r="I26" s="4"/>
      <c r="J26" s="9"/>
      <c r="K26" s="4"/>
      <c r="L26" s="4"/>
      <c r="M26" s="4"/>
      <c r="N26" s="9"/>
      <c r="O26" s="11"/>
      <c r="P26" s="4"/>
      <c r="Q26" s="4"/>
      <c r="R26" s="9"/>
      <c r="S26" s="4"/>
      <c r="T26" s="4"/>
      <c r="U26" s="4"/>
      <c r="V26" s="9"/>
      <c r="W26" s="4"/>
      <c r="X26" s="4"/>
      <c r="Y26" s="4"/>
      <c r="Z26" s="9"/>
    </row>
    <row r="27" spans="1:26" s="63" customFormat="1" ht="15" customHeight="1" x14ac:dyDescent="0.3">
      <c r="A27" s="11"/>
      <c r="B27" s="27" t="s">
        <v>292</v>
      </c>
      <c r="C27" s="27"/>
      <c r="D27" s="21" t="e">
        <f ca="1">+D18-D20+D24</f>
        <v>#NAME?</v>
      </c>
      <c r="E27" s="15"/>
      <c r="F27" s="23" t="e">
        <f ca="1">IF(D$12=0,0,D27/D$12)</f>
        <v>#NAME?</v>
      </c>
      <c r="G27" s="15"/>
      <c r="H27" s="21" t="e">
        <f ca="1">+H18-H20+H24</f>
        <v>#NAME?</v>
      </c>
      <c r="I27" s="15"/>
      <c r="J27" s="23" t="e">
        <f ca="1">IF(H$12=0,0,H27/H$12)</f>
        <v>#NAME?</v>
      </c>
      <c r="K27" s="16"/>
      <c r="L27" s="21" t="e">
        <f ca="1">+D27-H27</f>
        <v>#NAME?</v>
      </c>
      <c r="M27" s="16"/>
      <c r="N27" s="23" t="e">
        <f ca="1">IF(H27=0,0,L27/H27)</f>
        <v>#NAME?</v>
      </c>
      <c r="O27" s="28"/>
      <c r="P27" s="21" t="e">
        <f ca="1">+P18-P20+P24</f>
        <v>#NAME?</v>
      </c>
      <c r="Q27" s="15"/>
      <c r="R27" s="23" t="e">
        <f ca="1">IF(P$12=0,0,P27/P$12)</f>
        <v>#NAME?</v>
      </c>
      <c r="S27" s="15"/>
      <c r="T27" s="21" t="e">
        <f ca="1">+T18-T20+T24</f>
        <v>#NAME?</v>
      </c>
      <c r="U27" s="15"/>
      <c r="V27" s="23" t="e">
        <f ca="1">IF(T$12=0,0,T27/T$12)</f>
        <v>#NAME?</v>
      </c>
      <c r="W27" s="16"/>
      <c r="X27" s="21" t="e">
        <f ca="1">+P27-T27</f>
        <v>#NAME?</v>
      </c>
      <c r="Y27" s="16"/>
      <c r="Z27" s="23" t="e">
        <f ca="1">IF(T27=0,0,X27/T27)</f>
        <v>#NAME?</v>
      </c>
    </row>
    <row r="28" spans="1:26" ht="15" customHeight="1" x14ac:dyDescent="0.3">
      <c r="A28" s="10"/>
      <c r="B28" s="11"/>
      <c r="C28" s="10"/>
      <c r="D28" s="4"/>
      <c r="E28" s="4"/>
      <c r="F28" s="9"/>
      <c r="G28" s="4"/>
      <c r="H28" s="4"/>
      <c r="I28" s="4"/>
      <c r="J28" s="9"/>
      <c r="K28" s="4"/>
      <c r="L28" s="4"/>
      <c r="M28" s="4"/>
      <c r="N28" s="9"/>
      <c r="P28" s="4"/>
      <c r="Q28" s="4"/>
      <c r="R28" s="9"/>
      <c r="S28" s="4"/>
      <c r="T28" s="4"/>
      <c r="U28" s="4"/>
      <c r="V28" s="9"/>
      <c r="W28" s="4"/>
      <c r="X28" s="4"/>
      <c r="Y28" s="4"/>
      <c r="Z28" s="9"/>
    </row>
    <row r="29" spans="1:26" s="63" customFormat="1" ht="15" customHeight="1" x14ac:dyDescent="0.3">
      <c r="A29" s="49"/>
      <c r="B29" s="11" t="s">
        <v>293</v>
      </c>
      <c r="C29" s="11"/>
      <c r="D29" s="5" t="e">
        <f ca="1">_xll.ONESTOP.REPORTPLAYER.OSRFUNCTIONS.OSRGET("GL_F_Trans","Value1")</f>
        <v>#NAME?</v>
      </c>
      <c r="E29" s="5"/>
      <c r="F29" s="13" t="e">
        <f ca="1">IF(D$12=0,0,D29/D$12)</f>
        <v>#NAME?</v>
      </c>
      <c r="G29" s="5"/>
      <c r="H29" s="5" t="e">
        <f ca="1">_xll.ONESTOP.REPORTPLAYER.OSRFUNCTIONS.OSRGET("GL_F_Trans","Value1")</f>
        <v>#NAME?</v>
      </c>
      <c r="I29" s="5"/>
      <c r="J29" s="13" t="e">
        <f ca="1">IF(H$12=0,0,H29/H$12)</f>
        <v>#NAME?</v>
      </c>
      <c r="K29" s="5"/>
      <c r="L29" s="5" t="e">
        <f ca="1">+D29-H29</f>
        <v>#NAME?</v>
      </c>
      <c r="M29" s="5"/>
      <c r="N29" s="13" t="e">
        <f ca="1">IF(H29=0,0,L29/H29)</f>
        <v>#NAME?</v>
      </c>
      <c r="O29" s="11"/>
      <c r="P29" s="5" t="e">
        <f ca="1">_xll.ONESTOP.REPORTPLAYER.OSRFUNCTIONS.OSRGET("GL_F_Trans","Value1")</f>
        <v>#NAME?</v>
      </c>
      <c r="Q29" s="5"/>
      <c r="R29" s="13" t="e">
        <f ca="1">IF(P$12=0,0,P29/P$12)</f>
        <v>#NAME?</v>
      </c>
      <c r="S29" s="5"/>
      <c r="T29" s="5" t="e">
        <f ca="1">_xll.ONESTOP.REPORTPLAYER.OSRFUNCTIONS.OSRGET("GL_F_Trans","Value1")</f>
        <v>#NAME?</v>
      </c>
      <c r="U29" s="5"/>
      <c r="V29" s="13" t="e">
        <f ca="1">IF(T$12=0,0,T29/T$12)</f>
        <v>#NAME?</v>
      </c>
      <c r="W29" s="5"/>
      <c r="X29" s="5" t="e">
        <f ca="1">+P29-T29</f>
        <v>#NAME?</v>
      </c>
      <c r="Y29" s="5"/>
      <c r="Z29" s="13" t="e">
        <f ca="1">IF(T29=0,0,X29/T29)</f>
        <v>#NAME?</v>
      </c>
    </row>
    <row r="30" spans="1:26" ht="15" customHeight="1" x14ac:dyDescent="0.3">
      <c r="A30" s="10"/>
      <c r="B30" s="11"/>
      <c r="C30" s="11"/>
      <c r="D30" s="4"/>
      <c r="E30" s="4"/>
      <c r="F30" s="9"/>
      <c r="G30" s="4"/>
      <c r="H30" s="4"/>
      <c r="I30" s="4"/>
      <c r="J30" s="9"/>
      <c r="K30" s="4"/>
      <c r="L30" s="4"/>
      <c r="M30" s="4"/>
      <c r="N30" s="9"/>
      <c r="O30" s="11"/>
      <c r="P30" s="4"/>
      <c r="Q30" s="4"/>
      <c r="R30" s="9"/>
      <c r="S30" s="4"/>
      <c r="T30" s="4"/>
      <c r="U30" s="4"/>
      <c r="V30" s="9"/>
      <c r="W30" s="4"/>
      <c r="X30" s="4"/>
      <c r="Y30" s="4"/>
      <c r="Z30" s="9"/>
    </row>
    <row r="31" spans="1:26" s="63" customFormat="1" ht="15" customHeight="1" x14ac:dyDescent="0.3">
      <c r="A31" s="11"/>
      <c r="B31" s="27" t="s">
        <v>294</v>
      </c>
      <c r="C31" s="27"/>
      <c r="D31" s="34" t="e">
        <f ca="1">+D27-D29</f>
        <v>#NAME?</v>
      </c>
      <c r="E31" s="15"/>
      <c r="F31" s="29" t="e">
        <f ca="1">IF(D$12=0,0,D31/D$12)</f>
        <v>#NAME?</v>
      </c>
      <c r="G31" s="15"/>
      <c r="H31" s="34" t="e">
        <f ca="1">+H27-H29</f>
        <v>#NAME?</v>
      </c>
      <c r="I31" s="15"/>
      <c r="J31" s="29" t="e">
        <f ca="1">IF(H$12=0,0,H31/H$12)</f>
        <v>#NAME?</v>
      </c>
      <c r="K31" s="16"/>
      <c r="L31" s="34" t="e">
        <f ca="1">D31-H31</f>
        <v>#NAME?</v>
      </c>
      <c r="M31" s="16"/>
      <c r="N31" s="29" t="e">
        <f ca="1">IF(H31=0,0,L31/H31)</f>
        <v>#NAME?</v>
      </c>
      <c r="O31" s="28"/>
      <c r="P31" s="34" t="e">
        <f ca="1">+P27-P29</f>
        <v>#NAME?</v>
      </c>
      <c r="Q31" s="15"/>
      <c r="R31" s="29" t="e">
        <f ca="1">IF(P$12=0,0,P31/P$12)</f>
        <v>#NAME?</v>
      </c>
      <c r="S31" s="15"/>
      <c r="T31" s="34" t="e">
        <f ca="1">+T27-T29</f>
        <v>#NAME?</v>
      </c>
      <c r="U31" s="15"/>
      <c r="V31" s="29" t="e">
        <f ca="1">IF(T$12=0,0,T31/T$12)</f>
        <v>#NAME?</v>
      </c>
      <c r="W31" s="16"/>
      <c r="X31" s="34" t="e">
        <f ca="1">P31-T31</f>
        <v>#NAME?</v>
      </c>
      <c r="Y31" s="16"/>
      <c r="Z31" s="29" t="e">
        <f ca="1">IF(T31=0,0,X31/T31)</f>
        <v>#NAME?</v>
      </c>
    </row>
    <row r="32" spans="1:26" ht="15" customHeight="1" x14ac:dyDescent="0.3">
      <c r="A32" s="10"/>
      <c r="B32" s="10"/>
      <c r="C32" s="10"/>
      <c r="D32" s="4"/>
      <c r="E32" s="4"/>
      <c r="F32" s="9"/>
      <c r="G32" s="4"/>
      <c r="H32" s="4"/>
      <c r="I32" s="4"/>
      <c r="J32" s="9"/>
      <c r="K32" s="4"/>
      <c r="L32" s="4"/>
      <c r="M32" s="4"/>
      <c r="N32" s="9"/>
      <c r="P32" s="4"/>
      <c r="Q32" s="4"/>
      <c r="R32" s="9"/>
      <c r="S32" s="4"/>
      <c r="T32" s="4"/>
      <c r="U32" s="4"/>
      <c r="V32" s="9"/>
      <c r="W32" s="4"/>
      <c r="X32" s="4"/>
      <c r="Y32" s="4"/>
      <c r="Z32" s="9"/>
    </row>
    <row r="33" spans="1:26" s="63" customFormat="1" ht="15" customHeight="1" x14ac:dyDescent="0.3">
      <c r="A33" s="49"/>
      <c r="B33" s="11" t="s">
        <v>295</v>
      </c>
      <c r="C33" s="11"/>
      <c r="D33" s="5" t="e">
        <f ca="1">-_xll.ONESTOP.REPORTPLAYER.OSRFUNCTIONS.OSRGET("GL_F_Trans","Value1")</f>
        <v>#NAME?</v>
      </c>
      <c r="E33" s="5"/>
      <c r="F33" s="13" t="e">
        <f ca="1">IF(D$12=0,0,D33/D$12)</f>
        <v>#NAME?</v>
      </c>
      <c r="G33" s="5"/>
      <c r="H33" s="5" t="e">
        <f ca="1">-_xll.ONESTOP.REPORTPLAYER.OSRFUNCTIONS.OSRGET("GL_F_Trans","Value1")</f>
        <v>#NAME?</v>
      </c>
      <c r="I33" s="5"/>
      <c r="J33" s="13" t="e">
        <f ca="1">IF(H$12=0,0,H33/H$12)</f>
        <v>#NAME?</v>
      </c>
      <c r="K33" s="5"/>
      <c r="L33" s="5" t="e">
        <f ca="1">+D33-H33</f>
        <v>#NAME?</v>
      </c>
      <c r="M33" s="5"/>
      <c r="N33" s="13" t="e">
        <f ca="1">IF(H33=0,0,L33/H33)</f>
        <v>#NAME?</v>
      </c>
      <c r="O33" s="11"/>
      <c r="P33" s="5" t="e">
        <f ca="1">-_xll.ONESTOP.REPORTPLAYER.OSRFUNCTIONS.OSRGET("GL_F_Trans","Value1")</f>
        <v>#NAME?</v>
      </c>
      <c r="Q33" s="5"/>
      <c r="R33" s="13" t="e">
        <f ca="1">IF(P$12=0,0,P33/P$12)</f>
        <v>#NAME?</v>
      </c>
      <c r="S33" s="5"/>
      <c r="T33" s="5" t="e">
        <f ca="1">-_xll.ONESTOP.REPORTPLAYER.OSRFUNCTIONS.OSRGET("GL_F_Trans","Value1")</f>
        <v>#NAME?</v>
      </c>
      <c r="U33" s="5"/>
      <c r="V33" s="13" t="e">
        <f ca="1">IF(T$12=0,0,T33/T$12)</f>
        <v>#NAME?</v>
      </c>
      <c r="W33" s="5"/>
      <c r="X33" s="5" t="e">
        <f ca="1">+P33-T33</f>
        <v>#NAME?</v>
      </c>
      <c r="Y33" s="5"/>
      <c r="Z33" s="13" t="e">
        <f ca="1">IF(T33=0,0,X33/T33)</f>
        <v>#NAME?</v>
      </c>
    </row>
    <row r="34" spans="1:26" s="63" customFormat="1" ht="15" customHeight="1" x14ac:dyDescent="0.3">
      <c r="A34" s="49"/>
      <c r="B34" s="11" t="s">
        <v>296</v>
      </c>
      <c r="C34" s="11"/>
      <c r="D34" s="5" t="e">
        <f ca="1">-_xll.ONESTOP.REPORTPLAYER.OSRFUNCTIONS.OSRGET("GL_F_Trans","Value1")</f>
        <v>#NAME?</v>
      </c>
      <c r="E34" s="5"/>
      <c r="F34" s="13" t="e">
        <f ca="1">IF(D$12=0,0,D34/D$12)</f>
        <v>#NAME?</v>
      </c>
      <c r="G34" s="5"/>
      <c r="H34" s="5" t="e">
        <f ca="1">-_xll.ONESTOP.REPORTPLAYER.OSRFUNCTIONS.OSRGET("GL_F_Trans","Value1")</f>
        <v>#NAME?</v>
      </c>
      <c r="I34" s="5"/>
      <c r="J34" s="13" t="e">
        <f ca="1">IF(H$12=0,0,H34/H$12)</f>
        <v>#NAME?</v>
      </c>
      <c r="K34" s="5"/>
      <c r="L34" s="5" t="e">
        <f ca="1">+D34-H34</f>
        <v>#NAME?</v>
      </c>
      <c r="M34" s="5"/>
      <c r="N34" s="13" t="e">
        <f ca="1">IF(H34=0,0,L34/H34)</f>
        <v>#NAME?</v>
      </c>
      <c r="O34" s="11"/>
      <c r="P34" s="5" t="e">
        <f ca="1">-_xll.ONESTOP.REPORTPLAYER.OSRFUNCTIONS.OSRGET("GL_F_Trans","Value1")</f>
        <v>#NAME?</v>
      </c>
      <c r="Q34" s="5"/>
      <c r="R34" s="13" t="e">
        <f ca="1">IF(P$12=0,0,P34/P$12)</f>
        <v>#NAME?</v>
      </c>
      <c r="S34" s="5"/>
      <c r="T34" s="5" t="e">
        <f ca="1">-_xll.ONESTOP.REPORTPLAYER.OSRFUNCTIONS.OSRGET("GL_F_Trans","Value1")</f>
        <v>#NAME?</v>
      </c>
      <c r="U34" s="5"/>
      <c r="V34" s="13" t="e">
        <f ca="1">IF(T$12=0,0,T34/T$12)</f>
        <v>#NAME?</v>
      </c>
      <c r="W34" s="5"/>
      <c r="X34" s="5" t="e">
        <f ca="1">+P34-T34</f>
        <v>#NAME?</v>
      </c>
      <c r="Y34" s="5"/>
      <c r="Z34" s="13" t="e">
        <f ca="1">IF(T34=0,0,X34/T34)</f>
        <v>#NAME?</v>
      </c>
    </row>
    <row r="35" spans="1:26" ht="15" customHeight="1" x14ac:dyDescent="0.3">
      <c r="A35" s="10"/>
      <c r="B35" s="10"/>
      <c r="C35" s="10"/>
      <c r="D35" s="4"/>
      <c r="E35" s="4"/>
      <c r="F35" s="9"/>
      <c r="G35" s="4"/>
      <c r="H35" s="4"/>
      <c r="I35" s="4"/>
      <c r="J35" s="9"/>
      <c r="K35" s="4"/>
      <c r="L35" s="4"/>
      <c r="M35" s="4"/>
      <c r="N35" s="9"/>
      <c r="P35" s="4"/>
      <c r="Q35" s="4"/>
      <c r="R35" s="9"/>
      <c r="S35" s="4"/>
      <c r="T35" s="4"/>
      <c r="U35" s="4"/>
      <c r="V35" s="9"/>
      <c r="W35" s="4"/>
      <c r="X35" s="4"/>
      <c r="Y35" s="4"/>
      <c r="Z35" s="9"/>
    </row>
    <row r="36" spans="1:26" s="63" customFormat="1" ht="15" customHeight="1" x14ac:dyDescent="0.3">
      <c r="A36" s="11"/>
      <c r="B36" s="27" t="s">
        <v>297</v>
      </c>
      <c r="C36" s="27"/>
      <c r="D36" s="32" t="e">
        <f ca="1">SUM(D31:D35)</f>
        <v>#NAME?</v>
      </c>
      <c r="E36" s="15"/>
      <c r="F36" s="31" t="e">
        <f ca="1">IF(D$12=0,0,D36/D$12)</f>
        <v>#NAME?</v>
      </c>
      <c r="G36" s="15"/>
      <c r="H36" s="32" t="e">
        <f ca="1">SUM(H31:H35)</f>
        <v>#NAME?</v>
      </c>
      <c r="I36" s="15"/>
      <c r="J36" s="31" t="e">
        <f ca="1">IF(H$12=0,0,H36/H$12)</f>
        <v>#NAME?</v>
      </c>
      <c r="K36" s="16"/>
      <c r="L36" s="32" t="e">
        <f ca="1">+D36-H36</f>
        <v>#NAME?</v>
      </c>
      <c r="M36" s="16"/>
      <c r="N36" s="31" t="e">
        <f ca="1">IF(H36=0,0,L36/H36)</f>
        <v>#NAME?</v>
      </c>
      <c r="O36" s="28"/>
      <c r="P36" s="32" t="e">
        <f ca="1">SUM(P31:P35)</f>
        <v>#NAME?</v>
      </c>
      <c r="Q36" s="15"/>
      <c r="R36" s="31" t="e">
        <f ca="1">IF(P$12=0,0,P36/P$12)</f>
        <v>#NAME?</v>
      </c>
      <c r="S36" s="15"/>
      <c r="T36" s="32" t="e">
        <f ca="1">SUM(T31:T35)</f>
        <v>#NAME?</v>
      </c>
      <c r="U36" s="15"/>
      <c r="V36" s="31" t="e">
        <f ca="1">IF(T$12=0,0,T36/T$12)</f>
        <v>#NAME?</v>
      </c>
      <c r="W36" s="16"/>
      <c r="X36" s="32" t="e">
        <f ca="1">+P36-T36</f>
        <v>#NAME?</v>
      </c>
      <c r="Y36" s="16"/>
      <c r="Z36" s="31" t="e">
        <f ca="1">IF(T36=0,0,X36/T36)</f>
        <v>#NAME?</v>
      </c>
    </row>
    <row r="37" spans="1:26" ht="15" customHeight="1" x14ac:dyDescent="0.3">
      <c r="A37" s="10"/>
      <c r="C37" s="10"/>
      <c r="D37" s="19"/>
      <c r="E37" s="19"/>
      <c r="G37" s="19"/>
      <c r="H37" s="19"/>
      <c r="I37" s="19"/>
      <c r="J37" s="40"/>
      <c r="K37" s="19"/>
      <c r="L37" s="19"/>
      <c r="M37" s="19"/>
      <c r="P37" s="19"/>
      <c r="Q37" s="19"/>
      <c r="R37" s="40"/>
      <c r="S37" s="19"/>
      <c r="T37" s="19"/>
      <c r="U37" s="19"/>
      <c r="V37" s="40"/>
      <c r="W37" s="19"/>
      <c r="X37" s="19"/>
    </row>
    <row r="38" spans="1:26" ht="15" customHeight="1" x14ac:dyDescent="0.3">
      <c r="A38" s="10"/>
      <c r="B38" s="51" t="e">
        <f ca="1">_xll.ONESTOP.REPORTPLAYER.OSRFUNCTIONS.OSRGET("CurrentDate","Date")</f>
        <v>#NAME?</v>
      </c>
      <c r="D38" s="19"/>
      <c r="E38" s="19"/>
      <c r="G38" s="19"/>
      <c r="H38" s="19"/>
      <c r="I38" s="19"/>
      <c r="J38" s="40"/>
      <c r="K38" s="19"/>
      <c r="L38" s="19"/>
      <c r="M38" s="19"/>
      <c r="P38" s="19"/>
      <c r="Q38" s="19"/>
      <c r="R38" s="40"/>
      <c r="S38" s="19"/>
      <c r="T38" s="19"/>
      <c r="U38" s="19"/>
      <c r="V38" s="40"/>
      <c r="W38" s="19"/>
      <c r="X38" s="19"/>
    </row>
    <row r="39" spans="1:26" ht="15" customHeight="1" x14ac:dyDescent="0.3">
      <c r="A39" s="10"/>
      <c r="B39" s="58" t="e">
        <f ca="1">_xll.ONESTOP.REPORTPLAYER.OSRFUNCTIONS.OSRGET("User","UserId")</f>
        <v>#NAME?</v>
      </c>
      <c r="D39" s="19"/>
      <c r="E39" s="19"/>
      <c r="G39" s="19"/>
      <c r="H39" s="19"/>
      <c r="I39" s="19"/>
      <c r="J39" s="40"/>
      <c r="K39" s="19"/>
      <c r="L39" s="19"/>
      <c r="M39" s="19"/>
      <c r="P39" s="19"/>
      <c r="Q39" s="19"/>
      <c r="R39" s="40"/>
      <c r="S39" s="19"/>
      <c r="T39" s="19"/>
      <c r="U39" s="19"/>
      <c r="V39" s="40"/>
      <c r="W39" s="19"/>
      <c r="X39" s="19"/>
    </row>
    <row r="40" spans="1:26" ht="15" customHeight="1" x14ac:dyDescent="0.3">
      <c r="A40" s="10"/>
      <c r="B40" s="50"/>
      <c r="D40" s="19"/>
      <c r="E40" s="19"/>
      <c r="G40" s="19"/>
      <c r="H40" s="19"/>
      <c r="I40" s="19"/>
      <c r="J40" s="40"/>
      <c r="K40" s="19"/>
      <c r="L40" s="19"/>
      <c r="M40" s="19"/>
      <c r="P40" s="19"/>
      <c r="Q40" s="19"/>
      <c r="R40" s="40"/>
      <c r="S40" s="19"/>
      <c r="T40" s="19"/>
      <c r="U40" s="19"/>
      <c r="V40" s="40"/>
      <c r="W40" s="19"/>
      <c r="X40" s="19"/>
    </row>
    <row r="41" spans="1:26" ht="15" customHeight="1" x14ac:dyDescent="0.3">
      <c r="D41" s="19"/>
      <c r="E41" s="19"/>
      <c r="G41" s="19"/>
      <c r="H41" s="19"/>
      <c r="I41" s="19"/>
      <c r="J41" s="40"/>
      <c r="K41" s="19"/>
      <c r="L41" s="19"/>
      <c r="M41" s="19"/>
      <c r="P41" s="19"/>
      <c r="Q41" s="19"/>
      <c r="R41" s="40"/>
      <c r="S41" s="19"/>
      <c r="T41" s="19"/>
      <c r="U41" s="19"/>
      <c r="V41" s="40"/>
      <c r="W41" s="19"/>
      <c r="X41" s="19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366AC5-8DC1-7E08-34A6-8C405CB75D59}">
  <sheetPr>
    <tabColor rgb="FFFFC000"/>
    <outlinePr summaryBelow="0" summaryRight="0"/>
  </sheetPr>
  <dimension ref="A2:Z41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6" customWidth="1"/>
    <col min="2" max="2" width="33.44140625" style="66" customWidth="1"/>
    <col min="3" max="3" width="1.88671875" style="66" customWidth="1"/>
    <col min="4" max="4" width="15" style="66" customWidth="1"/>
    <col min="5" max="5" width="1.88671875" style="66" customWidth="1" outlineLevel="1"/>
    <col min="6" max="6" width="15" style="67" customWidth="1" outlineLevel="1"/>
    <col min="7" max="7" width="1.88671875" style="66" customWidth="1" outlineLevel="1"/>
    <col min="8" max="8" width="15" style="66" customWidth="1" outlineLevel="1"/>
    <col min="9" max="9" width="1.88671875" style="66" customWidth="1" outlineLevel="1"/>
    <col min="10" max="10" width="15" style="68" customWidth="1" outlineLevel="1"/>
    <col min="11" max="11" width="1.88671875" style="66" customWidth="1" outlineLevel="1"/>
    <col min="12" max="12" width="15" style="66" customWidth="1" outlineLevel="1"/>
    <col min="13" max="13" width="1.88671875" style="66" customWidth="1" outlineLevel="1"/>
    <col min="14" max="14" width="15" style="67" customWidth="1" outlineLevel="1"/>
    <col min="15" max="15" width="1.88671875" style="64" customWidth="1"/>
    <col min="16" max="16" width="15" style="66" customWidth="1"/>
    <col min="17" max="17" width="1.88671875" style="66" customWidth="1" outlineLevel="1"/>
    <col min="18" max="18" width="15" style="68" customWidth="1" outlineLevel="1"/>
    <col min="19" max="19" width="1.88671875" style="66" customWidth="1" outlineLevel="1"/>
    <col min="20" max="20" width="15" style="66" customWidth="1" outlineLevel="1"/>
    <col min="21" max="21" width="1.88671875" style="66" customWidth="1" outlineLevel="1"/>
    <col min="22" max="22" width="15" style="68" customWidth="1" outlineLevel="1"/>
    <col min="23" max="23" width="1.88671875" style="66" customWidth="1" outlineLevel="1"/>
    <col min="24" max="24" width="15" style="66" customWidth="1" outlineLevel="1"/>
    <col min="25" max="25" width="1.88671875" style="66" customWidth="1" outlineLevel="1"/>
    <col min="26" max="26" width="15" style="68" customWidth="1" outlineLevel="1"/>
  </cols>
  <sheetData>
    <row r="2" spans="1:26" ht="15" customHeight="1" x14ac:dyDescent="0.3">
      <c r="D2" s="54" t="s">
        <v>276</v>
      </c>
    </row>
    <row r="3" spans="1:26" ht="15" customHeight="1" x14ac:dyDescent="0.3">
      <c r="D3" s="54" t="s">
        <v>277</v>
      </c>
      <c r="E3" s="18"/>
      <c r="F3" s="44"/>
      <c r="G3" s="18"/>
      <c r="H3" s="18"/>
      <c r="I3" s="18"/>
      <c r="J3" s="38"/>
      <c r="K3" s="18"/>
      <c r="L3" s="18"/>
      <c r="M3" s="18"/>
      <c r="N3" s="44"/>
      <c r="O3" s="53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ht="15" customHeight="1" x14ac:dyDescent="0.3">
      <c r="D4" s="54" t="e">
        <f ca="1">CONCATENATE("Period ",RIGHT(_xll.ONESTOP.REPORTPLAYER.OSRFUNCTIONS.OSRGET("Period","PeriodId"),2),", ",_xll.ONESTOP.REPORTPLAYER.OSRFUNCTIONS.OSRGET("Period","Year"))</f>
        <v>#NAME?</v>
      </c>
      <c r="E4" s="18"/>
      <c r="F4" s="44"/>
      <c r="G4" s="18"/>
      <c r="H4" s="18"/>
      <c r="I4" s="18"/>
      <c r="J4" s="38"/>
      <c r="K4" s="18"/>
      <c r="L4" s="18"/>
      <c r="M4" s="18"/>
      <c r="N4" s="44"/>
      <c r="O4" s="53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ht="15" customHeight="1" x14ac:dyDescent="0.3">
      <c r="A5" s="24"/>
      <c r="D5" s="61" t="e">
        <f ca="1">_xll.ONESTOP.REPORTPLAYER.OSRFUNCTIONS.OSRGET("Period","PeriodEnd")</f>
        <v>#NAME?</v>
      </c>
      <c r="E5" s="18"/>
      <c r="F5" s="44"/>
      <c r="G5" s="18"/>
      <c r="H5" s="18"/>
      <c r="I5" s="18"/>
      <c r="J5" s="38"/>
      <c r="K5" s="18"/>
      <c r="L5" s="18"/>
      <c r="M5" s="18"/>
      <c r="N5" s="44"/>
      <c r="O5" s="53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ht="15" customHeight="1" x14ac:dyDescent="0.3">
      <c r="A6" s="24"/>
      <c r="B6" s="47"/>
      <c r="C6" s="47"/>
      <c r="D6" s="24" t="s">
        <v>301</v>
      </c>
      <c r="E6" s="18"/>
      <c r="F6" s="44"/>
      <c r="G6" s="18"/>
      <c r="H6" s="18"/>
      <c r="I6" s="18"/>
      <c r="J6" s="38"/>
      <c r="K6" s="18"/>
      <c r="L6" s="18"/>
      <c r="M6" s="18"/>
      <c r="N6" s="44"/>
      <c r="O6" s="59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ht="15" customHeight="1" x14ac:dyDescent="0.3">
      <c r="B7" s="52"/>
    </row>
    <row r="8" spans="1:26" ht="15" customHeight="1" x14ac:dyDescent="0.3">
      <c r="B8" s="52"/>
    </row>
    <row r="9" spans="1:26" ht="15" customHeight="1" x14ac:dyDescent="0.3">
      <c r="B9" s="10"/>
      <c r="C9" s="10"/>
      <c r="D9" s="17" t="s">
        <v>279</v>
      </c>
      <c r="E9" s="17"/>
      <c r="F9" s="36"/>
      <c r="G9" s="17"/>
      <c r="H9" s="17"/>
      <c r="I9" s="17"/>
      <c r="J9" s="43"/>
      <c r="K9" s="17"/>
      <c r="L9" s="17"/>
      <c r="M9" s="17"/>
      <c r="N9" s="36"/>
      <c r="P9" s="17" t="s">
        <v>280</v>
      </c>
      <c r="Q9" s="17"/>
      <c r="R9" s="36"/>
      <c r="S9" s="17"/>
      <c r="T9" s="17"/>
      <c r="U9" s="17"/>
      <c r="V9" s="43"/>
      <c r="W9" s="17"/>
      <c r="X9" s="17"/>
      <c r="Y9" s="17"/>
      <c r="Z9" s="36"/>
    </row>
    <row r="10" spans="1:26" ht="15" customHeight="1" x14ac:dyDescent="0.3">
      <c r="A10" s="11"/>
      <c r="B10" s="57"/>
      <c r="C10" s="11"/>
      <c r="D10" s="41" t="s">
        <v>281</v>
      </c>
      <c r="E10" s="33"/>
      <c r="F10" s="37" t="s">
        <v>282</v>
      </c>
      <c r="G10" s="33"/>
      <c r="H10" s="48" t="s">
        <v>283</v>
      </c>
      <c r="I10" s="33"/>
      <c r="J10" s="45" t="s">
        <v>284</v>
      </c>
      <c r="K10" s="11"/>
      <c r="L10" s="41" t="s">
        <v>285</v>
      </c>
      <c r="M10" s="11"/>
      <c r="N10" s="37" t="s">
        <v>286</v>
      </c>
      <c r="O10" s="11"/>
      <c r="P10" s="56" t="s">
        <v>281</v>
      </c>
      <c r="Q10" s="33"/>
      <c r="R10" s="37" t="s">
        <v>282</v>
      </c>
      <c r="S10" s="33"/>
      <c r="T10" s="48" t="s">
        <v>283</v>
      </c>
      <c r="U10" s="33"/>
      <c r="V10" s="45" t="s">
        <v>284</v>
      </c>
      <c r="W10" s="11"/>
      <c r="X10" s="41" t="s">
        <v>285</v>
      </c>
      <c r="Y10" s="11"/>
      <c r="Z10" s="37" t="s">
        <v>286</v>
      </c>
    </row>
    <row r="11" spans="1:26" ht="16.5" customHeight="1" x14ac:dyDescent="0.3">
      <c r="A11" s="10"/>
      <c r="B11" s="55"/>
      <c r="C11" s="10"/>
      <c r="D11" s="10"/>
      <c r="E11" s="10"/>
      <c r="F11" s="9"/>
      <c r="G11" s="10"/>
      <c r="H11" s="10"/>
      <c r="I11" s="10"/>
      <c r="J11" s="46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6"/>
      <c r="W11" s="10"/>
      <c r="X11" s="10"/>
      <c r="Y11" s="10"/>
      <c r="Z11" s="9"/>
    </row>
    <row r="12" spans="1:26" s="63" customFormat="1" ht="15" customHeight="1" collapsed="1" x14ac:dyDescent="0.3">
      <c r="A12" s="11"/>
      <c r="B12" s="28" t="s">
        <v>287</v>
      </c>
      <c r="C12" s="11"/>
      <c r="D12" s="5" t="e">
        <f ca="1">SUM(_xll.ONESTOP.REPORTPLAYER.OSRFUNCTIONS.OSRREF(D13))</f>
        <v>#NAME?</v>
      </c>
      <c r="E12" s="5"/>
      <c r="F12" s="13"/>
      <c r="G12" s="5"/>
      <c r="H12" s="5" t="e">
        <f ca="1">SUM(_xll.ONESTOP.REPORTPLAYER.OSRFUNCTIONS.OSRREF(H13))</f>
        <v>#NAME?</v>
      </c>
      <c r="I12" s="5"/>
      <c r="J12" s="13"/>
      <c r="K12" s="5"/>
      <c r="L12" s="5" t="e">
        <f ca="1">+D12-H12</f>
        <v>#NAME?</v>
      </c>
      <c r="M12" s="5"/>
      <c r="N12" s="13" t="e">
        <f ca="1">IF(H12=0,0,L12/H12)</f>
        <v>#NAME?</v>
      </c>
      <c r="O12" s="11"/>
      <c r="P12" s="5" t="e">
        <f ca="1">SUM(_xll.ONESTOP.REPORTPLAYER.OSRFUNCTIONS.OSRREF(P13))</f>
        <v>#NAME?</v>
      </c>
      <c r="Q12" s="5"/>
      <c r="R12" s="13"/>
      <c r="S12" s="5"/>
      <c r="T12" s="5" t="e">
        <f ca="1">SUM(_xll.ONESTOP.REPORTPLAYER.OSRFUNCTIONS.OSRREF(T13))</f>
        <v>#NAME?</v>
      </c>
      <c r="U12" s="5"/>
      <c r="V12" s="13"/>
      <c r="W12" s="5"/>
      <c r="X12" s="5" t="e">
        <f ca="1">+P12-T12</f>
        <v>#NAME?</v>
      </c>
      <c r="Y12" s="5"/>
      <c r="Z12" s="13" t="e">
        <f ca="1">IF(T12=0,0,X12/T12)</f>
        <v>#NAME?</v>
      </c>
    </row>
    <row r="13" spans="1:26" s="70" customFormat="1" ht="15" hidden="1" customHeight="1" outlineLevel="1" x14ac:dyDescent="0.3">
      <c r="A13" s="42"/>
      <c r="B13" s="12" t="e">
        <f ca="1">CONCATENATE("          ",_xll.ONESTOP.REPORTPLAYER.OSRFUNCTIONS.OSRGET("d_Account","Code")," - ",_xll.ONESTOP.REPORTPLAYER.OSRFUNCTIONS.OSRGET("d_Account","Description"))</f>
        <v>#NAME?</v>
      </c>
      <c r="C13" s="12"/>
      <c r="D13" s="3" t="e">
        <f ca="1">-_xll.ONESTOP.REPORTPLAYER.OSRFUNCTIONS.OSRGET("GL_F_Trans","Value1")</f>
        <v>#NAME?</v>
      </c>
      <c r="E13" s="3"/>
      <c r="F13" s="20"/>
      <c r="G13" s="3"/>
      <c r="H13" s="3" t="e">
        <f ca="1">_xll.ONESTOP.REPORTPLAYER.OSRFUNCTIONS.OSRGET("GL_F_Trans","Value1")</f>
        <v>#NAME?</v>
      </c>
      <c r="I13" s="3"/>
      <c r="J13" s="20"/>
      <c r="K13" s="3"/>
      <c r="L13" s="3" t="e">
        <f ca="1">+D13-H13</f>
        <v>#NAME?</v>
      </c>
      <c r="M13" s="3"/>
      <c r="N13" s="20" t="e">
        <f ca="1">IF(H13=0,0,L13/H13)</f>
        <v>#NAME?</v>
      </c>
      <c r="O13" s="12"/>
      <c r="P13" s="3" t="e">
        <f ca="1">-_xll.ONESTOP.REPORTPLAYER.OSRFUNCTIONS.OSRGET("GL_F_Trans","Value1")</f>
        <v>#NAME?</v>
      </c>
      <c r="Q13" s="3"/>
      <c r="R13" s="20"/>
      <c r="S13" s="3"/>
      <c r="T13" s="3" t="e">
        <f ca="1">_xll.ONESTOP.REPORTPLAYER.OSRFUNCTIONS.OSRGET("GL_F_Trans","Value1")</f>
        <v>#NAME?</v>
      </c>
      <c r="U13" s="3"/>
      <c r="V13" s="20"/>
      <c r="W13" s="3"/>
      <c r="X13" s="3" t="e">
        <f ca="1">+P13-T13</f>
        <v>#NAME?</v>
      </c>
      <c r="Y13" s="3"/>
      <c r="Z13" s="20" t="e">
        <f ca="1">IF(T13=0,0,X13/T13)</f>
        <v>#NAME?</v>
      </c>
    </row>
    <row r="14" spans="1:26" ht="15" customHeight="1" x14ac:dyDescent="0.3">
      <c r="A14" s="10"/>
      <c r="B14" s="11"/>
      <c r="C14" s="10"/>
      <c r="D14" s="4"/>
      <c r="E14" s="4"/>
      <c r="F14" s="9"/>
      <c r="G14" s="4"/>
      <c r="H14" s="4"/>
      <c r="I14" s="4"/>
      <c r="J14" s="9"/>
      <c r="K14" s="4"/>
      <c r="L14" s="4"/>
      <c r="M14" s="4"/>
      <c r="N14" s="9"/>
      <c r="P14" s="4"/>
      <c r="Q14" s="4"/>
      <c r="R14" s="9"/>
      <c r="S14" s="4"/>
      <c r="T14" s="4"/>
      <c r="U14" s="4"/>
      <c r="V14" s="9"/>
      <c r="W14" s="4"/>
      <c r="X14" s="4"/>
      <c r="Y14" s="4"/>
      <c r="Z14" s="9"/>
    </row>
    <row r="15" spans="1:26" s="63" customFormat="1" ht="15" customHeight="1" collapsed="1" x14ac:dyDescent="0.3">
      <c r="A15" s="11"/>
      <c r="B15" s="28" t="s">
        <v>288</v>
      </c>
      <c r="C15" s="11"/>
      <c r="D15" s="5" t="e">
        <f ca="1">SUM(_xll.ONESTOP.REPORTPLAYER.OSRFUNCTIONS.OSRREF(D16))</f>
        <v>#NAME?</v>
      </c>
      <c r="E15" s="5"/>
      <c r="F15" s="13" t="e">
        <f ca="1">IF(D$12=0,0,D15/D$12)</f>
        <v>#NAME?</v>
      </c>
      <c r="G15" s="5"/>
      <c r="H15" s="5" t="e">
        <f ca="1">SUM(_xll.ONESTOP.REPORTPLAYER.OSRFUNCTIONS.OSRREF(H16))</f>
        <v>#NAME?</v>
      </c>
      <c r="I15" s="5"/>
      <c r="J15" s="13" t="e">
        <f ca="1">IF(H$12=0,0,H15/H$12)</f>
        <v>#NAME?</v>
      </c>
      <c r="K15" s="5"/>
      <c r="L15" s="5" t="e">
        <f ca="1">+D15-H15</f>
        <v>#NAME?</v>
      </c>
      <c r="M15" s="5"/>
      <c r="N15" s="13" t="e">
        <f ca="1">IF(H15=0,0,L15/H15)</f>
        <v>#NAME?</v>
      </c>
      <c r="O15" s="11"/>
      <c r="P15" s="5" t="e">
        <f ca="1">SUM(_xll.ONESTOP.REPORTPLAYER.OSRFUNCTIONS.OSRREF(P16))</f>
        <v>#NAME?</v>
      </c>
      <c r="Q15" s="5"/>
      <c r="R15" s="13" t="e">
        <f ca="1">IF(P$12=0,0,P15/P$12)</f>
        <v>#NAME?</v>
      </c>
      <c r="S15" s="5"/>
      <c r="T15" s="5" t="e">
        <f ca="1">SUM(_xll.ONESTOP.REPORTPLAYER.OSRFUNCTIONS.OSRREF(T16))</f>
        <v>#NAME?</v>
      </c>
      <c r="U15" s="5"/>
      <c r="V15" s="13" t="e">
        <f ca="1">IF(T$12=0,0,T15/T$12)</f>
        <v>#NAME?</v>
      </c>
      <c r="W15" s="5"/>
      <c r="X15" s="5" t="e">
        <f ca="1">+P15-T15</f>
        <v>#NAME?</v>
      </c>
      <c r="Y15" s="5"/>
      <c r="Z15" s="13" t="e">
        <f ca="1">IF(T15=0,0,X15/T15)</f>
        <v>#NAME?</v>
      </c>
    </row>
    <row r="16" spans="1:26" s="70" customFormat="1" ht="15" hidden="1" customHeight="1" outlineLevel="1" x14ac:dyDescent="0.3">
      <c r="A16" s="42"/>
      <c r="B16" s="12" t="e">
        <f ca="1">CONCATENATE("          ",_xll.ONESTOP.REPORTPLAYER.OSRFUNCTIONS.OSRGET("d_Account","Code")," - ",_xll.ONESTOP.REPORTPLAYER.OSRFUNCTIONS.OSRGET("d_Account","Description"))</f>
        <v>#NAME?</v>
      </c>
      <c r="C16" s="12"/>
      <c r="D16" s="3" t="e">
        <f ca="1">_xll.ONESTOP.REPORTPLAYER.OSRFUNCTIONS.OSRGET("GL_F_Trans","Value1")</f>
        <v>#NAME?</v>
      </c>
      <c r="E16" s="3"/>
      <c r="F16" s="20" t="e">
        <f ca="1">IF(D$12=0,0,D16/D$12)</f>
        <v>#NAME?</v>
      </c>
      <c r="G16" s="3"/>
      <c r="H16" s="3" t="e">
        <f ca="1">_xll.ONESTOP.REPORTPLAYER.OSRFUNCTIONS.OSRGET("GL_F_Trans","Value1")</f>
        <v>#NAME?</v>
      </c>
      <c r="I16" s="3"/>
      <c r="J16" s="20" t="e">
        <f ca="1">IF(H$12=0,0,H16/H$12)</f>
        <v>#NAME?</v>
      </c>
      <c r="K16" s="3"/>
      <c r="L16" s="3" t="e">
        <f ca="1">+D16-H16</f>
        <v>#NAME?</v>
      </c>
      <c r="M16" s="3"/>
      <c r="N16" s="20" t="e">
        <f ca="1">IF(H16=0,0,L16/H16)</f>
        <v>#NAME?</v>
      </c>
      <c r="O16" s="12"/>
      <c r="P16" s="3" t="e">
        <f ca="1">_xll.ONESTOP.REPORTPLAYER.OSRFUNCTIONS.OSRGET("GL_F_Trans","Value1")</f>
        <v>#NAME?</v>
      </c>
      <c r="Q16" s="3"/>
      <c r="R16" s="20" t="e">
        <f ca="1">IF(P$12=0,0,P16/P$12)</f>
        <v>#NAME?</v>
      </c>
      <c r="S16" s="3"/>
      <c r="T16" s="3" t="e">
        <f ca="1">_xll.ONESTOP.REPORTPLAYER.OSRFUNCTIONS.OSRGET("GL_F_Trans","Value1")</f>
        <v>#NAME?</v>
      </c>
      <c r="U16" s="3"/>
      <c r="V16" s="20" t="e">
        <f ca="1">IF(T$12=0,0,T16/T$12)</f>
        <v>#NAME?</v>
      </c>
      <c r="W16" s="3"/>
      <c r="X16" s="3" t="e">
        <f ca="1">+P16-T16</f>
        <v>#NAME?</v>
      </c>
      <c r="Y16" s="3"/>
      <c r="Z16" s="20" t="e">
        <f ca="1">IF(T16=0,0,X16/T16)</f>
        <v>#NAME?</v>
      </c>
    </row>
    <row r="17" spans="1:26" ht="15" customHeight="1" x14ac:dyDescent="0.3">
      <c r="A17" s="10"/>
      <c r="B17" s="11"/>
      <c r="C17" s="11"/>
      <c r="D17" s="4"/>
      <c r="E17" s="4"/>
      <c r="F17" s="9"/>
      <c r="G17" s="4"/>
      <c r="H17" s="4"/>
      <c r="I17" s="4"/>
      <c r="J17" s="9"/>
      <c r="K17" s="4"/>
      <c r="L17" s="4"/>
      <c r="M17" s="4"/>
      <c r="N17" s="9"/>
      <c r="O17" s="11"/>
      <c r="P17" s="4"/>
      <c r="Q17" s="4"/>
      <c r="R17" s="9"/>
      <c r="S17" s="4"/>
      <c r="T17" s="4"/>
      <c r="U17" s="4"/>
      <c r="V17" s="9"/>
      <c r="W17" s="4"/>
      <c r="X17" s="4"/>
      <c r="Y17" s="4"/>
      <c r="Z17" s="9"/>
    </row>
    <row r="18" spans="1:26" s="63" customFormat="1" ht="15" customHeight="1" x14ac:dyDescent="0.3">
      <c r="A18" s="11"/>
      <c r="B18" s="27" t="s">
        <v>289</v>
      </c>
      <c r="C18" s="27"/>
      <c r="D18" s="21" t="e">
        <f ca="1">D12-D15</f>
        <v>#NAME?</v>
      </c>
      <c r="E18" s="15"/>
      <c r="F18" s="23" t="e">
        <f ca="1">IF(D$12=0,0,D18/D$12)</f>
        <v>#NAME?</v>
      </c>
      <c r="G18" s="15"/>
      <c r="H18" s="21" t="e">
        <f ca="1">H12-H15</f>
        <v>#NAME?</v>
      </c>
      <c r="I18" s="15"/>
      <c r="J18" s="23" t="e">
        <f ca="1">IF(H$12=0,0,H18/H$12)</f>
        <v>#NAME?</v>
      </c>
      <c r="K18" s="16"/>
      <c r="L18" s="21" t="e">
        <f ca="1">+D18-H18</f>
        <v>#NAME?</v>
      </c>
      <c r="M18" s="16"/>
      <c r="N18" s="23" t="e">
        <f ca="1">IF(H18=0,0,L18/H18)</f>
        <v>#NAME?</v>
      </c>
      <c r="O18" s="28"/>
      <c r="P18" s="21" t="e">
        <f ca="1">P12-P15</f>
        <v>#NAME?</v>
      </c>
      <c r="Q18" s="15"/>
      <c r="R18" s="23" t="e">
        <f ca="1">IF(P$12=0,0,P18/P$12)</f>
        <v>#NAME?</v>
      </c>
      <c r="S18" s="15"/>
      <c r="T18" s="21" t="e">
        <f ca="1">T12-T15</f>
        <v>#NAME?</v>
      </c>
      <c r="U18" s="15"/>
      <c r="V18" s="23" t="e">
        <f ca="1">IF(T$12=0,0,T18/T$12)</f>
        <v>#NAME?</v>
      </c>
      <c r="W18" s="16"/>
      <c r="X18" s="21" t="e">
        <f ca="1">+P18-T18</f>
        <v>#NAME?</v>
      </c>
      <c r="Y18" s="16"/>
      <c r="Z18" s="23" t="e">
        <f ca="1">IF(T18=0,0,X18/T18)</f>
        <v>#NAME?</v>
      </c>
    </row>
    <row r="19" spans="1:26" ht="15" customHeight="1" x14ac:dyDescent="0.3">
      <c r="A19" s="10"/>
      <c r="B19" s="11"/>
      <c r="C19" s="10"/>
      <c r="D19" s="2"/>
      <c r="E19" s="2"/>
      <c r="F19" s="6"/>
      <c r="G19" s="2"/>
      <c r="H19" s="2"/>
      <c r="I19" s="2"/>
      <c r="J19" s="6"/>
      <c r="K19" s="2"/>
      <c r="L19" s="2"/>
      <c r="M19" s="2"/>
      <c r="N19" s="6"/>
      <c r="O19" s="35"/>
      <c r="P19" s="2"/>
      <c r="Q19" s="2"/>
      <c r="R19" s="6"/>
      <c r="S19" s="2"/>
      <c r="T19" s="2"/>
      <c r="U19" s="2"/>
      <c r="V19" s="6"/>
      <c r="W19" s="2"/>
      <c r="X19" s="2"/>
      <c r="Y19" s="2"/>
      <c r="Z19" s="6"/>
    </row>
    <row r="20" spans="1:26" s="63" customFormat="1" ht="15" customHeight="1" x14ac:dyDescent="0.3">
      <c r="A20" s="11"/>
      <c r="B20" s="28" t="s">
        <v>290</v>
      </c>
      <c r="C20" s="11"/>
      <c r="D20" s="22" t="e">
        <f ca="1">SUM(_xll.ONESTOP.REPORTPLAYER.OSRFUNCTIONS.OSRREF(D22))</f>
        <v>#NAME?</v>
      </c>
      <c r="E20" s="22"/>
      <c r="F20" s="30" t="e">
        <f ca="1">IF(D$12=0,0,D20/D$12)</f>
        <v>#NAME?</v>
      </c>
      <c r="G20" s="22"/>
      <c r="H20" s="22" t="e">
        <f ca="1">SUM(_xll.ONESTOP.REPORTPLAYER.OSRFUNCTIONS.OSRREF(H22))</f>
        <v>#NAME?</v>
      </c>
      <c r="I20" s="22"/>
      <c r="J20" s="30" t="e">
        <f ca="1">IF(H$12=0,0,H20/H$12)</f>
        <v>#NAME?</v>
      </c>
      <c r="K20" s="5"/>
      <c r="L20" s="22" t="e">
        <f ca="1">+D20-H20</f>
        <v>#NAME?</v>
      </c>
      <c r="M20" s="5"/>
      <c r="N20" s="30" t="e">
        <f ca="1">IF(H20=0,0,L20/H20)</f>
        <v>#NAME?</v>
      </c>
      <c r="O20" s="11"/>
      <c r="P20" s="22" t="e">
        <f ca="1">SUM(_xll.ONESTOP.REPORTPLAYER.OSRFUNCTIONS.OSRREF(P22))</f>
        <v>#NAME?</v>
      </c>
      <c r="Q20" s="22"/>
      <c r="R20" s="30" t="e">
        <f ca="1">IF(P$12=0,0,P20/P$12)</f>
        <v>#NAME?</v>
      </c>
      <c r="S20" s="22"/>
      <c r="T20" s="22" t="e">
        <f ca="1">SUM(_xll.ONESTOP.REPORTPLAYER.OSRFUNCTIONS.OSRREF(T22))</f>
        <v>#NAME?</v>
      </c>
      <c r="U20" s="22"/>
      <c r="V20" s="30" t="e">
        <f ca="1">IF(T$12=0,0,T20/T$12)</f>
        <v>#NAME?</v>
      </c>
      <c r="W20" s="5"/>
      <c r="X20" s="22" t="e">
        <f ca="1">+P20-T20</f>
        <v>#NAME?</v>
      </c>
      <c r="Y20" s="5"/>
      <c r="Z20" s="30" t="e">
        <f ca="1">IF(T20=0,0,X20/T20)</f>
        <v>#NAME?</v>
      </c>
    </row>
    <row r="21" spans="1:26" s="69" customFormat="1" ht="15" customHeight="1" outlineLevel="1" collapsed="1" x14ac:dyDescent="0.3">
      <c r="A21" s="25"/>
      <c r="B21" s="14" t="e">
        <f ca="1">CONCATENATE("     ",_xll.ONESTOP.REPORTPLAYER.OSRFUNCTIONS.OSRGET("d_Account","AccountCategory"))</f>
        <v>#NAME?</v>
      </c>
      <c r="C21" s="14"/>
      <c r="D21" s="2" t="e">
        <f ca="1">SUM(_xll.ONESTOP.REPORTPLAYER.OSRFUNCTIONS.OSRREF(D22))</f>
        <v>#NAME?</v>
      </c>
      <c r="E21" s="2"/>
      <c r="F21" s="6" t="e">
        <f ca="1">IF(D$12=0,0,D21/D$12)</f>
        <v>#NAME?</v>
      </c>
      <c r="G21" s="2"/>
      <c r="H21" s="2" t="e">
        <f ca="1">SUM(_xll.ONESTOP.REPORTPLAYER.OSRFUNCTIONS.OSRREF(H22))</f>
        <v>#NAME?</v>
      </c>
      <c r="I21" s="2"/>
      <c r="J21" s="6" t="e">
        <f ca="1">IF(H$12=0,0,H21/H$12)</f>
        <v>#NAME?</v>
      </c>
      <c r="K21" s="2"/>
      <c r="L21" s="2" t="e">
        <f ca="1">+D21-H21</f>
        <v>#NAME?</v>
      </c>
      <c r="M21" s="2"/>
      <c r="N21" s="6" t="e">
        <f ca="1">IF(H21=0,0,L21/H21)</f>
        <v>#NAME?</v>
      </c>
      <c r="O21" s="14"/>
      <c r="P21" s="2" t="e">
        <f ca="1">SUM(_xll.ONESTOP.REPORTPLAYER.OSRFUNCTIONS.OSRREF(P22))</f>
        <v>#NAME?</v>
      </c>
      <c r="Q21" s="2"/>
      <c r="R21" s="6" t="e">
        <f ca="1">IF(P$12=0,0,P21/P$12)</f>
        <v>#NAME?</v>
      </c>
      <c r="S21" s="2"/>
      <c r="T21" s="2" t="e">
        <f ca="1">SUM(_xll.ONESTOP.REPORTPLAYER.OSRFUNCTIONS.OSRREF(T22))</f>
        <v>#NAME?</v>
      </c>
      <c r="U21" s="2"/>
      <c r="V21" s="6" t="e">
        <f ca="1">IF(T$12=0,0,T21/T$12)</f>
        <v>#NAME?</v>
      </c>
      <c r="W21" s="2"/>
      <c r="X21" s="2" t="e">
        <f ca="1">+P21-T21</f>
        <v>#NAME?</v>
      </c>
      <c r="Y21" s="2"/>
      <c r="Z21" s="6" t="e">
        <f ca="1">IF(T21=0,0,X21/T21)</f>
        <v>#NAME?</v>
      </c>
    </row>
    <row r="22" spans="1:26" s="70" customFormat="1" ht="15" hidden="1" customHeight="1" outlineLevel="2" x14ac:dyDescent="0.3">
      <c r="A22" s="26"/>
      <c r="B22" s="12" t="e">
        <f ca="1">CONCATENATE("          ",_xll.ONESTOP.REPORTPLAYER.OSRFUNCTIONS.OSRGET("d_Account","Code")," - ",_xll.ONESTOP.REPORTPLAYER.OSRFUNCTIONS.OSRGET("d_Account","Description"))</f>
        <v>#NAME?</v>
      </c>
      <c r="C22" s="12"/>
      <c r="D22" s="7" t="e">
        <f ca="1">_xll.ONESTOP.REPORTPLAYER.OSRFUNCTIONS.OSRGET("GL_F_Trans","Value1")</f>
        <v>#NAME?</v>
      </c>
      <c r="E22" s="3"/>
      <c r="F22" s="8" t="e">
        <f ca="1">IF(D$12=0,0,D22/D$12)</f>
        <v>#NAME?</v>
      </c>
      <c r="G22" s="3"/>
      <c r="H22" s="7" t="e">
        <f ca="1">_xll.ONESTOP.REPORTPLAYER.OSRFUNCTIONS.OSRGET("GL_F_Trans","Value1")</f>
        <v>#NAME?</v>
      </c>
      <c r="I22" s="3"/>
      <c r="J22" s="8" t="e">
        <f ca="1">IF(H$12=0,0,H22/H$12)</f>
        <v>#NAME?</v>
      </c>
      <c r="K22" s="3"/>
      <c r="L22" s="7" t="e">
        <f ca="1">+D22-H22</f>
        <v>#NAME?</v>
      </c>
      <c r="M22" s="3"/>
      <c r="N22" s="8" t="e">
        <f ca="1">IF(H22=0,0,L22/H22)</f>
        <v>#NAME?</v>
      </c>
      <c r="O22" s="12"/>
      <c r="P22" s="7" t="e">
        <f ca="1">_xll.ONESTOP.REPORTPLAYER.OSRFUNCTIONS.OSRGET("GL_F_Trans","Value1")</f>
        <v>#NAME?</v>
      </c>
      <c r="Q22" s="3"/>
      <c r="R22" s="8" t="e">
        <f ca="1">IF(P$12=0,0,P22/P$12)</f>
        <v>#NAME?</v>
      </c>
      <c r="S22" s="3"/>
      <c r="T22" s="7" t="e">
        <f ca="1">_xll.ONESTOP.REPORTPLAYER.OSRFUNCTIONS.OSRGET("GL_F_Trans","Value1")</f>
        <v>#NAME?</v>
      </c>
      <c r="U22" s="3"/>
      <c r="V22" s="8" t="e">
        <f ca="1">IF(T$12=0,0,T22/T$12)</f>
        <v>#NAME?</v>
      </c>
      <c r="W22" s="3"/>
      <c r="X22" s="7" t="e">
        <f ca="1">+P22-T22</f>
        <v>#NAME?</v>
      </c>
      <c r="Y22" s="3"/>
      <c r="Z22" s="8" t="e">
        <f ca="1">IF(T22=0,0,X22/T22)</f>
        <v>#NAME?</v>
      </c>
    </row>
    <row r="23" spans="1:26" s="65" customFormat="1" ht="15" customHeight="1" x14ac:dyDescent="0.3">
      <c r="A23" s="35"/>
      <c r="B23" s="35"/>
      <c r="C23" s="35"/>
      <c r="D23" s="2"/>
      <c r="E23" s="2"/>
      <c r="F23" s="6"/>
      <c r="G23" s="2"/>
      <c r="H23" s="2"/>
      <c r="I23" s="2"/>
      <c r="J23" s="6"/>
      <c r="K23" s="2"/>
      <c r="L23" s="2"/>
      <c r="M23" s="2"/>
      <c r="N23" s="6"/>
      <c r="O23" s="35"/>
      <c r="P23" s="2"/>
      <c r="Q23" s="2"/>
      <c r="R23" s="6"/>
      <c r="S23" s="2"/>
      <c r="T23" s="2"/>
      <c r="U23" s="2"/>
      <c r="V23" s="6"/>
      <c r="W23" s="2"/>
      <c r="X23" s="2"/>
      <c r="Y23" s="2"/>
      <c r="Z23" s="6"/>
    </row>
    <row r="24" spans="1:26" s="63" customFormat="1" ht="15" customHeight="1" collapsed="1" x14ac:dyDescent="0.3">
      <c r="A24" s="11"/>
      <c r="B24" s="28" t="s">
        <v>291</v>
      </c>
      <c r="C24" s="11"/>
      <c r="D24" s="5" t="e">
        <f ca="1">SUM(_xll.ONESTOP.REPORTPLAYER.OSRFUNCTIONS.OSRREF(D25))</f>
        <v>#NAME?</v>
      </c>
      <c r="E24" s="5"/>
      <c r="F24" s="13" t="e">
        <f ca="1">IF(D$12=0,0,D24/D$12)</f>
        <v>#NAME?</v>
      </c>
      <c r="G24" s="5"/>
      <c r="H24" s="5" t="e">
        <f ca="1">SUM(_xll.ONESTOP.REPORTPLAYER.OSRFUNCTIONS.OSRREF(H25))</f>
        <v>#NAME?</v>
      </c>
      <c r="I24" s="5"/>
      <c r="J24" s="13" t="e">
        <f ca="1">IF(H$12=0,0,H24/H$12)</f>
        <v>#NAME?</v>
      </c>
      <c r="K24" s="5"/>
      <c r="L24" s="5" t="e">
        <f ca="1">+D24-H24</f>
        <v>#NAME?</v>
      </c>
      <c r="M24" s="5"/>
      <c r="N24" s="13" t="e">
        <f ca="1">IF(H24=0,0,L24/H24)</f>
        <v>#NAME?</v>
      </c>
      <c r="O24" s="11"/>
      <c r="P24" s="5" t="e">
        <f ca="1">SUM(_xll.ONESTOP.REPORTPLAYER.OSRFUNCTIONS.OSRREF(P25))</f>
        <v>#NAME?</v>
      </c>
      <c r="Q24" s="5"/>
      <c r="R24" s="13" t="e">
        <f ca="1">IF(P$12=0,0,P24/P$12)</f>
        <v>#NAME?</v>
      </c>
      <c r="S24" s="5"/>
      <c r="T24" s="5" t="e">
        <f ca="1">SUM(_xll.ONESTOP.REPORTPLAYER.OSRFUNCTIONS.OSRREF(T25))</f>
        <v>#NAME?</v>
      </c>
      <c r="U24" s="5"/>
      <c r="V24" s="13" t="e">
        <f ca="1">IF(T$12=0,0,T24/T$12)</f>
        <v>#NAME?</v>
      </c>
      <c r="W24" s="5"/>
      <c r="X24" s="5" t="e">
        <f ca="1">+P24-T24</f>
        <v>#NAME?</v>
      </c>
      <c r="Y24" s="5"/>
      <c r="Z24" s="13" t="e">
        <f ca="1">IF(T24=0,0,X24/T24)</f>
        <v>#NAME?</v>
      </c>
    </row>
    <row r="25" spans="1:26" s="70" customFormat="1" ht="15" hidden="1" customHeight="1" outlineLevel="1" x14ac:dyDescent="0.3">
      <c r="A25" s="42"/>
      <c r="B25" s="12" t="e">
        <f ca="1">CONCATENATE("          ",_xll.ONESTOP.REPORTPLAYER.OSRFUNCTIONS.OSRGET("d_Account","Code")," - ",_xll.ONESTOP.REPORTPLAYER.OSRFUNCTIONS.OSRGET("d_Account","Description"))</f>
        <v>#NAME?</v>
      </c>
      <c r="C25" s="12"/>
      <c r="D25" s="3" t="e">
        <f ca="1">-_xll.ONESTOP.REPORTPLAYER.OSRFUNCTIONS.OSRGET("GL_F_Trans","Value1")</f>
        <v>#NAME?</v>
      </c>
      <c r="E25" s="3"/>
      <c r="F25" s="20" t="e">
        <f ca="1">IF(D$12=0,0,D25/D$12)</f>
        <v>#NAME?</v>
      </c>
      <c r="G25" s="3"/>
      <c r="H25" s="3" t="e">
        <f ca="1">_xll.ONESTOP.REPORTPLAYER.OSRFUNCTIONS.OSRGET("GL_F_Trans","Value1")</f>
        <v>#NAME?</v>
      </c>
      <c r="I25" s="3"/>
      <c r="J25" s="20" t="e">
        <f ca="1">IF(H$12=0,0,H25/H$12)</f>
        <v>#NAME?</v>
      </c>
      <c r="K25" s="3"/>
      <c r="L25" s="3" t="e">
        <f ca="1">+D25-H25</f>
        <v>#NAME?</v>
      </c>
      <c r="M25" s="3"/>
      <c r="N25" s="20" t="e">
        <f ca="1">IF(H25=0,0,L25/H25)</f>
        <v>#NAME?</v>
      </c>
      <c r="O25" s="12"/>
      <c r="P25" s="3" t="e">
        <f ca="1">-_xll.ONESTOP.REPORTPLAYER.OSRFUNCTIONS.OSRGET("GL_F_Trans","Value1")</f>
        <v>#NAME?</v>
      </c>
      <c r="Q25" s="3"/>
      <c r="R25" s="20" t="e">
        <f ca="1">IF(P$12=0,0,P25/P$12)</f>
        <v>#NAME?</v>
      </c>
      <c r="S25" s="3"/>
      <c r="T25" s="3" t="e">
        <f ca="1">_xll.ONESTOP.REPORTPLAYER.OSRFUNCTIONS.OSRGET("GL_F_Trans","Value1")</f>
        <v>#NAME?</v>
      </c>
      <c r="U25" s="3"/>
      <c r="V25" s="20" t="e">
        <f ca="1">IF(T$12=0,0,T25/T$12)</f>
        <v>#NAME?</v>
      </c>
      <c r="W25" s="3"/>
      <c r="X25" s="3" t="e">
        <f ca="1">+P25-T25</f>
        <v>#NAME?</v>
      </c>
      <c r="Y25" s="3"/>
      <c r="Z25" s="20" t="e">
        <f ca="1">IF(T25=0,0,X25/T25)</f>
        <v>#NAME?</v>
      </c>
    </row>
    <row r="26" spans="1:26" ht="15" customHeight="1" x14ac:dyDescent="0.3">
      <c r="A26" s="10"/>
      <c r="B26" s="11"/>
      <c r="C26" s="11"/>
      <c r="D26" s="4"/>
      <c r="E26" s="4"/>
      <c r="F26" s="9"/>
      <c r="G26" s="4"/>
      <c r="H26" s="4"/>
      <c r="I26" s="4"/>
      <c r="J26" s="9"/>
      <c r="K26" s="4"/>
      <c r="L26" s="4"/>
      <c r="M26" s="4"/>
      <c r="N26" s="9"/>
      <c r="O26" s="11"/>
      <c r="P26" s="4"/>
      <c r="Q26" s="4"/>
      <c r="R26" s="9"/>
      <c r="S26" s="4"/>
      <c r="T26" s="4"/>
      <c r="U26" s="4"/>
      <c r="V26" s="9"/>
      <c r="W26" s="4"/>
      <c r="X26" s="4"/>
      <c r="Y26" s="4"/>
      <c r="Z26" s="9"/>
    </row>
    <row r="27" spans="1:26" s="63" customFormat="1" ht="15" customHeight="1" x14ac:dyDescent="0.3">
      <c r="A27" s="11"/>
      <c r="B27" s="27" t="s">
        <v>292</v>
      </c>
      <c r="C27" s="27"/>
      <c r="D27" s="21" t="e">
        <f ca="1">+D18-D20+D24</f>
        <v>#NAME?</v>
      </c>
      <c r="E27" s="15"/>
      <c r="F27" s="23" t="e">
        <f ca="1">IF(D$12=0,0,D27/D$12)</f>
        <v>#NAME?</v>
      </c>
      <c r="G27" s="15"/>
      <c r="H27" s="21" t="e">
        <f ca="1">+H18-H20+H24</f>
        <v>#NAME?</v>
      </c>
      <c r="I27" s="15"/>
      <c r="J27" s="23" t="e">
        <f ca="1">IF(H$12=0,0,H27/H$12)</f>
        <v>#NAME?</v>
      </c>
      <c r="K27" s="16"/>
      <c r="L27" s="21" t="e">
        <f ca="1">+D27-H27</f>
        <v>#NAME?</v>
      </c>
      <c r="M27" s="16"/>
      <c r="N27" s="23" t="e">
        <f ca="1">IF(H27=0,0,L27/H27)</f>
        <v>#NAME?</v>
      </c>
      <c r="O27" s="28"/>
      <c r="P27" s="21" t="e">
        <f ca="1">+P18-P20+P24</f>
        <v>#NAME?</v>
      </c>
      <c r="Q27" s="15"/>
      <c r="R27" s="23" t="e">
        <f ca="1">IF(P$12=0,0,P27/P$12)</f>
        <v>#NAME?</v>
      </c>
      <c r="S27" s="15"/>
      <c r="T27" s="21" t="e">
        <f ca="1">+T18-T20+T24</f>
        <v>#NAME?</v>
      </c>
      <c r="U27" s="15"/>
      <c r="V27" s="23" t="e">
        <f ca="1">IF(T$12=0,0,T27/T$12)</f>
        <v>#NAME?</v>
      </c>
      <c r="W27" s="16"/>
      <c r="X27" s="21" t="e">
        <f ca="1">+P27-T27</f>
        <v>#NAME?</v>
      </c>
      <c r="Y27" s="16"/>
      <c r="Z27" s="23" t="e">
        <f ca="1">IF(T27=0,0,X27/T27)</f>
        <v>#NAME?</v>
      </c>
    </row>
    <row r="28" spans="1:26" ht="15" customHeight="1" x14ac:dyDescent="0.3">
      <c r="A28" s="10"/>
      <c r="B28" s="11"/>
      <c r="C28" s="10"/>
      <c r="D28" s="4"/>
      <c r="E28" s="4"/>
      <c r="F28" s="9"/>
      <c r="G28" s="4"/>
      <c r="H28" s="4"/>
      <c r="I28" s="4"/>
      <c r="J28" s="9"/>
      <c r="K28" s="4"/>
      <c r="L28" s="4"/>
      <c r="M28" s="4"/>
      <c r="N28" s="9"/>
      <c r="P28" s="4"/>
      <c r="Q28" s="4"/>
      <c r="R28" s="9"/>
      <c r="S28" s="4"/>
      <c r="T28" s="4"/>
      <c r="U28" s="4"/>
      <c r="V28" s="9"/>
      <c r="W28" s="4"/>
      <c r="X28" s="4"/>
      <c r="Y28" s="4"/>
      <c r="Z28" s="9"/>
    </row>
    <row r="29" spans="1:26" s="63" customFormat="1" ht="15" customHeight="1" x14ac:dyDescent="0.3">
      <c r="A29" s="49"/>
      <c r="B29" s="11" t="s">
        <v>293</v>
      </c>
      <c r="C29" s="11"/>
      <c r="D29" s="5" t="e">
        <f ca="1">_xll.ONESTOP.REPORTPLAYER.OSRFUNCTIONS.OSRGET("GL_F_Trans","Value1")</f>
        <v>#NAME?</v>
      </c>
      <c r="E29" s="5"/>
      <c r="F29" s="13" t="e">
        <f ca="1">IF(D$12=0,0,D29/D$12)</f>
        <v>#NAME?</v>
      </c>
      <c r="G29" s="5"/>
      <c r="H29" s="5" t="e">
        <f ca="1">_xll.ONESTOP.REPORTPLAYER.OSRFUNCTIONS.OSRGET("GL_F_Trans","Value1")</f>
        <v>#NAME?</v>
      </c>
      <c r="I29" s="5"/>
      <c r="J29" s="13" t="e">
        <f ca="1">IF(H$12=0,0,H29/H$12)</f>
        <v>#NAME?</v>
      </c>
      <c r="K29" s="5"/>
      <c r="L29" s="5" t="e">
        <f ca="1">+D29-H29</f>
        <v>#NAME?</v>
      </c>
      <c r="M29" s="5"/>
      <c r="N29" s="13" t="e">
        <f ca="1">IF(H29=0,0,L29/H29)</f>
        <v>#NAME?</v>
      </c>
      <c r="O29" s="11"/>
      <c r="P29" s="5" t="e">
        <f ca="1">_xll.ONESTOP.REPORTPLAYER.OSRFUNCTIONS.OSRGET("GL_F_Trans","Value1")</f>
        <v>#NAME?</v>
      </c>
      <c r="Q29" s="5"/>
      <c r="R29" s="13" t="e">
        <f ca="1">IF(P$12=0,0,P29/P$12)</f>
        <v>#NAME?</v>
      </c>
      <c r="S29" s="5"/>
      <c r="T29" s="5" t="e">
        <f ca="1">_xll.ONESTOP.REPORTPLAYER.OSRFUNCTIONS.OSRGET("GL_F_Trans","Value1")</f>
        <v>#NAME?</v>
      </c>
      <c r="U29" s="5"/>
      <c r="V29" s="13" t="e">
        <f ca="1">IF(T$12=0,0,T29/T$12)</f>
        <v>#NAME?</v>
      </c>
      <c r="W29" s="5"/>
      <c r="X29" s="5" t="e">
        <f ca="1">+P29-T29</f>
        <v>#NAME?</v>
      </c>
      <c r="Y29" s="5"/>
      <c r="Z29" s="13" t="e">
        <f ca="1">IF(T29=0,0,X29/T29)</f>
        <v>#NAME?</v>
      </c>
    </row>
    <row r="30" spans="1:26" ht="15" customHeight="1" x14ac:dyDescent="0.3">
      <c r="A30" s="10"/>
      <c r="B30" s="11"/>
      <c r="C30" s="11"/>
      <c r="D30" s="4"/>
      <c r="E30" s="4"/>
      <c r="F30" s="9"/>
      <c r="G30" s="4"/>
      <c r="H30" s="4"/>
      <c r="I30" s="4"/>
      <c r="J30" s="9"/>
      <c r="K30" s="4"/>
      <c r="L30" s="4"/>
      <c r="M30" s="4"/>
      <c r="N30" s="9"/>
      <c r="O30" s="11"/>
      <c r="P30" s="4"/>
      <c r="Q30" s="4"/>
      <c r="R30" s="9"/>
      <c r="S30" s="4"/>
      <c r="T30" s="4"/>
      <c r="U30" s="4"/>
      <c r="V30" s="9"/>
      <c r="W30" s="4"/>
      <c r="X30" s="4"/>
      <c r="Y30" s="4"/>
      <c r="Z30" s="9"/>
    </row>
    <row r="31" spans="1:26" s="63" customFormat="1" ht="15" customHeight="1" x14ac:dyDescent="0.3">
      <c r="A31" s="11"/>
      <c r="B31" s="27" t="s">
        <v>294</v>
      </c>
      <c r="C31" s="27"/>
      <c r="D31" s="34" t="e">
        <f ca="1">+D27-D29</f>
        <v>#NAME?</v>
      </c>
      <c r="E31" s="15"/>
      <c r="F31" s="29" t="e">
        <f ca="1">IF(D$12=0,0,D31/D$12)</f>
        <v>#NAME?</v>
      </c>
      <c r="G31" s="15"/>
      <c r="H31" s="34" t="e">
        <f ca="1">+H27-H29</f>
        <v>#NAME?</v>
      </c>
      <c r="I31" s="15"/>
      <c r="J31" s="29" t="e">
        <f ca="1">IF(H$12=0,0,H31/H$12)</f>
        <v>#NAME?</v>
      </c>
      <c r="K31" s="16"/>
      <c r="L31" s="34" t="e">
        <f ca="1">D31-H31</f>
        <v>#NAME?</v>
      </c>
      <c r="M31" s="16"/>
      <c r="N31" s="29" t="e">
        <f ca="1">IF(H31=0,0,L31/H31)</f>
        <v>#NAME?</v>
      </c>
      <c r="O31" s="28"/>
      <c r="P31" s="34" t="e">
        <f ca="1">+P27-P29</f>
        <v>#NAME?</v>
      </c>
      <c r="Q31" s="15"/>
      <c r="R31" s="29" t="e">
        <f ca="1">IF(P$12=0,0,P31/P$12)</f>
        <v>#NAME?</v>
      </c>
      <c r="S31" s="15"/>
      <c r="T31" s="34" t="e">
        <f ca="1">+T27-T29</f>
        <v>#NAME?</v>
      </c>
      <c r="U31" s="15"/>
      <c r="V31" s="29" t="e">
        <f ca="1">IF(T$12=0,0,T31/T$12)</f>
        <v>#NAME?</v>
      </c>
      <c r="W31" s="16"/>
      <c r="X31" s="34" t="e">
        <f ca="1">P31-T31</f>
        <v>#NAME?</v>
      </c>
      <c r="Y31" s="16"/>
      <c r="Z31" s="29" t="e">
        <f ca="1">IF(T31=0,0,X31/T31)</f>
        <v>#NAME?</v>
      </c>
    </row>
    <row r="32" spans="1:26" ht="15" customHeight="1" x14ac:dyDescent="0.3">
      <c r="A32" s="10"/>
      <c r="B32" s="10"/>
      <c r="C32" s="10"/>
      <c r="D32" s="4"/>
      <c r="E32" s="4"/>
      <c r="F32" s="9"/>
      <c r="G32" s="4"/>
      <c r="H32" s="4"/>
      <c r="I32" s="4"/>
      <c r="J32" s="9"/>
      <c r="K32" s="4"/>
      <c r="L32" s="4"/>
      <c r="M32" s="4"/>
      <c r="N32" s="9"/>
      <c r="P32" s="4"/>
      <c r="Q32" s="4"/>
      <c r="R32" s="9"/>
      <c r="S32" s="4"/>
      <c r="T32" s="4"/>
      <c r="U32" s="4"/>
      <c r="V32" s="9"/>
      <c r="W32" s="4"/>
      <c r="X32" s="4"/>
      <c r="Y32" s="4"/>
      <c r="Z32" s="9"/>
    </row>
    <row r="33" spans="1:26" s="63" customFormat="1" ht="15" customHeight="1" x14ac:dyDescent="0.3">
      <c r="A33" s="49"/>
      <c r="B33" s="11" t="s">
        <v>295</v>
      </c>
      <c r="C33" s="11"/>
      <c r="D33" s="5" t="e">
        <f ca="1">-_xll.ONESTOP.REPORTPLAYER.OSRFUNCTIONS.OSRGET("GL_F_Trans","Value1")</f>
        <v>#NAME?</v>
      </c>
      <c r="E33" s="5"/>
      <c r="F33" s="13" t="e">
        <f ca="1">IF(D$12=0,0,D33/D$12)</f>
        <v>#NAME?</v>
      </c>
      <c r="G33" s="5"/>
      <c r="H33" s="5" t="e">
        <f ca="1">-_xll.ONESTOP.REPORTPLAYER.OSRFUNCTIONS.OSRGET("GL_F_Trans","Value1")</f>
        <v>#NAME?</v>
      </c>
      <c r="I33" s="5"/>
      <c r="J33" s="13" t="e">
        <f ca="1">IF(H$12=0,0,H33/H$12)</f>
        <v>#NAME?</v>
      </c>
      <c r="K33" s="5"/>
      <c r="L33" s="5" t="e">
        <f ca="1">+D33-H33</f>
        <v>#NAME?</v>
      </c>
      <c r="M33" s="5"/>
      <c r="N33" s="13" t="e">
        <f ca="1">IF(H33=0,0,L33/H33)</f>
        <v>#NAME?</v>
      </c>
      <c r="O33" s="11"/>
      <c r="P33" s="5" t="e">
        <f ca="1">-_xll.ONESTOP.REPORTPLAYER.OSRFUNCTIONS.OSRGET("GL_F_Trans","Value1")</f>
        <v>#NAME?</v>
      </c>
      <c r="Q33" s="5"/>
      <c r="R33" s="13" t="e">
        <f ca="1">IF(P$12=0,0,P33/P$12)</f>
        <v>#NAME?</v>
      </c>
      <c r="S33" s="5"/>
      <c r="T33" s="5" t="e">
        <f ca="1">-_xll.ONESTOP.REPORTPLAYER.OSRFUNCTIONS.OSRGET("GL_F_Trans","Value1")</f>
        <v>#NAME?</v>
      </c>
      <c r="U33" s="5"/>
      <c r="V33" s="13" t="e">
        <f ca="1">IF(T$12=0,0,T33/T$12)</f>
        <v>#NAME?</v>
      </c>
      <c r="W33" s="5"/>
      <c r="X33" s="5" t="e">
        <f ca="1">+P33-T33</f>
        <v>#NAME?</v>
      </c>
      <c r="Y33" s="5"/>
      <c r="Z33" s="13" t="e">
        <f ca="1">IF(T33=0,0,X33/T33)</f>
        <v>#NAME?</v>
      </c>
    </row>
    <row r="34" spans="1:26" s="63" customFormat="1" ht="15" customHeight="1" x14ac:dyDescent="0.3">
      <c r="A34" s="49"/>
      <c r="B34" s="11" t="s">
        <v>296</v>
      </c>
      <c r="C34" s="11"/>
      <c r="D34" s="5" t="e">
        <f ca="1">-_xll.ONESTOP.REPORTPLAYER.OSRFUNCTIONS.OSRGET("GL_F_Trans","Value1")</f>
        <v>#NAME?</v>
      </c>
      <c r="E34" s="5"/>
      <c r="F34" s="13" t="e">
        <f ca="1">IF(D$12=0,0,D34/D$12)</f>
        <v>#NAME?</v>
      </c>
      <c r="G34" s="5"/>
      <c r="H34" s="5" t="e">
        <f ca="1">-_xll.ONESTOP.REPORTPLAYER.OSRFUNCTIONS.OSRGET("GL_F_Trans","Value1")</f>
        <v>#NAME?</v>
      </c>
      <c r="I34" s="5"/>
      <c r="J34" s="13" t="e">
        <f ca="1">IF(H$12=0,0,H34/H$12)</f>
        <v>#NAME?</v>
      </c>
      <c r="K34" s="5"/>
      <c r="L34" s="5" t="e">
        <f ca="1">+D34-H34</f>
        <v>#NAME?</v>
      </c>
      <c r="M34" s="5"/>
      <c r="N34" s="13" t="e">
        <f ca="1">IF(H34=0,0,L34/H34)</f>
        <v>#NAME?</v>
      </c>
      <c r="O34" s="11"/>
      <c r="P34" s="5" t="e">
        <f ca="1">-_xll.ONESTOP.REPORTPLAYER.OSRFUNCTIONS.OSRGET("GL_F_Trans","Value1")</f>
        <v>#NAME?</v>
      </c>
      <c r="Q34" s="5"/>
      <c r="R34" s="13" t="e">
        <f ca="1">IF(P$12=0,0,P34/P$12)</f>
        <v>#NAME?</v>
      </c>
      <c r="S34" s="5"/>
      <c r="T34" s="5" t="e">
        <f ca="1">-_xll.ONESTOP.REPORTPLAYER.OSRFUNCTIONS.OSRGET("GL_F_Trans","Value1")</f>
        <v>#NAME?</v>
      </c>
      <c r="U34" s="5"/>
      <c r="V34" s="13" t="e">
        <f ca="1">IF(T$12=0,0,T34/T$12)</f>
        <v>#NAME?</v>
      </c>
      <c r="W34" s="5"/>
      <c r="X34" s="5" t="e">
        <f ca="1">+P34-T34</f>
        <v>#NAME?</v>
      </c>
      <c r="Y34" s="5"/>
      <c r="Z34" s="13" t="e">
        <f ca="1">IF(T34=0,0,X34/T34)</f>
        <v>#NAME?</v>
      </c>
    </row>
    <row r="35" spans="1:26" ht="15" customHeight="1" x14ac:dyDescent="0.3">
      <c r="A35" s="10"/>
      <c r="B35" s="10"/>
      <c r="C35" s="10"/>
      <c r="D35" s="4"/>
      <c r="E35" s="4"/>
      <c r="F35" s="9"/>
      <c r="G35" s="4"/>
      <c r="H35" s="4"/>
      <c r="I35" s="4"/>
      <c r="J35" s="9"/>
      <c r="K35" s="4"/>
      <c r="L35" s="4"/>
      <c r="M35" s="4"/>
      <c r="N35" s="9"/>
      <c r="P35" s="4"/>
      <c r="Q35" s="4"/>
      <c r="R35" s="9"/>
      <c r="S35" s="4"/>
      <c r="T35" s="4"/>
      <c r="U35" s="4"/>
      <c r="V35" s="9"/>
      <c r="W35" s="4"/>
      <c r="X35" s="4"/>
      <c r="Y35" s="4"/>
      <c r="Z35" s="9"/>
    </row>
    <row r="36" spans="1:26" s="63" customFormat="1" ht="15" customHeight="1" x14ac:dyDescent="0.3">
      <c r="A36" s="11"/>
      <c r="B36" s="27" t="s">
        <v>297</v>
      </c>
      <c r="C36" s="27"/>
      <c r="D36" s="32" t="e">
        <f ca="1">SUM(D31:D35)</f>
        <v>#NAME?</v>
      </c>
      <c r="E36" s="15"/>
      <c r="F36" s="31" t="e">
        <f ca="1">IF(D$12=0,0,D36/D$12)</f>
        <v>#NAME?</v>
      </c>
      <c r="G36" s="15"/>
      <c r="H36" s="32" t="e">
        <f ca="1">SUM(H31:H35)</f>
        <v>#NAME?</v>
      </c>
      <c r="I36" s="15"/>
      <c r="J36" s="31" t="e">
        <f ca="1">IF(H$12=0,0,H36/H$12)</f>
        <v>#NAME?</v>
      </c>
      <c r="K36" s="16"/>
      <c r="L36" s="32" t="e">
        <f ca="1">+D36-H36</f>
        <v>#NAME?</v>
      </c>
      <c r="M36" s="16"/>
      <c r="N36" s="31" t="e">
        <f ca="1">IF(H36=0,0,L36/H36)</f>
        <v>#NAME?</v>
      </c>
      <c r="O36" s="28"/>
      <c r="P36" s="32" t="e">
        <f ca="1">SUM(P31:P35)</f>
        <v>#NAME?</v>
      </c>
      <c r="Q36" s="15"/>
      <c r="R36" s="31" t="e">
        <f ca="1">IF(P$12=0,0,P36/P$12)</f>
        <v>#NAME?</v>
      </c>
      <c r="S36" s="15"/>
      <c r="T36" s="32" t="e">
        <f ca="1">SUM(T31:T35)</f>
        <v>#NAME?</v>
      </c>
      <c r="U36" s="15"/>
      <c r="V36" s="31" t="e">
        <f ca="1">IF(T$12=0,0,T36/T$12)</f>
        <v>#NAME?</v>
      </c>
      <c r="W36" s="16"/>
      <c r="X36" s="32" t="e">
        <f ca="1">+P36-T36</f>
        <v>#NAME?</v>
      </c>
      <c r="Y36" s="16"/>
      <c r="Z36" s="31" t="e">
        <f ca="1">IF(T36=0,0,X36/T36)</f>
        <v>#NAME?</v>
      </c>
    </row>
    <row r="37" spans="1:26" ht="15" customHeight="1" x14ac:dyDescent="0.3">
      <c r="A37" s="10"/>
      <c r="C37" s="10"/>
      <c r="D37" s="19"/>
      <c r="E37" s="19"/>
      <c r="G37" s="19"/>
      <c r="H37" s="19"/>
      <c r="I37" s="19"/>
      <c r="J37" s="40"/>
      <c r="K37" s="19"/>
      <c r="L37" s="19"/>
      <c r="M37" s="19"/>
      <c r="P37" s="19"/>
      <c r="Q37" s="19"/>
      <c r="R37" s="40"/>
      <c r="S37" s="19"/>
      <c r="T37" s="19"/>
      <c r="U37" s="19"/>
      <c r="V37" s="40"/>
      <c r="W37" s="19"/>
      <c r="X37" s="19"/>
    </row>
    <row r="38" spans="1:26" ht="15" customHeight="1" x14ac:dyDescent="0.3">
      <c r="A38" s="10"/>
      <c r="B38" s="51" t="e">
        <f ca="1">_xll.ONESTOP.REPORTPLAYER.OSRFUNCTIONS.OSRGET("CurrentDate","Date")</f>
        <v>#NAME?</v>
      </c>
      <c r="D38" s="19"/>
      <c r="E38" s="19"/>
      <c r="G38" s="19"/>
      <c r="H38" s="19"/>
      <c r="I38" s="19"/>
      <c r="J38" s="40"/>
      <c r="K38" s="19"/>
      <c r="L38" s="19"/>
      <c r="M38" s="19"/>
      <c r="P38" s="19"/>
      <c r="Q38" s="19"/>
      <c r="R38" s="40"/>
      <c r="S38" s="19"/>
      <c r="T38" s="19"/>
      <c r="U38" s="19"/>
      <c r="V38" s="40"/>
      <c r="W38" s="19"/>
      <c r="X38" s="19"/>
    </row>
    <row r="39" spans="1:26" ht="15" customHeight="1" x14ac:dyDescent="0.3">
      <c r="A39" s="10"/>
      <c r="B39" s="58" t="e">
        <f ca="1">_xll.ONESTOP.REPORTPLAYER.OSRFUNCTIONS.OSRGET("User","UserId")</f>
        <v>#NAME?</v>
      </c>
      <c r="D39" s="19"/>
      <c r="E39" s="19"/>
      <c r="G39" s="19"/>
      <c r="H39" s="19"/>
      <c r="I39" s="19"/>
      <c r="J39" s="40"/>
      <c r="K39" s="19"/>
      <c r="L39" s="19"/>
      <c r="M39" s="19"/>
      <c r="P39" s="19"/>
      <c r="Q39" s="19"/>
      <c r="R39" s="40"/>
      <c r="S39" s="19"/>
      <c r="T39" s="19"/>
      <c r="U39" s="19"/>
      <c r="V39" s="40"/>
      <c r="W39" s="19"/>
      <c r="X39" s="19"/>
    </row>
    <row r="40" spans="1:26" ht="15" customHeight="1" x14ac:dyDescent="0.3">
      <c r="A40" s="10"/>
      <c r="B40" s="50"/>
      <c r="D40" s="19"/>
      <c r="E40" s="19"/>
      <c r="G40" s="19"/>
      <c r="H40" s="19"/>
      <c r="I40" s="19"/>
      <c r="J40" s="40"/>
      <c r="K40" s="19"/>
      <c r="L40" s="19"/>
      <c r="M40" s="19"/>
      <c r="P40" s="19"/>
      <c r="Q40" s="19"/>
      <c r="R40" s="40"/>
      <c r="S40" s="19"/>
      <c r="T40" s="19"/>
      <c r="U40" s="19"/>
      <c r="V40" s="40"/>
      <c r="W40" s="19"/>
      <c r="X40" s="19"/>
    </row>
    <row r="41" spans="1:26" ht="15" customHeight="1" x14ac:dyDescent="0.3">
      <c r="D41" s="19"/>
      <c r="E41" s="19"/>
      <c r="G41" s="19"/>
      <c r="H41" s="19"/>
      <c r="I41" s="19"/>
      <c r="J41" s="40"/>
      <c r="K41" s="19"/>
      <c r="L41" s="19"/>
      <c r="M41" s="19"/>
      <c r="P41" s="19"/>
      <c r="Q41" s="19"/>
      <c r="R41" s="40"/>
      <c r="S41" s="19"/>
      <c r="T41" s="19"/>
      <c r="U41" s="19"/>
      <c r="V41" s="40"/>
      <c r="W41" s="19"/>
      <c r="X41" s="19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2E2D93-22EF-AE7E-5F9A-8733B2BB0728}">
  <sheetPr>
    <tabColor rgb="FFFFC000"/>
    <outlinePr summaryBelow="0" summaryRight="0"/>
  </sheetPr>
  <dimension ref="A2:Z41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6" customWidth="1"/>
    <col min="2" max="2" width="33.44140625" style="66" customWidth="1"/>
    <col min="3" max="3" width="1.88671875" style="66" customWidth="1"/>
    <col min="4" max="4" width="15" style="66" customWidth="1"/>
    <col min="5" max="5" width="1.88671875" style="66" customWidth="1" outlineLevel="1"/>
    <col min="6" max="6" width="15" style="67" customWidth="1" outlineLevel="1"/>
    <col min="7" max="7" width="1.88671875" style="66" customWidth="1" outlineLevel="1"/>
    <col min="8" max="8" width="15" style="66" customWidth="1" outlineLevel="1"/>
    <col min="9" max="9" width="1.88671875" style="66" customWidth="1" outlineLevel="1"/>
    <col min="10" max="10" width="15" style="68" customWidth="1" outlineLevel="1"/>
    <col min="11" max="11" width="1.88671875" style="66" customWidth="1" outlineLevel="1"/>
    <col min="12" max="12" width="15" style="66" customWidth="1" outlineLevel="1"/>
    <col min="13" max="13" width="1.88671875" style="66" customWidth="1" outlineLevel="1"/>
    <col min="14" max="14" width="15" style="67" customWidth="1" outlineLevel="1"/>
    <col min="15" max="15" width="1.88671875" style="64" customWidth="1"/>
    <col min="16" max="16" width="15" style="66" customWidth="1"/>
    <col min="17" max="17" width="1.88671875" style="66" customWidth="1" outlineLevel="1"/>
    <col min="18" max="18" width="15" style="68" customWidth="1" outlineLevel="1"/>
    <col min="19" max="19" width="1.88671875" style="66" customWidth="1" outlineLevel="1"/>
    <col min="20" max="20" width="15" style="66" customWidth="1" outlineLevel="1"/>
    <col min="21" max="21" width="1.88671875" style="66" customWidth="1" outlineLevel="1"/>
    <col min="22" max="22" width="15" style="68" customWidth="1" outlineLevel="1"/>
    <col min="23" max="23" width="1.88671875" style="66" customWidth="1" outlineLevel="1"/>
    <col min="24" max="24" width="15" style="66" customWidth="1" outlineLevel="1"/>
    <col min="25" max="25" width="1.88671875" style="66" customWidth="1" outlineLevel="1"/>
    <col min="26" max="26" width="15" style="68" customWidth="1" outlineLevel="1"/>
  </cols>
  <sheetData>
    <row r="2" spans="1:26" ht="15" customHeight="1" x14ac:dyDescent="0.3">
      <c r="D2" s="54" t="s">
        <v>276</v>
      </c>
    </row>
    <row r="3" spans="1:26" ht="15" customHeight="1" x14ac:dyDescent="0.3">
      <c r="D3" s="54" t="s">
        <v>277</v>
      </c>
      <c r="E3" s="18"/>
      <c r="F3" s="44"/>
      <c r="G3" s="18"/>
      <c r="H3" s="18"/>
      <c r="I3" s="18"/>
      <c r="J3" s="38"/>
      <c r="K3" s="18"/>
      <c r="L3" s="18"/>
      <c r="M3" s="18"/>
      <c r="N3" s="44"/>
      <c r="O3" s="53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ht="15" customHeight="1" x14ac:dyDescent="0.3">
      <c r="D4" s="54" t="e">
        <f ca="1">CONCATENATE("Period ",RIGHT(_xll.ONESTOP.REPORTPLAYER.OSRFUNCTIONS.OSRGET("Period","PeriodId"),2),", ",_xll.ONESTOP.REPORTPLAYER.OSRFUNCTIONS.OSRGET("Period","Year"))</f>
        <v>#NAME?</v>
      </c>
      <c r="E4" s="18"/>
      <c r="F4" s="44"/>
      <c r="G4" s="18"/>
      <c r="H4" s="18"/>
      <c r="I4" s="18"/>
      <c r="J4" s="38"/>
      <c r="K4" s="18"/>
      <c r="L4" s="18"/>
      <c r="M4" s="18"/>
      <c r="N4" s="44"/>
      <c r="O4" s="53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ht="15" customHeight="1" x14ac:dyDescent="0.3">
      <c r="A5" s="24"/>
      <c r="D5" s="61" t="e">
        <f ca="1">_xll.ONESTOP.REPORTPLAYER.OSRFUNCTIONS.OSRGET("Period","PeriodEnd")</f>
        <v>#NAME?</v>
      </c>
      <c r="E5" s="18"/>
      <c r="F5" s="44"/>
      <c r="G5" s="18"/>
      <c r="H5" s="18"/>
      <c r="I5" s="18"/>
      <c r="J5" s="38"/>
      <c r="K5" s="18"/>
      <c r="L5" s="18"/>
      <c r="M5" s="18"/>
      <c r="N5" s="44"/>
      <c r="O5" s="53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ht="15" customHeight="1" x14ac:dyDescent="0.3">
      <c r="A6" s="24"/>
      <c r="B6" s="47"/>
      <c r="C6" s="47"/>
      <c r="D6" s="24" t="s">
        <v>301</v>
      </c>
      <c r="E6" s="18"/>
      <c r="F6" s="44"/>
      <c r="G6" s="18"/>
      <c r="H6" s="18"/>
      <c r="I6" s="18"/>
      <c r="J6" s="38"/>
      <c r="K6" s="18"/>
      <c r="L6" s="18"/>
      <c r="M6" s="18"/>
      <c r="N6" s="44"/>
      <c r="O6" s="59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ht="15" customHeight="1" x14ac:dyDescent="0.3">
      <c r="B7" s="52"/>
    </row>
    <row r="8" spans="1:26" ht="15" customHeight="1" x14ac:dyDescent="0.3">
      <c r="B8" s="52"/>
    </row>
    <row r="9" spans="1:26" ht="15" customHeight="1" x14ac:dyDescent="0.3">
      <c r="B9" s="10"/>
      <c r="C9" s="10"/>
      <c r="D9" s="17" t="s">
        <v>279</v>
      </c>
      <c r="E9" s="17"/>
      <c r="F9" s="36"/>
      <c r="G9" s="17"/>
      <c r="H9" s="17"/>
      <c r="I9" s="17"/>
      <c r="J9" s="43"/>
      <c r="K9" s="17"/>
      <c r="L9" s="17"/>
      <c r="M9" s="17"/>
      <c r="N9" s="36"/>
      <c r="P9" s="17" t="s">
        <v>280</v>
      </c>
      <c r="Q9" s="17"/>
      <c r="R9" s="36"/>
      <c r="S9" s="17"/>
      <c r="T9" s="17"/>
      <c r="U9" s="17"/>
      <c r="V9" s="43"/>
      <c r="W9" s="17"/>
      <c r="X9" s="17"/>
      <c r="Y9" s="17"/>
      <c r="Z9" s="36"/>
    </row>
    <row r="10" spans="1:26" ht="15" customHeight="1" x14ac:dyDescent="0.3">
      <c r="A10" s="11"/>
      <c r="B10" s="57"/>
      <c r="C10" s="11"/>
      <c r="D10" s="41" t="s">
        <v>281</v>
      </c>
      <c r="E10" s="33"/>
      <c r="F10" s="37" t="s">
        <v>282</v>
      </c>
      <c r="G10" s="33"/>
      <c r="H10" s="48" t="s">
        <v>283</v>
      </c>
      <c r="I10" s="33"/>
      <c r="J10" s="45" t="s">
        <v>284</v>
      </c>
      <c r="K10" s="11"/>
      <c r="L10" s="41" t="s">
        <v>285</v>
      </c>
      <c r="M10" s="11"/>
      <c r="N10" s="37" t="s">
        <v>286</v>
      </c>
      <c r="O10" s="11"/>
      <c r="P10" s="56" t="s">
        <v>281</v>
      </c>
      <c r="Q10" s="33"/>
      <c r="R10" s="37" t="s">
        <v>282</v>
      </c>
      <c r="S10" s="33"/>
      <c r="T10" s="48" t="s">
        <v>283</v>
      </c>
      <c r="U10" s="33"/>
      <c r="V10" s="45" t="s">
        <v>284</v>
      </c>
      <c r="W10" s="11"/>
      <c r="X10" s="41" t="s">
        <v>285</v>
      </c>
      <c r="Y10" s="11"/>
      <c r="Z10" s="37" t="s">
        <v>286</v>
      </c>
    </row>
    <row r="11" spans="1:26" ht="16.5" customHeight="1" x14ac:dyDescent="0.3">
      <c r="A11" s="10"/>
      <c r="B11" s="55"/>
      <c r="C11" s="10"/>
      <c r="D11" s="10"/>
      <c r="E11" s="10"/>
      <c r="F11" s="9"/>
      <c r="G11" s="10"/>
      <c r="H11" s="10"/>
      <c r="I11" s="10"/>
      <c r="J11" s="46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6"/>
      <c r="W11" s="10"/>
      <c r="X11" s="10"/>
      <c r="Y11" s="10"/>
      <c r="Z11" s="9"/>
    </row>
    <row r="12" spans="1:26" s="63" customFormat="1" ht="15" customHeight="1" collapsed="1" x14ac:dyDescent="0.3">
      <c r="A12" s="11"/>
      <c r="B12" s="28" t="s">
        <v>287</v>
      </c>
      <c r="C12" s="11"/>
      <c r="D12" s="5" t="e">
        <f ca="1">SUM(_xll.ONESTOP.REPORTPLAYER.OSRFUNCTIONS.OSRREF(D13))</f>
        <v>#NAME?</v>
      </c>
      <c r="E12" s="5"/>
      <c r="F12" s="13"/>
      <c r="G12" s="5"/>
      <c r="H12" s="5" t="e">
        <f ca="1">SUM(_xll.ONESTOP.REPORTPLAYER.OSRFUNCTIONS.OSRREF(H13))</f>
        <v>#NAME?</v>
      </c>
      <c r="I12" s="5"/>
      <c r="J12" s="13"/>
      <c r="K12" s="5"/>
      <c r="L12" s="5" t="e">
        <f ca="1">+D12-H12</f>
        <v>#NAME?</v>
      </c>
      <c r="M12" s="5"/>
      <c r="N12" s="13" t="e">
        <f ca="1">IF(H12=0,0,L12/H12)</f>
        <v>#NAME?</v>
      </c>
      <c r="O12" s="11"/>
      <c r="P12" s="5" t="e">
        <f ca="1">SUM(_xll.ONESTOP.REPORTPLAYER.OSRFUNCTIONS.OSRREF(P13))</f>
        <v>#NAME?</v>
      </c>
      <c r="Q12" s="5"/>
      <c r="R12" s="13"/>
      <c r="S12" s="5"/>
      <c r="T12" s="5" t="e">
        <f ca="1">SUM(_xll.ONESTOP.REPORTPLAYER.OSRFUNCTIONS.OSRREF(T13))</f>
        <v>#NAME?</v>
      </c>
      <c r="U12" s="5"/>
      <c r="V12" s="13"/>
      <c r="W12" s="5"/>
      <c r="X12" s="5" t="e">
        <f ca="1">+P12-T12</f>
        <v>#NAME?</v>
      </c>
      <c r="Y12" s="5"/>
      <c r="Z12" s="13" t="e">
        <f ca="1">IF(T12=0,0,X12/T12)</f>
        <v>#NAME?</v>
      </c>
    </row>
    <row r="13" spans="1:26" s="70" customFormat="1" ht="15" hidden="1" customHeight="1" outlineLevel="1" x14ac:dyDescent="0.3">
      <c r="A13" s="42"/>
      <c r="B13" s="12" t="e">
        <f ca="1">CONCATENATE("          ",_xll.ONESTOP.REPORTPLAYER.OSRFUNCTIONS.OSRGET("d_Account","Code")," - ",_xll.ONESTOP.REPORTPLAYER.OSRFUNCTIONS.OSRGET("d_Account","Description"))</f>
        <v>#NAME?</v>
      </c>
      <c r="C13" s="12"/>
      <c r="D13" s="3" t="e">
        <f ca="1">-_xll.ONESTOP.REPORTPLAYER.OSRFUNCTIONS.OSRGET("GL_F_Trans","Value1")</f>
        <v>#NAME?</v>
      </c>
      <c r="E13" s="3"/>
      <c r="F13" s="20"/>
      <c r="G13" s="3"/>
      <c r="H13" s="3" t="e">
        <f ca="1">_xll.ONESTOP.REPORTPLAYER.OSRFUNCTIONS.OSRGET("GL_F_Trans","Value1")</f>
        <v>#NAME?</v>
      </c>
      <c r="I13" s="3"/>
      <c r="J13" s="20"/>
      <c r="K13" s="3"/>
      <c r="L13" s="3" t="e">
        <f ca="1">+D13-H13</f>
        <v>#NAME?</v>
      </c>
      <c r="M13" s="3"/>
      <c r="N13" s="20" t="e">
        <f ca="1">IF(H13=0,0,L13/H13)</f>
        <v>#NAME?</v>
      </c>
      <c r="O13" s="12"/>
      <c r="P13" s="3" t="e">
        <f ca="1">-_xll.ONESTOP.REPORTPLAYER.OSRFUNCTIONS.OSRGET("GL_F_Trans","Value1")</f>
        <v>#NAME?</v>
      </c>
      <c r="Q13" s="3"/>
      <c r="R13" s="20"/>
      <c r="S13" s="3"/>
      <c r="T13" s="3" t="e">
        <f ca="1">_xll.ONESTOP.REPORTPLAYER.OSRFUNCTIONS.OSRGET("GL_F_Trans","Value1")</f>
        <v>#NAME?</v>
      </c>
      <c r="U13" s="3"/>
      <c r="V13" s="20"/>
      <c r="W13" s="3"/>
      <c r="X13" s="3" t="e">
        <f ca="1">+P13-T13</f>
        <v>#NAME?</v>
      </c>
      <c r="Y13" s="3"/>
      <c r="Z13" s="20" t="e">
        <f ca="1">IF(T13=0,0,X13/T13)</f>
        <v>#NAME?</v>
      </c>
    </row>
    <row r="14" spans="1:26" ht="15" customHeight="1" x14ac:dyDescent="0.3">
      <c r="A14" s="10"/>
      <c r="B14" s="11"/>
      <c r="C14" s="10"/>
      <c r="D14" s="4"/>
      <c r="E14" s="4"/>
      <c r="F14" s="9"/>
      <c r="G14" s="4"/>
      <c r="H14" s="4"/>
      <c r="I14" s="4"/>
      <c r="J14" s="9"/>
      <c r="K14" s="4"/>
      <c r="L14" s="4"/>
      <c r="M14" s="4"/>
      <c r="N14" s="9"/>
      <c r="P14" s="4"/>
      <c r="Q14" s="4"/>
      <c r="R14" s="9"/>
      <c r="S14" s="4"/>
      <c r="T14" s="4"/>
      <c r="U14" s="4"/>
      <c r="V14" s="9"/>
      <c r="W14" s="4"/>
      <c r="X14" s="4"/>
      <c r="Y14" s="4"/>
      <c r="Z14" s="9"/>
    </row>
    <row r="15" spans="1:26" s="63" customFormat="1" ht="15" customHeight="1" collapsed="1" x14ac:dyDescent="0.3">
      <c r="A15" s="11"/>
      <c r="B15" s="28" t="s">
        <v>288</v>
      </c>
      <c r="C15" s="11"/>
      <c r="D15" s="5" t="e">
        <f ca="1">SUM(_xll.ONESTOP.REPORTPLAYER.OSRFUNCTIONS.OSRREF(D16))</f>
        <v>#NAME?</v>
      </c>
      <c r="E15" s="5"/>
      <c r="F15" s="13" t="e">
        <f ca="1">IF(D$12=0,0,D15/D$12)</f>
        <v>#NAME?</v>
      </c>
      <c r="G15" s="5"/>
      <c r="H15" s="5" t="e">
        <f ca="1">SUM(_xll.ONESTOP.REPORTPLAYER.OSRFUNCTIONS.OSRREF(H16))</f>
        <v>#NAME?</v>
      </c>
      <c r="I15" s="5"/>
      <c r="J15" s="13" t="e">
        <f ca="1">IF(H$12=0,0,H15/H$12)</f>
        <v>#NAME?</v>
      </c>
      <c r="K15" s="5"/>
      <c r="L15" s="5" t="e">
        <f ca="1">+D15-H15</f>
        <v>#NAME?</v>
      </c>
      <c r="M15" s="5"/>
      <c r="N15" s="13" t="e">
        <f ca="1">IF(H15=0,0,L15/H15)</f>
        <v>#NAME?</v>
      </c>
      <c r="O15" s="11"/>
      <c r="P15" s="5" t="e">
        <f ca="1">SUM(_xll.ONESTOP.REPORTPLAYER.OSRFUNCTIONS.OSRREF(P16))</f>
        <v>#NAME?</v>
      </c>
      <c r="Q15" s="5"/>
      <c r="R15" s="13" t="e">
        <f ca="1">IF(P$12=0,0,P15/P$12)</f>
        <v>#NAME?</v>
      </c>
      <c r="S15" s="5"/>
      <c r="T15" s="5" t="e">
        <f ca="1">SUM(_xll.ONESTOP.REPORTPLAYER.OSRFUNCTIONS.OSRREF(T16))</f>
        <v>#NAME?</v>
      </c>
      <c r="U15" s="5"/>
      <c r="V15" s="13" t="e">
        <f ca="1">IF(T$12=0,0,T15/T$12)</f>
        <v>#NAME?</v>
      </c>
      <c r="W15" s="5"/>
      <c r="X15" s="5" t="e">
        <f ca="1">+P15-T15</f>
        <v>#NAME?</v>
      </c>
      <c r="Y15" s="5"/>
      <c r="Z15" s="13" t="e">
        <f ca="1">IF(T15=0,0,X15/T15)</f>
        <v>#NAME?</v>
      </c>
    </row>
    <row r="16" spans="1:26" s="70" customFormat="1" ht="15" hidden="1" customHeight="1" outlineLevel="1" x14ac:dyDescent="0.3">
      <c r="A16" s="42"/>
      <c r="B16" s="12" t="e">
        <f ca="1">CONCATENATE("          ",_xll.ONESTOP.REPORTPLAYER.OSRFUNCTIONS.OSRGET("d_Account","Code")," - ",_xll.ONESTOP.REPORTPLAYER.OSRFUNCTIONS.OSRGET("d_Account","Description"))</f>
        <v>#NAME?</v>
      </c>
      <c r="C16" s="12"/>
      <c r="D16" s="3" t="e">
        <f ca="1">_xll.ONESTOP.REPORTPLAYER.OSRFUNCTIONS.OSRGET("GL_F_Trans","Value1")</f>
        <v>#NAME?</v>
      </c>
      <c r="E16" s="3"/>
      <c r="F16" s="20" t="e">
        <f ca="1">IF(D$12=0,0,D16/D$12)</f>
        <v>#NAME?</v>
      </c>
      <c r="G16" s="3"/>
      <c r="H16" s="3" t="e">
        <f ca="1">_xll.ONESTOP.REPORTPLAYER.OSRFUNCTIONS.OSRGET("GL_F_Trans","Value1")</f>
        <v>#NAME?</v>
      </c>
      <c r="I16" s="3"/>
      <c r="J16" s="20" t="e">
        <f ca="1">IF(H$12=0,0,H16/H$12)</f>
        <v>#NAME?</v>
      </c>
      <c r="K16" s="3"/>
      <c r="L16" s="3" t="e">
        <f ca="1">+D16-H16</f>
        <v>#NAME?</v>
      </c>
      <c r="M16" s="3"/>
      <c r="N16" s="20" t="e">
        <f ca="1">IF(H16=0,0,L16/H16)</f>
        <v>#NAME?</v>
      </c>
      <c r="O16" s="12"/>
      <c r="P16" s="3" t="e">
        <f ca="1">_xll.ONESTOP.REPORTPLAYER.OSRFUNCTIONS.OSRGET("GL_F_Trans","Value1")</f>
        <v>#NAME?</v>
      </c>
      <c r="Q16" s="3"/>
      <c r="R16" s="20" t="e">
        <f ca="1">IF(P$12=0,0,P16/P$12)</f>
        <v>#NAME?</v>
      </c>
      <c r="S16" s="3"/>
      <c r="T16" s="3" t="e">
        <f ca="1">_xll.ONESTOP.REPORTPLAYER.OSRFUNCTIONS.OSRGET("GL_F_Trans","Value1")</f>
        <v>#NAME?</v>
      </c>
      <c r="U16" s="3"/>
      <c r="V16" s="20" t="e">
        <f ca="1">IF(T$12=0,0,T16/T$12)</f>
        <v>#NAME?</v>
      </c>
      <c r="W16" s="3"/>
      <c r="X16" s="3" t="e">
        <f ca="1">+P16-T16</f>
        <v>#NAME?</v>
      </c>
      <c r="Y16" s="3"/>
      <c r="Z16" s="20" t="e">
        <f ca="1">IF(T16=0,0,X16/T16)</f>
        <v>#NAME?</v>
      </c>
    </row>
    <row r="17" spans="1:26" ht="15" customHeight="1" x14ac:dyDescent="0.3">
      <c r="A17" s="10"/>
      <c r="B17" s="11"/>
      <c r="C17" s="11"/>
      <c r="D17" s="4"/>
      <c r="E17" s="4"/>
      <c r="F17" s="9"/>
      <c r="G17" s="4"/>
      <c r="H17" s="4"/>
      <c r="I17" s="4"/>
      <c r="J17" s="9"/>
      <c r="K17" s="4"/>
      <c r="L17" s="4"/>
      <c r="M17" s="4"/>
      <c r="N17" s="9"/>
      <c r="O17" s="11"/>
      <c r="P17" s="4"/>
      <c r="Q17" s="4"/>
      <c r="R17" s="9"/>
      <c r="S17" s="4"/>
      <c r="T17" s="4"/>
      <c r="U17" s="4"/>
      <c r="V17" s="9"/>
      <c r="W17" s="4"/>
      <c r="X17" s="4"/>
      <c r="Y17" s="4"/>
      <c r="Z17" s="9"/>
    </row>
    <row r="18" spans="1:26" s="63" customFormat="1" ht="15" customHeight="1" x14ac:dyDescent="0.3">
      <c r="A18" s="11"/>
      <c r="B18" s="27" t="s">
        <v>289</v>
      </c>
      <c r="C18" s="27"/>
      <c r="D18" s="21" t="e">
        <f ca="1">D12-D15</f>
        <v>#NAME?</v>
      </c>
      <c r="E18" s="15"/>
      <c r="F18" s="23" t="e">
        <f ca="1">IF(D$12=0,0,D18/D$12)</f>
        <v>#NAME?</v>
      </c>
      <c r="G18" s="15"/>
      <c r="H18" s="21" t="e">
        <f ca="1">H12-H15</f>
        <v>#NAME?</v>
      </c>
      <c r="I18" s="15"/>
      <c r="J18" s="23" t="e">
        <f ca="1">IF(H$12=0,0,H18/H$12)</f>
        <v>#NAME?</v>
      </c>
      <c r="K18" s="16"/>
      <c r="L18" s="21" t="e">
        <f ca="1">+D18-H18</f>
        <v>#NAME?</v>
      </c>
      <c r="M18" s="16"/>
      <c r="N18" s="23" t="e">
        <f ca="1">IF(H18=0,0,L18/H18)</f>
        <v>#NAME?</v>
      </c>
      <c r="O18" s="28"/>
      <c r="P18" s="21" t="e">
        <f ca="1">P12-P15</f>
        <v>#NAME?</v>
      </c>
      <c r="Q18" s="15"/>
      <c r="R18" s="23" t="e">
        <f ca="1">IF(P$12=0,0,P18/P$12)</f>
        <v>#NAME?</v>
      </c>
      <c r="S18" s="15"/>
      <c r="T18" s="21" t="e">
        <f ca="1">T12-T15</f>
        <v>#NAME?</v>
      </c>
      <c r="U18" s="15"/>
      <c r="V18" s="23" t="e">
        <f ca="1">IF(T$12=0,0,T18/T$12)</f>
        <v>#NAME?</v>
      </c>
      <c r="W18" s="16"/>
      <c r="X18" s="21" t="e">
        <f ca="1">+P18-T18</f>
        <v>#NAME?</v>
      </c>
      <c r="Y18" s="16"/>
      <c r="Z18" s="23" t="e">
        <f ca="1">IF(T18=0,0,X18/T18)</f>
        <v>#NAME?</v>
      </c>
    </row>
    <row r="19" spans="1:26" ht="15" customHeight="1" x14ac:dyDescent="0.3">
      <c r="A19" s="10"/>
      <c r="B19" s="11"/>
      <c r="C19" s="10"/>
      <c r="D19" s="2"/>
      <c r="E19" s="2"/>
      <c r="F19" s="6"/>
      <c r="G19" s="2"/>
      <c r="H19" s="2"/>
      <c r="I19" s="2"/>
      <c r="J19" s="6"/>
      <c r="K19" s="2"/>
      <c r="L19" s="2"/>
      <c r="M19" s="2"/>
      <c r="N19" s="6"/>
      <c r="O19" s="35"/>
      <c r="P19" s="2"/>
      <c r="Q19" s="2"/>
      <c r="R19" s="6"/>
      <c r="S19" s="2"/>
      <c r="T19" s="2"/>
      <c r="U19" s="2"/>
      <c r="V19" s="6"/>
      <c r="W19" s="2"/>
      <c r="X19" s="2"/>
      <c r="Y19" s="2"/>
      <c r="Z19" s="6"/>
    </row>
    <row r="20" spans="1:26" s="63" customFormat="1" ht="15" customHeight="1" x14ac:dyDescent="0.3">
      <c r="A20" s="11"/>
      <c r="B20" s="28" t="s">
        <v>290</v>
      </c>
      <c r="C20" s="11"/>
      <c r="D20" s="22" t="e">
        <f ca="1">SUM(_xll.ONESTOP.REPORTPLAYER.OSRFUNCTIONS.OSRREF(D22))</f>
        <v>#NAME?</v>
      </c>
      <c r="E20" s="22"/>
      <c r="F20" s="30" t="e">
        <f ca="1">IF(D$12=0,0,D20/D$12)</f>
        <v>#NAME?</v>
      </c>
      <c r="G20" s="22"/>
      <c r="H20" s="22" t="e">
        <f ca="1">SUM(_xll.ONESTOP.REPORTPLAYER.OSRFUNCTIONS.OSRREF(H22))</f>
        <v>#NAME?</v>
      </c>
      <c r="I20" s="22"/>
      <c r="J20" s="30" t="e">
        <f ca="1">IF(H$12=0,0,H20/H$12)</f>
        <v>#NAME?</v>
      </c>
      <c r="K20" s="5"/>
      <c r="L20" s="22" t="e">
        <f ca="1">+D20-H20</f>
        <v>#NAME?</v>
      </c>
      <c r="M20" s="5"/>
      <c r="N20" s="30" t="e">
        <f ca="1">IF(H20=0,0,L20/H20)</f>
        <v>#NAME?</v>
      </c>
      <c r="O20" s="11"/>
      <c r="P20" s="22" t="e">
        <f ca="1">SUM(_xll.ONESTOP.REPORTPLAYER.OSRFUNCTIONS.OSRREF(P22))</f>
        <v>#NAME?</v>
      </c>
      <c r="Q20" s="22"/>
      <c r="R20" s="30" t="e">
        <f ca="1">IF(P$12=0,0,P20/P$12)</f>
        <v>#NAME?</v>
      </c>
      <c r="S20" s="22"/>
      <c r="T20" s="22" t="e">
        <f ca="1">SUM(_xll.ONESTOP.REPORTPLAYER.OSRFUNCTIONS.OSRREF(T22))</f>
        <v>#NAME?</v>
      </c>
      <c r="U20" s="22"/>
      <c r="V20" s="30" t="e">
        <f ca="1">IF(T$12=0,0,T20/T$12)</f>
        <v>#NAME?</v>
      </c>
      <c r="W20" s="5"/>
      <c r="X20" s="22" t="e">
        <f ca="1">+P20-T20</f>
        <v>#NAME?</v>
      </c>
      <c r="Y20" s="5"/>
      <c r="Z20" s="30" t="e">
        <f ca="1">IF(T20=0,0,X20/T20)</f>
        <v>#NAME?</v>
      </c>
    </row>
    <row r="21" spans="1:26" s="69" customFormat="1" ht="15" customHeight="1" outlineLevel="1" collapsed="1" x14ac:dyDescent="0.3">
      <c r="A21" s="25"/>
      <c r="B21" s="14" t="e">
        <f ca="1">CONCATENATE("     ",_xll.ONESTOP.REPORTPLAYER.OSRFUNCTIONS.OSRGET("d_Account","AccountCategory"))</f>
        <v>#NAME?</v>
      </c>
      <c r="C21" s="14"/>
      <c r="D21" s="2" t="e">
        <f ca="1">SUM(_xll.ONESTOP.REPORTPLAYER.OSRFUNCTIONS.OSRREF(D22))</f>
        <v>#NAME?</v>
      </c>
      <c r="E21" s="2"/>
      <c r="F21" s="6" t="e">
        <f ca="1">IF(D$12=0,0,D21/D$12)</f>
        <v>#NAME?</v>
      </c>
      <c r="G21" s="2"/>
      <c r="H21" s="2" t="e">
        <f ca="1">SUM(_xll.ONESTOP.REPORTPLAYER.OSRFUNCTIONS.OSRREF(H22))</f>
        <v>#NAME?</v>
      </c>
      <c r="I21" s="2"/>
      <c r="J21" s="6" t="e">
        <f ca="1">IF(H$12=0,0,H21/H$12)</f>
        <v>#NAME?</v>
      </c>
      <c r="K21" s="2"/>
      <c r="L21" s="2" t="e">
        <f ca="1">+D21-H21</f>
        <v>#NAME?</v>
      </c>
      <c r="M21" s="2"/>
      <c r="N21" s="6" t="e">
        <f ca="1">IF(H21=0,0,L21/H21)</f>
        <v>#NAME?</v>
      </c>
      <c r="O21" s="14"/>
      <c r="P21" s="2" t="e">
        <f ca="1">SUM(_xll.ONESTOP.REPORTPLAYER.OSRFUNCTIONS.OSRREF(P22))</f>
        <v>#NAME?</v>
      </c>
      <c r="Q21" s="2"/>
      <c r="R21" s="6" t="e">
        <f ca="1">IF(P$12=0,0,P21/P$12)</f>
        <v>#NAME?</v>
      </c>
      <c r="S21" s="2"/>
      <c r="T21" s="2" t="e">
        <f ca="1">SUM(_xll.ONESTOP.REPORTPLAYER.OSRFUNCTIONS.OSRREF(T22))</f>
        <v>#NAME?</v>
      </c>
      <c r="U21" s="2"/>
      <c r="V21" s="6" t="e">
        <f ca="1">IF(T$12=0,0,T21/T$12)</f>
        <v>#NAME?</v>
      </c>
      <c r="W21" s="2"/>
      <c r="X21" s="2" t="e">
        <f ca="1">+P21-T21</f>
        <v>#NAME?</v>
      </c>
      <c r="Y21" s="2"/>
      <c r="Z21" s="6" t="e">
        <f ca="1">IF(T21=0,0,X21/T21)</f>
        <v>#NAME?</v>
      </c>
    </row>
    <row r="22" spans="1:26" s="70" customFormat="1" ht="15" hidden="1" customHeight="1" outlineLevel="2" x14ac:dyDescent="0.3">
      <c r="A22" s="26"/>
      <c r="B22" s="12" t="e">
        <f ca="1">CONCATENATE("          ",_xll.ONESTOP.REPORTPLAYER.OSRFUNCTIONS.OSRGET("d_Account","Code")," - ",_xll.ONESTOP.REPORTPLAYER.OSRFUNCTIONS.OSRGET("d_Account","Description"))</f>
        <v>#NAME?</v>
      </c>
      <c r="C22" s="12"/>
      <c r="D22" s="7" t="e">
        <f ca="1">_xll.ONESTOP.REPORTPLAYER.OSRFUNCTIONS.OSRGET("GL_F_Trans","Value1")</f>
        <v>#NAME?</v>
      </c>
      <c r="E22" s="3"/>
      <c r="F22" s="8" t="e">
        <f ca="1">IF(D$12=0,0,D22/D$12)</f>
        <v>#NAME?</v>
      </c>
      <c r="G22" s="3"/>
      <c r="H22" s="7" t="e">
        <f ca="1">_xll.ONESTOP.REPORTPLAYER.OSRFUNCTIONS.OSRGET("GL_F_Trans","Value1")</f>
        <v>#NAME?</v>
      </c>
      <c r="I22" s="3"/>
      <c r="J22" s="8" t="e">
        <f ca="1">IF(H$12=0,0,H22/H$12)</f>
        <v>#NAME?</v>
      </c>
      <c r="K22" s="3"/>
      <c r="L22" s="7" t="e">
        <f ca="1">+D22-H22</f>
        <v>#NAME?</v>
      </c>
      <c r="M22" s="3"/>
      <c r="N22" s="8" t="e">
        <f ca="1">IF(H22=0,0,L22/H22)</f>
        <v>#NAME?</v>
      </c>
      <c r="O22" s="12"/>
      <c r="P22" s="7" t="e">
        <f ca="1">_xll.ONESTOP.REPORTPLAYER.OSRFUNCTIONS.OSRGET("GL_F_Trans","Value1")</f>
        <v>#NAME?</v>
      </c>
      <c r="Q22" s="3"/>
      <c r="R22" s="8" t="e">
        <f ca="1">IF(P$12=0,0,P22/P$12)</f>
        <v>#NAME?</v>
      </c>
      <c r="S22" s="3"/>
      <c r="T22" s="7" t="e">
        <f ca="1">_xll.ONESTOP.REPORTPLAYER.OSRFUNCTIONS.OSRGET("GL_F_Trans","Value1")</f>
        <v>#NAME?</v>
      </c>
      <c r="U22" s="3"/>
      <c r="V22" s="8" t="e">
        <f ca="1">IF(T$12=0,0,T22/T$12)</f>
        <v>#NAME?</v>
      </c>
      <c r="W22" s="3"/>
      <c r="X22" s="7" t="e">
        <f ca="1">+P22-T22</f>
        <v>#NAME?</v>
      </c>
      <c r="Y22" s="3"/>
      <c r="Z22" s="8" t="e">
        <f ca="1">IF(T22=0,0,X22/T22)</f>
        <v>#NAME?</v>
      </c>
    </row>
    <row r="23" spans="1:26" s="65" customFormat="1" ht="15" customHeight="1" x14ac:dyDescent="0.3">
      <c r="A23" s="35"/>
      <c r="B23" s="35"/>
      <c r="C23" s="35"/>
      <c r="D23" s="2"/>
      <c r="E23" s="2"/>
      <c r="F23" s="6"/>
      <c r="G23" s="2"/>
      <c r="H23" s="2"/>
      <c r="I23" s="2"/>
      <c r="J23" s="6"/>
      <c r="K23" s="2"/>
      <c r="L23" s="2"/>
      <c r="M23" s="2"/>
      <c r="N23" s="6"/>
      <c r="O23" s="35"/>
      <c r="P23" s="2"/>
      <c r="Q23" s="2"/>
      <c r="R23" s="6"/>
      <c r="S23" s="2"/>
      <c r="T23" s="2"/>
      <c r="U23" s="2"/>
      <c r="V23" s="6"/>
      <c r="W23" s="2"/>
      <c r="X23" s="2"/>
      <c r="Y23" s="2"/>
      <c r="Z23" s="6"/>
    </row>
    <row r="24" spans="1:26" s="63" customFormat="1" ht="15" customHeight="1" collapsed="1" x14ac:dyDescent="0.3">
      <c r="A24" s="11"/>
      <c r="B24" s="28" t="s">
        <v>291</v>
      </c>
      <c r="C24" s="11"/>
      <c r="D24" s="5" t="e">
        <f ca="1">SUM(_xll.ONESTOP.REPORTPLAYER.OSRFUNCTIONS.OSRREF(D25))</f>
        <v>#NAME?</v>
      </c>
      <c r="E24" s="5"/>
      <c r="F24" s="13" t="e">
        <f ca="1">IF(D$12=0,0,D24/D$12)</f>
        <v>#NAME?</v>
      </c>
      <c r="G24" s="5"/>
      <c r="H24" s="5" t="e">
        <f ca="1">SUM(_xll.ONESTOP.REPORTPLAYER.OSRFUNCTIONS.OSRREF(H25))</f>
        <v>#NAME?</v>
      </c>
      <c r="I24" s="5"/>
      <c r="J24" s="13" t="e">
        <f ca="1">IF(H$12=0,0,H24/H$12)</f>
        <v>#NAME?</v>
      </c>
      <c r="K24" s="5"/>
      <c r="L24" s="5" t="e">
        <f ca="1">+D24-H24</f>
        <v>#NAME?</v>
      </c>
      <c r="M24" s="5"/>
      <c r="N24" s="13" t="e">
        <f ca="1">IF(H24=0,0,L24/H24)</f>
        <v>#NAME?</v>
      </c>
      <c r="O24" s="11"/>
      <c r="P24" s="5" t="e">
        <f ca="1">SUM(_xll.ONESTOP.REPORTPLAYER.OSRFUNCTIONS.OSRREF(P25))</f>
        <v>#NAME?</v>
      </c>
      <c r="Q24" s="5"/>
      <c r="R24" s="13" t="e">
        <f ca="1">IF(P$12=0,0,P24/P$12)</f>
        <v>#NAME?</v>
      </c>
      <c r="S24" s="5"/>
      <c r="T24" s="5" t="e">
        <f ca="1">SUM(_xll.ONESTOP.REPORTPLAYER.OSRFUNCTIONS.OSRREF(T25))</f>
        <v>#NAME?</v>
      </c>
      <c r="U24" s="5"/>
      <c r="V24" s="13" t="e">
        <f ca="1">IF(T$12=0,0,T24/T$12)</f>
        <v>#NAME?</v>
      </c>
      <c r="W24" s="5"/>
      <c r="X24" s="5" t="e">
        <f ca="1">+P24-T24</f>
        <v>#NAME?</v>
      </c>
      <c r="Y24" s="5"/>
      <c r="Z24" s="13" t="e">
        <f ca="1">IF(T24=0,0,X24/T24)</f>
        <v>#NAME?</v>
      </c>
    </row>
    <row r="25" spans="1:26" s="70" customFormat="1" ht="15" hidden="1" customHeight="1" outlineLevel="1" x14ac:dyDescent="0.3">
      <c r="A25" s="42"/>
      <c r="B25" s="12" t="e">
        <f ca="1">CONCATENATE("          ",_xll.ONESTOP.REPORTPLAYER.OSRFUNCTIONS.OSRGET("d_Account","Code")," - ",_xll.ONESTOP.REPORTPLAYER.OSRFUNCTIONS.OSRGET("d_Account","Description"))</f>
        <v>#NAME?</v>
      </c>
      <c r="C25" s="12"/>
      <c r="D25" s="3" t="e">
        <f ca="1">-_xll.ONESTOP.REPORTPLAYER.OSRFUNCTIONS.OSRGET("GL_F_Trans","Value1")</f>
        <v>#NAME?</v>
      </c>
      <c r="E25" s="3"/>
      <c r="F25" s="20" t="e">
        <f ca="1">IF(D$12=0,0,D25/D$12)</f>
        <v>#NAME?</v>
      </c>
      <c r="G25" s="3"/>
      <c r="H25" s="3" t="e">
        <f ca="1">_xll.ONESTOP.REPORTPLAYER.OSRFUNCTIONS.OSRGET("GL_F_Trans","Value1")</f>
        <v>#NAME?</v>
      </c>
      <c r="I25" s="3"/>
      <c r="J25" s="20" t="e">
        <f ca="1">IF(H$12=0,0,H25/H$12)</f>
        <v>#NAME?</v>
      </c>
      <c r="K25" s="3"/>
      <c r="L25" s="3" t="e">
        <f ca="1">+D25-H25</f>
        <v>#NAME?</v>
      </c>
      <c r="M25" s="3"/>
      <c r="N25" s="20" t="e">
        <f ca="1">IF(H25=0,0,L25/H25)</f>
        <v>#NAME?</v>
      </c>
      <c r="O25" s="12"/>
      <c r="P25" s="3" t="e">
        <f ca="1">-_xll.ONESTOP.REPORTPLAYER.OSRFUNCTIONS.OSRGET("GL_F_Trans","Value1")</f>
        <v>#NAME?</v>
      </c>
      <c r="Q25" s="3"/>
      <c r="R25" s="20" t="e">
        <f ca="1">IF(P$12=0,0,P25/P$12)</f>
        <v>#NAME?</v>
      </c>
      <c r="S25" s="3"/>
      <c r="T25" s="3" t="e">
        <f ca="1">_xll.ONESTOP.REPORTPLAYER.OSRFUNCTIONS.OSRGET("GL_F_Trans","Value1")</f>
        <v>#NAME?</v>
      </c>
      <c r="U25" s="3"/>
      <c r="V25" s="20" t="e">
        <f ca="1">IF(T$12=0,0,T25/T$12)</f>
        <v>#NAME?</v>
      </c>
      <c r="W25" s="3"/>
      <c r="X25" s="3" t="e">
        <f ca="1">+P25-T25</f>
        <v>#NAME?</v>
      </c>
      <c r="Y25" s="3"/>
      <c r="Z25" s="20" t="e">
        <f ca="1">IF(T25=0,0,X25/T25)</f>
        <v>#NAME?</v>
      </c>
    </row>
    <row r="26" spans="1:26" ht="15" customHeight="1" x14ac:dyDescent="0.3">
      <c r="A26" s="10"/>
      <c r="B26" s="11"/>
      <c r="C26" s="11"/>
      <c r="D26" s="4"/>
      <c r="E26" s="4"/>
      <c r="F26" s="9"/>
      <c r="G26" s="4"/>
      <c r="H26" s="4"/>
      <c r="I26" s="4"/>
      <c r="J26" s="9"/>
      <c r="K26" s="4"/>
      <c r="L26" s="4"/>
      <c r="M26" s="4"/>
      <c r="N26" s="9"/>
      <c r="O26" s="11"/>
      <c r="P26" s="4"/>
      <c r="Q26" s="4"/>
      <c r="R26" s="9"/>
      <c r="S26" s="4"/>
      <c r="T26" s="4"/>
      <c r="U26" s="4"/>
      <c r="V26" s="9"/>
      <c r="W26" s="4"/>
      <c r="X26" s="4"/>
      <c r="Y26" s="4"/>
      <c r="Z26" s="9"/>
    </row>
    <row r="27" spans="1:26" s="63" customFormat="1" ht="15" customHeight="1" x14ac:dyDescent="0.3">
      <c r="A27" s="11"/>
      <c r="B27" s="27" t="s">
        <v>292</v>
      </c>
      <c r="C27" s="27"/>
      <c r="D27" s="21" t="e">
        <f ca="1">+D18-D20+D24</f>
        <v>#NAME?</v>
      </c>
      <c r="E27" s="15"/>
      <c r="F27" s="23" t="e">
        <f ca="1">IF(D$12=0,0,D27/D$12)</f>
        <v>#NAME?</v>
      </c>
      <c r="G27" s="15"/>
      <c r="H27" s="21" t="e">
        <f ca="1">+H18-H20+H24</f>
        <v>#NAME?</v>
      </c>
      <c r="I27" s="15"/>
      <c r="J27" s="23" t="e">
        <f ca="1">IF(H$12=0,0,H27/H$12)</f>
        <v>#NAME?</v>
      </c>
      <c r="K27" s="16"/>
      <c r="L27" s="21" t="e">
        <f ca="1">+D27-H27</f>
        <v>#NAME?</v>
      </c>
      <c r="M27" s="16"/>
      <c r="N27" s="23" t="e">
        <f ca="1">IF(H27=0,0,L27/H27)</f>
        <v>#NAME?</v>
      </c>
      <c r="O27" s="28"/>
      <c r="P27" s="21" t="e">
        <f ca="1">+P18-P20+P24</f>
        <v>#NAME?</v>
      </c>
      <c r="Q27" s="15"/>
      <c r="R27" s="23" t="e">
        <f ca="1">IF(P$12=0,0,P27/P$12)</f>
        <v>#NAME?</v>
      </c>
      <c r="S27" s="15"/>
      <c r="T27" s="21" t="e">
        <f ca="1">+T18-T20+T24</f>
        <v>#NAME?</v>
      </c>
      <c r="U27" s="15"/>
      <c r="V27" s="23" t="e">
        <f ca="1">IF(T$12=0,0,T27/T$12)</f>
        <v>#NAME?</v>
      </c>
      <c r="W27" s="16"/>
      <c r="X27" s="21" t="e">
        <f ca="1">+P27-T27</f>
        <v>#NAME?</v>
      </c>
      <c r="Y27" s="16"/>
      <c r="Z27" s="23" t="e">
        <f ca="1">IF(T27=0,0,X27/T27)</f>
        <v>#NAME?</v>
      </c>
    </row>
    <row r="28" spans="1:26" ht="15" customHeight="1" x14ac:dyDescent="0.3">
      <c r="A28" s="10"/>
      <c r="B28" s="11"/>
      <c r="C28" s="10"/>
      <c r="D28" s="4"/>
      <c r="E28" s="4"/>
      <c r="F28" s="9"/>
      <c r="G28" s="4"/>
      <c r="H28" s="4"/>
      <c r="I28" s="4"/>
      <c r="J28" s="9"/>
      <c r="K28" s="4"/>
      <c r="L28" s="4"/>
      <c r="M28" s="4"/>
      <c r="N28" s="9"/>
      <c r="P28" s="4"/>
      <c r="Q28" s="4"/>
      <c r="R28" s="9"/>
      <c r="S28" s="4"/>
      <c r="T28" s="4"/>
      <c r="U28" s="4"/>
      <c r="V28" s="9"/>
      <c r="W28" s="4"/>
      <c r="X28" s="4"/>
      <c r="Y28" s="4"/>
      <c r="Z28" s="9"/>
    </row>
    <row r="29" spans="1:26" s="63" customFormat="1" ht="15" customHeight="1" x14ac:dyDescent="0.3">
      <c r="A29" s="49"/>
      <c r="B29" s="11" t="s">
        <v>293</v>
      </c>
      <c r="C29" s="11"/>
      <c r="D29" s="5" t="e">
        <f ca="1">_xll.ONESTOP.REPORTPLAYER.OSRFUNCTIONS.OSRGET("GL_F_Trans","Value1")</f>
        <v>#NAME?</v>
      </c>
      <c r="E29" s="5"/>
      <c r="F29" s="13" t="e">
        <f ca="1">IF(D$12=0,0,D29/D$12)</f>
        <v>#NAME?</v>
      </c>
      <c r="G29" s="5"/>
      <c r="H29" s="5" t="e">
        <f ca="1">_xll.ONESTOP.REPORTPLAYER.OSRFUNCTIONS.OSRGET("GL_F_Trans","Value1")</f>
        <v>#NAME?</v>
      </c>
      <c r="I29" s="5"/>
      <c r="J29" s="13" t="e">
        <f ca="1">IF(H$12=0,0,H29/H$12)</f>
        <v>#NAME?</v>
      </c>
      <c r="K29" s="5"/>
      <c r="L29" s="5" t="e">
        <f ca="1">+D29-H29</f>
        <v>#NAME?</v>
      </c>
      <c r="M29" s="5"/>
      <c r="N29" s="13" t="e">
        <f ca="1">IF(H29=0,0,L29/H29)</f>
        <v>#NAME?</v>
      </c>
      <c r="O29" s="11"/>
      <c r="P29" s="5" t="e">
        <f ca="1">_xll.ONESTOP.REPORTPLAYER.OSRFUNCTIONS.OSRGET("GL_F_Trans","Value1")</f>
        <v>#NAME?</v>
      </c>
      <c r="Q29" s="5"/>
      <c r="R29" s="13" t="e">
        <f ca="1">IF(P$12=0,0,P29/P$12)</f>
        <v>#NAME?</v>
      </c>
      <c r="S29" s="5"/>
      <c r="T29" s="5" t="e">
        <f ca="1">_xll.ONESTOP.REPORTPLAYER.OSRFUNCTIONS.OSRGET("GL_F_Trans","Value1")</f>
        <v>#NAME?</v>
      </c>
      <c r="U29" s="5"/>
      <c r="V29" s="13" t="e">
        <f ca="1">IF(T$12=0,0,T29/T$12)</f>
        <v>#NAME?</v>
      </c>
      <c r="W29" s="5"/>
      <c r="X29" s="5" t="e">
        <f ca="1">+P29-T29</f>
        <v>#NAME?</v>
      </c>
      <c r="Y29" s="5"/>
      <c r="Z29" s="13" t="e">
        <f ca="1">IF(T29=0,0,X29/T29)</f>
        <v>#NAME?</v>
      </c>
    </row>
    <row r="30" spans="1:26" ht="15" customHeight="1" x14ac:dyDescent="0.3">
      <c r="A30" s="10"/>
      <c r="B30" s="11"/>
      <c r="C30" s="11"/>
      <c r="D30" s="4"/>
      <c r="E30" s="4"/>
      <c r="F30" s="9"/>
      <c r="G30" s="4"/>
      <c r="H30" s="4"/>
      <c r="I30" s="4"/>
      <c r="J30" s="9"/>
      <c r="K30" s="4"/>
      <c r="L30" s="4"/>
      <c r="M30" s="4"/>
      <c r="N30" s="9"/>
      <c r="O30" s="11"/>
      <c r="P30" s="4"/>
      <c r="Q30" s="4"/>
      <c r="R30" s="9"/>
      <c r="S30" s="4"/>
      <c r="T30" s="4"/>
      <c r="U30" s="4"/>
      <c r="V30" s="9"/>
      <c r="W30" s="4"/>
      <c r="X30" s="4"/>
      <c r="Y30" s="4"/>
      <c r="Z30" s="9"/>
    </row>
    <row r="31" spans="1:26" s="63" customFormat="1" ht="15" customHeight="1" x14ac:dyDescent="0.3">
      <c r="A31" s="11"/>
      <c r="B31" s="27" t="s">
        <v>294</v>
      </c>
      <c r="C31" s="27"/>
      <c r="D31" s="34" t="e">
        <f ca="1">+D27-D29</f>
        <v>#NAME?</v>
      </c>
      <c r="E31" s="15"/>
      <c r="F31" s="29" t="e">
        <f ca="1">IF(D$12=0,0,D31/D$12)</f>
        <v>#NAME?</v>
      </c>
      <c r="G31" s="15"/>
      <c r="H31" s="34" t="e">
        <f ca="1">+H27-H29</f>
        <v>#NAME?</v>
      </c>
      <c r="I31" s="15"/>
      <c r="J31" s="29" t="e">
        <f ca="1">IF(H$12=0,0,H31/H$12)</f>
        <v>#NAME?</v>
      </c>
      <c r="K31" s="16"/>
      <c r="L31" s="34" t="e">
        <f ca="1">D31-H31</f>
        <v>#NAME?</v>
      </c>
      <c r="M31" s="16"/>
      <c r="N31" s="29" t="e">
        <f ca="1">IF(H31=0,0,L31/H31)</f>
        <v>#NAME?</v>
      </c>
      <c r="O31" s="28"/>
      <c r="P31" s="34" t="e">
        <f ca="1">+P27-P29</f>
        <v>#NAME?</v>
      </c>
      <c r="Q31" s="15"/>
      <c r="R31" s="29" t="e">
        <f ca="1">IF(P$12=0,0,P31/P$12)</f>
        <v>#NAME?</v>
      </c>
      <c r="S31" s="15"/>
      <c r="T31" s="34" t="e">
        <f ca="1">+T27-T29</f>
        <v>#NAME?</v>
      </c>
      <c r="U31" s="15"/>
      <c r="V31" s="29" t="e">
        <f ca="1">IF(T$12=0,0,T31/T$12)</f>
        <v>#NAME?</v>
      </c>
      <c r="W31" s="16"/>
      <c r="X31" s="34" t="e">
        <f ca="1">P31-T31</f>
        <v>#NAME?</v>
      </c>
      <c r="Y31" s="16"/>
      <c r="Z31" s="29" t="e">
        <f ca="1">IF(T31=0,0,X31/T31)</f>
        <v>#NAME?</v>
      </c>
    </row>
    <row r="32" spans="1:26" ht="15" customHeight="1" x14ac:dyDescent="0.3">
      <c r="A32" s="10"/>
      <c r="B32" s="10"/>
      <c r="C32" s="10"/>
      <c r="D32" s="4"/>
      <c r="E32" s="4"/>
      <c r="F32" s="9"/>
      <c r="G32" s="4"/>
      <c r="H32" s="4"/>
      <c r="I32" s="4"/>
      <c r="J32" s="9"/>
      <c r="K32" s="4"/>
      <c r="L32" s="4"/>
      <c r="M32" s="4"/>
      <c r="N32" s="9"/>
      <c r="P32" s="4"/>
      <c r="Q32" s="4"/>
      <c r="R32" s="9"/>
      <c r="S32" s="4"/>
      <c r="T32" s="4"/>
      <c r="U32" s="4"/>
      <c r="V32" s="9"/>
      <c r="W32" s="4"/>
      <c r="X32" s="4"/>
      <c r="Y32" s="4"/>
      <c r="Z32" s="9"/>
    </row>
    <row r="33" spans="1:26" s="63" customFormat="1" ht="15" customHeight="1" x14ac:dyDescent="0.3">
      <c r="A33" s="49"/>
      <c r="B33" s="11" t="s">
        <v>295</v>
      </c>
      <c r="C33" s="11"/>
      <c r="D33" s="5" t="e">
        <f ca="1">-_xll.ONESTOP.REPORTPLAYER.OSRFUNCTIONS.OSRGET("GL_F_Trans","Value1")</f>
        <v>#NAME?</v>
      </c>
      <c r="E33" s="5"/>
      <c r="F33" s="13" t="e">
        <f ca="1">IF(D$12=0,0,D33/D$12)</f>
        <v>#NAME?</v>
      </c>
      <c r="G33" s="5"/>
      <c r="H33" s="5" t="e">
        <f ca="1">-_xll.ONESTOP.REPORTPLAYER.OSRFUNCTIONS.OSRGET("GL_F_Trans","Value1")</f>
        <v>#NAME?</v>
      </c>
      <c r="I33" s="5"/>
      <c r="J33" s="13" t="e">
        <f ca="1">IF(H$12=0,0,H33/H$12)</f>
        <v>#NAME?</v>
      </c>
      <c r="K33" s="5"/>
      <c r="L33" s="5" t="e">
        <f ca="1">+D33-H33</f>
        <v>#NAME?</v>
      </c>
      <c r="M33" s="5"/>
      <c r="N33" s="13" t="e">
        <f ca="1">IF(H33=0,0,L33/H33)</f>
        <v>#NAME?</v>
      </c>
      <c r="O33" s="11"/>
      <c r="P33" s="5" t="e">
        <f ca="1">-_xll.ONESTOP.REPORTPLAYER.OSRFUNCTIONS.OSRGET("GL_F_Trans","Value1")</f>
        <v>#NAME?</v>
      </c>
      <c r="Q33" s="5"/>
      <c r="R33" s="13" t="e">
        <f ca="1">IF(P$12=0,0,P33/P$12)</f>
        <v>#NAME?</v>
      </c>
      <c r="S33" s="5"/>
      <c r="T33" s="5" t="e">
        <f ca="1">-_xll.ONESTOP.REPORTPLAYER.OSRFUNCTIONS.OSRGET("GL_F_Trans","Value1")</f>
        <v>#NAME?</v>
      </c>
      <c r="U33" s="5"/>
      <c r="V33" s="13" t="e">
        <f ca="1">IF(T$12=0,0,T33/T$12)</f>
        <v>#NAME?</v>
      </c>
      <c r="W33" s="5"/>
      <c r="X33" s="5" t="e">
        <f ca="1">+P33-T33</f>
        <v>#NAME?</v>
      </c>
      <c r="Y33" s="5"/>
      <c r="Z33" s="13" t="e">
        <f ca="1">IF(T33=0,0,X33/T33)</f>
        <v>#NAME?</v>
      </c>
    </row>
    <row r="34" spans="1:26" s="63" customFormat="1" ht="15" customHeight="1" x14ac:dyDescent="0.3">
      <c r="A34" s="49"/>
      <c r="B34" s="11" t="s">
        <v>296</v>
      </c>
      <c r="C34" s="11"/>
      <c r="D34" s="5" t="e">
        <f ca="1">-_xll.ONESTOP.REPORTPLAYER.OSRFUNCTIONS.OSRGET("GL_F_Trans","Value1")</f>
        <v>#NAME?</v>
      </c>
      <c r="E34" s="5"/>
      <c r="F34" s="13" t="e">
        <f ca="1">IF(D$12=0,0,D34/D$12)</f>
        <v>#NAME?</v>
      </c>
      <c r="G34" s="5"/>
      <c r="H34" s="5" t="e">
        <f ca="1">-_xll.ONESTOP.REPORTPLAYER.OSRFUNCTIONS.OSRGET("GL_F_Trans","Value1")</f>
        <v>#NAME?</v>
      </c>
      <c r="I34" s="5"/>
      <c r="J34" s="13" t="e">
        <f ca="1">IF(H$12=0,0,H34/H$12)</f>
        <v>#NAME?</v>
      </c>
      <c r="K34" s="5"/>
      <c r="L34" s="5" t="e">
        <f ca="1">+D34-H34</f>
        <v>#NAME?</v>
      </c>
      <c r="M34" s="5"/>
      <c r="N34" s="13" t="e">
        <f ca="1">IF(H34=0,0,L34/H34)</f>
        <v>#NAME?</v>
      </c>
      <c r="O34" s="11"/>
      <c r="P34" s="5" t="e">
        <f ca="1">-_xll.ONESTOP.REPORTPLAYER.OSRFUNCTIONS.OSRGET("GL_F_Trans","Value1")</f>
        <v>#NAME?</v>
      </c>
      <c r="Q34" s="5"/>
      <c r="R34" s="13" t="e">
        <f ca="1">IF(P$12=0,0,P34/P$12)</f>
        <v>#NAME?</v>
      </c>
      <c r="S34" s="5"/>
      <c r="T34" s="5" t="e">
        <f ca="1">-_xll.ONESTOP.REPORTPLAYER.OSRFUNCTIONS.OSRGET("GL_F_Trans","Value1")</f>
        <v>#NAME?</v>
      </c>
      <c r="U34" s="5"/>
      <c r="V34" s="13" t="e">
        <f ca="1">IF(T$12=0,0,T34/T$12)</f>
        <v>#NAME?</v>
      </c>
      <c r="W34" s="5"/>
      <c r="X34" s="5" t="e">
        <f ca="1">+P34-T34</f>
        <v>#NAME?</v>
      </c>
      <c r="Y34" s="5"/>
      <c r="Z34" s="13" t="e">
        <f ca="1">IF(T34=0,0,X34/T34)</f>
        <v>#NAME?</v>
      </c>
    </row>
    <row r="35" spans="1:26" ht="15" customHeight="1" x14ac:dyDescent="0.3">
      <c r="A35" s="10"/>
      <c r="B35" s="10"/>
      <c r="C35" s="10"/>
      <c r="D35" s="4"/>
      <c r="E35" s="4"/>
      <c r="F35" s="9"/>
      <c r="G35" s="4"/>
      <c r="H35" s="4"/>
      <c r="I35" s="4"/>
      <c r="J35" s="9"/>
      <c r="K35" s="4"/>
      <c r="L35" s="4"/>
      <c r="M35" s="4"/>
      <c r="N35" s="9"/>
      <c r="P35" s="4"/>
      <c r="Q35" s="4"/>
      <c r="R35" s="9"/>
      <c r="S35" s="4"/>
      <c r="T35" s="4"/>
      <c r="U35" s="4"/>
      <c r="V35" s="9"/>
      <c r="W35" s="4"/>
      <c r="X35" s="4"/>
      <c r="Y35" s="4"/>
      <c r="Z35" s="9"/>
    </row>
    <row r="36" spans="1:26" s="63" customFormat="1" ht="15" customHeight="1" x14ac:dyDescent="0.3">
      <c r="A36" s="11"/>
      <c r="B36" s="27" t="s">
        <v>297</v>
      </c>
      <c r="C36" s="27"/>
      <c r="D36" s="32" t="e">
        <f ca="1">SUM(D31:D35)</f>
        <v>#NAME?</v>
      </c>
      <c r="E36" s="15"/>
      <c r="F36" s="31" t="e">
        <f ca="1">IF(D$12=0,0,D36/D$12)</f>
        <v>#NAME?</v>
      </c>
      <c r="G36" s="15"/>
      <c r="H36" s="32" t="e">
        <f ca="1">SUM(H31:H35)</f>
        <v>#NAME?</v>
      </c>
      <c r="I36" s="15"/>
      <c r="J36" s="31" t="e">
        <f ca="1">IF(H$12=0,0,H36/H$12)</f>
        <v>#NAME?</v>
      </c>
      <c r="K36" s="16"/>
      <c r="L36" s="32" t="e">
        <f ca="1">+D36-H36</f>
        <v>#NAME?</v>
      </c>
      <c r="M36" s="16"/>
      <c r="N36" s="31" t="e">
        <f ca="1">IF(H36=0,0,L36/H36)</f>
        <v>#NAME?</v>
      </c>
      <c r="O36" s="28"/>
      <c r="P36" s="32" t="e">
        <f ca="1">SUM(P31:P35)</f>
        <v>#NAME?</v>
      </c>
      <c r="Q36" s="15"/>
      <c r="R36" s="31" t="e">
        <f ca="1">IF(P$12=0,0,P36/P$12)</f>
        <v>#NAME?</v>
      </c>
      <c r="S36" s="15"/>
      <c r="T36" s="32" t="e">
        <f ca="1">SUM(T31:T35)</f>
        <v>#NAME?</v>
      </c>
      <c r="U36" s="15"/>
      <c r="V36" s="31" t="e">
        <f ca="1">IF(T$12=0,0,T36/T$12)</f>
        <v>#NAME?</v>
      </c>
      <c r="W36" s="16"/>
      <c r="X36" s="32" t="e">
        <f ca="1">+P36-T36</f>
        <v>#NAME?</v>
      </c>
      <c r="Y36" s="16"/>
      <c r="Z36" s="31" t="e">
        <f ca="1">IF(T36=0,0,X36/T36)</f>
        <v>#NAME?</v>
      </c>
    </row>
    <row r="37" spans="1:26" ht="15" customHeight="1" x14ac:dyDescent="0.3">
      <c r="A37" s="10"/>
      <c r="C37" s="10"/>
      <c r="D37" s="19"/>
      <c r="E37" s="19"/>
      <c r="G37" s="19"/>
      <c r="H37" s="19"/>
      <c r="I37" s="19"/>
      <c r="J37" s="40"/>
      <c r="K37" s="19"/>
      <c r="L37" s="19"/>
      <c r="M37" s="19"/>
      <c r="P37" s="19"/>
      <c r="Q37" s="19"/>
      <c r="R37" s="40"/>
      <c r="S37" s="19"/>
      <c r="T37" s="19"/>
      <c r="U37" s="19"/>
      <c r="V37" s="40"/>
      <c r="W37" s="19"/>
      <c r="X37" s="19"/>
    </row>
    <row r="38" spans="1:26" ht="15" customHeight="1" x14ac:dyDescent="0.3">
      <c r="A38" s="10"/>
      <c r="B38" s="51" t="e">
        <f ca="1">_xll.ONESTOP.REPORTPLAYER.OSRFUNCTIONS.OSRGET("CurrentDate","Date")</f>
        <v>#NAME?</v>
      </c>
      <c r="D38" s="19"/>
      <c r="E38" s="19"/>
      <c r="G38" s="19"/>
      <c r="H38" s="19"/>
      <c r="I38" s="19"/>
      <c r="J38" s="40"/>
      <c r="K38" s="19"/>
      <c r="L38" s="19"/>
      <c r="M38" s="19"/>
      <c r="P38" s="19"/>
      <c r="Q38" s="19"/>
      <c r="R38" s="40"/>
      <c r="S38" s="19"/>
      <c r="T38" s="19"/>
      <c r="U38" s="19"/>
      <c r="V38" s="40"/>
      <c r="W38" s="19"/>
      <c r="X38" s="19"/>
    </row>
    <row r="39" spans="1:26" ht="15" customHeight="1" x14ac:dyDescent="0.3">
      <c r="A39" s="10"/>
      <c r="B39" s="58" t="e">
        <f ca="1">_xll.ONESTOP.REPORTPLAYER.OSRFUNCTIONS.OSRGET("User","UserId")</f>
        <v>#NAME?</v>
      </c>
      <c r="D39" s="19"/>
      <c r="E39" s="19"/>
      <c r="G39" s="19"/>
      <c r="H39" s="19"/>
      <c r="I39" s="19"/>
      <c r="J39" s="40"/>
      <c r="K39" s="19"/>
      <c r="L39" s="19"/>
      <c r="M39" s="19"/>
      <c r="P39" s="19"/>
      <c r="Q39" s="19"/>
      <c r="R39" s="40"/>
      <c r="S39" s="19"/>
      <c r="T39" s="19"/>
      <c r="U39" s="19"/>
      <c r="V39" s="40"/>
      <c r="W39" s="19"/>
      <c r="X39" s="19"/>
    </row>
    <row r="40" spans="1:26" ht="15" customHeight="1" x14ac:dyDescent="0.3">
      <c r="A40" s="10"/>
      <c r="B40" s="50"/>
      <c r="D40" s="19"/>
      <c r="E40" s="19"/>
      <c r="G40" s="19"/>
      <c r="H40" s="19"/>
      <c r="I40" s="19"/>
      <c r="J40" s="40"/>
      <c r="K40" s="19"/>
      <c r="L40" s="19"/>
      <c r="M40" s="19"/>
      <c r="P40" s="19"/>
      <c r="Q40" s="19"/>
      <c r="R40" s="40"/>
      <c r="S40" s="19"/>
      <c r="T40" s="19"/>
      <c r="U40" s="19"/>
      <c r="V40" s="40"/>
      <c r="W40" s="19"/>
      <c r="X40" s="19"/>
    </row>
    <row r="41" spans="1:26" ht="15" customHeight="1" x14ac:dyDescent="0.3">
      <c r="D41" s="19"/>
      <c r="E41" s="19"/>
      <c r="G41" s="19"/>
      <c r="H41" s="19"/>
      <c r="I41" s="19"/>
      <c r="J41" s="40"/>
      <c r="K41" s="19"/>
      <c r="L41" s="19"/>
      <c r="M41" s="19"/>
      <c r="P41" s="19"/>
      <c r="Q41" s="19"/>
      <c r="R41" s="40"/>
      <c r="S41" s="19"/>
      <c r="T41" s="19"/>
      <c r="U41" s="19"/>
      <c r="V41" s="40"/>
      <c r="W41" s="19"/>
      <c r="X41" s="19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B61668-89C1-125D-5722-13C69FCEBCB8}">
  <sheetPr>
    <tabColor rgb="FFFFFF00"/>
    <outlinePr summaryBelow="0" summaryRight="0"/>
  </sheetPr>
  <dimension ref="A2:Z41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6" customWidth="1"/>
    <col min="2" max="2" width="33.44140625" style="66" customWidth="1"/>
    <col min="3" max="3" width="1.88671875" style="66" customWidth="1"/>
    <col min="4" max="4" width="15" style="66" customWidth="1"/>
    <col min="5" max="5" width="1.88671875" style="66" customWidth="1" outlineLevel="1"/>
    <col min="6" max="6" width="15" style="67" customWidth="1" outlineLevel="1"/>
    <col min="7" max="7" width="1.88671875" style="66" customWidth="1" outlineLevel="1"/>
    <col min="8" max="8" width="15" style="66" customWidth="1" outlineLevel="1"/>
    <col min="9" max="9" width="1.88671875" style="66" customWidth="1" outlineLevel="1"/>
    <col min="10" max="10" width="15" style="68" customWidth="1" outlineLevel="1"/>
    <col min="11" max="11" width="1.88671875" style="66" customWidth="1" outlineLevel="1"/>
    <col min="12" max="12" width="15" style="66" customWidth="1" outlineLevel="1"/>
    <col min="13" max="13" width="1.88671875" style="66" customWidth="1" outlineLevel="1"/>
    <col min="14" max="14" width="15" style="67" customWidth="1" outlineLevel="1"/>
    <col min="15" max="15" width="1.88671875" style="64" customWidth="1"/>
    <col min="16" max="16" width="15" style="66" customWidth="1"/>
    <col min="17" max="17" width="1.88671875" style="66" customWidth="1" outlineLevel="1"/>
    <col min="18" max="18" width="15" style="68" customWidth="1" outlineLevel="1"/>
    <col min="19" max="19" width="1.88671875" style="66" customWidth="1" outlineLevel="1"/>
    <col min="20" max="20" width="15" style="66" customWidth="1" outlineLevel="1"/>
    <col min="21" max="21" width="1.88671875" style="66" customWidth="1" outlineLevel="1"/>
    <col min="22" max="22" width="15" style="68" customWidth="1" outlineLevel="1"/>
    <col min="23" max="23" width="1.88671875" style="66" customWidth="1" outlineLevel="1"/>
    <col min="24" max="24" width="15" style="66" customWidth="1" outlineLevel="1"/>
    <col min="25" max="25" width="1.88671875" style="66" customWidth="1" outlineLevel="1"/>
    <col min="26" max="26" width="15" style="68" customWidth="1" outlineLevel="1"/>
  </cols>
  <sheetData>
    <row r="2" spans="1:26" ht="15" customHeight="1" x14ac:dyDescent="0.3">
      <c r="D2" s="54" t="s">
        <v>276</v>
      </c>
    </row>
    <row r="3" spans="1:26" ht="15" customHeight="1" x14ac:dyDescent="0.3">
      <c r="D3" s="54" t="s">
        <v>277</v>
      </c>
      <c r="E3" s="18"/>
      <c r="F3" s="44"/>
      <c r="G3" s="18"/>
      <c r="H3" s="18"/>
      <c r="I3" s="18"/>
      <c r="J3" s="38"/>
      <c r="K3" s="18"/>
      <c r="L3" s="18"/>
      <c r="M3" s="18"/>
      <c r="N3" s="44"/>
      <c r="O3" s="53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ht="15" customHeight="1" x14ac:dyDescent="0.3">
      <c r="D4" s="54" t="e">
        <f ca="1">CONCATENATE("Period ",RIGHT(_xll.ONESTOP.REPORTPLAYER.OSRFUNCTIONS.OSRGET("Period","PeriodId"),2),", ",_xll.ONESTOP.REPORTPLAYER.OSRFUNCTIONS.OSRGET("Period","Year"))</f>
        <v>#NAME?</v>
      </c>
      <c r="E4" s="18"/>
      <c r="F4" s="44"/>
      <c r="G4" s="18"/>
      <c r="H4" s="18"/>
      <c r="I4" s="18"/>
      <c r="J4" s="38"/>
      <c r="K4" s="18"/>
      <c r="L4" s="18"/>
      <c r="M4" s="18"/>
      <c r="N4" s="44"/>
      <c r="O4" s="53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ht="15" customHeight="1" x14ac:dyDescent="0.3">
      <c r="A5" s="24"/>
      <c r="D5" s="61" t="e">
        <f ca="1">_xll.ONESTOP.REPORTPLAYER.OSRFUNCTIONS.OSRGET("Period","PeriodEnd")</f>
        <v>#NAME?</v>
      </c>
      <c r="E5" s="18"/>
      <c r="F5" s="44"/>
      <c r="G5" s="18"/>
      <c r="H5" s="18"/>
      <c r="I5" s="18"/>
      <c r="J5" s="38"/>
      <c r="K5" s="18"/>
      <c r="L5" s="18"/>
      <c r="M5" s="18"/>
      <c r="N5" s="44"/>
      <c r="O5" s="53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ht="15" customHeight="1" x14ac:dyDescent="0.3">
      <c r="A6" s="24"/>
      <c r="B6" s="47"/>
      <c r="C6" s="47"/>
      <c r="D6" s="24" t="s">
        <v>302</v>
      </c>
      <c r="E6" s="18"/>
      <c r="F6" s="44"/>
      <c r="G6" s="18"/>
      <c r="H6" s="18"/>
      <c r="I6" s="18"/>
      <c r="J6" s="38"/>
      <c r="K6" s="18"/>
      <c r="L6" s="18"/>
      <c r="M6" s="18"/>
      <c r="N6" s="44"/>
      <c r="O6" s="59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ht="15" customHeight="1" x14ac:dyDescent="0.3">
      <c r="B7" s="52"/>
    </row>
    <row r="8" spans="1:26" ht="15" customHeight="1" x14ac:dyDescent="0.3">
      <c r="B8" s="52"/>
    </row>
    <row r="9" spans="1:26" ht="15" customHeight="1" x14ac:dyDescent="0.3">
      <c r="B9" s="10"/>
      <c r="C9" s="10"/>
      <c r="D9" s="17" t="s">
        <v>279</v>
      </c>
      <c r="E9" s="17"/>
      <c r="F9" s="36"/>
      <c r="G9" s="17"/>
      <c r="H9" s="17"/>
      <c r="I9" s="17"/>
      <c r="J9" s="43"/>
      <c r="K9" s="17"/>
      <c r="L9" s="17"/>
      <c r="M9" s="17"/>
      <c r="N9" s="36"/>
      <c r="P9" s="17" t="s">
        <v>280</v>
      </c>
      <c r="Q9" s="17"/>
      <c r="R9" s="36"/>
      <c r="S9" s="17"/>
      <c r="T9" s="17"/>
      <c r="U9" s="17"/>
      <c r="V9" s="43"/>
      <c r="W9" s="17"/>
      <c r="X9" s="17"/>
      <c r="Y9" s="17"/>
      <c r="Z9" s="36"/>
    </row>
    <row r="10" spans="1:26" ht="15" customHeight="1" x14ac:dyDescent="0.3">
      <c r="A10" s="11"/>
      <c r="B10" s="57"/>
      <c r="C10" s="11"/>
      <c r="D10" s="41" t="s">
        <v>281</v>
      </c>
      <c r="E10" s="33"/>
      <c r="F10" s="37" t="s">
        <v>282</v>
      </c>
      <c r="G10" s="33"/>
      <c r="H10" s="48" t="s">
        <v>283</v>
      </c>
      <c r="I10" s="33"/>
      <c r="J10" s="45" t="s">
        <v>284</v>
      </c>
      <c r="K10" s="11"/>
      <c r="L10" s="41" t="s">
        <v>285</v>
      </c>
      <c r="M10" s="11"/>
      <c r="N10" s="37" t="s">
        <v>286</v>
      </c>
      <c r="O10" s="11"/>
      <c r="P10" s="56" t="s">
        <v>281</v>
      </c>
      <c r="Q10" s="33"/>
      <c r="R10" s="37" t="s">
        <v>282</v>
      </c>
      <c r="S10" s="33"/>
      <c r="T10" s="48" t="s">
        <v>283</v>
      </c>
      <c r="U10" s="33"/>
      <c r="V10" s="45" t="s">
        <v>284</v>
      </c>
      <c r="W10" s="11"/>
      <c r="X10" s="41" t="s">
        <v>285</v>
      </c>
      <c r="Y10" s="11"/>
      <c r="Z10" s="37" t="s">
        <v>286</v>
      </c>
    </row>
    <row r="11" spans="1:26" ht="16.5" customHeight="1" x14ac:dyDescent="0.3">
      <c r="A11" s="10"/>
      <c r="B11" s="55"/>
      <c r="C11" s="10"/>
      <c r="D11" s="10"/>
      <c r="E11" s="10"/>
      <c r="F11" s="9"/>
      <c r="G11" s="10"/>
      <c r="H11" s="10"/>
      <c r="I11" s="10"/>
      <c r="J11" s="46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6"/>
      <c r="W11" s="10"/>
      <c r="X11" s="10"/>
      <c r="Y11" s="10"/>
      <c r="Z11" s="9"/>
    </row>
    <row r="12" spans="1:26" s="63" customFormat="1" ht="15" customHeight="1" collapsed="1" x14ac:dyDescent="0.3">
      <c r="A12" s="11"/>
      <c r="B12" s="28" t="s">
        <v>287</v>
      </c>
      <c r="C12" s="11"/>
      <c r="D12" s="5" t="e">
        <f ca="1">SUM(_xll.ONESTOP.REPORTPLAYER.OSRFUNCTIONS.OSRREF(D13))</f>
        <v>#NAME?</v>
      </c>
      <c r="E12" s="5"/>
      <c r="F12" s="13"/>
      <c r="G12" s="5"/>
      <c r="H12" s="5" t="e">
        <f ca="1">SUM(_xll.ONESTOP.REPORTPLAYER.OSRFUNCTIONS.OSRREF(H13))</f>
        <v>#NAME?</v>
      </c>
      <c r="I12" s="5"/>
      <c r="J12" s="13"/>
      <c r="K12" s="5"/>
      <c r="L12" s="5" t="e">
        <f ca="1">+D12-H12</f>
        <v>#NAME?</v>
      </c>
      <c r="M12" s="5"/>
      <c r="N12" s="13" t="e">
        <f ca="1">IF(H12=0,0,L12/H12)</f>
        <v>#NAME?</v>
      </c>
      <c r="O12" s="11"/>
      <c r="P12" s="5" t="e">
        <f ca="1">SUM(_xll.ONESTOP.REPORTPLAYER.OSRFUNCTIONS.OSRREF(P13))</f>
        <v>#NAME?</v>
      </c>
      <c r="Q12" s="5"/>
      <c r="R12" s="13"/>
      <c r="S12" s="5"/>
      <c r="T12" s="5" t="e">
        <f ca="1">SUM(_xll.ONESTOP.REPORTPLAYER.OSRFUNCTIONS.OSRREF(T13))</f>
        <v>#NAME?</v>
      </c>
      <c r="U12" s="5"/>
      <c r="V12" s="13"/>
      <c r="W12" s="5"/>
      <c r="X12" s="5" t="e">
        <f ca="1">+P12-T12</f>
        <v>#NAME?</v>
      </c>
      <c r="Y12" s="5"/>
      <c r="Z12" s="13" t="e">
        <f ca="1">IF(T12=0,0,X12/T12)</f>
        <v>#NAME?</v>
      </c>
    </row>
    <row r="13" spans="1:26" s="70" customFormat="1" ht="15" hidden="1" customHeight="1" outlineLevel="1" x14ac:dyDescent="0.3">
      <c r="A13" s="42"/>
      <c r="B13" s="12" t="e">
        <f ca="1">CONCATENATE("          ",_xll.ONESTOP.REPORTPLAYER.OSRFUNCTIONS.OSRGET("d_Account","Code")," - ",_xll.ONESTOP.REPORTPLAYER.OSRFUNCTIONS.OSRGET("d_Account","Description"))</f>
        <v>#NAME?</v>
      </c>
      <c r="C13" s="12"/>
      <c r="D13" s="3" t="e">
        <f ca="1">-_xll.ONESTOP.REPORTPLAYER.OSRFUNCTIONS.OSRGET("GL_F_Trans","Value1")</f>
        <v>#NAME?</v>
      </c>
      <c r="E13" s="3"/>
      <c r="F13" s="20"/>
      <c r="G13" s="3"/>
      <c r="H13" s="3" t="e">
        <f ca="1">_xll.ONESTOP.REPORTPLAYER.OSRFUNCTIONS.OSRGET("GL_F_Trans","Value1")</f>
        <v>#NAME?</v>
      </c>
      <c r="I13" s="3"/>
      <c r="J13" s="20"/>
      <c r="K13" s="3"/>
      <c r="L13" s="3" t="e">
        <f ca="1">+D13-H13</f>
        <v>#NAME?</v>
      </c>
      <c r="M13" s="3"/>
      <c r="N13" s="20" t="e">
        <f ca="1">IF(H13=0,0,L13/H13)</f>
        <v>#NAME?</v>
      </c>
      <c r="O13" s="12"/>
      <c r="P13" s="3" t="e">
        <f ca="1">-_xll.ONESTOP.REPORTPLAYER.OSRFUNCTIONS.OSRGET("GL_F_Trans","Value1")</f>
        <v>#NAME?</v>
      </c>
      <c r="Q13" s="3"/>
      <c r="R13" s="20"/>
      <c r="S13" s="3"/>
      <c r="T13" s="3" t="e">
        <f ca="1">_xll.ONESTOP.REPORTPLAYER.OSRFUNCTIONS.OSRGET("GL_F_Trans","Value1")</f>
        <v>#NAME?</v>
      </c>
      <c r="U13" s="3"/>
      <c r="V13" s="20"/>
      <c r="W13" s="3"/>
      <c r="X13" s="3" t="e">
        <f ca="1">+P13-T13</f>
        <v>#NAME?</v>
      </c>
      <c r="Y13" s="3"/>
      <c r="Z13" s="20" t="e">
        <f ca="1">IF(T13=0,0,X13/T13)</f>
        <v>#NAME?</v>
      </c>
    </row>
    <row r="14" spans="1:26" ht="15" customHeight="1" x14ac:dyDescent="0.3">
      <c r="A14" s="10"/>
      <c r="B14" s="11"/>
      <c r="C14" s="10"/>
      <c r="D14" s="4"/>
      <c r="E14" s="4"/>
      <c r="F14" s="9"/>
      <c r="G14" s="4"/>
      <c r="H14" s="4"/>
      <c r="I14" s="4"/>
      <c r="J14" s="9"/>
      <c r="K14" s="4"/>
      <c r="L14" s="4"/>
      <c r="M14" s="4"/>
      <c r="N14" s="9"/>
      <c r="P14" s="4"/>
      <c r="Q14" s="4"/>
      <c r="R14" s="9"/>
      <c r="S14" s="4"/>
      <c r="T14" s="4"/>
      <c r="U14" s="4"/>
      <c r="V14" s="9"/>
      <c r="W14" s="4"/>
      <c r="X14" s="4"/>
      <c r="Y14" s="4"/>
      <c r="Z14" s="9"/>
    </row>
    <row r="15" spans="1:26" s="63" customFormat="1" ht="15" customHeight="1" collapsed="1" x14ac:dyDescent="0.3">
      <c r="A15" s="11"/>
      <c r="B15" s="28" t="s">
        <v>288</v>
      </c>
      <c r="C15" s="11"/>
      <c r="D15" s="5" t="e">
        <f ca="1">SUM(_xll.ONESTOP.REPORTPLAYER.OSRFUNCTIONS.OSRREF(D16))</f>
        <v>#NAME?</v>
      </c>
      <c r="E15" s="5"/>
      <c r="F15" s="13" t="e">
        <f ca="1">IF(D$12=0,0,D15/D$12)</f>
        <v>#NAME?</v>
      </c>
      <c r="G15" s="5"/>
      <c r="H15" s="5" t="e">
        <f ca="1">SUM(_xll.ONESTOP.REPORTPLAYER.OSRFUNCTIONS.OSRREF(H16))</f>
        <v>#NAME?</v>
      </c>
      <c r="I15" s="5"/>
      <c r="J15" s="13" t="e">
        <f ca="1">IF(H$12=0,0,H15/H$12)</f>
        <v>#NAME?</v>
      </c>
      <c r="K15" s="5"/>
      <c r="L15" s="5" t="e">
        <f ca="1">+D15-H15</f>
        <v>#NAME?</v>
      </c>
      <c r="M15" s="5"/>
      <c r="N15" s="13" t="e">
        <f ca="1">IF(H15=0,0,L15/H15)</f>
        <v>#NAME?</v>
      </c>
      <c r="O15" s="11"/>
      <c r="P15" s="5" t="e">
        <f ca="1">SUM(_xll.ONESTOP.REPORTPLAYER.OSRFUNCTIONS.OSRREF(P16))</f>
        <v>#NAME?</v>
      </c>
      <c r="Q15" s="5"/>
      <c r="R15" s="13" t="e">
        <f ca="1">IF(P$12=0,0,P15/P$12)</f>
        <v>#NAME?</v>
      </c>
      <c r="S15" s="5"/>
      <c r="T15" s="5" t="e">
        <f ca="1">SUM(_xll.ONESTOP.REPORTPLAYER.OSRFUNCTIONS.OSRREF(T16))</f>
        <v>#NAME?</v>
      </c>
      <c r="U15" s="5"/>
      <c r="V15" s="13" t="e">
        <f ca="1">IF(T$12=0,0,T15/T$12)</f>
        <v>#NAME?</v>
      </c>
      <c r="W15" s="5"/>
      <c r="X15" s="5" t="e">
        <f ca="1">+P15-T15</f>
        <v>#NAME?</v>
      </c>
      <c r="Y15" s="5"/>
      <c r="Z15" s="13" t="e">
        <f ca="1">IF(T15=0,0,X15/T15)</f>
        <v>#NAME?</v>
      </c>
    </row>
    <row r="16" spans="1:26" s="70" customFormat="1" ht="15" hidden="1" customHeight="1" outlineLevel="1" x14ac:dyDescent="0.3">
      <c r="A16" s="42"/>
      <c r="B16" s="12" t="e">
        <f ca="1">CONCATENATE("          ",_xll.ONESTOP.REPORTPLAYER.OSRFUNCTIONS.OSRGET("d_Account","Code")," - ",_xll.ONESTOP.REPORTPLAYER.OSRFUNCTIONS.OSRGET("d_Account","Description"))</f>
        <v>#NAME?</v>
      </c>
      <c r="C16" s="12"/>
      <c r="D16" s="3" t="e">
        <f ca="1">_xll.ONESTOP.REPORTPLAYER.OSRFUNCTIONS.OSRGET("GL_F_Trans","Value1")</f>
        <v>#NAME?</v>
      </c>
      <c r="E16" s="3"/>
      <c r="F16" s="20" t="e">
        <f ca="1">IF(D$12=0,0,D16/D$12)</f>
        <v>#NAME?</v>
      </c>
      <c r="G16" s="3"/>
      <c r="H16" s="3" t="e">
        <f ca="1">_xll.ONESTOP.REPORTPLAYER.OSRFUNCTIONS.OSRGET("GL_F_Trans","Value1")</f>
        <v>#NAME?</v>
      </c>
      <c r="I16" s="3"/>
      <c r="J16" s="20" t="e">
        <f ca="1">IF(H$12=0,0,H16/H$12)</f>
        <v>#NAME?</v>
      </c>
      <c r="K16" s="3"/>
      <c r="L16" s="3" t="e">
        <f ca="1">+D16-H16</f>
        <v>#NAME?</v>
      </c>
      <c r="M16" s="3"/>
      <c r="N16" s="20" t="e">
        <f ca="1">IF(H16=0,0,L16/H16)</f>
        <v>#NAME?</v>
      </c>
      <c r="O16" s="12"/>
      <c r="P16" s="3" t="e">
        <f ca="1">_xll.ONESTOP.REPORTPLAYER.OSRFUNCTIONS.OSRGET("GL_F_Trans","Value1")</f>
        <v>#NAME?</v>
      </c>
      <c r="Q16" s="3"/>
      <c r="R16" s="20" t="e">
        <f ca="1">IF(P$12=0,0,P16/P$12)</f>
        <v>#NAME?</v>
      </c>
      <c r="S16" s="3"/>
      <c r="T16" s="3" t="e">
        <f ca="1">_xll.ONESTOP.REPORTPLAYER.OSRFUNCTIONS.OSRGET("GL_F_Trans","Value1")</f>
        <v>#NAME?</v>
      </c>
      <c r="U16" s="3"/>
      <c r="V16" s="20" t="e">
        <f ca="1">IF(T$12=0,0,T16/T$12)</f>
        <v>#NAME?</v>
      </c>
      <c r="W16" s="3"/>
      <c r="X16" s="3" t="e">
        <f ca="1">+P16-T16</f>
        <v>#NAME?</v>
      </c>
      <c r="Y16" s="3"/>
      <c r="Z16" s="20" t="e">
        <f ca="1">IF(T16=0,0,X16/T16)</f>
        <v>#NAME?</v>
      </c>
    </row>
    <row r="17" spans="1:26" ht="15" customHeight="1" x14ac:dyDescent="0.3">
      <c r="A17" s="10"/>
      <c r="B17" s="11"/>
      <c r="C17" s="11"/>
      <c r="D17" s="4"/>
      <c r="E17" s="4"/>
      <c r="F17" s="9"/>
      <c r="G17" s="4"/>
      <c r="H17" s="4"/>
      <c r="I17" s="4"/>
      <c r="J17" s="9"/>
      <c r="K17" s="4"/>
      <c r="L17" s="4"/>
      <c r="M17" s="4"/>
      <c r="N17" s="9"/>
      <c r="O17" s="11"/>
      <c r="P17" s="4"/>
      <c r="Q17" s="4"/>
      <c r="R17" s="9"/>
      <c r="S17" s="4"/>
      <c r="T17" s="4"/>
      <c r="U17" s="4"/>
      <c r="V17" s="9"/>
      <c r="W17" s="4"/>
      <c r="X17" s="4"/>
      <c r="Y17" s="4"/>
      <c r="Z17" s="9"/>
    </row>
    <row r="18" spans="1:26" s="63" customFormat="1" ht="15" customHeight="1" x14ac:dyDescent="0.3">
      <c r="A18" s="11"/>
      <c r="B18" s="27" t="s">
        <v>289</v>
      </c>
      <c r="C18" s="27"/>
      <c r="D18" s="21" t="e">
        <f ca="1">D12-D15</f>
        <v>#NAME?</v>
      </c>
      <c r="E18" s="15"/>
      <c r="F18" s="23" t="e">
        <f ca="1">IF(D$12=0,0,D18/D$12)</f>
        <v>#NAME?</v>
      </c>
      <c r="G18" s="15"/>
      <c r="H18" s="21" t="e">
        <f ca="1">H12-H15</f>
        <v>#NAME?</v>
      </c>
      <c r="I18" s="15"/>
      <c r="J18" s="23" t="e">
        <f ca="1">IF(H$12=0,0,H18/H$12)</f>
        <v>#NAME?</v>
      </c>
      <c r="K18" s="16"/>
      <c r="L18" s="21" t="e">
        <f ca="1">+D18-H18</f>
        <v>#NAME?</v>
      </c>
      <c r="M18" s="16"/>
      <c r="N18" s="23" t="e">
        <f ca="1">IF(H18=0,0,L18/H18)</f>
        <v>#NAME?</v>
      </c>
      <c r="O18" s="28"/>
      <c r="P18" s="21" t="e">
        <f ca="1">P12-P15</f>
        <v>#NAME?</v>
      </c>
      <c r="Q18" s="15"/>
      <c r="R18" s="23" t="e">
        <f ca="1">IF(P$12=0,0,P18/P$12)</f>
        <v>#NAME?</v>
      </c>
      <c r="S18" s="15"/>
      <c r="T18" s="21" t="e">
        <f ca="1">T12-T15</f>
        <v>#NAME?</v>
      </c>
      <c r="U18" s="15"/>
      <c r="V18" s="23" t="e">
        <f ca="1">IF(T$12=0,0,T18/T$12)</f>
        <v>#NAME?</v>
      </c>
      <c r="W18" s="16"/>
      <c r="X18" s="21" t="e">
        <f ca="1">+P18-T18</f>
        <v>#NAME?</v>
      </c>
      <c r="Y18" s="16"/>
      <c r="Z18" s="23" t="e">
        <f ca="1">IF(T18=0,0,X18/T18)</f>
        <v>#NAME?</v>
      </c>
    </row>
    <row r="19" spans="1:26" ht="15" customHeight="1" x14ac:dyDescent="0.3">
      <c r="A19" s="10"/>
      <c r="B19" s="11"/>
      <c r="C19" s="10"/>
      <c r="D19" s="2"/>
      <c r="E19" s="2"/>
      <c r="F19" s="6"/>
      <c r="G19" s="2"/>
      <c r="H19" s="2"/>
      <c r="I19" s="2"/>
      <c r="J19" s="6"/>
      <c r="K19" s="2"/>
      <c r="L19" s="2"/>
      <c r="M19" s="2"/>
      <c r="N19" s="6"/>
      <c r="O19" s="35"/>
      <c r="P19" s="2"/>
      <c r="Q19" s="2"/>
      <c r="R19" s="6"/>
      <c r="S19" s="2"/>
      <c r="T19" s="2"/>
      <c r="U19" s="2"/>
      <c r="V19" s="6"/>
      <c r="W19" s="2"/>
      <c r="X19" s="2"/>
      <c r="Y19" s="2"/>
      <c r="Z19" s="6"/>
    </row>
    <row r="20" spans="1:26" s="63" customFormat="1" ht="15" customHeight="1" x14ac:dyDescent="0.3">
      <c r="A20" s="11"/>
      <c r="B20" s="28" t="s">
        <v>290</v>
      </c>
      <c r="C20" s="11"/>
      <c r="D20" s="22" t="e">
        <f ca="1">SUM(_xll.ONESTOP.REPORTPLAYER.OSRFUNCTIONS.OSRREF(D22))</f>
        <v>#NAME?</v>
      </c>
      <c r="E20" s="22"/>
      <c r="F20" s="30" t="e">
        <f ca="1">IF(D$12=0,0,D20/D$12)</f>
        <v>#NAME?</v>
      </c>
      <c r="G20" s="22"/>
      <c r="H20" s="22" t="e">
        <f ca="1">SUM(_xll.ONESTOP.REPORTPLAYER.OSRFUNCTIONS.OSRREF(H22))</f>
        <v>#NAME?</v>
      </c>
      <c r="I20" s="22"/>
      <c r="J20" s="30" t="e">
        <f ca="1">IF(H$12=0,0,H20/H$12)</f>
        <v>#NAME?</v>
      </c>
      <c r="K20" s="5"/>
      <c r="L20" s="22" t="e">
        <f ca="1">+D20-H20</f>
        <v>#NAME?</v>
      </c>
      <c r="M20" s="5"/>
      <c r="N20" s="30" t="e">
        <f ca="1">IF(H20=0,0,L20/H20)</f>
        <v>#NAME?</v>
      </c>
      <c r="O20" s="11"/>
      <c r="P20" s="22" t="e">
        <f ca="1">SUM(_xll.ONESTOP.REPORTPLAYER.OSRFUNCTIONS.OSRREF(P22))</f>
        <v>#NAME?</v>
      </c>
      <c r="Q20" s="22"/>
      <c r="R20" s="30" t="e">
        <f ca="1">IF(P$12=0,0,P20/P$12)</f>
        <v>#NAME?</v>
      </c>
      <c r="S20" s="22"/>
      <c r="T20" s="22" t="e">
        <f ca="1">SUM(_xll.ONESTOP.REPORTPLAYER.OSRFUNCTIONS.OSRREF(T22))</f>
        <v>#NAME?</v>
      </c>
      <c r="U20" s="22"/>
      <c r="V20" s="30" t="e">
        <f ca="1">IF(T$12=0,0,T20/T$12)</f>
        <v>#NAME?</v>
      </c>
      <c r="W20" s="5"/>
      <c r="X20" s="22" t="e">
        <f ca="1">+P20-T20</f>
        <v>#NAME?</v>
      </c>
      <c r="Y20" s="5"/>
      <c r="Z20" s="30" t="e">
        <f ca="1">IF(T20=0,0,X20/T20)</f>
        <v>#NAME?</v>
      </c>
    </row>
    <row r="21" spans="1:26" s="69" customFormat="1" ht="15" customHeight="1" outlineLevel="1" collapsed="1" x14ac:dyDescent="0.3">
      <c r="A21" s="25"/>
      <c r="B21" s="14" t="e">
        <f ca="1">CONCATENATE("     ",_xll.ONESTOP.REPORTPLAYER.OSRFUNCTIONS.OSRGET("d_Account","AccountCategory"))</f>
        <v>#NAME?</v>
      </c>
      <c r="C21" s="14"/>
      <c r="D21" s="2" t="e">
        <f ca="1">SUM(_xll.ONESTOP.REPORTPLAYER.OSRFUNCTIONS.OSRREF(D22))</f>
        <v>#NAME?</v>
      </c>
      <c r="E21" s="2"/>
      <c r="F21" s="6" t="e">
        <f ca="1">IF(D$12=0,0,D21/D$12)</f>
        <v>#NAME?</v>
      </c>
      <c r="G21" s="2"/>
      <c r="H21" s="2" t="e">
        <f ca="1">SUM(_xll.ONESTOP.REPORTPLAYER.OSRFUNCTIONS.OSRREF(H22))</f>
        <v>#NAME?</v>
      </c>
      <c r="I21" s="2"/>
      <c r="J21" s="6" t="e">
        <f ca="1">IF(H$12=0,0,H21/H$12)</f>
        <v>#NAME?</v>
      </c>
      <c r="K21" s="2"/>
      <c r="L21" s="2" t="e">
        <f ca="1">+D21-H21</f>
        <v>#NAME?</v>
      </c>
      <c r="M21" s="2"/>
      <c r="N21" s="6" t="e">
        <f ca="1">IF(H21=0,0,L21/H21)</f>
        <v>#NAME?</v>
      </c>
      <c r="O21" s="14"/>
      <c r="P21" s="2" t="e">
        <f ca="1">SUM(_xll.ONESTOP.REPORTPLAYER.OSRFUNCTIONS.OSRREF(P22))</f>
        <v>#NAME?</v>
      </c>
      <c r="Q21" s="2"/>
      <c r="R21" s="6" t="e">
        <f ca="1">IF(P$12=0,0,P21/P$12)</f>
        <v>#NAME?</v>
      </c>
      <c r="S21" s="2"/>
      <c r="T21" s="2" t="e">
        <f ca="1">SUM(_xll.ONESTOP.REPORTPLAYER.OSRFUNCTIONS.OSRREF(T22))</f>
        <v>#NAME?</v>
      </c>
      <c r="U21" s="2"/>
      <c r="V21" s="6" t="e">
        <f ca="1">IF(T$12=0,0,T21/T$12)</f>
        <v>#NAME?</v>
      </c>
      <c r="W21" s="2"/>
      <c r="X21" s="2" t="e">
        <f ca="1">+P21-T21</f>
        <v>#NAME?</v>
      </c>
      <c r="Y21" s="2"/>
      <c r="Z21" s="6" t="e">
        <f ca="1">IF(T21=0,0,X21/T21)</f>
        <v>#NAME?</v>
      </c>
    </row>
    <row r="22" spans="1:26" s="70" customFormat="1" ht="15" hidden="1" customHeight="1" outlineLevel="2" x14ac:dyDescent="0.3">
      <c r="A22" s="26"/>
      <c r="B22" s="12" t="e">
        <f ca="1">CONCATENATE("          ",_xll.ONESTOP.REPORTPLAYER.OSRFUNCTIONS.OSRGET("d_Account","Code")," - ",_xll.ONESTOP.REPORTPLAYER.OSRFUNCTIONS.OSRGET("d_Account","Description"))</f>
        <v>#NAME?</v>
      </c>
      <c r="C22" s="12"/>
      <c r="D22" s="7" t="e">
        <f ca="1">_xll.ONESTOP.REPORTPLAYER.OSRFUNCTIONS.OSRGET("GL_F_Trans","Value1")</f>
        <v>#NAME?</v>
      </c>
      <c r="E22" s="3"/>
      <c r="F22" s="8" t="e">
        <f ca="1">IF(D$12=0,0,D22/D$12)</f>
        <v>#NAME?</v>
      </c>
      <c r="G22" s="3"/>
      <c r="H22" s="7" t="e">
        <f ca="1">_xll.ONESTOP.REPORTPLAYER.OSRFUNCTIONS.OSRGET("GL_F_Trans","Value1")</f>
        <v>#NAME?</v>
      </c>
      <c r="I22" s="3"/>
      <c r="J22" s="8" t="e">
        <f ca="1">IF(H$12=0,0,H22/H$12)</f>
        <v>#NAME?</v>
      </c>
      <c r="K22" s="3"/>
      <c r="L22" s="7" t="e">
        <f ca="1">+D22-H22</f>
        <v>#NAME?</v>
      </c>
      <c r="M22" s="3"/>
      <c r="N22" s="8" t="e">
        <f ca="1">IF(H22=0,0,L22/H22)</f>
        <v>#NAME?</v>
      </c>
      <c r="O22" s="12"/>
      <c r="P22" s="7" t="e">
        <f ca="1">_xll.ONESTOP.REPORTPLAYER.OSRFUNCTIONS.OSRGET("GL_F_Trans","Value1")</f>
        <v>#NAME?</v>
      </c>
      <c r="Q22" s="3"/>
      <c r="R22" s="8" t="e">
        <f ca="1">IF(P$12=0,0,P22/P$12)</f>
        <v>#NAME?</v>
      </c>
      <c r="S22" s="3"/>
      <c r="T22" s="7" t="e">
        <f ca="1">_xll.ONESTOP.REPORTPLAYER.OSRFUNCTIONS.OSRGET("GL_F_Trans","Value1")</f>
        <v>#NAME?</v>
      </c>
      <c r="U22" s="3"/>
      <c r="V22" s="8" t="e">
        <f ca="1">IF(T$12=0,0,T22/T$12)</f>
        <v>#NAME?</v>
      </c>
      <c r="W22" s="3"/>
      <c r="X22" s="7" t="e">
        <f ca="1">+P22-T22</f>
        <v>#NAME?</v>
      </c>
      <c r="Y22" s="3"/>
      <c r="Z22" s="8" t="e">
        <f ca="1">IF(T22=0,0,X22/T22)</f>
        <v>#NAME?</v>
      </c>
    </row>
    <row r="23" spans="1:26" s="65" customFormat="1" ht="15" customHeight="1" x14ac:dyDescent="0.3">
      <c r="A23" s="35"/>
      <c r="B23" s="35"/>
      <c r="C23" s="35"/>
      <c r="D23" s="2"/>
      <c r="E23" s="2"/>
      <c r="F23" s="6"/>
      <c r="G23" s="2"/>
      <c r="H23" s="2"/>
      <c r="I23" s="2"/>
      <c r="J23" s="6"/>
      <c r="K23" s="2"/>
      <c r="L23" s="2"/>
      <c r="M23" s="2"/>
      <c r="N23" s="6"/>
      <c r="O23" s="35"/>
      <c r="P23" s="2"/>
      <c r="Q23" s="2"/>
      <c r="R23" s="6"/>
      <c r="S23" s="2"/>
      <c r="T23" s="2"/>
      <c r="U23" s="2"/>
      <c r="V23" s="6"/>
      <c r="W23" s="2"/>
      <c r="X23" s="2"/>
      <c r="Y23" s="2"/>
      <c r="Z23" s="6"/>
    </row>
    <row r="24" spans="1:26" s="63" customFormat="1" ht="15" customHeight="1" collapsed="1" x14ac:dyDescent="0.3">
      <c r="A24" s="11"/>
      <c r="B24" s="28" t="s">
        <v>291</v>
      </c>
      <c r="C24" s="11"/>
      <c r="D24" s="5" t="e">
        <f ca="1">SUM(_xll.ONESTOP.REPORTPLAYER.OSRFUNCTIONS.OSRREF(D25))</f>
        <v>#NAME?</v>
      </c>
      <c r="E24" s="5"/>
      <c r="F24" s="13" t="e">
        <f ca="1">IF(D$12=0,0,D24/D$12)</f>
        <v>#NAME?</v>
      </c>
      <c r="G24" s="5"/>
      <c r="H24" s="5" t="e">
        <f ca="1">SUM(_xll.ONESTOP.REPORTPLAYER.OSRFUNCTIONS.OSRREF(H25))</f>
        <v>#NAME?</v>
      </c>
      <c r="I24" s="5"/>
      <c r="J24" s="13" t="e">
        <f ca="1">IF(H$12=0,0,H24/H$12)</f>
        <v>#NAME?</v>
      </c>
      <c r="K24" s="5"/>
      <c r="L24" s="5" t="e">
        <f ca="1">+D24-H24</f>
        <v>#NAME?</v>
      </c>
      <c r="M24" s="5"/>
      <c r="N24" s="13" t="e">
        <f ca="1">IF(H24=0,0,L24/H24)</f>
        <v>#NAME?</v>
      </c>
      <c r="O24" s="11"/>
      <c r="P24" s="5" t="e">
        <f ca="1">SUM(_xll.ONESTOP.REPORTPLAYER.OSRFUNCTIONS.OSRREF(P25))</f>
        <v>#NAME?</v>
      </c>
      <c r="Q24" s="5"/>
      <c r="R24" s="13" t="e">
        <f ca="1">IF(P$12=0,0,P24/P$12)</f>
        <v>#NAME?</v>
      </c>
      <c r="S24" s="5"/>
      <c r="T24" s="5" t="e">
        <f ca="1">SUM(_xll.ONESTOP.REPORTPLAYER.OSRFUNCTIONS.OSRREF(T25))</f>
        <v>#NAME?</v>
      </c>
      <c r="U24" s="5"/>
      <c r="V24" s="13" t="e">
        <f ca="1">IF(T$12=0,0,T24/T$12)</f>
        <v>#NAME?</v>
      </c>
      <c r="W24" s="5"/>
      <c r="X24" s="5" t="e">
        <f ca="1">+P24-T24</f>
        <v>#NAME?</v>
      </c>
      <c r="Y24" s="5"/>
      <c r="Z24" s="13" t="e">
        <f ca="1">IF(T24=0,0,X24/T24)</f>
        <v>#NAME?</v>
      </c>
    </row>
    <row r="25" spans="1:26" s="70" customFormat="1" ht="15" hidden="1" customHeight="1" outlineLevel="1" x14ac:dyDescent="0.3">
      <c r="A25" s="42"/>
      <c r="B25" s="12" t="e">
        <f ca="1">CONCATENATE("          ",_xll.ONESTOP.REPORTPLAYER.OSRFUNCTIONS.OSRGET("d_Account","Code")," - ",_xll.ONESTOP.REPORTPLAYER.OSRFUNCTIONS.OSRGET("d_Account","Description"))</f>
        <v>#NAME?</v>
      </c>
      <c r="C25" s="12"/>
      <c r="D25" s="3" t="e">
        <f ca="1">-_xll.ONESTOP.REPORTPLAYER.OSRFUNCTIONS.OSRGET("GL_F_Trans","Value1")</f>
        <v>#NAME?</v>
      </c>
      <c r="E25" s="3"/>
      <c r="F25" s="20" t="e">
        <f ca="1">IF(D$12=0,0,D25/D$12)</f>
        <v>#NAME?</v>
      </c>
      <c r="G25" s="3"/>
      <c r="H25" s="3" t="e">
        <f ca="1">_xll.ONESTOP.REPORTPLAYER.OSRFUNCTIONS.OSRGET("GL_F_Trans","Value1")</f>
        <v>#NAME?</v>
      </c>
      <c r="I25" s="3"/>
      <c r="J25" s="20" t="e">
        <f ca="1">IF(H$12=0,0,H25/H$12)</f>
        <v>#NAME?</v>
      </c>
      <c r="K25" s="3"/>
      <c r="L25" s="3" t="e">
        <f ca="1">+D25-H25</f>
        <v>#NAME?</v>
      </c>
      <c r="M25" s="3"/>
      <c r="N25" s="20" t="e">
        <f ca="1">IF(H25=0,0,L25/H25)</f>
        <v>#NAME?</v>
      </c>
      <c r="O25" s="12"/>
      <c r="P25" s="3" t="e">
        <f ca="1">-_xll.ONESTOP.REPORTPLAYER.OSRFUNCTIONS.OSRGET("GL_F_Trans","Value1")</f>
        <v>#NAME?</v>
      </c>
      <c r="Q25" s="3"/>
      <c r="R25" s="20" t="e">
        <f ca="1">IF(P$12=0,0,P25/P$12)</f>
        <v>#NAME?</v>
      </c>
      <c r="S25" s="3"/>
      <c r="T25" s="3" t="e">
        <f ca="1">_xll.ONESTOP.REPORTPLAYER.OSRFUNCTIONS.OSRGET("GL_F_Trans","Value1")</f>
        <v>#NAME?</v>
      </c>
      <c r="U25" s="3"/>
      <c r="V25" s="20" t="e">
        <f ca="1">IF(T$12=0,0,T25/T$12)</f>
        <v>#NAME?</v>
      </c>
      <c r="W25" s="3"/>
      <c r="X25" s="3" t="e">
        <f ca="1">+P25-T25</f>
        <v>#NAME?</v>
      </c>
      <c r="Y25" s="3"/>
      <c r="Z25" s="20" t="e">
        <f ca="1">IF(T25=0,0,X25/T25)</f>
        <v>#NAME?</v>
      </c>
    </row>
    <row r="26" spans="1:26" ht="15" customHeight="1" x14ac:dyDescent="0.3">
      <c r="A26" s="10"/>
      <c r="B26" s="11"/>
      <c r="C26" s="11"/>
      <c r="D26" s="4"/>
      <c r="E26" s="4"/>
      <c r="F26" s="9"/>
      <c r="G26" s="4"/>
      <c r="H26" s="4"/>
      <c r="I26" s="4"/>
      <c r="J26" s="9"/>
      <c r="K26" s="4"/>
      <c r="L26" s="4"/>
      <c r="M26" s="4"/>
      <c r="N26" s="9"/>
      <c r="O26" s="11"/>
      <c r="P26" s="4"/>
      <c r="Q26" s="4"/>
      <c r="R26" s="9"/>
      <c r="S26" s="4"/>
      <c r="T26" s="4"/>
      <c r="U26" s="4"/>
      <c r="V26" s="9"/>
      <c r="W26" s="4"/>
      <c r="X26" s="4"/>
      <c r="Y26" s="4"/>
      <c r="Z26" s="9"/>
    </row>
    <row r="27" spans="1:26" s="63" customFormat="1" ht="15" customHeight="1" x14ac:dyDescent="0.3">
      <c r="A27" s="11"/>
      <c r="B27" s="27" t="s">
        <v>292</v>
      </c>
      <c r="C27" s="27"/>
      <c r="D27" s="21" t="e">
        <f ca="1">+D18-D20+D24</f>
        <v>#NAME?</v>
      </c>
      <c r="E27" s="15"/>
      <c r="F27" s="23" t="e">
        <f ca="1">IF(D$12=0,0,D27/D$12)</f>
        <v>#NAME?</v>
      </c>
      <c r="G27" s="15"/>
      <c r="H27" s="21" t="e">
        <f ca="1">+H18-H20+H24</f>
        <v>#NAME?</v>
      </c>
      <c r="I27" s="15"/>
      <c r="J27" s="23" t="e">
        <f ca="1">IF(H$12=0,0,H27/H$12)</f>
        <v>#NAME?</v>
      </c>
      <c r="K27" s="16"/>
      <c r="L27" s="21" t="e">
        <f ca="1">+D27-H27</f>
        <v>#NAME?</v>
      </c>
      <c r="M27" s="16"/>
      <c r="N27" s="23" t="e">
        <f ca="1">IF(H27=0,0,L27/H27)</f>
        <v>#NAME?</v>
      </c>
      <c r="O27" s="28"/>
      <c r="P27" s="21" t="e">
        <f ca="1">+P18-P20+P24</f>
        <v>#NAME?</v>
      </c>
      <c r="Q27" s="15"/>
      <c r="R27" s="23" t="e">
        <f ca="1">IF(P$12=0,0,P27/P$12)</f>
        <v>#NAME?</v>
      </c>
      <c r="S27" s="15"/>
      <c r="T27" s="21" t="e">
        <f ca="1">+T18-T20+T24</f>
        <v>#NAME?</v>
      </c>
      <c r="U27" s="15"/>
      <c r="V27" s="23" t="e">
        <f ca="1">IF(T$12=0,0,T27/T$12)</f>
        <v>#NAME?</v>
      </c>
      <c r="W27" s="16"/>
      <c r="X27" s="21" t="e">
        <f ca="1">+P27-T27</f>
        <v>#NAME?</v>
      </c>
      <c r="Y27" s="16"/>
      <c r="Z27" s="23" t="e">
        <f ca="1">IF(T27=0,0,X27/T27)</f>
        <v>#NAME?</v>
      </c>
    </row>
    <row r="28" spans="1:26" ht="15" customHeight="1" x14ac:dyDescent="0.3">
      <c r="A28" s="10"/>
      <c r="B28" s="11"/>
      <c r="C28" s="10"/>
      <c r="D28" s="4"/>
      <c r="E28" s="4"/>
      <c r="F28" s="9"/>
      <c r="G28" s="4"/>
      <c r="H28" s="4"/>
      <c r="I28" s="4"/>
      <c r="J28" s="9"/>
      <c r="K28" s="4"/>
      <c r="L28" s="4"/>
      <c r="M28" s="4"/>
      <c r="N28" s="9"/>
      <c r="P28" s="4"/>
      <c r="Q28" s="4"/>
      <c r="R28" s="9"/>
      <c r="S28" s="4"/>
      <c r="T28" s="4"/>
      <c r="U28" s="4"/>
      <c r="V28" s="9"/>
      <c r="W28" s="4"/>
      <c r="X28" s="4"/>
      <c r="Y28" s="4"/>
      <c r="Z28" s="9"/>
    </row>
    <row r="29" spans="1:26" s="63" customFormat="1" ht="15" customHeight="1" x14ac:dyDescent="0.3">
      <c r="A29" s="49"/>
      <c r="B29" s="11" t="s">
        <v>293</v>
      </c>
      <c r="C29" s="11"/>
      <c r="D29" s="5" t="e">
        <f ca="1">_xll.ONESTOP.REPORTPLAYER.OSRFUNCTIONS.OSRGET("GL_F_Trans","Value1")</f>
        <v>#NAME?</v>
      </c>
      <c r="E29" s="5"/>
      <c r="F29" s="13" t="e">
        <f ca="1">IF(D$12=0,0,D29/D$12)</f>
        <v>#NAME?</v>
      </c>
      <c r="G29" s="5"/>
      <c r="H29" s="5" t="e">
        <f ca="1">_xll.ONESTOP.REPORTPLAYER.OSRFUNCTIONS.OSRGET("GL_F_Trans","Value1")</f>
        <v>#NAME?</v>
      </c>
      <c r="I29" s="5"/>
      <c r="J29" s="13" t="e">
        <f ca="1">IF(H$12=0,0,H29/H$12)</f>
        <v>#NAME?</v>
      </c>
      <c r="K29" s="5"/>
      <c r="L29" s="5" t="e">
        <f ca="1">+D29-H29</f>
        <v>#NAME?</v>
      </c>
      <c r="M29" s="5"/>
      <c r="N29" s="13" t="e">
        <f ca="1">IF(H29=0,0,L29/H29)</f>
        <v>#NAME?</v>
      </c>
      <c r="O29" s="11"/>
      <c r="P29" s="5" t="e">
        <f ca="1">_xll.ONESTOP.REPORTPLAYER.OSRFUNCTIONS.OSRGET("GL_F_Trans","Value1")</f>
        <v>#NAME?</v>
      </c>
      <c r="Q29" s="5"/>
      <c r="R29" s="13" t="e">
        <f ca="1">IF(P$12=0,0,P29/P$12)</f>
        <v>#NAME?</v>
      </c>
      <c r="S29" s="5"/>
      <c r="T29" s="5" t="e">
        <f ca="1">_xll.ONESTOP.REPORTPLAYER.OSRFUNCTIONS.OSRGET("GL_F_Trans","Value1")</f>
        <v>#NAME?</v>
      </c>
      <c r="U29" s="5"/>
      <c r="V29" s="13" t="e">
        <f ca="1">IF(T$12=0,0,T29/T$12)</f>
        <v>#NAME?</v>
      </c>
      <c r="W29" s="5"/>
      <c r="X29" s="5" t="e">
        <f ca="1">+P29-T29</f>
        <v>#NAME?</v>
      </c>
      <c r="Y29" s="5"/>
      <c r="Z29" s="13" t="e">
        <f ca="1">IF(T29=0,0,X29/T29)</f>
        <v>#NAME?</v>
      </c>
    </row>
    <row r="30" spans="1:26" ht="15" customHeight="1" x14ac:dyDescent="0.3">
      <c r="A30" s="10"/>
      <c r="B30" s="11"/>
      <c r="C30" s="11"/>
      <c r="D30" s="4"/>
      <c r="E30" s="4"/>
      <c r="F30" s="9"/>
      <c r="G30" s="4"/>
      <c r="H30" s="4"/>
      <c r="I30" s="4"/>
      <c r="J30" s="9"/>
      <c r="K30" s="4"/>
      <c r="L30" s="4"/>
      <c r="M30" s="4"/>
      <c r="N30" s="9"/>
      <c r="O30" s="11"/>
      <c r="P30" s="4"/>
      <c r="Q30" s="4"/>
      <c r="R30" s="9"/>
      <c r="S30" s="4"/>
      <c r="T30" s="4"/>
      <c r="U30" s="4"/>
      <c r="V30" s="9"/>
      <c r="W30" s="4"/>
      <c r="X30" s="4"/>
      <c r="Y30" s="4"/>
      <c r="Z30" s="9"/>
    </row>
    <row r="31" spans="1:26" s="63" customFormat="1" ht="15" customHeight="1" x14ac:dyDescent="0.3">
      <c r="A31" s="11"/>
      <c r="B31" s="27" t="s">
        <v>294</v>
      </c>
      <c r="C31" s="27"/>
      <c r="D31" s="34" t="e">
        <f ca="1">+D27-D29</f>
        <v>#NAME?</v>
      </c>
      <c r="E31" s="15"/>
      <c r="F31" s="29" t="e">
        <f ca="1">IF(D$12=0,0,D31/D$12)</f>
        <v>#NAME?</v>
      </c>
      <c r="G31" s="15"/>
      <c r="H31" s="34" t="e">
        <f ca="1">+H27-H29</f>
        <v>#NAME?</v>
      </c>
      <c r="I31" s="15"/>
      <c r="J31" s="29" t="e">
        <f ca="1">IF(H$12=0,0,H31/H$12)</f>
        <v>#NAME?</v>
      </c>
      <c r="K31" s="16"/>
      <c r="L31" s="34" t="e">
        <f ca="1">D31-H31</f>
        <v>#NAME?</v>
      </c>
      <c r="M31" s="16"/>
      <c r="N31" s="29" t="e">
        <f ca="1">IF(H31=0,0,L31/H31)</f>
        <v>#NAME?</v>
      </c>
      <c r="O31" s="28"/>
      <c r="P31" s="34" t="e">
        <f ca="1">+P27-P29</f>
        <v>#NAME?</v>
      </c>
      <c r="Q31" s="15"/>
      <c r="R31" s="29" t="e">
        <f ca="1">IF(P$12=0,0,P31/P$12)</f>
        <v>#NAME?</v>
      </c>
      <c r="S31" s="15"/>
      <c r="T31" s="34" t="e">
        <f ca="1">+T27-T29</f>
        <v>#NAME?</v>
      </c>
      <c r="U31" s="15"/>
      <c r="V31" s="29" t="e">
        <f ca="1">IF(T$12=0,0,T31/T$12)</f>
        <v>#NAME?</v>
      </c>
      <c r="W31" s="16"/>
      <c r="X31" s="34" t="e">
        <f ca="1">P31-T31</f>
        <v>#NAME?</v>
      </c>
      <c r="Y31" s="16"/>
      <c r="Z31" s="29" t="e">
        <f ca="1">IF(T31=0,0,X31/T31)</f>
        <v>#NAME?</v>
      </c>
    </row>
    <row r="32" spans="1:26" ht="15" customHeight="1" x14ac:dyDescent="0.3">
      <c r="A32" s="10"/>
      <c r="B32" s="10"/>
      <c r="C32" s="10"/>
      <c r="D32" s="4"/>
      <c r="E32" s="4"/>
      <c r="F32" s="9"/>
      <c r="G32" s="4"/>
      <c r="H32" s="4"/>
      <c r="I32" s="4"/>
      <c r="J32" s="9"/>
      <c r="K32" s="4"/>
      <c r="L32" s="4"/>
      <c r="M32" s="4"/>
      <c r="N32" s="9"/>
      <c r="P32" s="4"/>
      <c r="Q32" s="4"/>
      <c r="R32" s="9"/>
      <c r="S32" s="4"/>
      <c r="T32" s="4"/>
      <c r="U32" s="4"/>
      <c r="V32" s="9"/>
      <c r="W32" s="4"/>
      <c r="X32" s="4"/>
      <c r="Y32" s="4"/>
      <c r="Z32" s="9"/>
    </row>
    <row r="33" spans="1:26" s="63" customFormat="1" ht="15" customHeight="1" x14ac:dyDescent="0.3">
      <c r="A33" s="49"/>
      <c r="B33" s="11" t="s">
        <v>295</v>
      </c>
      <c r="C33" s="11"/>
      <c r="D33" s="5" t="e">
        <f ca="1">-_xll.ONESTOP.REPORTPLAYER.OSRFUNCTIONS.OSRGET("GL_F_Trans","Value1")</f>
        <v>#NAME?</v>
      </c>
      <c r="E33" s="5"/>
      <c r="F33" s="13" t="e">
        <f ca="1">IF(D$12=0,0,D33/D$12)</f>
        <v>#NAME?</v>
      </c>
      <c r="G33" s="5"/>
      <c r="H33" s="5" t="e">
        <f ca="1">-_xll.ONESTOP.REPORTPLAYER.OSRFUNCTIONS.OSRGET("GL_F_Trans","Value1")</f>
        <v>#NAME?</v>
      </c>
      <c r="I33" s="5"/>
      <c r="J33" s="13" t="e">
        <f ca="1">IF(H$12=0,0,H33/H$12)</f>
        <v>#NAME?</v>
      </c>
      <c r="K33" s="5"/>
      <c r="L33" s="5" t="e">
        <f ca="1">+D33-H33</f>
        <v>#NAME?</v>
      </c>
      <c r="M33" s="5"/>
      <c r="N33" s="13" t="e">
        <f ca="1">IF(H33=0,0,L33/H33)</f>
        <v>#NAME?</v>
      </c>
      <c r="O33" s="11"/>
      <c r="P33" s="5" t="e">
        <f ca="1">-_xll.ONESTOP.REPORTPLAYER.OSRFUNCTIONS.OSRGET("GL_F_Trans","Value1")</f>
        <v>#NAME?</v>
      </c>
      <c r="Q33" s="5"/>
      <c r="R33" s="13" t="e">
        <f ca="1">IF(P$12=0,0,P33/P$12)</f>
        <v>#NAME?</v>
      </c>
      <c r="S33" s="5"/>
      <c r="T33" s="5" t="e">
        <f ca="1">-_xll.ONESTOP.REPORTPLAYER.OSRFUNCTIONS.OSRGET("GL_F_Trans","Value1")</f>
        <v>#NAME?</v>
      </c>
      <c r="U33" s="5"/>
      <c r="V33" s="13" t="e">
        <f ca="1">IF(T$12=0,0,T33/T$12)</f>
        <v>#NAME?</v>
      </c>
      <c r="W33" s="5"/>
      <c r="X33" s="5" t="e">
        <f ca="1">+P33-T33</f>
        <v>#NAME?</v>
      </c>
      <c r="Y33" s="5"/>
      <c r="Z33" s="13" t="e">
        <f ca="1">IF(T33=0,0,X33/T33)</f>
        <v>#NAME?</v>
      </c>
    </row>
    <row r="34" spans="1:26" s="63" customFormat="1" ht="15" customHeight="1" x14ac:dyDescent="0.3">
      <c r="A34" s="49"/>
      <c r="B34" s="11" t="s">
        <v>296</v>
      </c>
      <c r="C34" s="11"/>
      <c r="D34" s="5" t="e">
        <f ca="1">-_xll.ONESTOP.REPORTPLAYER.OSRFUNCTIONS.OSRGET("GL_F_Trans","Value1")</f>
        <v>#NAME?</v>
      </c>
      <c r="E34" s="5"/>
      <c r="F34" s="13" t="e">
        <f ca="1">IF(D$12=0,0,D34/D$12)</f>
        <v>#NAME?</v>
      </c>
      <c r="G34" s="5"/>
      <c r="H34" s="5" t="e">
        <f ca="1">-_xll.ONESTOP.REPORTPLAYER.OSRFUNCTIONS.OSRGET("GL_F_Trans","Value1")</f>
        <v>#NAME?</v>
      </c>
      <c r="I34" s="5"/>
      <c r="J34" s="13" t="e">
        <f ca="1">IF(H$12=0,0,H34/H$12)</f>
        <v>#NAME?</v>
      </c>
      <c r="K34" s="5"/>
      <c r="L34" s="5" t="e">
        <f ca="1">+D34-H34</f>
        <v>#NAME?</v>
      </c>
      <c r="M34" s="5"/>
      <c r="N34" s="13" t="e">
        <f ca="1">IF(H34=0,0,L34/H34)</f>
        <v>#NAME?</v>
      </c>
      <c r="O34" s="11"/>
      <c r="P34" s="5" t="e">
        <f ca="1">-_xll.ONESTOP.REPORTPLAYER.OSRFUNCTIONS.OSRGET("GL_F_Trans","Value1")</f>
        <v>#NAME?</v>
      </c>
      <c r="Q34" s="5"/>
      <c r="R34" s="13" t="e">
        <f ca="1">IF(P$12=0,0,P34/P$12)</f>
        <v>#NAME?</v>
      </c>
      <c r="S34" s="5"/>
      <c r="T34" s="5" t="e">
        <f ca="1">-_xll.ONESTOP.REPORTPLAYER.OSRFUNCTIONS.OSRGET("GL_F_Trans","Value1")</f>
        <v>#NAME?</v>
      </c>
      <c r="U34" s="5"/>
      <c r="V34" s="13" t="e">
        <f ca="1">IF(T$12=0,0,T34/T$12)</f>
        <v>#NAME?</v>
      </c>
      <c r="W34" s="5"/>
      <c r="X34" s="5" t="e">
        <f ca="1">+P34-T34</f>
        <v>#NAME?</v>
      </c>
      <c r="Y34" s="5"/>
      <c r="Z34" s="13" t="e">
        <f ca="1">IF(T34=0,0,X34/T34)</f>
        <v>#NAME?</v>
      </c>
    </row>
    <row r="35" spans="1:26" ht="15" customHeight="1" x14ac:dyDescent="0.3">
      <c r="A35" s="10"/>
      <c r="B35" s="10"/>
      <c r="C35" s="10"/>
      <c r="D35" s="4"/>
      <c r="E35" s="4"/>
      <c r="F35" s="9"/>
      <c r="G35" s="4"/>
      <c r="H35" s="4"/>
      <c r="I35" s="4"/>
      <c r="J35" s="9"/>
      <c r="K35" s="4"/>
      <c r="L35" s="4"/>
      <c r="M35" s="4"/>
      <c r="N35" s="9"/>
      <c r="P35" s="4"/>
      <c r="Q35" s="4"/>
      <c r="R35" s="9"/>
      <c r="S35" s="4"/>
      <c r="T35" s="4"/>
      <c r="U35" s="4"/>
      <c r="V35" s="9"/>
      <c r="W35" s="4"/>
      <c r="X35" s="4"/>
      <c r="Y35" s="4"/>
      <c r="Z35" s="9"/>
    </row>
    <row r="36" spans="1:26" s="63" customFormat="1" ht="15" customHeight="1" x14ac:dyDescent="0.3">
      <c r="A36" s="11"/>
      <c r="B36" s="27" t="s">
        <v>297</v>
      </c>
      <c r="C36" s="27"/>
      <c r="D36" s="32" t="e">
        <f ca="1">SUM(D31:D35)</f>
        <v>#NAME?</v>
      </c>
      <c r="E36" s="15"/>
      <c r="F36" s="31" t="e">
        <f ca="1">IF(D$12=0,0,D36/D$12)</f>
        <v>#NAME?</v>
      </c>
      <c r="G36" s="15"/>
      <c r="H36" s="32" t="e">
        <f ca="1">SUM(H31:H35)</f>
        <v>#NAME?</v>
      </c>
      <c r="I36" s="15"/>
      <c r="J36" s="31" t="e">
        <f ca="1">IF(H$12=0,0,H36/H$12)</f>
        <v>#NAME?</v>
      </c>
      <c r="K36" s="16"/>
      <c r="L36" s="32" t="e">
        <f ca="1">+D36-H36</f>
        <v>#NAME?</v>
      </c>
      <c r="M36" s="16"/>
      <c r="N36" s="31" t="e">
        <f ca="1">IF(H36=0,0,L36/H36)</f>
        <v>#NAME?</v>
      </c>
      <c r="O36" s="28"/>
      <c r="P36" s="32" t="e">
        <f ca="1">SUM(P31:P35)</f>
        <v>#NAME?</v>
      </c>
      <c r="Q36" s="15"/>
      <c r="R36" s="31" t="e">
        <f ca="1">IF(P$12=0,0,P36/P$12)</f>
        <v>#NAME?</v>
      </c>
      <c r="S36" s="15"/>
      <c r="T36" s="32" t="e">
        <f ca="1">SUM(T31:T35)</f>
        <v>#NAME?</v>
      </c>
      <c r="U36" s="15"/>
      <c r="V36" s="31" t="e">
        <f ca="1">IF(T$12=0,0,T36/T$12)</f>
        <v>#NAME?</v>
      </c>
      <c r="W36" s="16"/>
      <c r="X36" s="32" t="e">
        <f ca="1">+P36-T36</f>
        <v>#NAME?</v>
      </c>
      <c r="Y36" s="16"/>
      <c r="Z36" s="31" t="e">
        <f ca="1">IF(T36=0,0,X36/T36)</f>
        <v>#NAME?</v>
      </c>
    </row>
    <row r="37" spans="1:26" ht="15" customHeight="1" x14ac:dyDescent="0.3">
      <c r="A37" s="10"/>
      <c r="C37" s="10"/>
      <c r="D37" s="19"/>
      <c r="E37" s="19"/>
      <c r="G37" s="19"/>
      <c r="H37" s="19"/>
      <c r="I37" s="19"/>
      <c r="J37" s="40"/>
      <c r="K37" s="19"/>
      <c r="L37" s="19"/>
      <c r="M37" s="19"/>
      <c r="P37" s="19"/>
      <c r="Q37" s="19"/>
      <c r="R37" s="40"/>
      <c r="S37" s="19"/>
      <c r="T37" s="19"/>
      <c r="U37" s="19"/>
      <c r="V37" s="40"/>
      <c r="W37" s="19"/>
      <c r="X37" s="19"/>
    </row>
    <row r="38" spans="1:26" ht="15" customHeight="1" x14ac:dyDescent="0.3">
      <c r="A38" s="10"/>
      <c r="B38" s="51" t="e">
        <f ca="1">_xll.ONESTOP.REPORTPLAYER.OSRFUNCTIONS.OSRGET("CurrentDate","Date")</f>
        <v>#NAME?</v>
      </c>
      <c r="D38" s="19"/>
      <c r="E38" s="19"/>
      <c r="G38" s="19"/>
      <c r="H38" s="19"/>
      <c r="I38" s="19"/>
      <c r="J38" s="40"/>
      <c r="K38" s="19"/>
      <c r="L38" s="19"/>
      <c r="M38" s="19"/>
      <c r="P38" s="19"/>
      <c r="Q38" s="19"/>
      <c r="R38" s="40"/>
      <c r="S38" s="19"/>
      <c r="T38" s="19"/>
      <c r="U38" s="19"/>
      <c r="V38" s="40"/>
      <c r="W38" s="19"/>
      <c r="X38" s="19"/>
    </row>
    <row r="39" spans="1:26" ht="15" customHeight="1" x14ac:dyDescent="0.3">
      <c r="A39" s="10"/>
      <c r="B39" s="58" t="e">
        <f ca="1">_xll.ONESTOP.REPORTPLAYER.OSRFUNCTIONS.OSRGET("User","UserId")</f>
        <v>#NAME?</v>
      </c>
      <c r="D39" s="19"/>
      <c r="E39" s="19"/>
      <c r="G39" s="19"/>
      <c r="H39" s="19"/>
      <c r="I39" s="19"/>
      <c r="J39" s="40"/>
      <c r="K39" s="19"/>
      <c r="L39" s="19"/>
      <c r="M39" s="19"/>
      <c r="P39" s="19"/>
      <c r="Q39" s="19"/>
      <c r="R39" s="40"/>
      <c r="S39" s="19"/>
      <c r="T39" s="19"/>
      <c r="U39" s="19"/>
      <c r="V39" s="40"/>
      <c r="W39" s="19"/>
      <c r="X39" s="19"/>
    </row>
    <row r="40" spans="1:26" ht="15" customHeight="1" x14ac:dyDescent="0.3">
      <c r="A40" s="10"/>
      <c r="B40" s="50"/>
      <c r="D40" s="19"/>
      <c r="E40" s="19"/>
      <c r="G40" s="19"/>
      <c r="H40" s="19"/>
      <c r="I40" s="19"/>
      <c r="J40" s="40"/>
      <c r="K40" s="19"/>
      <c r="L40" s="19"/>
      <c r="M40" s="19"/>
      <c r="P40" s="19"/>
      <c r="Q40" s="19"/>
      <c r="R40" s="40"/>
      <c r="S40" s="19"/>
      <c r="T40" s="19"/>
      <c r="U40" s="19"/>
      <c r="V40" s="40"/>
      <c r="W40" s="19"/>
      <c r="X40" s="19"/>
    </row>
    <row r="41" spans="1:26" ht="15" customHeight="1" x14ac:dyDescent="0.3">
      <c r="D41" s="19"/>
      <c r="E41" s="19"/>
      <c r="G41" s="19"/>
      <c r="H41" s="19"/>
      <c r="I41" s="19"/>
      <c r="J41" s="40"/>
      <c r="K41" s="19"/>
      <c r="L41" s="19"/>
      <c r="M41" s="19"/>
      <c r="P41" s="19"/>
      <c r="Q41" s="19"/>
      <c r="R41" s="40"/>
      <c r="S41" s="19"/>
      <c r="T41" s="19"/>
      <c r="U41" s="19"/>
      <c r="V41" s="40"/>
      <c r="W41" s="19"/>
      <c r="X41" s="19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BC639D-55E7-FB5F-920D-9A9247B50674}">
  <sheetPr>
    <tabColor rgb="FFFFFF00"/>
    <outlinePr summaryBelow="0" summaryRight="0"/>
  </sheetPr>
  <dimension ref="A2:Z41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6" customWidth="1"/>
    <col min="2" max="2" width="33.44140625" style="66" customWidth="1"/>
    <col min="3" max="3" width="1.88671875" style="66" customWidth="1"/>
    <col min="4" max="4" width="15" style="66" customWidth="1"/>
    <col min="5" max="5" width="1.88671875" style="66" customWidth="1" outlineLevel="1"/>
    <col min="6" max="6" width="15" style="67" customWidth="1" outlineLevel="1"/>
    <col min="7" max="7" width="1.88671875" style="66" customWidth="1" outlineLevel="1"/>
    <col min="8" max="8" width="15" style="66" customWidth="1" outlineLevel="1"/>
    <col min="9" max="9" width="1.88671875" style="66" customWidth="1" outlineLevel="1"/>
    <col min="10" max="10" width="15" style="68" customWidth="1" outlineLevel="1"/>
    <col min="11" max="11" width="1.88671875" style="66" customWidth="1" outlineLevel="1"/>
    <col min="12" max="12" width="15" style="66" customWidth="1" outlineLevel="1"/>
    <col min="13" max="13" width="1.88671875" style="66" customWidth="1" outlineLevel="1"/>
    <col min="14" max="14" width="15" style="67" customWidth="1" outlineLevel="1"/>
    <col min="15" max="15" width="1.88671875" style="64" customWidth="1"/>
    <col min="16" max="16" width="15" style="66" customWidth="1"/>
    <col min="17" max="17" width="1.88671875" style="66" customWidth="1" outlineLevel="1"/>
    <col min="18" max="18" width="15" style="68" customWidth="1" outlineLevel="1"/>
    <col min="19" max="19" width="1.88671875" style="66" customWidth="1" outlineLevel="1"/>
    <col min="20" max="20" width="15" style="66" customWidth="1" outlineLevel="1"/>
    <col min="21" max="21" width="1.88671875" style="66" customWidth="1" outlineLevel="1"/>
    <col min="22" max="22" width="15" style="68" customWidth="1" outlineLevel="1"/>
    <col min="23" max="23" width="1.88671875" style="66" customWidth="1" outlineLevel="1"/>
    <col min="24" max="24" width="15" style="66" customWidth="1" outlineLevel="1"/>
    <col min="25" max="25" width="1.88671875" style="66" customWidth="1" outlineLevel="1"/>
    <col min="26" max="26" width="15" style="68" customWidth="1" outlineLevel="1"/>
  </cols>
  <sheetData>
    <row r="2" spans="1:26" ht="15" customHeight="1" x14ac:dyDescent="0.3">
      <c r="D2" s="54" t="s">
        <v>276</v>
      </c>
    </row>
    <row r="3" spans="1:26" ht="15" customHeight="1" x14ac:dyDescent="0.3">
      <c r="D3" s="54" t="s">
        <v>277</v>
      </c>
      <c r="E3" s="18"/>
      <c r="F3" s="44"/>
      <c r="G3" s="18"/>
      <c r="H3" s="18"/>
      <c r="I3" s="18"/>
      <c r="J3" s="38"/>
      <c r="K3" s="18"/>
      <c r="L3" s="18"/>
      <c r="M3" s="18"/>
      <c r="N3" s="44"/>
      <c r="O3" s="53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ht="15" customHeight="1" x14ac:dyDescent="0.3">
      <c r="D4" s="54" t="e">
        <f ca="1">CONCATENATE("Period ",RIGHT(_xll.ONESTOP.REPORTPLAYER.OSRFUNCTIONS.OSRGET("Period","PeriodId"),2),", ",_xll.ONESTOP.REPORTPLAYER.OSRFUNCTIONS.OSRGET("Period","Year"))</f>
        <v>#NAME?</v>
      </c>
      <c r="E4" s="18"/>
      <c r="F4" s="44"/>
      <c r="G4" s="18"/>
      <c r="H4" s="18"/>
      <c r="I4" s="18"/>
      <c r="J4" s="38"/>
      <c r="K4" s="18"/>
      <c r="L4" s="18"/>
      <c r="M4" s="18"/>
      <c r="N4" s="44"/>
      <c r="O4" s="53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ht="15" customHeight="1" x14ac:dyDescent="0.3">
      <c r="A5" s="24"/>
      <c r="D5" s="61" t="e">
        <f ca="1">_xll.ONESTOP.REPORTPLAYER.OSRFUNCTIONS.OSRGET("Period","PeriodEnd")</f>
        <v>#NAME?</v>
      </c>
      <c r="E5" s="18"/>
      <c r="F5" s="44"/>
      <c r="G5" s="18"/>
      <c r="H5" s="18"/>
      <c r="I5" s="18"/>
      <c r="J5" s="38"/>
      <c r="K5" s="18"/>
      <c r="L5" s="18"/>
      <c r="M5" s="18"/>
      <c r="N5" s="44"/>
      <c r="O5" s="53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ht="15" customHeight="1" x14ac:dyDescent="0.3">
      <c r="A6" s="24"/>
      <c r="B6" s="47"/>
      <c r="C6" s="47"/>
      <c r="D6" s="24" t="s">
        <v>302</v>
      </c>
      <c r="E6" s="18"/>
      <c r="F6" s="44"/>
      <c r="G6" s="18"/>
      <c r="H6" s="18"/>
      <c r="I6" s="18"/>
      <c r="J6" s="38"/>
      <c r="K6" s="18"/>
      <c r="L6" s="18"/>
      <c r="M6" s="18"/>
      <c r="N6" s="44"/>
      <c r="O6" s="59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ht="15" customHeight="1" x14ac:dyDescent="0.3">
      <c r="B7" s="52"/>
    </row>
    <row r="8" spans="1:26" ht="15" customHeight="1" x14ac:dyDescent="0.3">
      <c r="B8" s="52"/>
    </row>
    <row r="9" spans="1:26" ht="15" customHeight="1" x14ac:dyDescent="0.3">
      <c r="B9" s="10"/>
      <c r="C9" s="10"/>
      <c r="D9" s="17" t="s">
        <v>279</v>
      </c>
      <c r="E9" s="17"/>
      <c r="F9" s="36"/>
      <c r="G9" s="17"/>
      <c r="H9" s="17"/>
      <c r="I9" s="17"/>
      <c r="J9" s="43"/>
      <c r="K9" s="17"/>
      <c r="L9" s="17"/>
      <c r="M9" s="17"/>
      <c r="N9" s="36"/>
      <c r="P9" s="17" t="s">
        <v>280</v>
      </c>
      <c r="Q9" s="17"/>
      <c r="R9" s="36"/>
      <c r="S9" s="17"/>
      <c r="T9" s="17"/>
      <c r="U9" s="17"/>
      <c r="V9" s="43"/>
      <c r="W9" s="17"/>
      <c r="X9" s="17"/>
      <c r="Y9" s="17"/>
      <c r="Z9" s="36"/>
    </row>
    <row r="10" spans="1:26" ht="15" customHeight="1" x14ac:dyDescent="0.3">
      <c r="A10" s="11"/>
      <c r="B10" s="57"/>
      <c r="C10" s="11"/>
      <c r="D10" s="41" t="s">
        <v>281</v>
      </c>
      <c r="E10" s="33"/>
      <c r="F10" s="37" t="s">
        <v>282</v>
      </c>
      <c r="G10" s="33"/>
      <c r="H10" s="48" t="s">
        <v>283</v>
      </c>
      <c r="I10" s="33"/>
      <c r="J10" s="45" t="s">
        <v>284</v>
      </c>
      <c r="K10" s="11"/>
      <c r="L10" s="41" t="s">
        <v>285</v>
      </c>
      <c r="M10" s="11"/>
      <c r="N10" s="37" t="s">
        <v>286</v>
      </c>
      <c r="O10" s="11"/>
      <c r="P10" s="56" t="s">
        <v>281</v>
      </c>
      <c r="Q10" s="33"/>
      <c r="R10" s="37" t="s">
        <v>282</v>
      </c>
      <c r="S10" s="33"/>
      <c r="T10" s="48" t="s">
        <v>283</v>
      </c>
      <c r="U10" s="33"/>
      <c r="V10" s="45" t="s">
        <v>284</v>
      </c>
      <c r="W10" s="11"/>
      <c r="X10" s="41" t="s">
        <v>285</v>
      </c>
      <c r="Y10" s="11"/>
      <c r="Z10" s="37" t="s">
        <v>286</v>
      </c>
    </row>
    <row r="11" spans="1:26" ht="16.5" customHeight="1" x14ac:dyDescent="0.3">
      <c r="A11" s="10"/>
      <c r="B11" s="55"/>
      <c r="C11" s="10"/>
      <c r="D11" s="10"/>
      <c r="E11" s="10"/>
      <c r="F11" s="9"/>
      <c r="G11" s="10"/>
      <c r="H11" s="10"/>
      <c r="I11" s="10"/>
      <c r="J11" s="46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6"/>
      <c r="W11" s="10"/>
      <c r="X11" s="10"/>
      <c r="Y11" s="10"/>
      <c r="Z11" s="9"/>
    </row>
    <row r="12" spans="1:26" s="63" customFormat="1" ht="15" customHeight="1" collapsed="1" x14ac:dyDescent="0.3">
      <c r="A12" s="11"/>
      <c r="B12" s="28" t="s">
        <v>287</v>
      </c>
      <c r="C12" s="11"/>
      <c r="D12" s="5" t="e">
        <f ca="1">SUM(_xll.ONESTOP.REPORTPLAYER.OSRFUNCTIONS.OSRREF(D13))</f>
        <v>#NAME?</v>
      </c>
      <c r="E12" s="5"/>
      <c r="F12" s="13"/>
      <c r="G12" s="5"/>
      <c r="H12" s="5" t="e">
        <f ca="1">SUM(_xll.ONESTOP.REPORTPLAYER.OSRFUNCTIONS.OSRREF(H13))</f>
        <v>#NAME?</v>
      </c>
      <c r="I12" s="5"/>
      <c r="J12" s="13"/>
      <c r="K12" s="5"/>
      <c r="L12" s="5" t="e">
        <f ca="1">+D12-H12</f>
        <v>#NAME?</v>
      </c>
      <c r="M12" s="5"/>
      <c r="N12" s="13" t="e">
        <f ca="1">IF(H12=0,0,L12/H12)</f>
        <v>#NAME?</v>
      </c>
      <c r="O12" s="11"/>
      <c r="P12" s="5" t="e">
        <f ca="1">SUM(_xll.ONESTOP.REPORTPLAYER.OSRFUNCTIONS.OSRREF(P13))</f>
        <v>#NAME?</v>
      </c>
      <c r="Q12" s="5"/>
      <c r="R12" s="13"/>
      <c r="S12" s="5"/>
      <c r="T12" s="5" t="e">
        <f ca="1">SUM(_xll.ONESTOP.REPORTPLAYER.OSRFUNCTIONS.OSRREF(T13))</f>
        <v>#NAME?</v>
      </c>
      <c r="U12" s="5"/>
      <c r="V12" s="13"/>
      <c r="W12" s="5"/>
      <c r="X12" s="5" t="e">
        <f ca="1">+P12-T12</f>
        <v>#NAME?</v>
      </c>
      <c r="Y12" s="5"/>
      <c r="Z12" s="13" t="e">
        <f ca="1">IF(T12=0,0,X12/T12)</f>
        <v>#NAME?</v>
      </c>
    </row>
    <row r="13" spans="1:26" s="70" customFormat="1" ht="15" hidden="1" customHeight="1" outlineLevel="1" x14ac:dyDescent="0.3">
      <c r="A13" s="42"/>
      <c r="B13" s="12" t="e">
        <f ca="1">CONCATENATE("          ",_xll.ONESTOP.REPORTPLAYER.OSRFUNCTIONS.OSRGET("d_Account","Code")," - ",_xll.ONESTOP.REPORTPLAYER.OSRFUNCTIONS.OSRGET("d_Account","Description"))</f>
        <v>#NAME?</v>
      </c>
      <c r="C13" s="12"/>
      <c r="D13" s="3" t="e">
        <f ca="1">-_xll.ONESTOP.REPORTPLAYER.OSRFUNCTIONS.OSRGET("GL_F_Trans","Value1")</f>
        <v>#NAME?</v>
      </c>
      <c r="E13" s="3"/>
      <c r="F13" s="20"/>
      <c r="G13" s="3"/>
      <c r="H13" s="3" t="e">
        <f ca="1">_xll.ONESTOP.REPORTPLAYER.OSRFUNCTIONS.OSRGET("GL_F_Trans","Value1")</f>
        <v>#NAME?</v>
      </c>
      <c r="I13" s="3"/>
      <c r="J13" s="20"/>
      <c r="K13" s="3"/>
      <c r="L13" s="3" t="e">
        <f ca="1">+D13-H13</f>
        <v>#NAME?</v>
      </c>
      <c r="M13" s="3"/>
      <c r="N13" s="20" t="e">
        <f ca="1">IF(H13=0,0,L13/H13)</f>
        <v>#NAME?</v>
      </c>
      <c r="O13" s="12"/>
      <c r="P13" s="3" t="e">
        <f ca="1">-_xll.ONESTOP.REPORTPLAYER.OSRFUNCTIONS.OSRGET("GL_F_Trans","Value1")</f>
        <v>#NAME?</v>
      </c>
      <c r="Q13" s="3"/>
      <c r="R13" s="20"/>
      <c r="S13" s="3"/>
      <c r="T13" s="3" t="e">
        <f ca="1">_xll.ONESTOP.REPORTPLAYER.OSRFUNCTIONS.OSRGET("GL_F_Trans","Value1")</f>
        <v>#NAME?</v>
      </c>
      <c r="U13" s="3"/>
      <c r="V13" s="20"/>
      <c r="W13" s="3"/>
      <c r="X13" s="3" t="e">
        <f ca="1">+P13-T13</f>
        <v>#NAME?</v>
      </c>
      <c r="Y13" s="3"/>
      <c r="Z13" s="20" t="e">
        <f ca="1">IF(T13=0,0,X13/T13)</f>
        <v>#NAME?</v>
      </c>
    </row>
    <row r="14" spans="1:26" ht="15" customHeight="1" x14ac:dyDescent="0.3">
      <c r="A14" s="10"/>
      <c r="B14" s="11"/>
      <c r="C14" s="10"/>
      <c r="D14" s="4"/>
      <c r="E14" s="4"/>
      <c r="F14" s="9"/>
      <c r="G14" s="4"/>
      <c r="H14" s="4"/>
      <c r="I14" s="4"/>
      <c r="J14" s="9"/>
      <c r="K14" s="4"/>
      <c r="L14" s="4"/>
      <c r="M14" s="4"/>
      <c r="N14" s="9"/>
      <c r="P14" s="4"/>
      <c r="Q14" s="4"/>
      <c r="R14" s="9"/>
      <c r="S14" s="4"/>
      <c r="T14" s="4"/>
      <c r="U14" s="4"/>
      <c r="V14" s="9"/>
      <c r="W14" s="4"/>
      <c r="X14" s="4"/>
      <c r="Y14" s="4"/>
      <c r="Z14" s="9"/>
    </row>
    <row r="15" spans="1:26" s="63" customFormat="1" ht="15" customHeight="1" collapsed="1" x14ac:dyDescent="0.3">
      <c r="A15" s="11"/>
      <c r="B15" s="28" t="s">
        <v>288</v>
      </c>
      <c r="C15" s="11"/>
      <c r="D15" s="5" t="e">
        <f ca="1">SUM(_xll.ONESTOP.REPORTPLAYER.OSRFUNCTIONS.OSRREF(D16))</f>
        <v>#NAME?</v>
      </c>
      <c r="E15" s="5"/>
      <c r="F15" s="13" t="e">
        <f ca="1">IF(D$12=0,0,D15/D$12)</f>
        <v>#NAME?</v>
      </c>
      <c r="G15" s="5"/>
      <c r="H15" s="5" t="e">
        <f ca="1">SUM(_xll.ONESTOP.REPORTPLAYER.OSRFUNCTIONS.OSRREF(H16))</f>
        <v>#NAME?</v>
      </c>
      <c r="I15" s="5"/>
      <c r="J15" s="13" t="e">
        <f ca="1">IF(H$12=0,0,H15/H$12)</f>
        <v>#NAME?</v>
      </c>
      <c r="K15" s="5"/>
      <c r="L15" s="5" t="e">
        <f ca="1">+D15-H15</f>
        <v>#NAME?</v>
      </c>
      <c r="M15" s="5"/>
      <c r="N15" s="13" t="e">
        <f ca="1">IF(H15=0,0,L15/H15)</f>
        <v>#NAME?</v>
      </c>
      <c r="O15" s="11"/>
      <c r="P15" s="5" t="e">
        <f ca="1">SUM(_xll.ONESTOP.REPORTPLAYER.OSRFUNCTIONS.OSRREF(P16))</f>
        <v>#NAME?</v>
      </c>
      <c r="Q15" s="5"/>
      <c r="R15" s="13" t="e">
        <f ca="1">IF(P$12=0,0,P15/P$12)</f>
        <v>#NAME?</v>
      </c>
      <c r="S15" s="5"/>
      <c r="T15" s="5" t="e">
        <f ca="1">SUM(_xll.ONESTOP.REPORTPLAYER.OSRFUNCTIONS.OSRREF(T16))</f>
        <v>#NAME?</v>
      </c>
      <c r="U15" s="5"/>
      <c r="V15" s="13" t="e">
        <f ca="1">IF(T$12=0,0,T15/T$12)</f>
        <v>#NAME?</v>
      </c>
      <c r="W15" s="5"/>
      <c r="X15" s="5" t="e">
        <f ca="1">+P15-T15</f>
        <v>#NAME?</v>
      </c>
      <c r="Y15" s="5"/>
      <c r="Z15" s="13" t="e">
        <f ca="1">IF(T15=0,0,X15/T15)</f>
        <v>#NAME?</v>
      </c>
    </row>
    <row r="16" spans="1:26" s="70" customFormat="1" ht="15" hidden="1" customHeight="1" outlineLevel="1" x14ac:dyDescent="0.3">
      <c r="A16" s="42"/>
      <c r="B16" s="12" t="e">
        <f ca="1">CONCATENATE("          ",_xll.ONESTOP.REPORTPLAYER.OSRFUNCTIONS.OSRGET("d_Account","Code")," - ",_xll.ONESTOP.REPORTPLAYER.OSRFUNCTIONS.OSRGET("d_Account","Description"))</f>
        <v>#NAME?</v>
      </c>
      <c r="C16" s="12"/>
      <c r="D16" s="3" t="e">
        <f ca="1">_xll.ONESTOP.REPORTPLAYER.OSRFUNCTIONS.OSRGET("GL_F_Trans","Value1")</f>
        <v>#NAME?</v>
      </c>
      <c r="E16" s="3"/>
      <c r="F16" s="20" t="e">
        <f ca="1">IF(D$12=0,0,D16/D$12)</f>
        <v>#NAME?</v>
      </c>
      <c r="G16" s="3"/>
      <c r="H16" s="3" t="e">
        <f ca="1">_xll.ONESTOP.REPORTPLAYER.OSRFUNCTIONS.OSRGET("GL_F_Trans","Value1")</f>
        <v>#NAME?</v>
      </c>
      <c r="I16" s="3"/>
      <c r="J16" s="20" t="e">
        <f ca="1">IF(H$12=0,0,H16/H$12)</f>
        <v>#NAME?</v>
      </c>
      <c r="K16" s="3"/>
      <c r="L16" s="3" t="e">
        <f ca="1">+D16-H16</f>
        <v>#NAME?</v>
      </c>
      <c r="M16" s="3"/>
      <c r="N16" s="20" t="e">
        <f ca="1">IF(H16=0,0,L16/H16)</f>
        <v>#NAME?</v>
      </c>
      <c r="O16" s="12"/>
      <c r="P16" s="3" t="e">
        <f ca="1">_xll.ONESTOP.REPORTPLAYER.OSRFUNCTIONS.OSRGET("GL_F_Trans","Value1")</f>
        <v>#NAME?</v>
      </c>
      <c r="Q16" s="3"/>
      <c r="R16" s="20" t="e">
        <f ca="1">IF(P$12=0,0,P16/P$12)</f>
        <v>#NAME?</v>
      </c>
      <c r="S16" s="3"/>
      <c r="T16" s="3" t="e">
        <f ca="1">_xll.ONESTOP.REPORTPLAYER.OSRFUNCTIONS.OSRGET("GL_F_Trans","Value1")</f>
        <v>#NAME?</v>
      </c>
      <c r="U16" s="3"/>
      <c r="V16" s="20" t="e">
        <f ca="1">IF(T$12=0,0,T16/T$12)</f>
        <v>#NAME?</v>
      </c>
      <c r="W16" s="3"/>
      <c r="X16" s="3" t="e">
        <f ca="1">+P16-T16</f>
        <v>#NAME?</v>
      </c>
      <c r="Y16" s="3"/>
      <c r="Z16" s="20" t="e">
        <f ca="1">IF(T16=0,0,X16/T16)</f>
        <v>#NAME?</v>
      </c>
    </row>
    <row r="17" spans="1:26" ht="15" customHeight="1" x14ac:dyDescent="0.3">
      <c r="A17" s="10"/>
      <c r="B17" s="11"/>
      <c r="C17" s="11"/>
      <c r="D17" s="4"/>
      <c r="E17" s="4"/>
      <c r="F17" s="9"/>
      <c r="G17" s="4"/>
      <c r="H17" s="4"/>
      <c r="I17" s="4"/>
      <c r="J17" s="9"/>
      <c r="K17" s="4"/>
      <c r="L17" s="4"/>
      <c r="M17" s="4"/>
      <c r="N17" s="9"/>
      <c r="O17" s="11"/>
      <c r="P17" s="4"/>
      <c r="Q17" s="4"/>
      <c r="R17" s="9"/>
      <c r="S17" s="4"/>
      <c r="T17" s="4"/>
      <c r="U17" s="4"/>
      <c r="V17" s="9"/>
      <c r="W17" s="4"/>
      <c r="X17" s="4"/>
      <c r="Y17" s="4"/>
      <c r="Z17" s="9"/>
    </row>
    <row r="18" spans="1:26" s="63" customFormat="1" ht="15" customHeight="1" x14ac:dyDescent="0.3">
      <c r="A18" s="11"/>
      <c r="B18" s="27" t="s">
        <v>289</v>
      </c>
      <c r="C18" s="27"/>
      <c r="D18" s="21" t="e">
        <f ca="1">D12-D15</f>
        <v>#NAME?</v>
      </c>
      <c r="E18" s="15"/>
      <c r="F18" s="23" t="e">
        <f ca="1">IF(D$12=0,0,D18/D$12)</f>
        <v>#NAME?</v>
      </c>
      <c r="G18" s="15"/>
      <c r="H18" s="21" t="e">
        <f ca="1">H12-H15</f>
        <v>#NAME?</v>
      </c>
      <c r="I18" s="15"/>
      <c r="J18" s="23" t="e">
        <f ca="1">IF(H$12=0,0,H18/H$12)</f>
        <v>#NAME?</v>
      </c>
      <c r="K18" s="16"/>
      <c r="L18" s="21" t="e">
        <f ca="1">+D18-H18</f>
        <v>#NAME?</v>
      </c>
      <c r="M18" s="16"/>
      <c r="N18" s="23" t="e">
        <f ca="1">IF(H18=0,0,L18/H18)</f>
        <v>#NAME?</v>
      </c>
      <c r="O18" s="28"/>
      <c r="P18" s="21" t="e">
        <f ca="1">P12-P15</f>
        <v>#NAME?</v>
      </c>
      <c r="Q18" s="15"/>
      <c r="R18" s="23" t="e">
        <f ca="1">IF(P$12=0,0,P18/P$12)</f>
        <v>#NAME?</v>
      </c>
      <c r="S18" s="15"/>
      <c r="T18" s="21" t="e">
        <f ca="1">T12-T15</f>
        <v>#NAME?</v>
      </c>
      <c r="U18" s="15"/>
      <c r="V18" s="23" t="e">
        <f ca="1">IF(T$12=0,0,T18/T$12)</f>
        <v>#NAME?</v>
      </c>
      <c r="W18" s="16"/>
      <c r="X18" s="21" t="e">
        <f ca="1">+P18-T18</f>
        <v>#NAME?</v>
      </c>
      <c r="Y18" s="16"/>
      <c r="Z18" s="23" t="e">
        <f ca="1">IF(T18=0,0,X18/T18)</f>
        <v>#NAME?</v>
      </c>
    </row>
    <row r="19" spans="1:26" ht="15" customHeight="1" x14ac:dyDescent="0.3">
      <c r="A19" s="10"/>
      <c r="B19" s="11"/>
      <c r="C19" s="10"/>
      <c r="D19" s="2"/>
      <c r="E19" s="2"/>
      <c r="F19" s="6"/>
      <c r="G19" s="2"/>
      <c r="H19" s="2"/>
      <c r="I19" s="2"/>
      <c r="J19" s="6"/>
      <c r="K19" s="2"/>
      <c r="L19" s="2"/>
      <c r="M19" s="2"/>
      <c r="N19" s="6"/>
      <c r="O19" s="35"/>
      <c r="P19" s="2"/>
      <c r="Q19" s="2"/>
      <c r="R19" s="6"/>
      <c r="S19" s="2"/>
      <c r="T19" s="2"/>
      <c r="U19" s="2"/>
      <c r="V19" s="6"/>
      <c r="W19" s="2"/>
      <c r="X19" s="2"/>
      <c r="Y19" s="2"/>
      <c r="Z19" s="6"/>
    </row>
    <row r="20" spans="1:26" s="63" customFormat="1" ht="15" customHeight="1" x14ac:dyDescent="0.3">
      <c r="A20" s="11"/>
      <c r="B20" s="28" t="s">
        <v>290</v>
      </c>
      <c r="C20" s="11"/>
      <c r="D20" s="22" t="e">
        <f ca="1">SUM(_xll.ONESTOP.REPORTPLAYER.OSRFUNCTIONS.OSRREF(D22))</f>
        <v>#NAME?</v>
      </c>
      <c r="E20" s="22"/>
      <c r="F20" s="30" t="e">
        <f ca="1">IF(D$12=0,0,D20/D$12)</f>
        <v>#NAME?</v>
      </c>
      <c r="G20" s="22"/>
      <c r="H20" s="22" t="e">
        <f ca="1">SUM(_xll.ONESTOP.REPORTPLAYER.OSRFUNCTIONS.OSRREF(H22))</f>
        <v>#NAME?</v>
      </c>
      <c r="I20" s="22"/>
      <c r="J20" s="30" t="e">
        <f ca="1">IF(H$12=0,0,H20/H$12)</f>
        <v>#NAME?</v>
      </c>
      <c r="K20" s="5"/>
      <c r="L20" s="22" t="e">
        <f ca="1">+D20-H20</f>
        <v>#NAME?</v>
      </c>
      <c r="M20" s="5"/>
      <c r="N20" s="30" t="e">
        <f ca="1">IF(H20=0,0,L20/H20)</f>
        <v>#NAME?</v>
      </c>
      <c r="O20" s="11"/>
      <c r="P20" s="22" t="e">
        <f ca="1">SUM(_xll.ONESTOP.REPORTPLAYER.OSRFUNCTIONS.OSRREF(P22))</f>
        <v>#NAME?</v>
      </c>
      <c r="Q20" s="22"/>
      <c r="R20" s="30" t="e">
        <f ca="1">IF(P$12=0,0,P20/P$12)</f>
        <v>#NAME?</v>
      </c>
      <c r="S20" s="22"/>
      <c r="T20" s="22" t="e">
        <f ca="1">SUM(_xll.ONESTOP.REPORTPLAYER.OSRFUNCTIONS.OSRREF(T22))</f>
        <v>#NAME?</v>
      </c>
      <c r="U20" s="22"/>
      <c r="V20" s="30" t="e">
        <f ca="1">IF(T$12=0,0,T20/T$12)</f>
        <v>#NAME?</v>
      </c>
      <c r="W20" s="5"/>
      <c r="X20" s="22" t="e">
        <f ca="1">+P20-T20</f>
        <v>#NAME?</v>
      </c>
      <c r="Y20" s="5"/>
      <c r="Z20" s="30" t="e">
        <f ca="1">IF(T20=0,0,X20/T20)</f>
        <v>#NAME?</v>
      </c>
    </row>
    <row r="21" spans="1:26" s="69" customFormat="1" ht="15" customHeight="1" outlineLevel="1" collapsed="1" x14ac:dyDescent="0.3">
      <c r="A21" s="25"/>
      <c r="B21" s="14" t="e">
        <f ca="1">CONCATENATE("     ",_xll.ONESTOP.REPORTPLAYER.OSRFUNCTIONS.OSRGET("d_Account","AccountCategory"))</f>
        <v>#NAME?</v>
      </c>
      <c r="C21" s="14"/>
      <c r="D21" s="2" t="e">
        <f ca="1">SUM(_xll.ONESTOP.REPORTPLAYER.OSRFUNCTIONS.OSRREF(D22))</f>
        <v>#NAME?</v>
      </c>
      <c r="E21" s="2"/>
      <c r="F21" s="6" t="e">
        <f ca="1">IF(D$12=0,0,D21/D$12)</f>
        <v>#NAME?</v>
      </c>
      <c r="G21" s="2"/>
      <c r="H21" s="2" t="e">
        <f ca="1">SUM(_xll.ONESTOP.REPORTPLAYER.OSRFUNCTIONS.OSRREF(H22))</f>
        <v>#NAME?</v>
      </c>
      <c r="I21" s="2"/>
      <c r="J21" s="6" t="e">
        <f ca="1">IF(H$12=0,0,H21/H$12)</f>
        <v>#NAME?</v>
      </c>
      <c r="K21" s="2"/>
      <c r="L21" s="2" t="e">
        <f ca="1">+D21-H21</f>
        <v>#NAME?</v>
      </c>
      <c r="M21" s="2"/>
      <c r="N21" s="6" t="e">
        <f ca="1">IF(H21=0,0,L21/H21)</f>
        <v>#NAME?</v>
      </c>
      <c r="O21" s="14"/>
      <c r="P21" s="2" t="e">
        <f ca="1">SUM(_xll.ONESTOP.REPORTPLAYER.OSRFUNCTIONS.OSRREF(P22))</f>
        <v>#NAME?</v>
      </c>
      <c r="Q21" s="2"/>
      <c r="R21" s="6" t="e">
        <f ca="1">IF(P$12=0,0,P21/P$12)</f>
        <v>#NAME?</v>
      </c>
      <c r="S21" s="2"/>
      <c r="T21" s="2" t="e">
        <f ca="1">SUM(_xll.ONESTOP.REPORTPLAYER.OSRFUNCTIONS.OSRREF(T22))</f>
        <v>#NAME?</v>
      </c>
      <c r="U21" s="2"/>
      <c r="V21" s="6" t="e">
        <f ca="1">IF(T$12=0,0,T21/T$12)</f>
        <v>#NAME?</v>
      </c>
      <c r="W21" s="2"/>
      <c r="X21" s="2" t="e">
        <f ca="1">+P21-T21</f>
        <v>#NAME?</v>
      </c>
      <c r="Y21" s="2"/>
      <c r="Z21" s="6" t="e">
        <f ca="1">IF(T21=0,0,X21/T21)</f>
        <v>#NAME?</v>
      </c>
    </row>
    <row r="22" spans="1:26" s="70" customFormat="1" ht="15" hidden="1" customHeight="1" outlineLevel="2" x14ac:dyDescent="0.3">
      <c r="A22" s="26"/>
      <c r="B22" s="12" t="e">
        <f ca="1">CONCATENATE("          ",_xll.ONESTOP.REPORTPLAYER.OSRFUNCTIONS.OSRGET("d_Account","Code")," - ",_xll.ONESTOP.REPORTPLAYER.OSRFUNCTIONS.OSRGET("d_Account","Description"))</f>
        <v>#NAME?</v>
      </c>
      <c r="C22" s="12"/>
      <c r="D22" s="7" t="e">
        <f ca="1">_xll.ONESTOP.REPORTPLAYER.OSRFUNCTIONS.OSRGET("GL_F_Trans","Value1")</f>
        <v>#NAME?</v>
      </c>
      <c r="E22" s="3"/>
      <c r="F22" s="8" t="e">
        <f ca="1">IF(D$12=0,0,D22/D$12)</f>
        <v>#NAME?</v>
      </c>
      <c r="G22" s="3"/>
      <c r="H22" s="7" t="e">
        <f ca="1">_xll.ONESTOP.REPORTPLAYER.OSRFUNCTIONS.OSRGET("GL_F_Trans","Value1")</f>
        <v>#NAME?</v>
      </c>
      <c r="I22" s="3"/>
      <c r="J22" s="8" t="e">
        <f ca="1">IF(H$12=0,0,H22/H$12)</f>
        <v>#NAME?</v>
      </c>
      <c r="K22" s="3"/>
      <c r="L22" s="7" t="e">
        <f ca="1">+D22-H22</f>
        <v>#NAME?</v>
      </c>
      <c r="M22" s="3"/>
      <c r="N22" s="8" t="e">
        <f ca="1">IF(H22=0,0,L22/H22)</f>
        <v>#NAME?</v>
      </c>
      <c r="O22" s="12"/>
      <c r="P22" s="7" t="e">
        <f ca="1">_xll.ONESTOP.REPORTPLAYER.OSRFUNCTIONS.OSRGET("GL_F_Trans","Value1")</f>
        <v>#NAME?</v>
      </c>
      <c r="Q22" s="3"/>
      <c r="R22" s="8" t="e">
        <f ca="1">IF(P$12=0,0,P22/P$12)</f>
        <v>#NAME?</v>
      </c>
      <c r="S22" s="3"/>
      <c r="T22" s="7" t="e">
        <f ca="1">_xll.ONESTOP.REPORTPLAYER.OSRFUNCTIONS.OSRGET("GL_F_Trans","Value1")</f>
        <v>#NAME?</v>
      </c>
      <c r="U22" s="3"/>
      <c r="V22" s="8" t="e">
        <f ca="1">IF(T$12=0,0,T22/T$12)</f>
        <v>#NAME?</v>
      </c>
      <c r="W22" s="3"/>
      <c r="X22" s="7" t="e">
        <f ca="1">+P22-T22</f>
        <v>#NAME?</v>
      </c>
      <c r="Y22" s="3"/>
      <c r="Z22" s="8" t="e">
        <f ca="1">IF(T22=0,0,X22/T22)</f>
        <v>#NAME?</v>
      </c>
    </row>
    <row r="23" spans="1:26" s="65" customFormat="1" ht="15" customHeight="1" x14ac:dyDescent="0.3">
      <c r="A23" s="35"/>
      <c r="B23" s="35"/>
      <c r="C23" s="35"/>
      <c r="D23" s="2"/>
      <c r="E23" s="2"/>
      <c r="F23" s="6"/>
      <c r="G23" s="2"/>
      <c r="H23" s="2"/>
      <c r="I23" s="2"/>
      <c r="J23" s="6"/>
      <c r="K23" s="2"/>
      <c r="L23" s="2"/>
      <c r="M23" s="2"/>
      <c r="N23" s="6"/>
      <c r="O23" s="35"/>
      <c r="P23" s="2"/>
      <c r="Q23" s="2"/>
      <c r="R23" s="6"/>
      <c r="S23" s="2"/>
      <c r="T23" s="2"/>
      <c r="U23" s="2"/>
      <c r="V23" s="6"/>
      <c r="W23" s="2"/>
      <c r="X23" s="2"/>
      <c r="Y23" s="2"/>
      <c r="Z23" s="6"/>
    </row>
    <row r="24" spans="1:26" s="63" customFormat="1" ht="15" customHeight="1" collapsed="1" x14ac:dyDescent="0.3">
      <c r="A24" s="11"/>
      <c r="B24" s="28" t="s">
        <v>291</v>
      </c>
      <c r="C24" s="11"/>
      <c r="D24" s="5" t="e">
        <f ca="1">SUM(_xll.ONESTOP.REPORTPLAYER.OSRFUNCTIONS.OSRREF(D25))</f>
        <v>#NAME?</v>
      </c>
      <c r="E24" s="5"/>
      <c r="F24" s="13" t="e">
        <f ca="1">IF(D$12=0,0,D24/D$12)</f>
        <v>#NAME?</v>
      </c>
      <c r="G24" s="5"/>
      <c r="H24" s="5" t="e">
        <f ca="1">SUM(_xll.ONESTOP.REPORTPLAYER.OSRFUNCTIONS.OSRREF(H25))</f>
        <v>#NAME?</v>
      </c>
      <c r="I24" s="5"/>
      <c r="J24" s="13" t="e">
        <f ca="1">IF(H$12=0,0,H24/H$12)</f>
        <v>#NAME?</v>
      </c>
      <c r="K24" s="5"/>
      <c r="L24" s="5" t="e">
        <f ca="1">+D24-H24</f>
        <v>#NAME?</v>
      </c>
      <c r="M24" s="5"/>
      <c r="N24" s="13" t="e">
        <f ca="1">IF(H24=0,0,L24/H24)</f>
        <v>#NAME?</v>
      </c>
      <c r="O24" s="11"/>
      <c r="P24" s="5" t="e">
        <f ca="1">SUM(_xll.ONESTOP.REPORTPLAYER.OSRFUNCTIONS.OSRREF(P25))</f>
        <v>#NAME?</v>
      </c>
      <c r="Q24" s="5"/>
      <c r="R24" s="13" t="e">
        <f ca="1">IF(P$12=0,0,P24/P$12)</f>
        <v>#NAME?</v>
      </c>
      <c r="S24" s="5"/>
      <c r="T24" s="5" t="e">
        <f ca="1">SUM(_xll.ONESTOP.REPORTPLAYER.OSRFUNCTIONS.OSRREF(T25))</f>
        <v>#NAME?</v>
      </c>
      <c r="U24" s="5"/>
      <c r="V24" s="13" t="e">
        <f ca="1">IF(T$12=0,0,T24/T$12)</f>
        <v>#NAME?</v>
      </c>
      <c r="W24" s="5"/>
      <c r="X24" s="5" t="e">
        <f ca="1">+P24-T24</f>
        <v>#NAME?</v>
      </c>
      <c r="Y24" s="5"/>
      <c r="Z24" s="13" t="e">
        <f ca="1">IF(T24=0,0,X24/T24)</f>
        <v>#NAME?</v>
      </c>
    </row>
    <row r="25" spans="1:26" s="70" customFormat="1" ht="15" hidden="1" customHeight="1" outlineLevel="1" x14ac:dyDescent="0.3">
      <c r="A25" s="42"/>
      <c r="B25" s="12" t="e">
        <f ca="1">CONCATENATE("          ",_xll.ONESTOP.REPORTPLAYER.OSRFUNCTIONS.OSRGET("d_Account","Code")," - ",_xll.ONESTOP.REPORTPLAYER.OSRFUNCTIONS.OSRGET("d_Account","Description"))</f>
        <v>#NAME?</v>
      </c>
      <c r="C25" s="12"/>
      <c r="D25" s="3" t="e">
        <f ca="1">-_xll.ONESTOP.REPORTPLAYER.OSRFUNCTIONS.OSRGET("GL_F_Trans","Value1")</f>
        <v>#NAME?</v>
      </c>
      <c r="E25" s="3"/>
      <c r="F25" s="20" t="e">
        <f ca="1">IF(D$12=0,0,D25/D$12)</f>
        <v>#NAME?</v>
      </c>
      <c r="G25" s="3"/>
      <c r="H25" s="3" t="e">
        <f ca="1">_xll.ONESTOP.REPORTPLAYER.OSRFUNCTIONS.OSRGET("GL_F_Trans","Value1")</f>
        <v>#NAME?</v>
      </c>
      <c r="I25" s="3"/>
      <c r="J25" s="20" t="e">
        <f ca="1">IF(H$12=0,0,H25/H$12)</f>
        <v>#NAME?</v>
      </c>
      <c r="K25" s="3"/>
      <c r="L25" s="3" t="e">
        <f ca="1">+D25-H25</f>
        <v>#NAME?</v>
      </c>
      <c r="M25" s="3"/>
      <c r="N25" s="20" t="e">
        <f ca="1">IF(H25=0,0,L25/H25)</f>
        <v>#NAME?</v>
      </c>
      <c r="O25" s="12"/>
      <c r="P25" s="3" t="e">
        <f ca="1">-_xll.ONESTOP.REPORTPLAYER.OSRFUNCTIONS.OSRGET("GL_F_Trans","Value1")</f>
        <v>#NAME?</v>
      </c>
      <c r="Q25" s="3"/>
      <c r="R25" s="20" t="e">
        <f ca="1">IF(P$12=0,0,P25/P$12)</f>
        <v>#NAME?</v>
      </c>
      <c r="S25" s="3"/>
      <c r="T25" s="3" t="e">
        <f ca="1">_xll.ONESTOP.REPORTPLAYER.OSRFUNCTIONS.OSRGET("GL_F_Trans","Value1")</f>
        <v>#NAME?</v>
      </c>
      <c r="U25" s="3"/>
      <c r="V25" s="20" t="e">
        <f ca="1">IF(T$12=0,0,T25/T$12)</f>
        <v>#NAME?</v>
      </c>
      <c r="W25" s="3"/>
      <c r="X25" s="3" t="e">
        <f ca="1">+P25-T25</f>
        <v>#NAME?</v>
      </c>
      <c r="Y25" s="3"/>
      <c r="Z25" s="20" t="e">
        <f ca="1">IF(T25=0,0,X25/T25)</f>
        <v>#NAME?</v>
      </c>
    </row>
    <row r="26" spans="1:26" ht="15" customHeight="1" x14ac:dyDescent="0.3">
      <c r="A26" s="10"/>
      <c r="B26" s="11"/>
      <c r="C26" s="11"/>
      <c r="D26" s="4"/>
      <c r="E26" s="4"/>
      <c r="F26" s="9"/>
      <c r="G26" s="4"/>
      <c r="H26" s="4"/>
      <c r="I26" s="4"/>
      <c r="J26" s="9"/>
      <c r="K26" s="4"/>
      <c r="L26" s="4"/>
      <c r="M26" s="4"/>
      <c r="N26" s="9"/>
      <c r="O26" s="11"/>
      <c r="P26" s="4"/>
      <c r="Q26" s="4"/>
      <c r="R26" s="9"/>
      <c r="S26" s="4"/>
      <c r="T26" s="4"/>
      <c r="U26" s="4"/>
      <c r="V26" s="9"/>
      <c r="W26" s="4"/>
      <c r="X26" s="4"/>
      <c r="Y26" s="4"/>
      <c r="Z26" s="9"/>
    </row>
    <row r="27" spans="1:26" s="63" customFormat="1" ht="15" customHeight="1" x14ac:dyDescent="0.3">
      <c r="A27" s="11"/>
      <c r="B27" s="27" t="s">
        <v>292</v>
      </c>
      <c r="C27" s="27"/>
      <c r="D27" s="21" t="e">
        <f ca="1">+D18-D20+D24</f>
        <v>#NAME?</v>
      </c>
      <c r="E27" s="15"/>
      <c r="F27" s="23" t="e">
        <f ca="1">IF(D$12=0,0,D27/D$12)</f>
        <v>#NAME?</v>
      </c>
      <c r="G27" s="15"/>
      <c r="H27" s="21" t="e">
        <f ca="1">+H18-H20+H24</f>
        <v>#NAME?</v>
      </c>
      <c r="I27" s="15"/>
      <c r="J27" s="23" t="e">
        <f ca="1">IF(H$12=0,0,H27/H$12)</f>
        <v>#NAME?</v>
      </c>
      <c r="K27" s="16"/>
      <c r="L27" s="21" t="e">
        <f ca="1">+D27-H27</f>
        <v>#NAME?</v>
      </c>
      <c r="M27" s="16"/>
      <c r="N27" s="23" t="e">
        <f ca="1">IF(H27=0,0,L27/H27)</f>
        <v>#NAME?</v>
      </c>
      <c r="O27" s="28"/>
      <c r="P27" s="21" t="e">
        <f ca="1">+P18-P20+P24</f>
        <v>#NAME?</v>
      </c>
      <c r="Q27" s="15"/>
      <c r="R27" s="23" t="e">
        <f ca="1">IF(P$12=0,0,P27/P$12)</f>
        <v>#NAME?</v>
      </c>
      <c r="S27" s="15"/>
      <c r="T27" s="21" t="e">
        <f ca="1">+T18-T20+T24</f>
        <v>#NAME?</v>
      </c>
      <c r="U27" s="15"/>
      <c r="V27" s="23" t="e">
        <f ca="1">IF(T$12=0,0,T27/T$12)</f>
        <v>#NAME?</v>
      </c>
      <c r="W27" s="16"/>
      <c r="X27" s="21" t="e">
        <f ca="1">+P27-T27</f>
        <v>#NAME?</v>
      </c>
      <c r="Y27" s="16"/>
      <c r="Z27" s="23" t="e">
        <f ca="1">IF(T27=0,0,X27/T27)</f>
        <v>#NAME?</v>
      </c>
    </row>
    <row r="28" spans="1:26" ht="15" customHeight="1" x14ac:dyDescent="0.3">
      <c r="A28" s="10"/>
      <c r="B28" s="11"/>
      <c r="C28" s="10"/>
      <c r="D28" s="4"/>
      <c r="E28" s="4"/>
      <c r="F28" s="9"/>
      <c r="G28" s="4"/>
      <c r="H28" s="4"/>
      <c r="I28" s="4"/>
      <c r="J28" s="9"/>
      <c r="K28" s="4"/>
      <c r="L28" s="4"/>
      <c r="M28" s="4"/>
      <c r="N28" s="9"/>
      <c r="P28" s="4"/>
      <c r="Q28" s="4"/>
      <c r="R28" s="9"/>
      <c r="S28" s="4"/>
      <c r="T28" s="4"/>
      <c r="U28" s="4"/>
      <c r="V28" s="9"/>
      <c r="W28" s="4"/>
      <c r="X28" s="4"/>
      <c r="Y28" s="4"/>
      <c r="Z28" s="9"/>
    </row>
    <row r="29" spans="1:26" s="63" customFormat="1" ht="15" customHeight="1" x14ac:dyDescent="0.3">
      <c r="A29" s="49"/>
      <c r="B29" s="11" t="s">
        <v>293</v>
      </c>
      <c r="C29" s="11"/>
      <c r="D29" s="5" t="e">
        <f ca="1">_xll.ONESTOP.REPORTPLAYER.OSRFUNCTIONS.OSRGET("GL_F_Trans","Value1")</f>
        <v>#NAME?</v>
      </c>
      <c r="E29" s="5"/>
      <c r="F29" s="13" t="e">
        <f ca="1">IF(D$12=0,0,D29/D$12)</f>
        <v>#NAME?</v>
      </c>
      <c r="G29" s="5"/>
      <c r="H29" s="5" t="e">
        <f ca="1">_xll.ONESTOP.REPORTPLAYER.OSRFUNCTIONS.OSRGET("GL_F_Trans","Value1")</f>
        <v>#NAME?</v>
      </c>
      <c r="I29" s="5"/>
      <c r="J29" s="13" t="e">
        <f ca="1">IF(H$12=0,0,H29/H$12)</f>
        <v>#NAME?</v>
      </c>
      <c r="K29" s="5"/>
      <c r="L29" s="5" t="e">
        <f ca="1">+D29-H29</f>
        <v>#NAME?</v>
      </c>
      <c r="M29" s="5"/>
      <c r="N29" s="13" t="e">
        <f ca="1">IF(H29=0,0,L29/H29)</f>
        <v>#NAME?</v>
      </c>
      <c r="O29" s="11"/>
      <c r="P29" s="5" t="e">
        <f ca="1">_xll.ONESTOP.REPORTPLAYER.OSRFUNCTIONS.OSRGET("GL_F_Trans","Value1")</f>
        <v>#NAME?</v>
      </c>
      <c r="Q29" s="5"/>
      <c r="R29" s="13" t="e">
        <f ca="1">IF(P$12=0,0,P29/P$12)</f>
        <v>#NAME?</v>
      </c>
      <c r="S29" s="5"/>
      <c r="T29" s="5" t="e">
        <f ca="1">_xll.ONESTOP.REPORTPLAYER.OSRFUNCTIONS.OSRGET("GL_F_Trans","Value1")</f>
        <v>#NAME?</v>
      </c>
      <c r="U29" s="5"/>
      <c r="V29" s="13" t="e">
        <f ca="1">IF(T$12=0,0,T29/T$12)</f>
        <v>#NAME?</v>
      </c>
      <c r="W29" s="5"/>
      <c r="X29" s="5" t="e">
        <f ca="1">+P29-T29</f>
        <v>#NAME?</v>
      </c>
      <c r="Y29" s="5"/>
      <c r="Z29" s="13" t="e">
        <f ca="1">IF(T29=0,0,X29/T29)</f>
        <v>#NAME?</v>
      </c>
    </row>
    <row r="30" spans="1:26" ht="15" customHeight="1" x14ac:dyDescent="0.3">
      <c r="A30" s="10"/>
      <c r="B30" s="11"/>
      <c r="C30" s="11"/>
      <c r="D30" s="4"/>
      <c r="E30" s="4"/>
      <c r="F30" s="9"/>
      <c r="G30" s="4"/>
      <c r="H30" s="4"/>
      <c r="I30" s="4"/>
      <c r="J30" s="9"/>
      <c r="K30" s="4"/>
      <c r="L30" s="4"/>
      <c r="M30" s="4"/>
      <c r="N30" s="9"/>
      <c r="O30" s="11"/>
      <c r="P30" s="4"/>
      <c r="Q30" s="4"/>
      <c r="R30" s="9"/>
      <c r="S30" s="4"/>
      <c r="T30" s="4"/>
      <c r="U30" s="4"/>
      <c r="V30" s="9"/>
      <c r="W30" s="4"/>
      <c r="X30" s="4"/>
      <c r="Y30" s="4"/>
      <c r="Z30" s="9"/>
    </row>
    <row r="31" spans="1:26" s="63" customFormat="1" ht="15" customHeight="1" x14ac:dyDescent="0.3">
      <c r="A31" s="11"/>
      <c r="B31" s="27" t="s">
        <v>294</v>
      </c>
      <c r="C31" s="27"/>
      <c r="D31" s="34" t="e">
        <f ca="1">+D27-D29</f>
        <v>#NAME?</v>
      </c>
      <c r="E31" s="15"/>
      <c r="F31" s="29" t="e">
        <f ca="1">IF(D$12=0,0,D31/D$12)</f>
        <v>#NAME?</v>
      </c>
      <c r="G31" s="15"/>
      <c r="H31" s="34" t="e">
        <f ca="1">+H27-H29</f>
        <v>#NAME?</v>
      </c>
      <c r="I31" s="15"/>
      <c r="J31" s="29" t="e">
        <f ca="1">IF(H$12=0,0,H31/H$12)</f>
        <v>#NAME?</v>
      </c>
      <c r="K31" s="16"/>
      <c r="L31" s="34" t="e">
        <f ca="1">D31-H31</f>
        <v>#NAME?</v>
      </c>
      <c r="M31" s="16"/>
      <c r="N31" s="29" t="e">
        <f ca="1">IF(H31=0,0,L31/H31)</f>
        <v>#NAME?</v>
      </c>
      <c r="O31" s="28"/>
      <c r="P31" s="34" t="e">
        <f ca="1">+P27-P29</f>
        <v>#NAME?</v>
      </c>
      <c r="Q31" s="15"/>
      <c r="R31" s="29" t="e">
        <f ca="1">IF(P$12=0,0,P31/P$12)</f>
        <v>#NAME?</v>
      </c>
      <c r="S31" s="15"/>
      <c r="T31" s="34" t="e">
        <f ca="1">+T27-T29</f>
        <v>#NAME?</v>
      </c>
      <c r="U31" s="15"/>
      <c r="V31" s="29" t="e">
        <f ca="1">IF(T$12=0,0,T31/T$12)</f>
        <v>#NAME?</v>
      </c>
      <c r="W31" s="16"/>
      <c r="X31" s="34" t="e">
        <f ca="1">P31-T31</f>
        <v>#NAME?</v>
      </c>
      <c r="Y31" s="16"/>
      <c r="Z31" s="29" t="e">
        <f ca="1">IF(T31=0,0,X31/T31)</f>
        <v>#NAME?</v>
      </c>
    </row>
    <row r="32" spans="1:26" ht="15" customHeight="1" x14ac:dyDescent="0.3">
      <c r="A32" s="10"/>
      <c r="B32" s="10"/>
      <c r="C32" s="10"/>
      <c r="D32" s="4"/>
      <c r="E32" s="4"/>
      <c r="F32" s="9"/>
      <c r="G32" s="4"/>
      <c r="H32" s="4"/>
      <c r="I32" s="4"/>
      <c r="J32" s="9"/>
      <c r="K32" s="4"/>
      <c r="L32" s="4"/>
      <c r="M32" s="4"/>
      <c r="N32" s="9"/>
      <c r="P32" s="4"/>
      <c r="Q32" s="4"/>
      <c r="R32" s="9"/>
      <c r="S32" s="4"/>
      <c r="T32" s="4"/>
      <c r="U32" s="4"/>
      <c r="V32" s="9"/>
      <c r="W32" s="4"/>
      <c r="X32" s="4"/>
      <c r="Y32" s="4"/>
      <c r="Z32" s="9"/>
    </row>
    <row r="33" spans="1:26" s="63" customFormat="1" ht="15" customHeight="1" x14ac:dyDescent="0.3">
      <c r="A33" s="49"/>
      <c r="B33" s="11" t="s">
        <v>295</v>
      </c>
      <c r="C33" s="11"/>
      <c r="D33" s="5" t="e">
        <f ca="1">-_xll.ONESTOP.REPORTPLAYER.OSRFUNCTIONS.OSRGET("GL_F_Trans","Value1")</f>
        <v>#NAME?</v>
      </c>
      <c r="E33" s="5"/>
      <c r="F33" s="13" t="e">
        <f ca="1">IF(D$12=0,0,D33/D$12)</f>
        <v>#NAME?</v>
      </c>
      <c r="G33" s="5"/>
      <c r="H33" s="5" t="e">
        <f ca="1">-_xll.ONESTOP.REPORTPLAYER.OSRFUNCTIONS.OSRGET("GL_F_Trans","Value1")</f>
        <v>#NAME?</v>
      </c>
      <c r="I33" s="5"/>
      <c r="J33" s="13" t="e">
        <f ca="1">IF(H$12=0,0,H33/H$12)</f>
        <v>#NAME?</v>
      </c>
      <c r="K33" s="5"/>
      <c r="L33" s="5" t="e">
        <f ca="1">+D33-H33</f>
        <v>#NAME?</v>
      </c>
      <c r="M33" s="5"/>
      <c r="N33" s="13" t="e">
        <f ca="1">IF(H33=0,0,L33/H33)</f>
        <v>#NAME?</v>
      </c>
      <c r="O33" s="11"/>
      <c r="P33" s="5" t="e">
        <f ca="1">-_xll.ONESTOP.REPORTPLAYER.OSRFUNCTIONS.OSRGET("GL_F_Trans","Value1")</f>
        <v>#NAME?</v>
      </c>
      <c r="Q33" s="5"/>
      <c r="R33" s="13" t="e">
        <f ca="1">IF(P$12=0,0,P33/P$12)</f>
        <v>#NAME?</v>
      </c>
      <c r="S33" s="5"/>
      <c r="T33" s="5" t="e">
        <f ca="1">-_xll.ONESTOP.REPORTPLAYER.OSRFUNCTIONS.OSRGET("GL_F_Trans","Value1")</f>
        <v>#NAME?</v>
      </c>
      <c r="U33" s="5"/>
      <c r="V33" s="13" t="e">
        <f ca="1">IF(T$12=0,0,T33/T$12)</f>
        <v>#NAME?</v>
      </c>
      <c r="W33" s="5"/>
      <c r="X33" s="5" t="e">
        <f ca="1">+P33-T33</f>
        <v>#NAME?</v>
      </c>
      <c r="Y33" s="5"/>
      <c r="Z33" s="13" t="e">
        <f ca="1">IF(T33=0,0,X33/T33)</f>
        <v>#NAME?</v>
      </c>
    </row>
    <row r="34" spans="1:26" s="63" customFormat="1" ht="15" customHeight="1" x14ac:dyDescent="0.3">
      <c r="A34" s="49"/>
      <c r="B34" s="11" t="s">
        <v>296</v>
      </c>
      <c r="C34" s="11"/>
      <c r="D34" s="5" t="e">
        <f ca="1">-_xll.ONESTOP.REPORTPLAYER.OSRFUNCTIONS.OSRGET("GL_F_Trans","Value1")</f>
        <v>#NAME?</v>
      </c>
      <c r="E34" s="5"/>
      <c r="F34" s="13" t="e">
        <f ca="1">IF(D$12=0,0,D34/D$12)</f>
        <v>#NAME?</v>
      </c>
      <c r="G34" s="5"/>
      <c r="H34" s="5" t="e">
        <f ca="1">-_xll.ONESTOP.REPORTPLAYER.OSRFUNCTIONS.OSRGET("GL_F_Trans","Value1")</f>
        <v>#NAME?</v>
      </c>
      <c r="I34" s="5"/>
      <c r="J34" s="13" t="e">
        <f ca="1">IF(H$12=0,0,H34/H$12)</f>
        <v>#NAME?</v>
      </c>
      <c r="K34" s="5"/>
      <c r="L34" s="5" t="e">
        <f ca="1">+D34-H34</f>
        <v>#NAME?</v>
      </c>
      <c r="M34" s="5"/>
      <c r="N34" s="13" t="e">
        <f ca="1">IF(H34=0,0,L34/H34)</f>
        <v>#NAME?</v>
      </c>
      <c r="O34" s="11"/>
      <c r="P34" s="5" t="e">
        <f ca="1">-_xll.ONESTOP.REPORTPLAYER.OSRFUNCTIONS.OSRGET("GL_F_Trans","Value1")</f>
        <v>#NAME?</v>
      </c>
      <c r="Q34" s="5"/>
      <c r="R34" s="13" t="e">
        <f ca="1">IF(P$12=0,0,P34/P$12)</f>
        <v>#NAME?</v>
      </c>
      <c r="S34" s="5"/>
      <c r="T34" s="5" t="e">
        <f ca="1">-_xll.ONESTOP.REPORTPLAYER.OSRFUNCTIONS.OSRGET("GL_F_Trans","Value1")</f>
        <v>#NAME?</v>
      </c>
      <c r="U34" s="5"/>
      <c r="V34" s="13" t="e">
        <f ca="1">IF(T$12=0,0,T34/T$12)</f>
        <v>#NAME?</v>
      </c>
      <c r="W34" s="5"/>
      <c r="X34" s="5" t="e">
        <f ca="1">+P34-T34</f>
        <v>#NAME?</v>
      </c>
      <c r="Y34" s="5"/>
      <c r="Z34" s="13" t="e">
        <f ca="1">IF(T34=0,0,X34/T34)</f>
        <v>#NAME?</v>
      </c>
    </row>
    <row r="35" spans="1:26" ht="15" customHeight="1" x14ac:dyDescent="0.3">
      <c r="A35" s="10"/>
      <c r="B35" s="10"/>
      <c r="C35" s="10"/>
      <c r="D35" s="4"/>
      <c r="E35" s="4"/>
      <c r="F35" s="9"/>
      <c r="G35" s="4"/>
      <c r="H35" s="4"/>
      <c r="I35" s="4"/>
      <c r="J35" s="9"/>
      <c r="K35" s="4"/>
      <c r="L35" s="4"/>
      <c r="M35" s="4"/>
      <c r="N35" s="9"/>
      <c r="P35" s="4"/>
      <c r="Q35" s="4"/>
      <c r="R35" s="9"/>
      <c r="S35" s="4"/>
      <c r="T35" s="4"/>
      <c r="U35" s="4"/>
      <c r="V35" s="9"/>
      <c r="W35" s="4"/>
      <c r="X35" s="4"/>
      <c r="Y35" s="4"/>
      <c r="Z35" s="9"/>
    </row>
    <row r="36" spans="1:26" s="63" customFormat="1" ht="15" customHeight="1" x14ac:dyDescent="0.3">
      <c r="A36" s="11"/>
      <c r="B36" s="27" t="s">
        <v>297</v>
      </c>
      <c r="C36" s="27"/>
      <c r="D36" s="32" t="e">
        <f ca="1">SUM(D31:D35)</f>
        <v>#NAME?</v>
      </c>
      <c r="E36" s="15"/>
      <c r="F36" s="31" t="e">
        <f ca="1">IF(D$12=0,0,D36/D$12)</f>
        <v>#NAME?</v>
      </c>
      <c r="G36" s="15"/>
      <c r="H36" s="32" t="e">
        <f ca="1">SUM(H31:H35)</f>
        <v>#NAME?</v>
      </c>
      <c r="I36" s="15"/>
      <c r="J36" s="31" t="e">
        <f ca="1">IF(H$12=0,0,H36/H$12)</f>
        <v>#NAME?</v>
      </c>
      <c r="K36" s="16"/>
      <c r="L36" s="32" t="e">
        <f ca="1">+D36-H36</f>
        <v>#NAME?</v>
      </c>
      <c r="M36" s="16"/>
      <c r="N36" s="31" t="e">
        <f ca="1">IF(H36=0,0,L36/H36)</f>
        <v>#NAME?</v>
      </c>
      <c r="O36" s="28"/>
      <c r="P36" s="32" t="e">
        <f ca="1">SUM(P31:P35)</f>
        <v>#NAME?</v>
      </c>
      <c r="Q36" s="15"/>
      <c r="R36" s="31" t="e">
        <f ca="1">IF(P$12=0,0,P36/P$12)</f>
        <v>#NAME?</v>
      </c>
      <c r="S36" s="15"/>
      <c r="T36" s="32" t="e">
        <f ca="1">SUM(T31:T35)</f>
        <v>#NAME?</v>
      </c>
      <c r="U36" s="15"/>
      <c r="V36" s="31" t="e">
        <f ca="1">IF(T$12=0,0,T36/T$12)</f>
        <v>#NAME?</v>
      </c>
      <c r="W36" s="16"/>
      <c r="X36" s="32" t="e">
        <f ca="1">+P36-T36</f>
        <v>#NAME?</v>
      </c>
      <c r="Y36" s="16"/>
      <c r="Z36" s="31" t="e">
        <f ca="1">IF(T36=0,0,X36/T36)</f>
        <v>#NAME?</v>
      </c>
    </row>
    <row r="37" spans="1:26" ht="15" customHeight="1" x14ac:dyDescent="0.3">
      <c r="A37" s="10"/>
      <c r="C37" s="10"/>
      <c r="D37" s="19"/>
      <c r="E37" s="19"/>
      <c r="G37" s="19"/>
      <c r="H37" s="19"/>
      <c r="I37" s="19"/>
      <c r="J37" s="40"/>
      <c r="K37" s="19"/>
      <c r="L37" s="19"/>
      <c r="M37" s="19"/>
      <c r="P37" s="19"/>
      <c r="Q37" s="19"/>
      <c r="R37" s="40"/>
      <c r="S37" s="19"/>
      <c r="T37" s="19"/>
      <c r="U37" s="19"/>
      <c r="V37" s="40"/>
      <c r="W37" s="19"/>
      <c r="X37" s="19"/>
    </row>
    <row r="38" spans="1:26" ht="15" customHeight="1" x14ac:dyDescent="0.3">
      <c r="A38" s="10"/>
      <c r="B38" s="51" t="e">
        <f ca="1">_xll.ONESTOP.REPORTPLAYER.OSRFUNCTIONS.OSRGET("CurrentDate","Date")</f>
        <v>#NAME?</v>
      </c>
      <c r="D38" s="19"/>
      <c r="E38" s="19"/>
      <c r="G38" s="19"/>
      <c r="H38" s="19"/>
      <c r="I38" s="19"/>
      <c r="J38" s="40"/>
      <c r="K38" s="19"/>
      <c r="L38" s="19"/>
      <c r="M38" s="19"/>
      <c r="P38" s="19"/>
      <c r="Q38" s="19"/>
      <c r="R38" s="40"/>
      <c r="S38" s="19"/>
      <c r="T38" s="19"/>
      <c r="U38" s="19"/>
      <c r="V38" s="40"/>
      <c r="W38" s="19"/>
      <c r="X38" s="19"/>
    </row>
    <row r="39" spans="1:26" ht="15" customHeight="1" x14ac:dyDescent="0.3">
      <c r="A39" s="10"/>
      <c r="B39" s="58" t="e">
        <f ca="1">_xll.ONESTOP.REPORTPLAYER.OSRFUNCTIONS.OSRGET("User","UserId")</f>
        <v>#NAME?</v>
      </c>
      <c r="D39" s="19"/>
      <c r="E39" s="19"/>
      <c r="G39" s="19"/>
      <c r="H39" s="19"/>
      <c r="I39" s="19"/>
      <c r="J39" s="40"/>
      <c r="K39" s="19"/>
      <c r="L39" s="19"/>
      <c r="M39" s="19"/>
      <c r="P39" s="19"/>
      <c r="Q39" s="19"/>
      <c r="R39" s="40"/>
      <c r="S39" s="19"/>
      <c r="T39" s="19"/>
      <c r="U39" s="19"/>
      <c r="V39" s="40"/>
      <c r="W39" s="19"/>
      <c r="X39" s="19"/>
    </row>
    <row r="40" spans="1:26" ht="15" customHeight="1" x14ac:dyDescent="0.3">
      <c r="A40" s="10"/>
      <c r="B40" s="50"/>
      <c r="D40" s="19"/>
      <c r="E40" s="19"/>
      <c r="G40" s="19"/>
      <c r="H40" s="19"/>
      <c r="I40" s="19"/>
      <c r="J40" s="40"/>
      <c r="K40" s="19"/>
      <c r="L40" s="19"/>
      <c r="M40" s="19"/>
      <c r="P40" s="19"/>
      <c r="Q40" s="19"/>
      <c r="R40" s="40"/>
      <c r="S40" s="19"/>
      <c r="T40" s="19"/>
      <c r="U40" s="19"/>
      <c r="V40" s="40"/>
      <c r="W40" s="19"/>
      <c r="X40" s="19"/>
    </row>
    <row r="41" spans="1:26" ht="15" customHeight="1" x14ac:dyDescent="0.3">
      <c r="D41" s="19"/>
      <c r="E41" s="19"/>
      <c r="G41" s="19"/>
      <c r="H41" s="19"/>
      <c r="I41" s="19"/>
      <c r="J41" s="40"/>
      <c r="K41" s="19"/>
      <c r="L41" s="19"/>
      <c r="M41" s="19"/>
      <c r="P41" s="19"/>
      <c r="Q41" s="19"/>
      <c r="R41" s="40"/>
      <c r="S41" s="19"/>
      <c r="T41" s="19"/>
      <c r="U41" s="19"/>
      <c r="V41" s="40"/>
      <c r="W41" s="19"/>
      <c r="X41" s="19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E9620F-08AC-DBCB-694E-2B5D19A2839D}">
  <sheetPr>
    <tabColor theme="5" tint="0.39997558519241921"/>
    <outlinePr summaryBelow="0" summaryRight="0"/>
  </sheetPr>
  <dimension ref="A2:Z41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6" customWidth="1"/>
    <col min="2" max="2" width="33.44140625" style="66" customWidth="1"/>
    <col min="3" max="3" width="1.88671875" style="66" customWidth="1"/>
    <col min="4" max="4" width="15" style="66" customWidth="1"/>
    <col min="5" max="5" width="1.88671875" style="66" customWidth="1" outlineLevel="1"/>
    <col min="6" max="6" width="15" style="67" customWidth="1" outlineLevel="1"/>
    <col min="7" max="7" width="1.88671875" style="66" customWidth="1" outlineLevel="1"/>
    <col min="8" max="8" width="15" style="66" customWidth="1" outlineLevel="1"/>
    <col min="9" max="9" width="1.88671875" style="66" customWidth="1" outlineLevel="1"/>
    <col min="10" max="10" width="15" style="68" customWidth="1" outlineLevel="1"/>
    <col min="11" max="11" width="1.88671875" style="66" customWidth="1" outlineLevel="1"/>
    <col min="12" max="12" width="15" style="66" customWidth="1" outlineLevel="1"/>
    <col min="13" max="13" width="1.88671875" style="66" customWidth="1" outlineLevel="1"/>
    <col min="14" max="14" width="15" style="67" customWidth="1" outlineLevel="1"/>
    <col min="15" max="15" width="1.88671875" style="64" customWidth="1"/>
    <col min="16" max="16" width="15" style="66" customWidth="1"/>
    <col min="17" max="17" width="1.88671875" style="66" customWidth="1" outlineLevel="1"/>
    <col min="18" max="18" width="15" style="68" customWidth="1" outlineLevel="1"/>
    <col min="19" max="19" width="1.88671875" style="66" customWidth="1" outlineLevel="1"/>
    <col min="20" max="20" width="15" style="66" customWidth="1" outlineLevel="1"/>
    <col min="21" max="21" width="1.88671875" style="66" customWidth="1" outlineLevel="1"/>
    <col min="22" max="22" width="15" style="68" customWidth="1" outlineLevel="1"/>
    <col min="23" max="23" width="1.88671875" style="66" customWidth="1" outlineLevel="1"/>
    <col min="24" max="24" width="15" style="66" customWidth="1" outlineLevel="1"/>
    <col min="25" max="25" width="1.88671875" style="66" customWidth="1" outlineLevel="1"/>
    <col min="26" max="26" width="15" style="68" customWidth="1" outlineLevel="1"/>
  </cols>
  <sheetData>
    <row r="2" spans="1:26" ht="15" customHeight="1" x14ac:dyDescent="0.3">
      <c r="D2" s="54" t="s">
        <v>276</v>
      </c>
    </row>
    <row r="3" spans="1:26" ht="15" customHeight="1" x14ac:dyDescent="0.3">
      <c r="D3" s="54" t="s">
        <v>277</v>
      </c>
      <c r="E3" s="18"/>
      <c r="F3" s="44"/>
      <c r="G3" s="18"/>
      <c r="H3" s="18"/>
      <c r="I3" s="18"/>
      <c r="J3" s="38"/>
      <c r="K3" s="18"/>
      <c r="L3" s="18"/>
      <c r="M3" s="18"/>
      <c r="N3" s="44"/>
      <c r="O3" s="53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ht="15" customHeight="1" x14ac:dyDescent="0.3">
      <c r="D4" s="54" t="e">
        <f ca="1">CONCATENATE("Period ",RIGHT(_xll.ONESTOP.REPORTPLAYER.OSRFUNCTIONS.OSRGET("Period","PeriodId"),2),", ",_xll.ONESTOP.REPORTPLAYER.OSRFUNCTIONS.OSRGET("Period","Year"))</f>
        <v>#NAME?</v>
      </c>
      <c r="E4" s="18"/>
      <c r="F4" s="44"/>
      <c r="G4" s="18"/>
      <c r="H4" s="18"/>
      <c r="I4" s="18"/>
      <c r="J4" s="38"/>
      <c r="K4" s="18"/>
      <c r="L4" s="18"/>
      <c r="M4" s="18"/>
      <c r="N4" s="44"/>
      <c r="O4" s="53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ht="15" customHeight="1" x14ac:dyDescent="0.3">
      <c r="A5" s="24"/>
      <c r="D5" s="61" t="e">
        <f ca="1">_xll.ONESTOP.REPORTPLAYER.OSRFUNCTIONS.OSRGET("Period","PeriodEnd")</f>
        <v>#NAME?</v>
      </c>
      <c r="E5" s="18"/>
      <c r="F5" s="44"/>
      <c r="G5" s="18"/>
      <c r="H5" s="18"/>
      <c r="I5" s="18"/>
      <c r="J5" s="38"/>
      <c r="K5" s="18"/>
      <c r="L5" s="18"/>
      <c r="M5" s="18"/>
      <c r="N5" s="44"/>
      <c r="O5" s="53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ht="15" customHeight="1" x14ac:dyDescent="0.3">
      <c r="A6" s="24"/>
      <c r="B6" s="47"/>
      <c r="C6" s="47"/>
      <c r="D6" s="24" t="s">
        <v>303</v>
      </c>
      <c r="E6" s="18"/>
      <c r="F6" s="44"/>
      <c r="G6" s="18"/>
      <c r="H6" s="18"/>
      <c r="I6" s="18"/>
      <c r="J6" s="38"/>
      <c r="K6" s="18"/>
      <c r="L6" s="18"/>
      <c r="M6" s="18"/>
      <c r="N6" s="44"/>
      <c r="O6" s="59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ht="15" customHeight="1" x14ac:dyDescent="0.3">
      <c r="B7" s="52"/>
    </row>
    <row r="8" spans="1:26" ht="15" customHeight="1" x14ac:dyDescent="0.3">
      <c r="B8" s="52"/>
    </row>
    <row r="9" spans="1:26" ht="15" customHeight="1" x14ac:dyDescent="0.3">
      <c r="B9" s="10"/>
      <c r="C9" s="10"/>
      <c r="D9" s="17" t="s">
        <v>279</v>
      </c>
      <c r="E9" s="17"/>
      <c r="F9" s="36"/>
      <c r="G9" s="17"/>
      <c r="H9" s="17"/>
      <c r="I9" s="17"/>
      <c r="J9" s="43"/>
      <c r="K9" s="17"/>
      <c r="L9" s="17"/>
      <c r="M9" s="17"/>
      <c r="N9" s="36"/>
      <c r="P9" s="17" t="s">
        <v>280</v>
      </c>
      <c r="Q9" s="17"/>
      <c r="R9" s="36"/>
      <c r="S9" s="17"/>
      <c r="T9" s="17"/>
      <c r="U9" s="17"/>
      <c r="V9" s="43"/>
      <c r="W9" s="17"/>
      <c r="X9" s="17"/>
      <c r="Y9" s="17"/>
      <c r="Z9" s="36"/>
    </row>
    <row r="10" spans="1:26" ht="15" customHeight="1" x14ac:dyDescent="0.3">
      <c r="A10" s="11"/>
      <c r="B10" s="57"/>
      <c r="C10" s="11"/>
      <c r="D10" s="41" t="s">
        <v>281</v>
      </c>
      <c r="E10" s="33"/>
      <c r="F10" s="37" t="s">
        <v>282</v>
      </c>
      <c r="G10" s="33"/>
      <c r="H10" s="48" t="s">
        <v>283</v>
      </c>
      <c r="I10" s="33"/>
      <c r="J10" s="45" t="s">
        <v>284</v>
      </c>
      <c r="K10" s="11"/>
      <c r="L10" s="41" t="s">
        <v>285</v>
      </c>
      <c r="M10" s="11"/>
      <c r="N10" s="37" t="s">
        <v>286</v>
      </c>
      <c r="O10" s="11"/>
      <c r="P10" s="56" t="s">
        <v>281</v>
      </c>
      <c r="Q10" s="33"/>
      <c r="R10" s="37" t="s">
        <v>282</v>
      </c>
      <c r="S10" s="33"/>
      <c r="T10" s="48" t="s">
        <v>283</v>
      </c>
      <c r="U10" s="33"/>
      <c r="V10" s="45" t="s">
        <v>284</v>
      </c>
      <c r="W10" s="11"/>
      <c r="X10" s="41" t="s">
        <v>285</v>
      </c>
      <c r="Y10" s="11"/>
      <c r="Z10" s="37" t="s">
        <v>286</v>
      </c>
    </row>
    <row r="11" spans="1:26" ht="16.5" customHeight="1" x14ac:dyDescent="0.3">
      <c r="A11" s="10"/>
      <c r="B11" s="55"/>
      <c r="C11" s="10"/>
      <c r="D11" s="10"/>
      <c r="E11" s="10"/>
      <c r="F11" s="9"/>
      <c r="G11" s="10"/>
      <c r="H11" s="10"/>
      <c r="I11" s="10"/>
      <c r="J11" s="46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6"/>
      <c r="W11" s="10"/>
      <c r="X11" s="10"/>
      <c r="Y11" s="10"/>
      <c r="Z11" s="9"/>
    </row>
    <row r="12" spans="1:26" s="63" customFormat="1" ht="15" customHeight="1" collapsed="1" x14ac:dyDescent="0.3">
      <c r="A12" s="11"/>
      <c r="B12" s="28" t="s">
        <v>287</v>
      </c>
      <c r="C12" s="11"/>
      <c r="D12" s="5" t="e">
        <f ca="1">SUM(_xll.ONESTOP.REPORTPLAYER.OSRFUNCTIONS.OSRREF(D13))</f>
        <v>#NAME?</v>
      </c>
      <c r="E12" s="5"/>
      <c r="F12" s="13"/>
      <c r="G12" s="5"/>
      <c r="H12" s="5" t="e">
        <f ca="1">SUM(_xll.ONESTOP.REPORTPLAYER.OSRFUNCTIONS.OSRREF(H13))</f>
        <v>#NAME?</v>
      </c>
      <c r="I12" s="5"/>
      <c r="J12" s="13"/>
      <c r="K12" s="5"/>
      <c r="L12" s="5" t="e">
        <f ca="1">+D12-H12</f>
        <v>#NAME?</v>
      </c>
      <c r="M12" s="5"/>
      <c r="N12" s="13" t="e">
        <f ca="1">IF(H12=0,0,L12/H12)</f>
        <v>#NAME?</v>
      </c>
      <c r="O12" s="11"/>
      <c r="P12" s="5" t="e">
        <f ca="1">SUM(_xll.ONESTOP.REPORTPLAYER.OSRFUNCTIONS.OSRREF(P13))</f>
        <v>#NAME?</v>
      </c>
      <c r="Q12" s="5"/>
      <c r="R12" s="13"/>
      <c r="S12" s="5"/>
      <c r="T12" s="5" t="e">
        <f ca="1">SUM(_xll.ONESTOP.REPORTPLAYER.OSRFUNCTIONS.OSRREF(T13))</f>
        <v>#NAME?</v>
      </c>
      <c r="U12" s="5"/>
      <c r="V12" s="13"/>
      <c r="W12" s="5"/>
      <c r="X12" s="5" t="e">
        <f ca="1">+P12-T12</f>
        <v>#NAME?</v>
      </c>
      <c r="Y12" s="5"/>
      <c r="Z12" s="13" t="e">
        <f ca="1">IF(T12=0,0,X12/T12)</f>
        <v>#NAME?</v>
      </c>
    </row>
    <row r="13" spans="1:26" s="70" customFormat="1" ht="15" hidden="1" customHeight="1" outlineLevel="1" x14ac:dyDescent="0.3">
      <c r="A13" s="42"/>
      <c r="B13" s="12" t="e">
        <f ca="1">CONCATENATE("          ",_xll.ONESTOP.REPORTPLAYER.OSRFUNCTIONS.OSRGET("d_Account","Code")," - ",_xll.ONESTOP.REPORTPLAYER.OSRFUNCTIONS.OSRGET("d_Account","Description"))</f>
        <v>#NAME?</v>
      </c>
      <c r="C13" s="12"/>
      <c r="D13" s="3" t="e">
        <f ca="1">-_xll.ONESTOP.REPORTPLAYER.OSRFUNCTIONS.OSRGET("GL_F_Trans","Value1")</f>
        <v>#NAME?</v>
      </c>
      <c r="E13" s="3"/>
      <c r="F13" s="20"/>
      <c r="G13" s="3"/>
      <c r="H13" s="3" t="e">
        <f ca="1">_xll.ONESTOP.REPORTPLAYER.OSRFUNCTIONS.OSRGET("GL_F_Trans","Value1")</f>
        <v>#NAME?</v>
      </c>
      <c r="I13" s="3"/>
      <c r="J13" s="20"/>
      <c r="K13" s="3"/>
      <c r="L13" s="3" t="e">
        <f ca="1">+D13-H13</f>
        <v>#NAME?</v>
      </c>
      <c r="M13" s="3"/>
      <c r="N13" s="20" t="e">
        <f ca="1">IF(H13=0,0,L13/H13)</f>
        <v>#NAME?</v>
      </c>
      <c r="O13" s="12"/>
      <c r="P13" s="3" t="e">
        <f ca="1">-_xll.ONESTOP.REPORTPLAYER.OSRFUNCTIONS.OSRGET("GL_F_Trans","Value1")</f>
        <v>#NAME?</v>
      </c>
      <c r="Q13" s="3"/>
      <c r="R13" s="20"/>
      <c r="S13" s="3"/>
      <c r="T13" s="3" t="e">
        <f ca="1">_xll.ONESTOP.REPORTPLAYER.OSRFUNCTIONS.OSRGET("GL_F_Trans","Value1")</f>
        <v>#NAME?</v>
      </c>
      <c r="U13" s="3"/>
      <c r="V13" s="20"/>
      <c r="W13" s="3"/>
      <c r="X13" s="3" t="e">
        <f ca="1">+P13-T13</f>
        <v>#NAME?</v>
      </c>
      <c r="Y13" s="3"/>
      <c r="Z13" s="20" t="e">
        <f ca="1">IF(T13=0,0,X13/T13)</f>
        <v>#NAME?</v>
      </c>
    </row>
    <row r="14" spans="1:26" ht="15" customHeight="1" x14ac:dyDescent="0.3">
      <c r="A14" s="10"/>
      <c r="B14" s="11"/>
      <c r="C14" s="10"/>
      <c r="D14" s="4"/>
      <c r="E14" s="4"/>
      <c r="F14" s="9"/>
      <c r="G14" s="4"/>
      <c r="H14" s="4"/>
      <c r="I14" s="4"/>
      <c r="J14" s="9"/>
      <c r="K14" s="4"/>
      <c r="L14" s="4"/>
      <c r="M14" s="4"/>
      <c r="N14" s="9"/>
      <c r="P14" s="4"/>
      <c r="Q14" s="4"/>
      <c r="R14" s="9"/>
      <c r="S14" s="4"/>
      <c r="T14" s="4"/>
      <c r="U14" s="4"/>
      <c r="V14" s="9"/>
      <c r="W14" s="4"/>
      <c r="X14" s="4"/>
      <c r="Y14" s="4"/>
      <c r="Z14" s="9"/>
    </row>
    <row r="15" spans="1:26" s="63" customFormat="1" ht="15" customHeight="1" collapsed="1" x14ac:dyDescent="0.3">
      <c r="A15" s="11"/>
      <c r="B15" s="28" t="s">
        <v>288</v>
      </c>
      <c r="C15" s="11"/>
      <c r="D15" s="5" t="e">
        <f ca="1">SUM(_xll.ONESTOP.REPORTPLAYER.OSRFUNCTIONS.OSRREF(D16))</f>
        <v>#NAME?</v>
      </c>
      <c r="E15" s="5"/>
      <c r="F15" s="13" t="e">
        <f ca="1">IF(D$12=0,0,D15/D$12)</f>
        <v>#NAME?</v>
      </c>
      <c r="G15" s="5"/>
      <c r="H15" s="5" t="e">
        <f ca="1">SUM(_xll.ONESTOP.REPORTPLAYER.OSRFUNCTIONS.OSRREF(H16))</f>
        <v>#NAME?</v>
      </c>
      <c r="I15" s="5"/>
      <c r="J15" s="13" t="e">
        <f ca="1">IF(H$12=0,0,H15/H$12)</f>
        <v>#NAME?</v>
      </c>
      <c r="K15" s="5"/>
      <c r="L15" s="5" t="e">
        <f ca="1">+D15-H15</f>
        <v>#NAME?</v>
      </c>
      <c r="M15" s="5"/>
      <c r="N15" s="13" t="e">
        <f ca="1">IF(H15=0,0,L15/H15)</f>
        <v>#NAME?</v>
      </c>
      <c r="O15" s="11"/>
      <c r="P15" s="5" t="e">
        <f ca="1">SUM(_xll.ONESTOP.REPORTPLAYER.OSRFUNCTIONS.OSRREF(P16))</f>
        <v>#NAME?</v>
      </c>
      <c r="Q15" s="5"/>
      <c r="R15" s="13" t="e">
        <f ca="1">IF(P$12=0,0,P15/P$12)</f>
        <v>#NAME?</v>
      </c>
      <c r="S15" s="5"/>
      <c r="T15" s="5" t="e">
        <f ca="1">SUM(_xll.ONESTOP.REPORTPLAYER.OSRFUNCTIONS.OSRREF(T16))</f>
        <v>#NAME?</v>
      </c>
      <c r="U15" s="5"/>
      <c r="V15" s="13" t="e">
        <f ca="1">IF(T$12=0,0,T15/T$12)</f>
        <v>#NAME?</v>
      </c>
      <c r="W15" s="5"/>
      <c r="X15" s="5" t="e">
        <f ca="1">+P15-T15</f>
        <v>#NAME?</v>
      </c>
      <c r="Y15" s="5"/>
      <c r="Z15" s="13" t="e">
        <f ca="1">IF(T15=0,0,X15/T15)</f>
        <v>#NAME?</v>
      </c>
    </row>
    <row r="16" spans="1:26" s="70" customFormat="1" ht="15" hidden="1" customHeight="1" outlineLevel="1" x14ac:dyDescent="0.3">
      <c r="A16" s="42"/>
      <c r="B16" s="12" t="e">
        <f ca="1">CONCATENATE("          ",_xll.ONESTOP.REPORTPLAYER.OSRFUNCTIONS.OSRGET("d_Account","Code")," - ",_xll.ONESTOP.REPORTPLAYER.OSRFUNCTIONS.OSRGET("d_Account","Description"))</f>
        <v>#NAME?</v>
      </c>
      <c r="C16" s="12"/>
      <c r="D16" s="3" t="e">
        <f ca="1">_xll.ONESTOP.REPORTPLAYER.OSRFUNCTIONS.OSRGET("GL_F_Trans","Value1")</f>
        <v>#NAME?</v>
      </c>
      <c r="E16" s="3"/>
      <c r="F16" s="20" t="e">
        <f ca="1">IF(D$12=0,0,D16/D$12)</f>
        <v>#NAME?</v>
      </c>
      <c r="G16" s="3"/>
      <c r="H16" s="3" t="e">
        <f ca="1">_xll.ONESTOP.REPORTPLAYER.OSRFUNCTIONS.OSRGET("GL_F_Trans","Value1")</f>
        <v>#NAME?</v>
      </c>
      <c r="I16" s="3"/>
      <c r="J16" s="20" t="e">
        <f ca="1">IF(H$12=0,0,H16/H$12)</f>
        <v>#NAME?</v>
      </c>
      <c r="K16" s="3"/>
      <c r="L16" s="3" t="e">
        <f ca="1">+D16-H16</f>
        <v>#NAME?</v>
      </c>
      <c r="M16" s="3"/>
      <c r="N16" s="20" t="e">
        <f ca="1">IF(H16=0,0,L16/H16)</f>
        <v>#NAME?</v>
      </c>
      <c r="O16" s="12"/>
      <c r="P16" s="3" t="e">
        <f ca="1">_xll.ONESTOP.REPORTPLAYER.OSRFUNCTIONS.OSRGET("GL_F_Trans","Value1")</f>
        <v>#NAME?</v>
      </c>
      <c r="Q16" s="3"/>
      <c r="R16" s="20" t="e">
        <f ca="1">IF(P$12=0,0,P16/P$12)</f>
        <v>#NAME?</v>
      </c>
      <c r="S16" s="3"/>
      <c r="T16" s="3" t="e">
        <f ca="1">_xll.ONESTOP.REPORTPLAYER.OSRFUNCTIONS.OSRGET("GL_F_Trans","Value1")</f>
        <v>#NAME?</v>
      </c>
      <c r="U16" s="3"/>
      <c r="V16" s="20" t="e">
        <f ca="1">IF(T$12=0,0,T16/T$12)</f>
        <v>#NAME?</v>
      </c>
      <c r="W16" s="3"/>
      <c r="X16" s="3" t="e">
        <f ca="1">+P16-T16</f>
        <v>#NAME?</v>
      </c>
      <c r="Y16" s="3"/>
      <c r="Z16" s="20" t="e">
        <f ca="1">IF(T16=0,0,X16/T16)</f>
        <v>#NAME?</v>
      </c>
    </row>
    <row r="17" spans="1:26" ht="15" customHeight="1" x14ac:dyDescent="0.3">
      <c r="A17" s="10"/>
      <c r="B17" s="11"/>
      <c r="C17" s="11"/>
      <c r="D17" s="4"/>
      <c r="E17" s="4"/>
      <c r="F17" s="9"/>
      <c r="G17" s="4"/>
      <c r="H17" s="4"/>
      <c r="I17" s="4"/>
      <c r="J17" s="9"/>
      <c r="K17" s="4"/>
      <c r="L17" s="4"/>
      <c r="M17" s="4"/>
      <c r="N17" s="9"/>
      <c r="O17" s="11"/>
      <c r="P17" s="4"/>
      <c r="Q17" s="4"/>
      <c r="R17" s="9"/>
      <c r="S17" s="4"/>
      <c r="T17" s="4"/>
      <c r="U17" s="4"/>
      <c r="V17" s="9"/>
      <c r="W17" s="4"/>
      <c r="X17" s="4"/>
      <c r="Y17" s="4"/>
      <c r="Z17" s="9"/>
    </row>
    <row r="18" spans="1:26" s="63" customFormat="1" ht="15" customHeight="1" x14ac:dyDescent="0.3">
      <c r="A18" s="11"/>
      <c r="B18" s="27" t="s">
        <v>289</v>
      </c>
      <c r="C18" s="27"/>
      <c r="D18" s="21" t="e">
        <f ca="1">D12-D15</f>
        <v>#NAME?</v>
      </c>
      <c r="E18" s="15"/>
      <c r="F18" s="23" t="e">
        <f ca="1">IF(D$12=0,0,D18/D$12)</f>
        <v>#NAME?</v>
      </c>
      <c r="G18" s="15"/>
      <c r="H18" s="21" t="e">
        <f ca="1">H12-H15</f>
        <v>#NAME?</v>
      </c>
      <c r="I18" s="15"/>
      <c r="J18" s="23" t="e">
        <f ca="1">IF(H$12=0,0,H18/H$12)</f>
        <v>#NAME?</v>
      </c>
      <c r="K18" s="16"/>
      <c r="L18" s="21" t="e">
        <f ca="1">+D18-H18</f>
        <v>#NAME?</v>
      </c>
      <c r="M18" s="16"/>
      <c r="N18" s="23" t="e">
        <f ca="1">IF(H18=0,0,L18/H18)</f>
        <v>#NAME?</v>
      </c>
      <c r="O18" s="28"/>
      <c r="P18" s="21" t="e">
        <f ca="1">P12-P15</f>
        <v>#NAME?</v>
      </c>
      <c r="Q18" s="15"/>
      <c r="R18" s="23" t="e">
        <f ca="1">IF(P$12=0,0,P18/P$12)</f>
        <v>#NAME?</v>
      </c>
      <c r="S18" s="15"/>
      <c r="T18" s="21" t="e">
        <f ca="1">T12-T15</f>
        <v>#NAME?</v>
      </c>
      <c r="U18" s="15"/>
      <c r="V18" s="23" t="e">
        <f ca="1">IF(T$12=0,0,T18/T$12)</f>
        <v>#NAME?</v>
      </c>
      <c r="W18" s="16"/>
      <c r="X18" s="21" t="e">
        <f ca="1">+P18-T18</f>
        <v>#NAME?</v>
      </c>
      <c r="Y18" s="16"/>
      <c r="Z18" s="23" t="e">
        <f ca="1">IF(T18=0,0,X18/T18)</f>
        <v>#NAME?</v>
      </c>
    </row>
    <row r="19" spans="1:26" ht="15" customHeight="1" x14ac:dyDescent="0.3">
      <c r="A19" s="10"/>
      <c r="B19" s="11"/>
      <c r="C19" s="10"/>
      <c r="D19" s="2"/>
      <c r="E19" s="2"/>
      <c r="F19" s="6"/>
      <c r="G19" s="2"/>
      <c r="H19" s="2"/>
      <c r="I19" s="2"/>
      <c r="J19" s="6"/>
      <c r="K19" s="2"/>
      <c r="L19" s="2"/>
      <c r="M19" s="2"/>
      <c r="N19" s="6"/>
      <c r="O19" s="35"/>
      <c r="P19" s="2"/>
      <c r="Q19" s="2"/>
      <c r="R19" s="6"/>
      <c r="S19" s="2"/>
      <c r="T19" s="2"/>
      <c r="U19" s="2"/>
      <c r="V19" s="6"/>
      <c r="W19" s="2"/>
      <c r="X19" s="2"/>
      <c r="Y19" s="2"/>
      <c r="Z19" s="6"/>
    </row>
    <row r="20" spans="1:26" s="63" customFormat="1" ht="15" customHeight="1" x14ac:dyDescent="0.3">
      <c r="A20" s="11"/>
      <c r="B20" s="28" t="s">
        <v>290</v>
      </c>
      <c r="C20" s="11"/>
      <c r="D20" s="22" t="e">
        <f ca="1">SUM(_xll.ONESTOP.REPORTPLAYER.OSRFUNCTIONS.OSRREF(D22))</f>
        <v>#NAME?</v>
      </c>
      <c r="E20" s="22"/>
      <c r="F20" s="30" t="e">
        <f ca="1">IF(D$12=0,0,D20/D$12)</f>
        <v>#NAME?</v>
      </c>
      <c r="G20" s="22"/>
      <c r="H20" s="22" t="e">
        <f ca="1">SUM(_xll.ONESTOP.REPORTPLAYER.OSRFUNCTIONS.OSRREF(H22))</f>
        <v>#NAME?</v>
      </c>
      <c r="I20" s="22"/>
      <c r="J20" s="30" t="e">
        <f ca="1">IF(H$12=0,0,H20/H$12)</f>
        <v>#NAME?</v>
      </c>
      <c r="K20" s="5"/>
      <c r="L20" s="22" t="e">
        <f ca="1">+D20-H20</f>
        <v>#NAME?</v>
      </c>
      <c r="M20" s="5"/>
      <c r="N20" s="30" t="e">
        <f ca="1">IF(H20=0,0,L20/H20)</f>
        <v>#NAME?</v>
      </c>
      <c r="O20" s="11"/>
      <c r="P20" s="22" t="e">
        <f ca="1">SUM(_xll.ONESTOP.REPORTPLAYER.OSRFUNCTIONS.OSRREF(P22))</f>
        <v>#NAME?</v>
      </c>
      <c r="Q20" s="22"/>
      <c r="R20" s="30" t="e">
        <f ca="1">IF(P$12=0,0,P20/P$12)</f>
        <v>#NAME?</v>
      </c>
      <c r="S20" s="22"/>
      <c r="T20" s="22" t="e">
        <f ca="1">SUM(_xll.ONESTOP.REPORTPLAYER.OSRFUNCTIONS.OSRREF(T22))</f>
        <v>#NAME?</v>
      </c>
      <c r="U20" s="22"/>
      <c r="V20" s="30" t="e">
        <f ca="1">IF(T$12=0,0,T20/T$12)</f>
        <v>#NAME?</v>
      </c>
      <c r="W20" s="5"/>
      <c r="X20" s="22" t="e">
        <f ca="1">+P20-T20</f>
        <v>#NAME?</v>
      </c>
      <c r="Y20" s="5"/>
      <c r="Z20" s="30" t="e">
        <f ca="1">IF(T20=0,0,X20/T20)</f>
        <v>#NAME?</v>
      </c>
    </row>
    <row r="21" spans="1:26" s="69" customFormat="1" ht="15" customHeight="1" outlineLevel="1" collapsed="1" x14ac:dyDescent="0.3">
      <c r="A21" s="25"/>
      <c r="B21" s="14" t="e">
        <f ca="1">CONCATENATE("     ",_xll.ONESTOP.REPORTPLAYER.OSRFUNCTIONS.OSRGET("d_Account","AccountCategory"))</f>
        <v>#NAME?</v>
      </c>
      <c r="C21" s="14"/>
      <c r="D21" s="2" t="e">
        <f ca="1">SUM(_xll.ONESTOP.REPORTPLAYER.OSRFUNCTIONS.OSRREF(D22))</f>
        <v>#NAME?</v>
      </c>
      <c r="E21" s="2"/>
      <c r="F21" s="6" t="e">
        <f ca="1">IF(D$12=0,0,D21/D$12)</f>
        <v>#NAME?</v>
      </c>
      <c r="G21" s="2"/>
      <c r="H21" s="2" t="e">
        <f ca="1">SUM(_xll.ONESTOP.REPORTPLAYER.OSRFUNCTIONS.OSRREF(H22))</f>
        <v>#NAME?</v>
      </c>
      <c r="I21" s="2"/>
      <c r="J21" s="6" t="e">
        <f ca="1">IF(H$12=0,0,H21/H$12)</f>
        <v>#NAME?</v>
      </c>
      <c r="K21" s="2"/>
      <c r="L21" s="2" t="e">
        <f ca="1">+D21-H21</f>
        <v>#NAME?</v>
      </c>
      <c r="M21" s="2"/>
      <c r="N21" s="6" t="e">
        <f ca="1">IF(H21=0,0,L21/H21)</f>
        <v>#NAME?</v>
      </c>
      <c r="O21" s="14"/>
      <c r="P21" s="2" t="e">
        <f ca="1">SUM(_xll.ONESTOP.REPORTPLAYER.OSRFUNCTIONS.OSRREF(P22))</f>
        <v>#NAME?</v>
      </c>
      <c r="Q21" s="2"/>
      <c r="R21" s="6" t="e">
        <f ca="1">IF(P$12=0,0,P21/P$12)</f>
        <v>#NAME?</v>
      </c>
      <c r="S21" s="2"/>
      <c r="T21" s="2" t="e">
        <f ca="1">SUM(_xll.ONESTOP.REPORTPLAYER.OSRFUNCTIONS.OSRREF(T22))</f>
        <v>#NAME?</v>
      </c>
      <c r="U21" s="2"/>
      <c r="V21" s="6" t="e">
        <f ca="1">IF(T$12=0,0,T21/T$12)</f>
        <v>#NAME?</v>
      </c>
      <c r="W21" s="2"/>
      <c r="X21" s="2" t="e">
        <f ca="1">+P21-T21</f>
        <v>#NAME?</v>
      </c>
      <c r="Y21" s="2"/>
      <c r="Z21" s="6" t="e">
        <f ca="1">IF(T21=0,0,X21/T21)</f>
        <v>#NAME?</v>
      </c>
    </row>
    <row r="22" spans="1:26" s="70" customFormat="1" ht="15" hidden="1" customHeight="1" outlineLevel="2" x14ac:dyDescent="0.3">
      <c r="A22" s="26"/>
      <c r="B22" s="12" t="e">
        <f ca="1">CONCATENATE("          ",_xll.ONESTOP.REPORTPLAYER.OSRFUNCTIONS.OSRGET("d_Account","Code")," - ",_xll.ONESTOP.REPORTPLAYER.OSRFUNCTIONS.OSRGET("d_Account","Description"))</f>
        <v>#NAME?</v>
      </c>
      <c r="C22" s="12"/>
      <c r="D22" s="7" t="e">
        <f ca="1">_xll.ONESTOP.REPORTPLAYER.OSRFUNCTIONS.OSRGET("GL_F_Trans","Value1")</f>
        <v>#NAME?</v>
      </c>
      <c r="E22" s="3"/>
      <c r="F22" s="8" t="e">
        <f ca="1">IF(D$12=0,0,D22/D$12)</f>
        <v>#NAME?</v>
      </c>
      <c r="G22" s="3"/>
      <c r="H22" s="7" t="e">
        <f ca="1">_xll.ONESTOP.REPORTPLAYER.OSRFUNCTIONS.OSRGET("GL_F_Trans","Value1")</f>
        <v>#NAME?</v>
      </c>
      <c r="I22" s="3"/>
      <c r="J22" s="8" t="e">
        <f ca="1">IF(H$12=0,0,H22/H$12)</f>
        <v>#NAME?</v>
      </c>
      <c r="K22" s="3"/>
      <c r="L22" s="7" t="e">
        <f ca="1">+D22-H22</f>
        <v>#NAME?</v>
      </c>
      <c r="M22" s="3"/>
      <c r="N22" s="8" t="e">
        <f ca="1">IF(H22=0,0,L22/H22)</f>
        <v>#NAME?</v>
      </c>
      <c r="O22" s="12"/>
      <c r="P22" s="7" t="e">
        <f ca="1">_xll.ONESTOP.REPORTPLAYER.OSRFUNCTIONS.OSRGET("GL_F_Trans","Value1")</f>
        <v>#NAME?</v>
      </c>
      <c r="Q22" s="3"/>
      <c r="R22" s="8" t="e">
        <f ca="1">IF(P$12=0,0,P22/P$12)</f>
        <v>#NAME?</v>
      </c>
      <c r="S22" s="3"/>
      <c r="T22" s="7" t="e">
        <f ca="1">_xll.ONESTOP.REPORTPLAYER.OSRFUNCTIONS.OSRGET("GL_F_Trans","Value1")</f>
        <v>#NAME?</v>
      </c>
      <c r="U22" s="3"/>
      <c r="V22" s="8" t="e">
        <f ca="1">IF(T$12=0,0,T22/T$12)</f>
        <v>#NAME?</v>
      </c>
      <c r="W22" s="3"/>
      <c r="X22" s="7" t="e">
        <f ca="1">+P22-T22</f>
        <v>#NAME?</v>
      </c>
      <c r="Y22" s="3"/>
      <c r="Z22" s="8" t="e">
        <f ca="1">IF(T22=0,0,X22/T22)</f>
        <v>#NAME?</v>
      </c>
    </row>
    <row r="23" spans="1:26" s="65" customFormat="1" ht="15" customHeight="1" x14ac:dyDescent="0.3">
      <c r="A23" s="35"/>
      <c r="B23" s="35"/>
      <c r="C23" s="35"/>
      <c r="D23" s="2"/>
      <c r="E23" s="2"/>
      <c r="F23" s="6"/>
      <c r="G23" s="2"/>
      <c r="H23" s="2"/>
      <c r="I23" s="2"/>
      <c r="J23" s="6"/>
      <c r="K23" s="2"/>
      <c r="L23" s="2"/>
      <c r="M23" s="2"/>
      <c r="N23" s="6"/>
      <c r="O23" s="35"/>
      <c r="P23" s="2"/>
      <c r="Q23" s="2"/>
      <c r="R23" s="6"/>
      <c r="S23" s="2"/>
      <c r="T23" s="2"/>
      <c r="U23" s="2"/>
      <c r="V23" s="6"/>
      <c r="W23" s="2"/>
      <c r="X23" s="2"/>
      <c r="Y23" s="2"/>
      <c r="Z23" s="6"/>
    </row>
    <row r="24" spans="1:26" s="63" customFormat="1" ht="15" customHeight="1" collapsed="1" x14ac:dyDescent="0.3">
      <c r="A24" s="11"/>
      <c r="B24" s="28" t="s">
        <v>291</v>
      </c>
      <c r="C24" s="11"/>
      <c r="D24" s="5" t="e">
        <f ca="1">SUM(_xll.ONESTOP.REPORTPLAYER.OSRFUNCTIONS.OSRREF(D25))</f>
        <v>#NAME?</v>
      </c>
      <c r="E24" s="5"/>
      <c r="F24" s="13" t="e">
        <f ca="1">IF(D$12=0,0,D24/D$12)</f>
        <v>#NAME?</v>
      </c>
      <c r="G24" s="5"/>
      <c r="H24" s="5" t="e">
        <f ca="1">SUM(_xll.ONESTOP.REPORTPLAYER.OSRFUNCTIONS.OSRREF(H25))</f>
        <v>#NAME?</v>
      </c>
      <c r="I24" s="5"/>
      <c r="J24" s="13" t="e">
        <f ca="1">IF(H$12=0,0,H24/H$12)</f>
        <v>#NAME?</v>
      </c>
      <c r="K24" s="5"/>
      <c r="L24" s="5" t="e">
        <f ca="1">+D24-H24</f>
        <v>#NAME?</v>
      </c>
      <c r="M24" s="5"/>
      <c r="N24" s="13" t="e">
        <f ca="1">IF(H24=0,0,L24/H24)</f>
        <v>#NAME?</v>
      </c>
      <c r="O24" s="11"/>
      <c r="P24" s="5" t="e">
        <f ca="1">SUM(_xll.ONESTOP.REPORTPLAYER.OSRFUNCTIONS.OSRREF(P25))</f>
        <v>#NAME?</v>
      </c>
      <c r="Q24" s="5"/>
      <c r="R24" s="13" t="e">
        <f ca="1">IF(P$12=0,0,P24/P$12)</f>
        <v>#NAME?</v>
      </c>
      <c r="S24" s="5"/>
      <c r="T24" s="5" t="e">
        <f ca="1">SUM(_xll.ONESTOP.REPORTPLAYER.OSRFUNCTIONS.OSRREF(T25))</f>
        <v>#NAME?</v>
      </c>
      <c r="U24" s="5"/>
      <c r="V24" s="13" t="e">
        <f ca="1">IF(T$12=0,0,T24/T$12)</f>
        <v>#NAME?</v>
      </c>
      <c r="W24" s="5"/>
      <c r="X24" s="5" t="e">
        <f ca="1">+P24-T24</f>
        <v>#NAME?</v>
      </c>
      <c r="Y24" s="5"/>
      <c r="Z24" s="13" t="e">
        <f ca="1">IF(T24=0,0,X24/T24)</f>
        <v>#NAME?</v>
      </c>
    </row>
    <row r="25" spans="1:26" s="70" customFormat="1" ht="15" hidden="1" customHeight="1" outlineLevel="1" x14ac:dyDescent="0.3">
      <c r="A25" s="42"/>
      <c r="B25" s="12" t="e">
        <f ca="1">CONCATENATE("          ",_xll.ONESTOP.REPORTPLAYER.OSRFUNCTIONS.OSRGET("d_Account","Code")," - ",_xll.ONESTOP.REPORTPLAYER.OSRFUNCTIONS.OSRGET("d_Account","Description"))</f>
        <v>#NAME?</v>
      </c>
      <c r="C25" s="12"/>
      <c r="D25" s="3" t="e">
        <f ca="1">-_xll.ONESTOP.REPORTPLAYER.OSRFUNCTIONS.OSRGET("GL_F_Trans","Value1")</f>
        <v>#NAME?</v>
      </c>
      <c r="E25" s="3"/>
      <c r="F25" s="20" t="e">
        <f ca="1">IF(D$12=0,0,D25/D$12)</f>
        <v>#NAME?</v>
      </c>
      <c r="G25" s="3"/>
      <c r="H25" s="3" t="e">
        <f ca="1">_xll.ONESTOP.REPORTPLAYER.OSRFUNCTIONS.OSRGET("GL_F_Trans","Value1")</f>
        <v>#NAME?</v>
      </c>
      <c r="I25" s="3"/>
      <c r="J25" s="20" t="e">
        <f ca="1">IF(H$12=0,0,H25/H$12)</f>
        <v>#NAME?</v>
      </c>
      <c r="K25" s="3"/>
      <c r="L25" s="3" t="e">
        <f ca="1">+D25-H25</f>
        <v>#NAME?</v>
      </c>
      <c r="M25" s="3"/>
      <c r="N25" s="20" t="e">
        <f ca="1">IF(H25=0,0,L25/H25)</f>
        <v>#NAME?</v>
      </c>
      <c r="O25" s="12"/>
      <c r="P25" s="3" t="e">
        <f ca="1">-_xll.ONESTOP.REPORTPLAYER.OSRFUNCTIONS.OSRGET("GL_F_Trans","Value1")</f>
        <v>#NAME?</v>
      </c>
      <c r="Q25" s="3"/>
      <c r="R25" s="20" t="e">
        <f ca="1">IF(P$12=0,0,P25/P$12)</f>
        <v>#NAME?</v>
      </c>
      <c r="S25" s="3"/>
      <c r="T25" s="3" t="e">
        <f ca="1">_xll.ONESTOP.REPORTPLAYER.OSRFUNCTIONS.OSRGET("GL_F_Trans","Value1")</f>
        <v>#NAME?</v>
      </c>
      <c r="U25" s="3"/>
      <c r="V25" s="20" t="e">
        <f ca="1">IF(T$12=0,0,T25/T$12)</f>
        <v>#NAME?</v>
      </c>
      <c r="W25" s="3"/>
      <c r="X25" s="3" t="e">
        <f ca="1">+P25-T25</f>
        <v>#NAME?</v>
      </c>
      <c r="Y25" s="3"/>
      <c r="Z25" s="20" t="e">
        <f ca="1">IF(T25=0,0,X25/T25)</f>
        <v>#NAME?</v>
      </c>
    </row>
    <row r="26" spans="1:26" ht="15" customHeight="1" x14ac:dyDescent="0.3">
      <c r="A26" s="10"/>
      <c r="B26" s="11"/>
      <c r="C26" s="11"/>
      <c r="D26" s="4"/>
      <c r="E26" s="4"/>
      <c r="F26" s="9"/>
      <c r="G26" s="4"/>
      <c r="H26" s="4"/>
      <c r="I26" s="4"/>
      <c r="J26" s="9"/>
      <c r="K26" s="4"/>
      <c r="L26" s="4"/>
      <c r="M26" s="4"/>
      <c r="N26" s="9"/>
      <c r="O26" s="11"/>
      <c r="P26" s="4"/>
      <c r="Q26" s="4"/>
      <c r="R26" s="9"/>
      <c r="S26" s="4"/>
      <c r="T26" s="4"/>
      <c r="U26" s="4"/>
      <c r="V26" s="9"/>
      <c r="W26" s="4"/>
      <c r="X26" s="4"/>
      <c r="Y26" s="4"/>
      <c r="Z26" s="9"/>
    </row>
    <row r="27" spans="1:26" s="63" customFormat="1" ht="15" customHeight="1" x14ac:dyDescent="0.3">
      <c r="A27" s="11"/>
      <c r="B27" s="27" t="s">
        <v>292</v>
      </c>
      <c r="C27" s="27"/>
      <c r="D27" s="21" t="e">
        <f ca="1">+D18-D20+D24</f>
        <v>#NAME?</v>
      </c>
      <c r="E27" s="15"/>
      <c r="F27" s="23" t="e">
        <f ca="1">IF(D$12=0,0,D27/D$12)</f>
        <v>#NAME?</v>
      </c>
      <c r="G27" s="15"/>
      <c r="H27" s="21" t="e">
        <f ca="1">+H18-H20+H24</f>
        <v>#NAME?</v>
      </c>
      <c r="I27" s="15"/>
      <c r="J27" s="23" t="e">
        <f ca="1">IF(H$12=0,0,H27/H$12)</f>
        <v>#NAME?</v>
      </c>
      <c r="K27" s="16"/>
      <c r="L27" s="21" t="e">
        <f ca="1">+D27-H27</f>
        <v>#NAME?</v>
      </c>
      <c r="M27" s="16"/>
      <c r="N27" s="23" t="e">
        <f ca="1">IF(H27=0,0,L27/H27)</f>
        <v>#NAME?</v>
      </c>
      <c r="O27" s="28"/>
      <c r="P27" s="21" t="e">
        <f ca="1">+P18-P20+P24</f>
        <v>#NAME?</v>
      </c>
      <c r="Q27" s="15"/>
      <c r="R27" s="23" t="e">
        <f ca="1">IF(P$12=0,0,P27/P$12)</f>
        <v>#NAME?</v>
      </c>
      <c r="S27" s="15"/>
      <c r="T27" s="21" t="e">
        <f ca="1">+T18-T20+T24</f>
        <v>#NAME?</v>
      </c>
      <c r="U27" s="15"/>
      <c r="V27" s="23" t="e">
        <f ca="1">IF(T$12=0,0,T27/T$12)</f>
        <v>#NAME?</v>
      </c>
      <c r="W27" s="16"/>
      <c r="X27" s="21" t="e">
        <f ca="1">+P27-T27</f>
        <v>#NAME?</v>
      </c>
      <c r="Y27" s="16"/>
      <c r="Z27" s="23" t="e">
        <f ca="1">IF(T27=0,0,X27/T27)</f>
        <v>#NAME?</v>
      </c>
    </row>
    <row r="28" spans="1:26" ht="15" customHeight="1" x14ac:dyDescent="0.3">
      <c r="A28" s="10"/>
      <c r="B28" s="11"/>
      <c r="C28" s="10"/>
      <c r="D28" s="4"/>
      <c r="E28" s="4"/>
      <c r="F28" s="9"/>
      <c r="G28" s="4"/>
      <c r="H28" s="4"/>
      <c r="I28" s="4"/>
      <c r="J28" s="9"/>
      <c r="K28" s="4"/>
      <c r="L28" s="4"/>
      <c r="M28" s="4"/>
      <c r="N28" s="9"/>
      <c r="P28" s="4"/>
      <c r="Q28" s="4"/>
      <c r="R28" s="9"/>
      <c r="S28" s="4"/>
      <c r="T28" s="4"/>
      <c r="U28" s="4"/>
      <c r="V28" s="9"/>
      <c r="W28" s="4"/>
      <c r="X28" s="4"/>
      <c r="Y28" s="4"/>
      <c r="Z28" s="9"/>
    </row>
    <row r="29" spans="1:26" s="63" customFormat="1" ht="15" customHeight="1" x14ac:dyDescent="0.3">
      <c r="A29" s="49"/>
      <c r="B29" s="11" t="s">
        <v>293</v>
      </c>
      <c r="C29" s="11"/>
      <c r="D29" s="5" t="e">
        <f ca="1">_xll.ONESTOP.REPORTPLAYER.OSRFUNCTIONS.OSRGET("GL_F_Trans","Value1")</f>
        <v>#NAME?</v>
      </c>
      <c r="E29" s="5"/>
      <c r="F29" s="13" t="e">
        <f ca="1">IF(D$12=0,0,D29/D$12)</f>
        <v>#NAME?</v>
      </c>
      <c r="G29" s="5"/>
      <c r="H29" s="5" t="e">
        <f ca="1">_xll.ONESTOP.REPORTPLAYER.OSRFUNCTIONS.OSRGET("GL_F_Trans","Value1")</f>
        <v>#NAME?</v>
      </c>
      <c r="I29" s="5"/>
      <c r="J29" s="13" t="e">
        <f ca="1">IF(H$12=0,0,H29/H$12)</f>
        <v>#NAME?</v>
      </c>
      <c r="K29" s="5"/>
      <c r="L29" s="5" t="e">
        <f ca="1">+D29-H29</f>
        <v>#NAME?</v>
      </c>
      <c r="M29" s="5"/>
      <c r="N29" s="13" t="e">
        <f ca="1">IF(H29=0,0,L29/H29)</f>
        <v>#NAME?</v>
      </c>
      <c r="O29" s="11"/>
      <c r="P29" s="5" t="e">
        <f ca="1">_xll.ONESTOP.REPORTPLAYER.OSRFUNCTIONS.OSRGET("GL_F_Trans","Value1")</f>
        <v>#NAME?</v>
      </c>
      <c r="Q29" s="5"/>
      <c r="R29" s="13" t="e">
        <f ca="1">IF(P$12=0,0,P29/P$12)</f>
        <v>#NAME?</v>
      </c>
      <c r="S29" s="5"/>
      <c r="T29" s="5" t="e">
        <f ca="1">_xll.ONESTOP.REPORTPLAYER.OSRFUNCTIONS.OSRGET("GL_F_Trans","Value1")</f>
        <v>#NAME?</v>
      </c>
      <c r="U29" s="5"/>
      <c r="V29" s="13" t="e">
        <f ca="1">IF(T$12=0,0,T29/T$12)</f>
        <v>#NAME?</v>
      </c>
      <c r="W29" s="5"/>
      <c r="X29" s="5" t="e">
        <f ca="1">+P29-T29</f>
        <v>#NAME?</v>
      </c>
      <c r="Y29" s="5"/>
      <c r="Z29" s="13" t="e">
        <f ca="1">IF(T29=0,0,X29/T29)</f>
        <v>#NAME?</v>
      </c>
    </row>
    <row r="30" spans="1:26" ht="15" customHeight="1" x14ac:dyDescent="0.3">
      <c r="A30" s="10"/>
      <c r="B30" s="11"/>
      <c r="C30" s="11"/>
      <c r="D30" s="4"/>
      <c r="E30" s="4"/>
      <c r="F30" s="9"/>
      <c r="G30" s="4"/>
      <c r="H30" s="4"/>
      <c r="I30" s="4"/>
      <c r="J30" s="9"/>
      <c r="K30" s="4"/>
      <c r="L30" s="4"/>
      <c r="M30" s="4"/>
      <c r="N30" s="9"/>
      <c r="O30" s="11"/>
      <c r="P30" s="4"/>
      <c r="Q30" s="4"/>
      <c r="R30" s="9"/>
      <c r="S30" s="4"/>
      <c r="T30" s="4"/>
      <c r="U30" s="4"/>
      <c r="V30" s="9"/>
      <c r="W30" s="4"/>
      <c r="X30" s="4"/>
      <c r="Y30" s="4"/>
      <c r="Z30" s="9"/>
    </row>
    <row r="31" spans="1:26" s="63" customFormat="1" ht="15" customHeight="1" x14ac:dyDescent="0.3">
      <c r="A31" s="11"/>
      <c r="B31" s="27" t="s">
        <v>294</v>
      </c>
      <c r="C31" s="27"/>
      <c r="D31" s="34" t="e">
        <f ca="1">+D27-D29</f>
        <v>#NAME?</v>
      </c>
      <c r="E31" s="15"/>
      <c r="F31" s="29" t="e">
        <f ca="1">IF(D$12=0,0,D31/D$12)</f>
        <v>#NAME?</v>
      </c>
      <c r="G31" s="15"/>
      <c r="H31" s="34" t="e">
        <f ca="1">+H27-H29</f>
        <v>#NAME?</v>
      </c>
      <c r="I31" s="15"/>
      <c r="J31" s="29" t="e">
        <f ca="1">IF(H$12=0,0,H31/H$12)</f>
        <v>#NAME?</v>
      </c>
      <c r="K31" s="16"/>
      <c r="L31" s="34" t="e">
        <f ca="1">D31-H31</f>
        <v>#NAME?</v>
      </c>
      <c r="M31" s="16"/>
      <c r="N31" s="29" t="e">
        <f ca="1">IF(H31=0,0,L31/H31)</f>
        <v>#NAME?</v>
      </c>
      <c r="O31" s="28"/>
      <c r="P31" s="34" t="e">
        <f ca="1">+P27-P29</f>
        <v>#NAME?</v>
      </c>
      <c r="Q31" s="15"/>
      <c r="R31" s="29" t="e">
        <f ca="1">IF(P$12=0,0,P31/P$12)</f>
        <v>#NAME?</v>
      </c>
      <c r="S31" s="15"/>
      <c r="T31" s="34" t="e">
        <f ca="1">+T27-T29</f>
        <v>#NAME?</v>
      </c>
      <c r="U31" s="15"/>
      <c r="V31" s="29" t="e">
        <f ca="1">IF(T$12=0,0,T31/T$12)</f>
        <v>#NAME?</v>
      </c>
      <c r="W31" s="16"/>
      <c r="X31" s="34" t="e">
        <f ca="1">P31-T31</f>
        <v>#NAME?</v>
      </c>
      <c r="Y31" s="16"/>
      <c r="Z31" s="29" t="e">
        <f ca="1">IF(T31=0,0,X31/T31)</f>
        <v>#NAME?</v>
      </c>
    </row>
    <row r="32" spans="1:26" ht="15" customHeight="1" x14ac:dyDescent="0.3">
      <c r="A32" s="10"/>
      <c r="B32" s="10"/>
      <c r="C32" s="10"/>
      <c r="D32" s="4"/>
      <c r="E32" s="4"/>
      <c r="F32" s="9"/>
      <c r="G32" s="4"/>
      <c r="H32" s="4"/>
      <c r="I32" s="4"/>
      <c r="J32" s="9"/>
      <c r="K32" s="4"/>
      <c r="L32" s="4"/>
      <c r="M32" s="4"/>
      <c r="N32" s="9"/>
      <c r="P32" s="4"/>
      <c r="Q32" s="4"/>
      <c r="R32" s="9"/>
      <c r="S32" s="4"/>
      <c r="T32" s="4"/>
      <c r="U32" s="4"/>
      <c r="V32" s="9"/>
      <c r="W32" s="4"/>
      <c r="X32" s="4"/>
      <c r="Y32" s="4"/>
      <c r="Z32" s="9"/>
    </row>
    <row r="33" spans="1:26" s="63" customFormat="1" ht="15" customHeight="1" x14ac:dyDescent="0.3">
      <c r="A33" s="49"/>
      <c r="B33" s="11" t="s">
        <v>295</v>
      </c>
      <c r="C33" s="11"/>
      <c r="D33" s="5" t="e">
        <f ca="1">-_xll.ONESTOP.REPORTPLAYER.OSRFUNCTIONS.OSRGET("GL_F_Trans","Value1")</f>
        <v>#NAME?</v>
      </c>
      <c r="E33" s="5"/>
      <c r="F33" s="13" t="e">
        <f ca="1">IF(D$12=0,0,D33/D$12)</f>
        <v>#NAME?</v>
      </c>
      <c r="G33" s="5"/>
      <c r="H33" s="5" t="e">
        <f ca="1">-_xll.ONESTOP.REPORTPLAYER.OSRFUNCTIONS.OSRGET("GL_F_Trans","Value1")</f>
        <v>#NAME?</v>
      </c>
      <c r="I33" s="5"/>
      <c r="J33" s="13" t="e">
        <f ca="1">IF(H$12=0,0,H33/H$12)</f>
        <v>#NAME?</v>
      </c>
      <c r="K33" s="5"/>
      <c r="L33" s="5" t="e">
        <f ca="1">+D33-H33</f>
        <v>#NAME?</v>
      </c>
      <c r="M33" s="5"/>
      <c r="N33" s="13" t="e">
        <f ca="1">IF(H33=0,0,L33/H33)</f>
        <v>#NAME?</v>
      </c>
      <c r="O33" s="11"/>
      <c r="P33" s="5" t="e">
        <f ca="1">-_xll.ONESTOP.REPORTPLAYER.OSRFUNCTIONS.OSRGET("GL_F_Trans","Value1")</f>
        <v>#NAME?</v>
      </c>
      <c r="Q33" s="5"/>
      <c r="R33" s="13" t="e">
        <f ca="1">IF(P$12=0,0,P33/P$12)</f>
        <v>#NAME?</v>
      </c>
      <c r="S33" s="5"/>
      <c r="T33" s="5" t="e">
        <f ca="1">-_xll.ONESTOP.REPORTPLAYER.OSRFUNCTIONS.OSRGET("GL_F_Trans","Value1")</f>
        <v>#NAME?</v>
      </c>
      <c r="U33" s="5"/>
      <c r="V33" s="13" t="e">
        <f ca="1">IF(T$12=0,0,T33/T$12)</f>
        <v>#NAME?</v>
      </c>
      <c r="W33" s="5"/>
      <c r="X33" s="5" t="e">
        <f ca="1">+P33-T33</f>
        <v>#NAME?</v>
      </c>
      <c r="Y33" s="5"/>
      <c r="Z33" s="13" t="e">
        <f ca="1">IF(T33=0,0,X33/T33)</f>
        <v>#NAME?</v>
      </c>
    </row>
    <row r="34" spans="1:26" s="63" customFormat="1" ht="15" customHeight="1" x14ac:dyDescent="0.3">
      <c r="A34" s="49"/>
      <c r="B34" s="11" t="s">
        <v>296</v>
      </c>
      <c r="C34" s="11"/>
      <c r="D34" s="5" t="e">
        <f ca="1">-_xll.ONESTOP.REPORTPLAYER.OSRFUNCTIONS.OSRGET("GL_F_Trans","Value1")</f>
        <v>#NAME?</v>
      </c>
      <c r="E34" s="5"/>
      <c r="F34" s="13" t="e">
        <f ca="1">IF(D$12=0,0,D34/D$12)</f>
        <v>#NAME?</v>
      </c>
      <c r="G34" s="5"/>
      <c r="H34" s="5" t="e">
        <f ca="1">-_xll.ONESTOP.REPORTPLAYER.OSRFUNCTIONS.OSRGET("GL_F_Trans","Value1")</f>
        <v>#NAME?</v>
      </c>
      <c r="I34" s="5"/>
      <c r="J34" s="13" t="e">
        <f ca="1">IF(H$12=0,0,H34/H$12)</f>
        <v>#NAME?</v>
      </c>
      <c r="K34" s="5"/>
      <c r="L34" s="5" t="e">
        <f ca="1">+D34-H34</f>
        <v>#NAME?</v>
      </c>
      <c r="M34" s="5"/>
      <c r="N34" s="13" t="e">
        <f ca="1">IF(H34=0,0,L34/H34)</f>
        <v>#NAME?</v>
      </c>
      <c r="O34" s="11"/>
      <c r="P34" s="5" t="e">
        <f ca="1">-_xll.ONESTOP.REPORTPLAYER.OSRFUNCTIONS.OSRGET("GL_F_Trans","Value1")</f>
        <v>#NAME?</v>
      </c>
      <c r="Q34" s="5"/>
      <c r="R34" s="13" t="e">
        <f ca="1">IF(P$12=0,0,P34/P$12)</f>
        <v>#NAME?</v>
      </c>
      <c r="S34" s="5"/>
      <c r="T34" s="5" t="e">
        <f ca="1">-_xll.ONESTOP.REPORTPLAYER.OSRFUNCTIONS.OSRGET("GL_F_Trans","Value1")</f>
        <v>#NAME?</v>
      </c>
      <c r="U34" s="5"/>
      <c r="V34" s="13" t="e">
        <f ca="1">IF(T$12=0,0,T34/T$12)</f>
        <v>#NAME?</v>
      </c>
      <c r="W34" s="5"/>
      <c r="X34" s="5" t="e">
        <f ca="1">+P34-T34</f>
        <v>#NAME?</v>
      </c>
      <c r="Y34" s="5"/>
      <c r="Z34" s="13" t="e">
        <f ca="1">IF(T34=0,0,X34/T34)</f>
        <v>#NAME?</v>
      </c>
    </row>
    <row r="35" spans="1:26" ht="15" customHeight="1" x14ac:dyDescent="0.3">
      <c r="A35" s="10"/>
      <c r="B35" s="10"/>
      <c r="C35" s="10"/>
      <c r="D35" s="4"/>
      <c r="E35" s="4"/>
      <c r="F35" s="9"/>
      <c r="G35" s="4"/>
      <c r="H35" s="4"/>
      <c r="I35" s="4"/>
      <c r="J35" s="9"/>
      <c r="K35" s="4"/>
      <c r="L35" s="4"/>
      <c r="M35" s="4"/>
      <c r="N35" s="9"/>
      <c r="P35" s="4"/>
      <c r="Q35" s="4"/>
      <c r="R35" s="9"/>
      <c r="S35" s="4"/>
      <c r="T35" s="4"/>
      <c r="U35" s="4"/>
      <c r="V35" s="9"/>
      <c r="W35" s="4"/>
      <c r="X35" s="4"/>
      <c r="Y35" s="4"/>
      <c r="Z35" s="9"/>
    </row>
    <row r="36" spans="1:26" s="63" customFormat="1" ht="15" customHeight="1" x14ac:dyDescent="0.3">
      <c r="A36" s="11"/>
      <c r="B36" s="27" t="s">
        <v>297</v>
      </c>
      <c r="C36" s="27"/>
      <c r="D36" s="32" t="e">
        <f ca="1">SUM(D31:D35)</f>
        <v>#NAME?</v>
      </c>
      <c r="E36" s="15"/>
      <c r="F36" s="31" t="e">
        <f ca="1">IF(D$12=0,0,D36/D$12)</f>
        <v>#NAME?</v>
      </c>
      <c r="G36" s="15"/>
      <c r="H36" s="32" t="e">
        <f ca="1">SUM(H31:H35)</f>
        <v>#NAME?</v>
      </c>
      <c r="I36" s="15"/>
      <c r="J36" s="31" t="e">
        <f ca="1">IF(H$12=0,0,H36/H$12)</f>
        <v>#NAME?</v>
      </c>
      <c r="K36" s="16"/>
      <c r="L36" s="32" t="e">
        <f ca="1">+D36-H36</f>
        <v>#NAME?</v>
      </c>
      <c r="M36" s="16"/>
      <c r="N36" s="31" t="e">
        <f ca="1">IF(H36=0,0,L36/H36)</f>
        <v>#NAME?</v>
      </c>
      <c r="O36" s="28"/>
      <c r="P36" s="32" t="e">
        <f ca="1">SUM(P31:P35)</f>
        <v>#NAME?</v>
      </c>
      <c r="Q36" s="15"/>
      <c r="R36" s="31" t="e">
        <f ca="1">IF(P$12=0,0,P36/P$12)</f>
        <v>#NAME?</v>
      </c>
      <c r="S36" s="15"/>
      <c r="T36" s="32" t="e">
        <f ca="1">SUM(T31:T35)</f>
        <v>#NAME?</v>
      </c>
      <c r="U36" s="15"/>
      <c r="V36" s="31" t="e">
        <f ca="1">IF(T$12=0,0,T36/T$12)</f>
        <v>#NAME?</v>
      </c>
      <c r="W36" s="16"/>
      <c r="X36" s="32" t="e">
        <f ca="1">+P36-T36</f>
        <v>#NAME?</v>
      </c>
      <c r="Y36" s="16"/>
      <c r="Z36" s="31" t="e">
        <f ca="1">IF(T36=0,0,X36/T36)</f>
        <v>#NAME?</v>
      </c>
    </row>
    <row r="37" spans="1:26" ht="15" customHeight="1" x14ac:dyDescent="0.3">
      <c r="A37" s="10"/>
      <c r="C37" s="10"/>
      <c r="D37" s="19"/>
      <c r="E37" s="19"/>
      <c r="G37" s="19"/>
      <c r="H37" s="19"/>
      <c r="I37" s="19"/>
      <c r="J37" s="40"/>
      <c r="K37" s="19"/>
      <c r="L37" s="19"/>
      <c r="M37" s="19"/>
      <c r="P37" s="19"/>
      <c r="Q37" s="19"/>
      <c r="R37" s="40"/>
      <c r="S37" s="19"/>
      <c r="T37" s="19"/>
      <c r="U37" s="19"/>
      <c r="V37" s="40"/>
      <c r="W37" s="19"/>
      <c r="X37" s="19"/>
    </row>
    <row r="38" spans="1:26" ht="15" customHeight="1" x14ac:dyDescent="0.3">
      <c r="A38" s="10"/>
      <c r="B38" s="51" t="e">
        <f ca="1">_xll.ONESTOP.REPORTPLAYER.OSRFUNCTIONS.OSRGET("CurrentDate","Date")</f>
        <v>#NAME?</v>
      </c>
      <c r="D38" s="19"/>
      <c r="E38" s="19"/>
      <c r="G38" s="19"/>
      <c r="H38" s="19"/>
      <c r="I38" s="19"/>
      <c r="J38" s="40"/>
      <c r="K38" s="19"/>
      <c r="L38" s="19"/>
      <c r="M38" s="19"/>
      <c r="P38" s="19"/>
      <c r="Q38" s="19"/>
      <c r="R38" s="40"/>
      <c r="S38" s="19"/>
      <c r="T38" s="19"/>
      <c r="U38" s="19"/>
      <c r="V38" s="40"/>
      <c r="W38" s="19"/>
      <c r="X38" s="19"/>
    </row>
    <row r="39" spans="1:26" ht="15" customHeight="1" x14ac:dyDescent="0.3">
      <c r="A39" s="10"/>
      <c r="B39" s="58" t="e">
        <f ca="1">_xll.ONESTOP.REPORTPLAYER.OSRFUNCTIONS.OSRGET("User","UserId")</f>
        <v>#NAME?</v>
      </c>
      <c r="D39" s="19"/>
      <c r="E39" s="19"/>
      <c r="G39" s="19"/>
      <c r="H39" s="19"/>
      <c r="I39" s="19"/>
      <c r="J39" s="40"/>
      <c r="K39" s="19"/>
      <c r="L39" s="19"/>
      <c r="M39" s="19"/>
      <c r="P39" s="19"/>
      <c r="Q39" s="19"/>
      <c r="R39" s="40"/>
      <c r="S39" s="19"/>
      <c r="T39" s="19"/>
      <c r="U39" s="19"/>
      <c r="V39" s="40"/>
      <c r="W39" s="19"/>
      <c r="X39" s="19"/>
    </row>
    <row r="40" spans="1:26" ht="15" customHeight="1" x14ac:dyDescent="0.3">
      <c r="A40" s="10"/>
      <c r="B40" s="50"/>
      <c r="D40" s="19"/>
      <c r="E40" s="19"/>
      <c r="G40" s="19"/>
      <c r="H40" s="19"/>
      <c r="I40" s="19"/>
      <c r="J40" s="40"/>
      <c r="K40" s="19"/>
      <c r="L40" s="19"/>
      <c r="M40" s="19"/>
      <c r="P40" s="19"/>
      <c r="Q40" s="19"/>
      <c r="R40" s="40"/>
      <c r="S40" s="19"/>
      <c r="T40" s="19"/>
      <c r="U40" s="19"/>
      <c r="V40" s="40"/>
      <c r="W40" s="19"/>
      <c r="X40" s="19"/>
    </row>
    <row r="41" spans="1:26" ht="15" customHeight="1" x14ac:dyDescent="0.3">
      <c r="D41" s="19"/>
      <c r="E41" s="19"/>
      <c r="G41" s="19"/>
      <c r="H41" s="19"/>
      <c r="I41" s="19"/>
      <c r="J41" s="40"/>
      <c r="K41" s="19"/>
      <c r="L41" s="19"/>
      <c r="M41" s="19"/>
      <c r="P41" s="19"/>
      <c r="Q41" s="19"/>
      <c r="R41" s="40"/>
      <c r="S41" s="19"/>
      <c r="T41" s="19"/>
      <c r="U41" s="19"/>
      <c r="V41" s="40"/>
      <c r="W41" s="19"/>
      <c r="X41" s="19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78F9A7-2D89-5493-A438-7A443CADD556}">
  <sheetPr>
    <tabColor theme="5" tint="0.39997558519241921"/>
    <outlinePr summaryBelow="0" summaryRight="0"/>
  </sheetPr>
  <dimension ref="A2:Z41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6" customWidth="1"/>
    <col min="2" max="2" width="33.44140625" style="66" customWidth="1"/>
    <col min="3" max="3" width="1.88671875" style="66" customWidth="1"/>
    <col min="4" max="4" width="15" style="66" customWidth="1"/>
    <col min="5" max="5" width="1.88671875" style="66" customWidth="1" outlineLevel="1"/>
    <col min="6" max="6" width="15" style="67" customWidth="1" outlineLevel="1"/>
    <col min="7" max="7" width="1.88671875" style="66" customWidth="1" outlineLevel="1"/>
    <col min="8" max="8" width="15" style="66" customWidth="1" outlineLevel="1"/>
    <col min="9" max="9" width="1.88671875" style="66" customWidth="1" outlineLevel="1"/>
    <col min="10" max="10" width="15" style="68" customWidth="1" outlineLevel="1"/>
    <col min="11" max="11" width="1.88671875" style="66" customWidth="1" outlineLevel="1"/>
    <col min="12" max="12" width="15" style="66" customWidth="1" outlineLevel="1"/>
    <col min="13" max="13" width="1.88671875" style="66" customWidth="1" outlineLevel="1"/>
    <col min="14" max="14" width="15" style="67" customWidth="1" outlineLevel="1"/>
    <col min="15" max="15" width="1.88671875" style="64" customWidth="1"/>
    <col min="16" max="16" width="15" style="66" customWidth="1"/>
    <col min="17" max="17" width="1.88671875" style="66" customWidth="1" outlineLevel="1"/>
    <col min="18" max="18" width="15" style="68" customWidth="1" outlineLevel="1"/>
    <col min="19" max="19" width="1.88671875" style="66" customWidth="1" outlineLevel="1"/>
    <col min="20" max="20" width="15" style="66" customWidth="1" outlineLevel="1"/>
    <col min="21" max="21" width="1.88671875" style="66" customWidth="1" outlineLevel="1"/>
    <col min="22" max="22" width="15" style="68" customWidth="1" outlineLevel="1"/>
    <col min="23" max="23" width="1.88671875" style="66" customWidth="1" outlineLevel="1"/>
    <col min="24" max="24" width="15" style="66" customWidth="1" outlineLevel="1"/>
    <col min="25" max="25" width="1.88671875" style="66" customWidth="1" outlineLevel="1"/>
    <col min="26" max="26" width="15" style="68" customWidth="1" outlineLevel="1"/>
  </cols>
  <sheetData>
    <row r="2" spans="1:26" ht="15" customHeight="1" x14ac:dyDescent="0.3">
      <c r="D2" s="54" t="s">
        <v>276</v>
      </c>
    </row>
    <row r="3" spans="1:26" ht="15" customHeight="1" x14ac:dyDescent="0.3">
      <c r="D3" s="54" t="s">
        <v>277</v>
      </c>
      <c r="E3" s="18"/>
      <c r="F3" s="44"/>
      <c r="G3" s="18"/>
      <c r="H3" s="18"/>
      <c r="I3" s="18"/>
      <c r="J3" s="38"/>
      <c r="K3" s="18"/>
      <c r="L3" s="18"/>
      <c r="M3" s="18"/>
      <c r="N3" s="44"/>
      <c r="O3" s="53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ht="15" customHeight="1" x14ac:dyDescent="0.3">
      <c r="D4" s="54" t="e">
        <f ca="1">CONCATENATE("Period ",RIGHT(_xll.ONESTOP.REPORTPLAYER.OSRFUNCTIONS.OSRGET("Period","PeriodId"),2),", ",_xll.ONESTOP.REPORTPLAYER.OSRFUNCTIONS.OSRGET("Period","Year"))</f>
        <v>#NAME?</v>
      </c>
      <c r="E4" s="18"/>
      <c r="F4" s="44"/>
      <c r="G4" s="18"/>
      <c r="H4" s="18"/>
      <c r="I4" s="18"/>
      <c r="J4" s="38"/>
      <c r="K4" s="18"/>
      <c r="L4" s="18"/>
      <c r="M4" s="18"/>
      <c r="N4" s="44"/>
      <c r="O4" s="53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ht="15" customHeight="1" x14ac:dyDescent="0.3">
      <c r="A5" s="24"/>
      <c r="D5" s="61" t="e">
        <f ca="1">_xll.ONESTOP.REPORTPLAYER.OSRFUNCTIONS.OSRGET("Period","PeriodEnd")</f>
        <v>#NAME?</v>
      </c>
      <c r="E5" s="18"/>
      <c r="F5" s="44"/>
      <c r="G5" s="18"/>
      <c r="H5" s="18"/>
      <c r="I5" s="18"/>
      <c r="J5" s="38"/>
      <c r="K5" s="18"/>
      <c r="L5" s="18"/>
      <c r="M5" s="18"/>
      <c r="N5" s="44"/>
      <c r="O5" s="53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ht="15" customHeight="1" x14ac:dyDescent="0.3">
      <c r="A6" s="24"/>
      <c r="B6" s="47"/>
      <c r="C6" s="47"/>
      <c r="D6" s="24" t="s">
        <v>303</v>
      </c>
      <c r="E6" s="18"/>
      <c r="F6" s="44"/>
      <c r="G6" s="18"/>
      <c r="H6" s="18"/>
      <c r="I6" s="18"/>
      <c r="J6" s="38"/>
      <c r="K6" s="18"/>
      <c r="L6" s="18"/>
      <c r="M6" s="18"/>
      <c r="N6" s="44"/>
      <c r="O6" s="59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ht="15" customHeight="1" x14ac:dyDescent="0.3">
      <c r="B7" s="52"/>
    </row>
    <row r="8" spans="1:26" ht="15" customHeight="1" x14ac:dyDescent="0.3">
      <c r="B8" s="52"/>
    </row>
    <row r="9" spans="1:26" ht="15" customHeight="1" x14ac:dyDescent="0.3">
      <c r="B9" s="10"/>
      <c r="C9" s="10"/>
      <c r="D9" s="17" t="s">
        <v>279</v>
      </c>
      <c r="E9" s="17"/>
      <c r="F9" s="36"/>
      <c r="G9" s="17"/>
      <c r="H9" s="17"/>
      <c r="I9" s="17"/>
      <c r="J9" s="43"/>
      <c r="K9" s="17"/>
      <c r="L9" s="17"/>
      <c r="M9" s="17"/>
      <c r="N9" s="36"/>
      <c r="P9" s="17" t="s">
        <v>280</v>
      </c>
      <c r="Q9" s="17"/>
      <c r="R9" s="36"/>
      <c r="S9" s="17"/>
      <c r="T9" s="17"/>
      <c r="U9" s="17"/>
      <c r="V9" s="43"/>
      <c r="W9" s="17"/>
      <c r="X9" s="17"/>
      <c r="Y9" s="17"/>
      <c r="Z9" s="36"/>
    </row>
    <row r="10" spans="1:26" ht="15" customHeight="1" x14ac:dyDescent="0.3">
      <c r="A10" s="11"/>
      <c r="B10" s="57"/>
      <c r="C10" s="11"/>
      <c r="D10" s="41" t="s">
        <v>281</v>
      </c>
      <c r="E10" s="33"/>
      <c r="F10" s="37" t="s">
        <v>282</v>
      </c>
      <c r="G10" s="33"/>
      <c r="H10" s="48" t="s">
        <v>283</v>
      </c>
      <c r="I10" s="33"/>
      <c r="J10" s="45" t="s">
        <v>284</v>
      </c>
      <c r="K10" s="11"/>
      <c r="L10" s="41" t="s">
        <v>285</v>
      </c>
      <c r="M10" s="11"/>
      <c r="N10" s="37" t="s">
        <v>286</v>
      </c>
      <c r="O10" s="11"/>
      <c r="P10" s="56" t="s">
        <v>281</v>
      </c>
      <c r="Q10" s="33"/>
      <c r="R10" s="37" t="s">
        <v>282</v>
      </c>
      <c r="S10" s="33"/>
      <c r="T10" s="48" t="s">
        <v>283</v>
      </c>
      <c r="U10" s="33"/>
      <c r="V10" s="45" t="s">
        <v>284</v>
      </c>
      <c r="W10" s="11"/>
      <c r="X10" s="41" t="s">
        <v>285</v>
      </c>
      <c r="Y10" s="11"/>
      <c r="Z10" s="37" t="s">
        <v>286</v>
      </c>
    </row>
    <row r="11" spans="1:26" ht="16.5" customHeight="1" x14ac:dyDescent="0.3">
      <c r="A11" s="10"/>
      <c r="B11" s="55"/>
      <c r="C11" s="10"/>
      <c r="D11" s="10"/>
      <c r="E11" s="10"/>
      <c r="F11" s="9"/>
      <c r="G11" s="10"/>
      <c r="H11" s="10"/>
      <c r="I11" s="10"/>
      <c r="J11" s="46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6"/>
      <c r="W11" s="10"/>
      <c r="X11" s="10"/>
      <c r="Y11" s="10"/>
      <c r="Z11" s="9"/>
    </row>
    <row r="12" spans="1:26" s="63" customFormat="1" ht="15" customHeight="1" collapsed="1" x14ac:dyDescent="0.3">
      <c r="A12" s="11"/>
      <c r="B12" s="28" t="s">
        <v>287</v>
      </c>
      <c r="C12" s="11"/>
      <c r="D12" s="5" t="e">
        <f ca="1">SUM(_xll.ONESTOP.REPORTPLAYER.OSRFUNCTIONS.OSRREF(D13))</f>
        <v>#NAME?</v>
      </c>
      <c r="E12" s="5"/>
      <c r="F12" s="13"/>
      <c r="G12" s="5"/>
      <c r="H12" s="5" t="e">
        <f ca="1">SUM(_xll.ONESTOP.REPORTPLAYER.OSRFUNCTIONS.OSRREF(H13))</f>
        <v>#NAME?</v>
      </c>
      <c r="I12" s="5"/>
      <c r="J12" s="13"/>
      <c r="K12" s="5"/>
      <c r="L12" s="5" t="e">
        <f ca="1">+D12-H12</f>
        <v>#NAME?</v>
      </c>
      <c r="M12" s="5"/>
      <c r="N12" s="13" t="e">
        <f ca="1">IF(H12=0,0,L12/H12)</f>
        <v>#NAME?</v>
      </c>
      <c r="O12" s="11"/>
      <c r="P12" s="5" t="e">
        <f ca="1">SUM(_xll.ONESTOP.REPORTPLAYER.OSRFUNCTIONS.OSRREF(P13))</f>
        <v>#NAME?</v>
      </c>
      <c r="Q12" s="5"/>
      <c r="R12" s="13"/>
      <c r="S12" s="5"/>
      <c r="T12" s="5" t="e">
        <f ca="1">SUM(_xll.ONESTOP.REPORTPLAYER.OSRFUNCTIONS.OSRREF(T13))</f>
        <v>#NAME?</v>
      </c>
      <c r="U12" s="5"/>
      <c r="V12" s="13"/>
      <c r="W12" s="5"/>
      <c r="X12" s="5" t="e">
        <f ca="1">+P12-T12</f>
        <v>#NAME?</v>
      </c>
      <c r="Y12" s="5"/>
      <c r="Z12" s="13" t="e">
        <f ca="1">IF(T12=0,0,X12/T12)</f>
        <v>#NAME?</v>
      </c>
    </row>
    <row r="13" spans="1:26" s="70" customFormat="1" ht="15" hidden="1" customHeight="1" outlineLevel="1" x14ac:dyDescent="0.3">
      <c r="A13" s="42"/>
      <c r="B13" s="12" t="e">
        <f ca="1">CONCATENATE("          ",_xll.ONESTOP.REPORTPLAYER.OSRFUNCTIONS.OSRGET("d_Account","Code")," - ",_xll.ONESTOP.REPORTPLAYER.OSRFUNCTIONS.OSRGET("d_Account","Description"))</f>
        <v>#NAME?</v>
      </c>
      <c r="C13" s="12"/>
      <c r="D13" s="3" t="e">
        <f ca="1">-_xll.ONESTOP.REPORTPLAYER.OSRFUNCTIONS.OSRGET("GL_F_Trans","Value1")</f>
        <v>#NAME?</v>
      </c>
      <c r="E13" s="3"/>
      <c r="F13" s="20"/>
      <c r="G13" s="3"/>
      <c r="H13" s="3" t="e">
        <f ca="1">_xll.ONESTOP.REPORTPLAYER.OSRFUNCTIONS.OSRGET("GL_F_Trans","Value1")</f>
        <v>#NAME?</v>
      </c>
      <c r="I13" s="3"/>
      <c r="J13" s="20"/>
      <c r="K13" s="3"/>
      <c r="L13" s="3" t="e">
        <f ca="1">+D13-H13</f>
        <v>#NAME?</v>
      </c>
      <c r="M13" s="3"/>
      <c r="N13" s="20" t="e">
        <f ca="1">IF(H13=0,0,L13/H13)</f>
        <v>#NAME?</v>
      </c>
      <c r="O13" s="12"/>
      <c r="P13" s="3" t="e">
        <f ca="1">-_xll.ONESTOP.REPORTPLAYER.OSRFUNCTIONS.OSRGET("GL_F_Trans","Value1")</f>
        <v>#NAME?</v>
      </c>
      <c r="Q13" s="3"/>
      <c r="R13" s="20"/>
      <c r="S13" s="3"/>
      <c r="T13" s="3" t="e">
        <f ca="1">_xll.ONESTOP.REPORTPLAYER.OSRFUNCTIONS.OSRGET("GL_F_Trans","Value1")</f>
        <v>#NAME?</v>
      </c>
      <c r="U13" s="3"/>
      <c r="V13" s="20"/>
      <c r="W13" s="3"/>
      <c r="X13" s="3" t="e">
        <f ca="1">+P13-T13</f>
        <v>#NAME?</v>
      </c>
      <c r="Y13" s="3"/>
      <c r="Z13" s="20" t="e">
        <f ca="1">IF(T13=0,0,X13/T13)</f>
        <v>#NAME?</v>
      </c>
    </row>
    <row r="14" spans="1:26" ht="15" customHeight="1" x14ac:dyDescent="0.3">
      <c r="A14" s="10"/>
      <c r="B14" s="11"/>
      <c r="C14" s="10"/>
      <c r="D14" s="4"/>
      <c r="E14" s="4"/>
      <c r="F14" s="9"/>
      <c r="G14" s="4"/>
      <c r="H14" s="4"/>
      <c r="I14" s="4"/>
      <c r="J14" s="9"/>
      <c r="K14" s="4"/>
      <c r="L14" s="4"/>
      <c r="M14" s="4"/>
      <c r="N14" s="9"/>
      <c r="P14" s="4"/>
      <c r="Q14" s="4"/>
      <c r="R14" s="9"/>
      <c r="S14" s="4"/>
      <c r="T14" s="4"/>
      <c r="U14" s="4"/>
      <c r="V14" s="9"/>
      <c r="W14" s="4"/>
      <c r="X14" s="4"/>
      <c r="Y14" s="4"/>
      <c r="Z14" s="9"/>
    </row>
    <row r="15" spans="1:26" s="63" customFormat="1" ht="15" customHeight="1" collapsed="1" x14ac:dyDescent="0.3">
      <c r="A15" s="11"/>
      <c r="B15" s="28" t="s">
        <v>288</v>
      </c>
      <c r="C15" s="11"/>
      <c r="D15" s="5" t="e">
        <f ca="1">SUM(_xll.ONESTOP.REPORTPLAYER.OSRFUNCTIONS.OSRREF(D16))</f>
        <v>#NAME?</v>
      </c>
      <c r="E15" s="5"/>
      <c r="F15" s="13" t="e">
        <f ca="1">IF(D$12=0,0,D15/D$12)</f>
        <v>#NAME?</v>
      </c>
      <c r="G15" s="5"/>
      <c r="H15" s="5" t="e">
        <f ca="1">SUM(_xll.ONESTOP.REPORTPLAYER.OSRFUNCTIONS.OSRREF(H16))</f>
        <v>#NAME?</v>
      </c>
      <c r="I15" s="5"/>
      <c r="J15" s="13" t="e">
        <f ca="1">IF(H$12=0,0,H15/H$12)</f>
        <v>#NAME?</v>
      </c>
      <c r="K15" s="5"/>
      <c r="L15" s="5" t="e">
        <f ca="1">+D15-H15</f>
        <v>#NAME?</v>
      </c>
      <c r="M15" s="5"/>
      <c r="N15" s="13" t="e">
        <f ca="1">IF(H15=0,0,L15/H15)</f>
        <v>#NAME?</v>
      </c>
      <c r="O15" s="11"/>
      <c r="P15" s="5" t="e">
        <f ca="1">SUM(_xll.ONESTOP.REPORTPLAYER.OSRFUNCTIONS.OSRREF(P16))</f>
        <v>#NAME?</v>
      </c>
      <c r="Q15" s="5"/>
      <c r="R15" s="13" t="e">
        <f ca="1">IF(P$12=0,0,P15/P$12)</f>
        <v>#NAME?</v>
      </c>
      <c r="S15" s="5"/>
      <c r="T15" s="5" t="e">
        <f ca="1">SUM(_xll.ONESTOP.REPORTPLAYER.OSRFUNCTIONS.OSRREF(T16))</f>
        <v>#NAME?</v>
      </c>
      <c r="U15" s="5"/>
      <c r="V15" s="13" t="e">
        <f ca="1">IF(T$12=0,0,T15/T$12)</f>
        <v>#NAME?</v>
      </c>
      <c r="W15" s="5"/>
      <c r="X15" s="5" t="e">
        <f ca="1">+P15-T15</f>
        <v>#NAME?</v>
      </c>
      <c r="Y15" s="5"/>
      <c r="Z15" s="13" t="e">
        <f ca="1">IF(T15=0,0,X15/T15)</f>
        <v>#NAME?</v>
      </c>
    </row>
    <row r="16" spans="1:26" s="70" customFormat="1" ht="15" hidden="1" customHeight="1" outlineLevel="1" x14ac:dyDescent="0.3">
      <c r="A16" s="42"/>
      <c r="B16" s="12" t="e">
        <f ca="1">CONCATENATE("          ",_xll.ONESTOP.REPORTPLAYER.OSRFUNCTIONS.OSRGET("d_Account","Code")," - ",_xll.ONESTOP.REPORTPLAYER.OSRFUNCTIONS.OSRGET("d_Account","Description"))</f>
        <v>#NAME?</v>
      </c>
      <c r="C16" s="12"/>
      <c r="D16" s="3" t="e">
        <f ca="1">_xll.ONESTOP.REPORTPLAYER.OSRFUNCTIONS.OSRGET("GL_F_Trans","Value1")</f>
        <v>#NAME?</v>
      </c>
      <c r="E16" s="3"/>
      <c r="F16" s="20" t="e">
        <f ca="1">IF(D$12=0,0,D16/D$12)</f>
        <v>#NAME?</v>
      </c>
      <c r="G16" s="3"/>
      <c r="H16" s="3" t="e">
        <f ca="1">_xll.ONESTOP.REPORTPLAYER.OSRFUNCTIONS.OSRGET("GL_F_Trans","Value1")</f>
        <v>#NAME?</v>
      </c>
      <c r="I16" s="3"/>
      <c r="J16" s="20" t="e">
        <f ca="1">IF(H$12=0,0,H16/H$12)</f>
        <v>#NAME?</v>
      </c>
      <c r="K16" s="3"/>
      <c r="L16" s="3" t="e">
        <f ca="1">+D16-H16</f>
        <v>#NAME?</v>
      </c>
      <c r="M16" s="3"/>
      <c r="N16" s="20" t="e">
        <f ca="1">IF(H16=0,0,L16/H16)</f>
        <v>#NAME?</v>
      </c>
      <c r="O16" s="12"/>
      <c r="P16" s="3" t="e">
        <f ca="1">_xll.ONESTOP.REPORTPLAYER.OSRFUNCTIONS.OSRGET("GL_F_Trans","Value1")</f>
        <v>#NAME?</v>
      </c>
      <c r="Q16" s="3"/>
      <c r="R16" s="20" t="e">
        <f ca="1">IF(P$12=0,0,P16/P$12)</f>
        <v>#NAME?</v>
      </c>
      <c r="S16" s="3"/>
      <c r="T16" s="3" t="e">
        <f ca="1">_xll.ONESTOP.REPORTPLAYER.OSRFUNCTIONS.OSRGET("GL_F_Trans","Value1")</f>
        <v>#NAME?</v>
      </c>
      <c r="U16" s="3"/>
      <c r="V16" s="20" t="e">
        <f ca="1">IF(T$12=0,0,T16/T$12)</f>
        <v>#NAME?</v>
      </c>
      <c r="W16" s="3"/>
      <c r="X16" s="3" t="e">
        <f ca="1">+P16-T16</f>
        <v>#NAME?</v>
      </c>
      <c r="Y16" s="3"/>
      <c r="Z16" s="20" t="e">
        <f ca="1">IF(T16=0,0,X16/T16)</f>
        <v>#NAME?</v>
      </c>
    </row>
    <row r="17" spans="1:26" ht="15" customHeight="1" x14ac:dyDescent="0.3">
      <c r="A17" s="10"/>
      <c r="B17" s="11"/>
      <c r="C17" s="11"/>
      <c r="D17" s="4"/>
      <c r="E17" s="4"/>
      <c r="F17" s="9"/>
      <c r="G17" s="4"/>
      <c r="H17" s="4"/>
      <c r="I17" s="4"/>
      <c r="J17" s="9"/>
      <c r="K17" s="4"/>
      <c r="L17" s="4"/>
      <c r="M17" s="4"/>
      <c r="N17" s="9"/>
      <c r="O17" s="11"/>
      <c r="P17" s="4"/>
      <c r="Q17" s="4"/>
      <c r="R17" s="9"/>
      <c r="S17" s="4"/>
      <c r="T17" s="4"/>
      <c r="U17" s="4"/>
      <c r="V17" s="9"/>
      <c r="W17" s="4"/>
      <c r="X17" s="4"/>
      <c r="Y17" s="4"/>
      <c r="Z17" s="9"/>
    </row>
    <row r="18" spans="1:26" s="63" customFormat="1" ht="15" customHeight="1" x14ac:dyDescent="0.3">
      <c r="A18" s="11"/>
      <c r="B18" s="27" t="s">
        <v>289</v>
      </c>
      <c r="C18" s="27"/>
      <c r="D18" s="21" t="e">
        <f ca="1">D12-D15</f>
        <v>#NAME?</v>
      </c>
      <c r="E18" s="15"/>
      <c r="F18" s="23" t="e">
        <f ca="1">IF(D$12=0,0,D18/D$12)</f>
        <v>#NAME?</v>
      </c>
      <c r="G18" s="15"/>
      <c r="H18" s="21" t="e">
        <f ca="1">H12-H15</f>
        <v>#NAME?</v>
      </c>
      <c r="I18" s="15"/>
      <c r="J18" s="23" t="e">
        <f ca="1">IF(H$12=0,0,H18/H$12)</f>
        <v>#NAME?</v>
      </c>
      <c r="K18" s="16"/>
      <c r="L18" s="21" t="e">
        <f ca="1">+D18-H18</f>
        <v>#NAME?</v>
      </c>
      <c r="M18" s="16"/>
      <c r="N18" s="23" t="e">
        <f ca="1">IF(H18=0,0,L18/H18)</f>
        <v>#NAME?</v>
      </c>
      <c r="O18" s="28"/>
      <c r="P18" s="21" t="e">
        <f ca="1">P12-P15</f>
        <v>#NAME?</v>
      </c>
      <c r="Q18" s="15"/>
      <c r="R18" s="23" t="e">
        <f ca="1">IF(P$12=0,0,P18/P$12)</f>
        <v>#NAME?</v>
      </c>
      <c r="S18" s="15"/>
      <c r="T18" s="21" t="e">
        <f ca="1">T12-T15</f>
        <v>#NAME?</v>
      </c>
      <c r="U18" s="15"/>
      <c r="V18" s="23" t="e">
        <f ca="1">IF(T$12=0,0,T18/T$12)</f>
        <v>#NAME?</v>
      </c>
      <c r="W18" s="16"/>
      <c r="X18" s="21" t="e">
        <f ca="1">+P18-T18</f>
        <v>#NAME?</v>
      </c>
      <c r="Y18" s="16"/>
      <c r="Z18" s="23" t="e">
        <f ca="1">IF(T18=0,0,X18/T18)</f>
        <v>#NAME?</v>
      </c>
    </row>
    <row r="19" spans="1:26" ht="15" customHeight="1" x14ac:dyDescent="0.3">
      <c r="A19" s="10"/>
      <c r="B19" s="11"/>
      <c r="C19" s="10"/>
      <c r="D19" s="2"/>
      <c r="E19" s="2"/>
      <c r="F19" s="6"/>
      <c r="G19" s="2"/>
      <c r="H19" s="2"/>
      <c r="I19" s="2"/>
      <c r="J19" s="6"/>
      <c r="K19" s="2"/>
      <c r="L19" s="2"/>
      <c r="M19" s="2"/>
      <c r="N19" s="6"/>
      <c r="O19" s="35"/>
      <c r="P19" s="2"/>
      <c r="Q19" s="2"/>
      <c r="R19" s="6"/>
      <c r="S19" s="2"/>
      <c r="T19" s="2"/>
      <c r="U19" s="2"/>
      <c r="V19" s="6"/>
      <c r="W19" s="2"/>
      <c r="X19" s="2"/>
      <c r="Y19" s="2"/>
      <c r="Z19" s="6"/>
    </row>
    <row r="20" spans="1:26" s="63" customFormat="1" ht="15" customHeight="1" x14ac:dyDescent="0.3">
      <c r="A20" s="11"/>
      <c r="B20" s="28" t="s">
        <v>290</v>
      </c>
      <c r="C20" s="11"/>
      <c r="D20" s="22" t="e">
        <f ca="1">SUM(_xll.ONESTOP.REPORTPLAYER.OSRFUNCTIONS.OSRREF(D22))</f>
        <v>#NAME?</v>
      </c>
      <c r="E20" s="22"/>
      <c r="F20" s="30" t="e">
        <f ca="1">IF(D$12=0,0,D20/D$12)</f>
        <v>#NAME?</v>
      </c>
      <c r="G20" s="22"/>
      <c r="H20" s="22" t="e">
        <f ca="1">SUM(_xll.ONESTOP.REPORTPLAYER.OSRFUNCTIONS.OSRREF(H22))</f>
        <v>#NAME?</v>
      </c>
      <c r="I20" s="22"/>
      <c r="J20" s="30" t="e">
        <f ca="1">IF(H$12=0,0,H20/H$12)</f>
        <v>#NAME?</v>
      </c>
      <c r="K20" s="5"/>
      <c r="L20" s="22" t="e">
        <f ca="1">+D20-H20</f>
        <v>#NAME?</v>
      </c>
      <c r="M20" s="5"/>
      <c r="N20" s="30" t="e">
        <f ca="1">IF(H20=0,0,L20/H20)</f>
        <v>#NAME?</v>
      </c>
      <c r="O20" s="11"/>
      <c r="P20" s="22" t="e">
        <f ca="1">SUM(_xll.ONESTOP.REPORTPLAYER.OSRFUNCTIONS.OSRREF(P22))</f>
        <v>#NAME?</v>
      </c>
      <c r="Q20" s="22"/>
      <c r="R20" s="30" t="e">
        <f ca="1">IF(P$12=0,0,P20/P$12)</f>
        <v>#NAME?</v>
      </c>
      <c r="S20" s="22"/>
      <c r="T20" s="22" t="e">
        <f ca="1">SUM(_xll.ONESTOP.REPORTPLAYER.OSRFUNCTIONS.OSRREF(T22))</f>
        <v>#NAME?</v>
      </c>
      <c r="U20" s="22"/>
      <c r="V20" s="30" t="e">
        <f ca="1">IF(T$12=0,0,T20/T$12)</f>
        <v>#NAME?</v>
      </c>
      <c r="W20" s="5"/>
      <c r="X20" s="22" t="e">
        <f ca="1">+P20-T20</f>
        <v>#NAME?</v>
      </c>
      <c r="Y20" s="5"/>
      <c r="Z20" s="30" t="e">
        <f ca="1">IF(T20=0,0,X20/T20)</f>
        <v>#NAME?</v>
      </c>
    </row>
    <row r="21" spans="1:26" s="69" customFormat="1" ht="15" customHeight="1" outlineLevel="1" collapsed="1" x14ac:dyDescent="0.3">
      <c r="A21" s="25"/>
      <c r="B21" s="14" t="e">
        <f ca="1">CONCATENATE("     ",_xll.ONESTOP.REPORTPLAYER.OSRFUNCTIONS.OSRGET("d_Account","AccountCategory"))</f>
        <v>#NAME?</v>
      </c>
      <c r="C21" s="14"/>
      <c r="D21" s="2" t="e">
        <f ca="1">SUM(_xll.ONESTOP.REPORTPLAYER.OSRFUNCTIONS.OSRREF(D22))</f>
        <v>#NAME?</v>
      </c>
      <c r="E21" s="2"/>
      <c r="F21" s="6" t="e">
        <f ca="1">IF(D$12=0,0,D21/D$12)</f>
        <v>#NAME?</v>
      </c>
      <c r="G21" s="2"/>
      <c r="H21" s="2" t="e">
        <f ca="1">SUM(_xll.ONESTOP.REPORTPLAYER.OSRFUNCTIONS.OSRREF(H22))</f>
        <v>#NAME?</v>
      </c>
      <c r="I21" s="2"/>
      <c r="J21" s="6" t="e">
        <f ca="1">IF(H$12=0,0,H21/H$12)</f>
        <v>#NAME?</v>
      </c>
      <c r="K21" s="2"/>
      <c r="L21" s="2" t="e">
        <f ca="1">+D21-H21</f>
        <v>#NAME?</v>
      </c>
      <c r="M21" s="2"/>
      <c r="N21" s="6" t="e">
        <f ca="1">IF(H21=0,0,L21/H21)</f>
        <v>#NAME?</v>
      </c>
      <c r="O21" s="14"/>
      <c r="P21" s="2" t="e">
        <f ca="1">SUM(_xll.ONESTOP.REPORTPLAYER.OSRFUNCTIONS.OSRREF(P22))</f>
        <v>#NAME?</v>
      </c>
      <c r="Q21" s="2"/>
      <c r="R21" s="6" t="e">
        <f ca="1">IF(P$12=0,0,P21/P$12)</f>
        <v>#NAME?</v>
      </c>
      <c r="S21" s="2"/>
      <c r="T21" s="2" t="e">
        <f ca="1">SUM(_xll.ONESTOP.REPORTPLAYER.OSRFUNCTIONS.OSRREF(T22))</f>
        <v>#NAME?</v>
      </c>
      <c r="U21" s="2"/>
      <c r="V21" s="6" t="e">
        <f ca="1">IF(T$12=0,0,T21/T$12)</f>
        <v>#NAME?</v>
      </c>
      <c r="W21" s="2"/>
      <c r="X21" s="2" t="e">
        <f ca="1">+P21-T21</f>
        <v>#NAME?</v>
      </c>
      <c r="Y21" s="2"/>
      <c r="Z21" s="6" t="e">
        <f ca="1">IF(T21=0,0,X21/T21)</f>
        <v>#NAME?</v>
      </c>
    </row>
    <row r="22" spans="1:26" s="70" customFormat="1" ht="15" hidden="1" customHeight="1" outlineLevel="2" x14ac:dyDescent="0.3">
      <c r="A22" s="26"/>
      <c r="B22" s="12" t="e">
        <f ca="1">CONCATENATE("          ",_xll.ONESTOP.REPORTPLAYER.OSRFUNCTIONS.OSRGET("d_Account","Code")," - ",_xll.ONESTOP.REPORTPLAYER.OSRFUNCTIONS.OSRGET("d_Account","Description"))</f>
        <v>#NAME?</v>
      </c>
      <c r="C22" s="12"/>
      <c r="D22" s="7" t="e">
        <f ca="1">_xll.ONESTOP.REPORTPLAYER.OSRFUNCTIONS.OSRGET("GL_F_Trans","Value1")</f>
        <v>#NAME?</v>
      </c>
      <c r="E22" s="3"/>
      <c r="F22" s="8" t="e">
        <f ca="1">IF(D$12=0,0,D22/D$12)</f>
        <v>#NAME?</v>
      </c>
      <c r="G22" s="3"/>
      <c r="H22" s="7" t="e">
        <f ca="1">_xll.ONESTOP.REPORTPLAYER.OSRFUNCTIONS.OSRGET("GL_F_Trans","Value1")</f>
        <v>#NAME?</v>
      </c>
      <c r="I22" s="3"/>
      <c r="J22" s="8" t="e">
        <f ca="1">IF(H$12=0,0,H22/H$12)</f>
        <v>#NAME?</v>
      </c>
      <c r="K22" s="3"/>
      <c r="L22" s="7" t="e">
        <f ca="1">+D22-H22</f>
        <v>#NAME?</v>
      </c>
      <c r="M22" s="3"/>
      <c r="N22" s="8" t="e">
        <f ca="1">IF(H22=0,0,L22/H22)</f>
        <v>#NAME?</v>
      </c>
      <c r="O22" s="12"/>
      <c r="P22" s="7" t="e">
        <f ca="1">_xll.ONESTOP.REPORTPLAYER.OSRFUNCTIONS.OSRGET("GL_F_Trans","Value1")</f>
        <v>#NAME?</v>
      </c>
      <c r="Q22" s="3"/>
      <c r="R22" s="8" t="e">
        <f ca="1">IF(P$12=0,0,P22/P$12)</f>
        <v>#NAME?</v>
      </c>
      <c r="S22" s="3"/>
      <c r="T22" s="7" t="e">
        <f ca="1">_xll.ONESTOP.REPORTPLAYER.OSRFUNCTIONS.OSRGET("GL_F_Trans","Value1")</f>
        <v>#NAME?</v>
      </c>
      <c r="U22" s="3"/>
      <c r="V22" s="8" t="e">
        <f ca="1">IF(T$12=0,0,T22/T$12)</f>
        <v>#NAME?</v>
      </c>
      <c r="W22" s="3"/>
      <c r="X22" s="7" t="e">
        <f ca="1">+P22-T22</f>
        <v>#NAME?</v>
      </c>
      <c r="Y22" s="3"/>
      <c r="Z22" s="8" t="e">
        <f ca="1">IF(T22=0,0,X22/T22)</f>
        <v>#NAME?</v>
      </c>
    </row>
    <row r="23" spans="1:26" s="65" customFormat="1" ht="15" customHeight="1" x14ac:dyDescent="0.3">
      <c r="A23" s="35"/>
      <c r="B23" s="35"/>
      <c r="C23" s="35"/>
      <c r="D23" s="2"/>
      <c r="E23" s="2"/>
      <c r="F23" s="6"/>
      <c r="G23" s="2"/>
      <c r="H23" s="2"/>
      <c r="I23" s="2"/>
      <c r="J23" s="6"/>
      <c r="K23" s="2"/>
      <c r="L23" s="2"/>
      <c r="M23" s="2"/>
      <c r="N23" s="6"/>
      <c r="O23" s="35"/>
      <c r="P23" s="2"/>
      <c r="Q23" s="2"/>
      <c r="R23" s="6"/>
      <c r="S23" s="2"/>
      <c r="T23" s="2"/>
      <c r="U23" s="2"/>
      <c r="V23" s="6"/>
      <c r="W23" s="2"/>
      <c r="X23" s="2"/>
      <c r="Y23" s="2"/>
      <c r="Z23" s="6"/>
    </row>
    <row r="24" spans="1:26" s="63" customFormat="1" ht="15" customHeight="1" collapsed="1" x14ac:dyDescent="0.3">
      <c r="A24" s="11"/>
      <c r="B24" s="28" t="s">
        <v>291</v>
      </c>
      <c r="C24" s="11"/>
      <c r="D24" s="5" t="e">
        <f ca="1">SUM(_xll.ONESTOP.REPORTPLAYER.OSRFUNCTIONS.OSRREF(D25))</f>
        <v>#NAME?</v>
      </c>
      <c r="E24" s="5"/>
      <c r="F24" s="13" t="e">
        <f ca="1">IF(D$12=0,0,D24/D$12)</f>
        <v>#NAME?</v>
      </c>
      <c r="G24" s="5"/>
      <c r="H24" s="5" t="e">
        <f ca="1">SUM(_xll.ONESTOP.REPORTPLAYER.OSRFUNCTIONS.OSRREF(H25))</f>
        <v>#NAME?</v>
      </c>
      <c r="I24" s="5"/>
      <c r="J24" s="13" t="e">
        <f ca="1">IF(H$12=0,0,H24/H$12)</f>
        <v>#NAME?</v>
      </c>
      <c r="K24" s="5"/>
      <c r="L24" s="5" t="e">
        <f ca="1">+D24-H24</f>
        <v>#NAME?</v>
      </c>
      <c r="M24" s="5"/>
      <c r="N24" s="13" t="e">
        <f ca="1">IF(H24=0,0,L24/H24)</f>
        <v>#NAME?</v>
      </c>
      <c r="O24" s="11"/>
      <c r="P24" s="5" t="e">
        <f ca="1">SUM(_xll.ONESTOP.REPORTPLAYER.OSRFUNCTIONS.OSRREF(P25))</f>
        <v>#NAME?</v>
      </c>
      <c r="Q24" s="5"/>
      <c r="R24" s="13" t="e">
        <f ca="1">IF(P$12=0,0,P24/P$12)</f>
        <v>#NAME?</v>
      </c>
      <c r="S24" s="5"/>
      <c r="T24" s="5" t="e">
        <f ca="1">SUM(_xll.ONESTOP.REPORTPLAYER.OSRFUNCTIONS.OSRREF(T25))</f>
        <v>#NAME?</v>
      </c>
      <c r="U24" s="5"/>
      <c r="V24" s="13" t="e">
        <f ca="1">IF(T$12=0,0,T24/T$12)</f>
        <v>#NAME?</v>
      </c>
      <c r="W24" s="5"/>
      <c r="X24" s="5" t="e">
        <f ca="1">+P24-T24</f>
        <v>#NAME?</v>
      </c>
      <c r="Y24" s="5"/>
      <c r="Z24" s="13" t="e">
        <f ca="1">IF(T24=0,0,X24/T24)</f>
        <v>#NAME?</v>
      </c>
    </row>
    <row r="25" spans="1:26" s="70" customFormat="1" ht="15" hidden="1" customHeight="1" outlineLevel="1" x14ac:dyDescent="0.3">
      <c r="A25" s="42"/>
      <c r="B25" s="12" t="e">
        <f ca="1">CONCATENATE("          ",_xll.ONESTOP.REPORTPLAYER.OSRFUNCTIONS.OSRGET("d_Account","Code")," - ",_xll.ONESTOP.REPORTPLAYER.OSRFUNCTIONS.OSRGET("d_Account","Description"))</f>
        <v>#NAME?</v>
      </c>
      <c r="C25" s="12"/>
      <c r="D25" s="3" t="e">
        <f ca="1">-_xll.ONESTOP.REPORTPLAYER.OSRFUNCTIONS.OSRGET("GL_F_Trans","Value1")</f>
        <v>#NAME?</v>
      </c>
      <c r="E25" s="3"/>
      <c r="F25" s="20" t="e">
        <f ca="1">IF(D$12=0,0,D25/D$12)</f>
        <v>#NAME?</v>
      </c>
      <c r="G25" s="3"/>
      <c r="H25" s="3" t="e">
        <f ca="1">_xll.ONESTOP.REPORTPLAYER.OSRFUNCTIONS.OSRGET("GL_F_Trans","Value1")</f>
        <v>#NAME?</v>
      </c>
      <c r="I25" s="3"/>
      <c r="J25" s="20" t="e">
        <f ca="1">IF(H$12=0,0,H25/H$12)</f>
        <v>#NAME?</v>
      </c>
      <c r="K25" s="3"/>
      <c r="L25" s="3" t="e">
        <f ca="1">+D25-H25</f>
        <v>#NAME?</v>
      </c>
      <c r="M25" s="3"/>
      <c r="N25" s="20" t="e">
        <f ca="1">IF(H25=0,0,L25/H25)</f>
        <v>#NAME?</v>
      </c>
      <c r="O25" s="12"/>
      <c r="P25" s="3" t="e">
        <f ca="1">-_xll.ONESTOP.REPORTPLAYER.OSRFUNCTIONS.OSRGET("GL_F_Trans","Value1")</f>
        <v>#NAME?</v>
      </c>
      <c r="Q25" s="3"/>
      <c r="R25" s="20" t="e">
        <f ca="1">IF(P$12=0,0,P25/P$12)</f>
        <v>#NAME?</v>
      </c>
      <c r="S25" s="3"/>
      <c r="T25" s="3" t="e">
        <f ca="1">_xll.ONESTOP.REPORTPLAYER.OSRFUNCTIONS.OSRGET("GL_F_Trans","Value1")</f>
        <v>#NAME?</v>
      </c>
      <c r="U25" s="3"/>
      <c r="V25" s="20" t="e">
        <f ca="1">IF(T$12=0,0,T25/T$12)</f>
        <v>#NAME?</v>
      </c>
      <c r="W25" s="3"/>
      <c r="X25" s="3" t="e">
        <f ca="1">+P25-T25</f>
        <v>#NAME?</v>
      </c>
      <c r="Y25" s="3"/>
      <c r="Z25" s="20" t="e">
        <f ca="1">IF(T25=0,0,X25/T25)</f>
        <v>#NAME?</v>
      </c>
    </row>
    <row r="26" spans="1:26" ht="15" customHeight="1" x14ac:dyDescent="0.3">
      <c r="A26" s="10"/>
      <c r="B26" s="11"/>
      <c r="C26" s="11"/>
      <c r="D26" s="4"/>
      <c r="E26" s="4"/>
      <c r="F26" s="9"/>
      <c r="G26" s="4"/>
      <c r="H26" s="4"/>
      <c r="I26" s="4"/>
      <c r="J26" s="9"/>
      <c r="K26" s="4"/>
      <c r="L26" s="4"/>
      <c r="M26" s="4"/>
      <c r="N26" s="9"/>
      <c r="O26" s="11"/>
      <c r="P26" s="4"/>
      <c r="Q26" s="4"/>
      <c r="R26" s="9"/>
      <c r="S26" s="4"/>
      <c r="T26" s="4"/>
      <c r="U26" s="4"/>
      <c r="V26" s="9"/>
      <c r="W26" s="4"/>
      <c r="X26" s="4"/>
      <c r="Y26" s="4"/>
      <c r="Z26" s="9"/>
    </row>
    <row r="27" spans="1:26" s="63" customFormat="1" ht="15" customHeight="1" x14ac:dyDescent="0.3">
      <c r="A27" s="11"/>
      <c r="B27" s="27" t="s">
        <v>292</v>
      </c>
      <c r="C27" s="27"/>
      <c r="D27" s="21" t="e">
        <f ca="1">+D18-D20+D24</f>
        <v>#NAME?</v>
      </c>
      <c r="E27" s="15"/>
      <c r="F27" s="23" t="e">
        <f ca="1">IF(D$12=0,0,D27/D$12)</f>
        <v>#NAME?</v>
      </c>
      <c r="G27" s="15"/>
      <c r="H27" s="21" t="e">
        <f ca="1">+H18-H20+H24</f>
        <v>#NAME?</v>
      </c>
      <c r="I27" s="15"/>
      <c r="J27" s="23" t="e">
        <f ca="1">IF(H$12=0,0,H27/H$12)</f>
        <v>#NAME?</v>
      </c>
      <c r="K27" s="16"/>
      <c r="L27" s="21" t="e">
        <f ca="1">+D27-H27</f>
        <v>#NAME?</v>
      </c>
      <c r="M27" s="16"/>
      <c r="N27" s="23" t="e">
        <f ca="1">IF(H27=0,0,L27/H27)</f>
        <v>#NAME?</v>
      </c>
      <c r="O27" s="28"/>
      <c r="P27" s="21" t="e">
        <f ca="1">+P18-P20+P24</f>
        <v>#NAME?</v>
      </c>
      <c r="Q27" s="15"/>
      <c r="R27" s="23" t="e">
        <f ca="1">IF(P$12=0,0,P27/P$12)</f>
        <v>#NAME?</v>
      </c>
      <c r="S27" s="15"/>
      <c r="T27" s="21" t="e">
        <f ca="1">+T18-T20+T24</f>
        <v>#NAME?</v>
      </c>
      <c r="U27" s="15"/>
      <c r="V27" s="23" t="e">
        <f ca="1">IF(T$12=0,0,T27/T$12)</f>
        <v>#NAME?</v>
      </c>
      <c r="W27" s="16"/>
      <c r="X27" s="21" t="e">
        <f ca="1">+P27-T27</f>
        <v>#NAME?</v>
      </c>
      <c r="Y27" s="16"/>
      <c r="Z27" s="23" t="e">
        <f ca="1">IF(T27=0,0,X27/T27)</f>
        <v>#NAME?</v>
      </c>
    </row>
    <row r="28" spans="1:26" ht="15" customHeight="1" x14ac:dyDescent="0.3">
      <c r="A28" s="10"/>
      <c r="B28" s="11"/>
      <c r="C28" s="10"/>
      <c r="D28" s="4"/>
      <c r="E28" s="4"/>
      <c r="F28" s="9"/>
      <c r="G28" s="4"/>
      <c r="H28" s="4"/>
      <c r="I28" s="4"/>
      <c r="J28" s="9"/>
      <c r="K28" s="4"/>
      <c r="L28" s="4"/>
      <c r="M28" s="4"/>
      <c r="N28" s="9"/>
      <c r="P28" s="4"/>
      <c r="Q28" s="4"/>
      <c r="R28" s="9"/>
      <c r="S28" s="4"/>
      <c r="T28" s="4"/>
      <c r="U28" s="4"/>
      <c r="V28" s="9"/>
      <c r="W28" s="4"/>
      <c r="X28" s="4"/>
      <c r="Y28" s="4"/>
      <c r="Z28" s="9"/>
    </row>
    <row r="29" spans="1:26" s="63" customFormat="1" ht="15" customHeight="1" x14ac:dyDescent="0.3">
      <c r="A29" s="49"/>
      <c r="B29" s="11" t="s">
        <v>293</v>
      </c>
      <c r="C29" s="11"/>
      <c r="D29" s="5" t="e">
        <f ca="1">_xll.ONESTOP.REPORTPLAYER.OSRFUNCTIONS.OSRGET("GL_F_Trans","Value1")</f>
        <v>#NAME?</v>
      </c>
      <c r="E29" s="5"/>
      <c r="F29" s="13" t="e">
        <f ca="1">IF(D$12=0,0,D29/D$12)</f>
        <v>#NAME?</v>
      </c>
      <c r="G29" s="5"/>
      <c r="H29" s="5" t="e">
        <f ca="1">_xll.ONESTOP.REPORTPLAYER.OSRFUNCTIONS.OSRGET("GL_F_Trans","Value1")</f>
        <v>#NAME?</v>
      </c>
      <c r="I29" s="5"/>
      <c r="J29" s="13" t="e">
        <f ca="1">IF(H$12=0,0,H29/H$12)</f>
        <v>#NAME?</v>
      </c>
      <c r="K29" s="5"/>
      <c r="L29" s="5" t="e">
        <f ca="1">+D29-H29</f>
        <v>#NAME?</v>
      </c>
      <c r="M29" s="5"/>
      <c r="N29" s="13" t="e">
        <f ca="1">IF(H29=0,0,L29/H29)</f>
        <v>#NAME?</v>
      </c>
      <c r="O29" s="11"/>
      <c r="P29" s="5" t="e">
        <f ca="1">_xll.ONESTOP.REPORTPLAYER.OSRFUNCTIONS.OSRGET("GL_F_Trans","Value1")</f>
        <v>#NAME?</v>
      </c>
      <c r="Q29" s="5"/>
      <c r="R29" s="13" t="e">
        <f ca="1">IF(P$12=0,0,P29/P$12)</f>
        <v>#NAME?</v>
      </c>
      <c r="S29" s="5"/>
      <c r="T29" s="5" t="e">
        <f ca="1">_xll.ONESTOP.REPORTPLAYER.OSRFUNCTIONS.OSRGET("GL_F_Trans","Value1")</f>
        <v>#NAME?</v>
      </c>
      <c r="U29" s="5"/>
      <c r="V29" s="13" t="e">
        <f ca="1">IF(T$12=0,0,T29/T$12)</f>
        <v>#NAME?</v>
      </c>
      <c r="W29" s="5"/>
      <c r="X29" s="5" t="e">
        <f ca="1">+P29-T29</f>
        <v>#NAME?</v>
      </c>
      <c r="Y29" s="5"/>
      <c r="Z29" s="13" t="e">
        <f ca="1">IF(T29=0,0,X29/T29)</f>
        <v>#NAME?</v>
      </c>
    </row>
    <row r="30" spans="1:26" ht="15" customHeight="1" x14ac:dyDescent="0.3">
      <c r="A30" s="10"/>
      <c r="B30" s="11"/>
      <c r="C30" s="11"/>
      <c r="D30" s="4"/>
      <c r="E30" s="4"/>
      <c r="F30" s="9"/>
      <c r="G30" s="4"/>
      <c r="H30" s="4"/>
      <c r="I30" s="4"/>
      <c r="J30" s="9"/>
      <c r="K30" s="4"/>
      <c r="L30" s="4"/>
      <c r="M30" s="4"/>
      <c r="N30" s="9"/>
      <c r="O30" s="11"/>
      <c r="P30" s="4"/>
      <c r="Q30" s="4"/>
      <c r="R30" s="9"/>
      <c r="S30" s="4"/>
      <c r="T30" s="4"/>
      <c r="U30" s="4"/>
      <c r="V30" s="9"/>
      <c r="W30" s="4"/>
      <c r="X30" s="4"/>
      <c r="Y30" s="4"/>
      <c r="Z30" s="9"/>
    </row>
    <row r="31" spans="1:26" s="63" customFormat="1" ht="15" customHeight="1" x14ac:dyDescent="0.3">
      <c r="A31" s="11"/>
      <c r="B31" s="27" t="s">
        <v>294</v>
      </c>
      <c r="C31" s="27"/>
      <c r="D31" s="34" t="e">
        <f ca="1">+D27-D29</f>
        <v>#NAME?</v>
      </c>
      <c r="E31" s="15"/>
      <c r="F31" s="29" t="e">
        <f ca="1">IF(D$12=0,0,D31/D$12)</f>
        <v>#NAME?</v>
      </c>
      <c r="G31" s="15"/>
      <c r="H31" s="34" t="e">
        <f ca="1">+H27-H29</f>
        <v>#NAME?</v>
      </c>
      <c r="I31" s="15"/>
      <c r="J31" s="29" t="e">
        <f ca="1">IF(H$12=0,0,H31/H$12)</f>
        <v>#NAME?</v>
      </c>
      <c r="K31" s="16"/>
      <c r="L31" s="34" t="e">
        <f ca="1">D31-H31</f>
        <v>#NAME?</v>
      </c>
      <c r="M31" s="16"/>
      <c r="N31" s="29" t="e">
        <f ca="1">IF(H31=0,0,L31/H31)</f>
        <v>#NAME?</v>
      </c>
      <c r="O31" s="28"/>
      <c r="P31" s="34" t="e">
        <f ca="1">+P27-P29</f>
        <v>#NAME?</v>
      </c>
      <c r="Q31" s="15"/>
      <c r="R31" s="29" t="e">
        <f ca="1">IF(P$12=0,0,P31/P$12)</f>
        <v>#NAME?</v>
      </c>
      <c r="S31" s="15"/>
      <c r="T31" s="34" t="e">
        <f ca="1">+T27-T29</f>
        <v>#NAME?</v>
      </c>
      <c r="U31" s="15"/>
      <c r="V31" s="29" t="e">
        <f ca="1">IF(T$12=0,0,T31/T$12)</f>
        <v>#NAME?</v>
      </c>
      <c r="W31" s="16"/>
      <c r="X31" s="34" t="e">
        <f ca="1">P31-T31</f>
        <v>#NAME?</v>
      </c>
      <c r="Y31" s="16"/>
      <c r="Z31" s="29" t="e">
        <f ca="1">IF(T31=0,0,X31/T31)</f>
        <v>#NAME?</v>
      </c>
    </row>
    <row r="32" spans="1:26" ht="15" customHeight="1" x14ac:dyDescent="0.3">
      <c r="A32" s="10"/>
      <c r="B32" s="10"/>
      <c r="C32" s="10"/>
      <c r="D32" s="4"/>
      <c r="E32" s="4"/>
      <c r="F32" s="9"/>
      <c r="G32" s="4"/>
      <c r="H32" s="4"/>
      <c r="I32" s="4"/>
      <c r="J32" s="9"/>
      <c r="K32" s="4"/>
      <c r="L32" s="4"/>
      <c r="M32" s="4"/>
      <c r="N32" s="9"/>
      <c r="P32" s="4"/>
      <c r="Q32" s="4"/>
      <c r="R32" s="9"/>
      <c r="S32" s="4"/>
      <c r="T32" s="4"/>
      <c r="U32" s="4"/>
      <c r="V32" s="9"/>
      <c r="W32" s="4"/>
      <c r="X32" s="4"/>
      <c r="Y32" s="4"/>
      <c r="Z32" s="9"/>
    </row>
    <row r="33" spans="1:26" s="63" customFormat="1" ht="15" customHeight="1" x14ac:dyDescent="0.3">
      <c r="A33" s="49"/>
      <c r="B33" s="11" t="s">
        <v>295</v>
      </c>
      <c r="C33" s="11"/>
      <c r="D33" s="5" t="e">
        <f ca="1">-_xll.ONESTOP.REPORTPLAYER.OSRFUNCTIONS.OSRGET("GL_F_Trans","Value1")</f>
        <v>#NAME?</v>
      </c>
      <c r="E33" s="5"/>
      <c r="F33" s="13" t="e">
        <f ca="1">IF(D$12=0,0,D33/D$12)</f>
        <v>#NAME?</v>
      </c>
      <c r="G33" s="5"/>
      <c r="H33" s="5" t="e">
        <f ca="1">-_xll.ONESTOP.REPORTPLAYER.OSRFUNCTIONS.OSRGET("GL_F_Trans","Value1")</f>
        <v>#NAME?</v>
      </c>
      <c r="I33" s="5"/>
      <c r="J33" s="13" t="e">
        <f ca="1">IF(H$12=0,0,H33/H$12)</f>
        <v>#NAME?</v>
      </c>
      <c r="K33" s="5"/>
      <c r="L33" s="5" t="e">
        <f ca="1">+D33-H33</f>
        <v>#NAME?</v>
      </c>
      <c r="M33" s="5"/>
      <c r="N33" s="13" t="e">
        <f ca="1">IF(H33=0,0,L33/H33)</f>
        <v>#NAME?</v>
      </c>
      <c r="O33" s="11"/>
      <c r="P33" s="5" t="e">
        <f ca="1">-_xll.ONESTOP.REPORTPLAYER.OSRFUNCTIONS.OSRGET("GL_F_Trans","Value1")</f>
        <v>#NAME?</v>
      </c>
      <c r="Q33" s="5"/>
      <c r="R33" s="13" t="e">
        <f ca="1">IF(P$12=0,0,P33/P$12)</f>
        <v>#NAME?</v>
      </c>
      <c r="S33" s="5"/>
      <c r="T33" s="5" t="e">
        <f ca="1">-_xll.ONESTOP.REPORTPLAYER.OSRFUNCTIONS.OSRGET("GL_F_Trans","Value1")</f>
        <v>#NAME?</v>
      </c>
      <c r="U33" s="5"/>
      <c r="V33" s="13" t="e">
        <f ca="1">IF(T$12=0,0,T33/T$12)</f>
        <v>#NAME?</v>
      </c>
      <c r="W33" s="5"/>
      <c r="X33" s="5" t="e">
        <f ca="1">+P33-T33</f>
        <v>#NAME?</v>
      </c>
      <c r="Y33" s="5"/>
      <c r="Z33" s="13" t="e">
        <f ca="1">IF(T33=0,0,X33/T33)</f>
        <v>#NAME?</v>
      </c>
    </row>
    <row r="34" spans="1:26" s="63" customFormat="1" ht="15" customHeight="1" x14ac:dyDescent="0.3">
      <c r="A34" s="49"/>
      <c r="B34" s="11" t="s">
        <v>296</v>
      </c>
      <c r="C34" s="11"/>
      <c r="D34" s="5" t="e">
        <f ca="1">-_xll.ONESTOP.REPORTPLAYER.OSRFUNCTIONS.OSRGET("GL_F_Trans","Value1")</f>
        <v>#NAME?</v>
      </c>
      <c r="E34" s="5"/>
      <c r="F34" s="13" t="e">
        <f ca="1">IF(D$12=0,0,D34/D$12)</f>
        <v>#NAME?</v>
      </c>
      <c r="G34" s="5"/>
      <c r="H34" s="5" t="e">
        <f ca="1">-_xll.ONESTOP.REPORTPLAYER.OSRFUNCTIONS.OSRGET("GL_F_Trans","Value1")</f>
        <v>#NAME?</v>
      </c>
      <c r="I34" s="5"/>
      <c r="J34" s="13" t="e">
        <f ca="1">IF(H$12=0,0,H34/H$12)</f>
        <v>#NAME?</v>
      </c>
      <c r="K34" s="5"/>
      <c r="L34" s="5" t="e">
        <f ca="1">+D34-H34</f>
        <v>#NAME?</v>
      </c>
      <c r="M34" s="5"/>
      <c r="N34" s="13" t="e">
        <f ca="1">IF(H34=0,0,L34/H34)</f>
        <v>#NAME?</v>
      </c>
      <c r="O34" s="11"/>
      <c r="P34" s="5" t="e">
        <f ca="1">-_xll.ONESTOP.REPORTPLAYER.OSRFUNCTIONS.OSRGET("GL_F_Trans","Value1")</f>
        <v>#NAME?</v>
      </c>
      <c r="Q34" s="5"/>
      <c r="R34" s="13" t="e">
        <f ca="1">IF(P$12=0,0,P34/P$12)</f>
        <v>#NAME?</v>
      </c>
      <c r="S34" s="5"/>
      <c r="T34" s="5" t="e">
        <f ca="1">-_xll.ONESTOP.REPORTPLAYER.OSRFUNCTIONS.OSRGET("GL_F_Trans","Value1")</f>
        <v>#NAME?</v>
      </c>
      <c r="U34" s="5"/>
      <c r="V34" s="13" t="e">
        <f ca="1">IF(T$12=0,0,T34/T$12)</f>
        <v>#NAME?</v>
      </c>
      <c r="W34" s="5"/>
      <c r="X34" s="5" t="e">
        <f ca="1">+P34-T34</f>
        <v>#NAME?</v>
      </c>
      <c r="Y34" s="5"/>
      <c r="Z34" s="13" t="e">
        <f ca="1">IF(T34=0,0,X34/T34)</f>
        <v>#NAME?</v>
      </c>
    </row>
    <row r="35" spans="1:26" ht="15" customHeight="1" x14ac:dyDescent="0.3">
      <c r="A35" s="10"/>
      <c r="B35" s="10"/>
      <c r="C35" s="10"/>
      <c r="D35" s="4"/>
      <c r="E35" s="4"/>
      <c r="F35" s="9"/>
      <c r="G35" s="4"/>
      <c r="H35" s="4"/>
      <c r="I35" s="4"/>
      <c r="J35" s="9"/>
      <c r="K35" s="4"/>
      <c r="L35" s="4"/>
      <c r="M35" s="4"/>
      <c r="N35" s="9"/>
      <c r="P35" s="4"/>
      <c r="Q35" s="4"/>
      <c r="R35" s="9"/>
      <c r="S35" s="4"/>
      <c r="T35" s="4"/>
      <c r="U35" s="4"/>
      <c r="V35" s="9"/>
      <c r="W35" s="4"/>
      <c r="X35" s="4"/>
      <c r="Y35" s="4"/>
      <c r="Z35" s="9"/>
    </row>
    <row r="36" spans="1:26" s="63" customFormat="1" ht="15" customHeight="1" x14ac:dyDescent="0.3">
      <c r="A36" s="11"/>
      <c r="B36" s="27" t="s">
        <v>297</v>
      </c>
      <c r="C36" s="27"/>
      <c r="D36" s="32" t="e">
        <f ca="1">SUM(D31:D35)</f>
        <v>#NAME?</v>
      </c>
      <c r="E36" s="15"/>
      <c r="F36" s="31" t="e">
        <f ca="1">IF(D$12=0,0,D36/D$12)</f>
        <v>#NAME?</v>
      </c>
      <c r="G36" s="15"/>
      <c r="H36" s="32" t="e">
        <f ca="1">SUM(H31:H35)</f>
        <v>#NAME?</v>
      </c>
      <c r="I36" s="15"/>
      <c r="J36" s="31" t="e">
        <f ca="1">IF(H$12=0,0,H36/H$12)</f>
        <v>#NAME?</v>
      </c>
      <c r="K36" s="16"/>
      <c r="L36" s="32" t="e">
        <f ca="1">+D36-H36</f>
        <v>#NAME?</v>
      </c>
      <c r="M36" s="16"/>
      <c r="N36" s="31" t="e">
        <f ca="1">IF(H36=0,0,L36/H36)</f>
        <v>#NAME?</v>
      </c>
      <c r="O36" s="28"/>
      <c r="P36" s="32" t="e">
        <f ca="1">SUM(P31:P35)</f>
        <v>#NAME?</v>
      </c>
      <c r="Q36" s="15"/>
      <c r="R36" s="31" t="e">
        <f ca="1">IF(P$12=0,0,P36/P$12)</f>
        <v>#NAME?</v>
      </c>
      <c r="S36" s="15"/>
      <c r="T36" s="32" t="e">
        <f ca="1">SUM(T31:T35)</f>
        <v>#NAME?</v>
      </c>
      <c r="U36" s="15"/>
      <c r="V36" s="31" t="e">
        <f ca="1">IF(T$12=0,0,T36/T$12)</f>
        <v>#NAME?</v>
      </c>
      <c r="W36" s="16"/>
      <c r="X36" s="32" t="e">
        <f ca="1">+P36-T36</f>
        <v>#NAME?</v>
      </c>
      <c r="Y36" s="16"/>
      <c r="Z36" s="31" t="e">
        <f ca="1">IF(T36=0,0,X36/T36)</f>
        <v>#NAME?</v>
      </c>
    </row>
    <row r="37" spans="1:26" ht="15" customHeight="1" x14ac:dyDescent="0.3">
      <c r="A37" s="10"/>
      <c r="C37" s="10"/>
      <c r="D37" s="19"/>
      <c r="E37" s="19"/>
      <c r="G37" s="19"/>
      <c r="H37" s="19"/>
      <c r="I37" s="19"/>
      <c r="J37" s="40"/>
      <c r="K37" s="19"/>
      <c r="L37" s="19"/>
      <c r="M37" s="19"/>
      <c r="P37" s="19"/>
      <c r="Q37" s="19"/>
      <c r="R37" s="40"/>
      <c r="S37" s="19"/>
      <c r="T37" s="19"/>
      <c r="U37" s="19"/>
      <c r="V37" s="40"/>
      <c r="W37" s="19"/>
      <c r="X37" s="19"/>
    </row>
    <row r="38" spans="1:26" ht="15" customHeight="1" x14ac:dyDescent="0.3">
      <c r="A38" s="10"/>
      <c r="B38" s="51" t="e">
        <f ca="1">_xll.ONESTOP.REPORTPLAYER.OSRFUNCTIONS.OSRGET("CurrentDate","Date")</f>
        <v>#NAME?</v>
      </c>
      <c r="D38" s="19"/>
      <c r="E38" s="19"/>
      <c r="G38" s="19"/>
      <c r="H38" s="19"/>
      <c r="I38" s="19"/>
      <c r="J38" s="40"/>
      <c r="K38" s="19"/>
      <c r="L38" s="19"/>
      <c r="M38" s="19"/>
      <c r="P38" s="19"/>
      <c r="Q38" s="19"/>
      <c r="R38" s="40"/>
      <c r="S38" s="19"/>
      <c r="T38" s="19"/>
      <c r="U38" s="19"/>
      <c r="V38" s="40"/>
      <c r="W38" s="19"/>
      <c r="X38" s="19"/>
    </row>
    <row r="39" spans="1:26" ht="15" customHeight="1" x14ac:dyDescent="0.3">
      <c r="A39" s="10"/>
      <c r="B39" s="58" t="e">
        <f ca="1">_xll.ONESTOP.REPORTPLAYER.OSRFUNCTIONS.OSRGET("User","UserId")</f>
        <v>#NAME?</v>
      </c>
      <c r="D39" s="19"/>
      <c r="E39" s="19"/>
      <c r="G39" s="19"/>
      <c r="H39" s="19"/>
      <c r="I39" s="19"/>
      <c r="J39" s="40"/>
      <c r="K39" s="19"/>
      <c r="L39" s="19"/>
      <c r="M39" s="19"/>
      <c r="P39" s="19"/>
      <c r="Q39" s="19"/>
      <c r="R39" s="40"/>
      <c r="S39" s="19"/>
      <c r="T39" s="19"/>
      <c r="U39" s="19"/>
      <c r="V39" s="40"/>
      <c r="W39" s="19"/>
      <c r="X39" s="19"/>
    </row>
    <row r="40" spans="1:26" ht="15" customHeight="1" x14ac:dyDescent="0.3">
      <c r="A40" s="10"/>
      <c r="B40" s="50"/>
      <c r="D40" s="19"/>
      <c r="E40" s="19"/>
      <c r="G40" s="19"/>
      <c r="H40" s="19"/>
      <c r="I40" s="19"/>
      <c r="J40" s="40"/>
      <c r="K40" s="19"/>
      <c r="L40" s="19"/>
      <c r="M40" s="19"/>
      <c r="P40" s="19"/>
      <c r="Q40" s="19"/>
      <c r="R40" s="40"/>
      <c r="S40" s="19"/>
      <c r="T40" s="19"/>
      <c r="U40" s="19"/>
      <c r="V40" s="40"/>
      <c r="W40" s="19"/>
      <c r="X40" s="19"/>
    </row>
    <row r="41" spans="1:26" ht="15" customHeight="1" x14ac:dyDescent="0.3">
      <c r="D41" s="19"/>
      <c r="E41" s="19"/>
      <c r="G41" s="19"/>
      <c r="H41" s="19"/>
      <c r="I41" s="19"/>
      <c r="J41" s="40"/>
      <c r="K41" s="19"/>
      <c r="L41" s="19"/>
      <c r="M41" s="19"/>
      <c r="P41" s="19"/>
      <c r="Q41" s="19"/>
      <c r="R41" s="40"/>
      <c r="S41" s="19"/>
      <c r="T41" s="19"/>
      <c r="U41" s="19"/>
      <c r="V41" s="40"/>
      <c r="W41" s="19"/>
      <c r="X41" s="19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22ED0E-9F4D-BF79-D71A-2929C42D2EA9}">
  <sheetPr>
    <tabColor rgb="FFFFFF00"/>
    <outlinePr summaryBelow="0" summaryRight="0"/>
  </sheetPr>
  <dimension ref="A2:Z41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6" customWidth="1"/>
    <col min="2" max="2" width="33.44140625" style="66" customWidth="1"/>
    <col min="3" max="3" width="1.88671875" style="66" customWidth="1"/>
    <col min="4" max="4" width="15" style="66" customWidth="1"/>
    <col min="5" max="5" width="1.88671875" style="66" customWidth="1" outlineLevel="1"/>
    <col min="6" max="6" width="15" style="67" customWidth="1" outlineLevel="1"/>
    <col min="7" max="7" width="1.88671875" style="66" customWidth="1" outlineLevel="1"/>
    <col min="8" max="8" width="15" style="66" customWidth="1" outlineLevel="1"/>
    <col min="9" max="9" width="1.88671875" style="66" customWidth="1" outlineLevel="1"/>
    <col min="10" max="10" width="15" style="68" customWidth="1" outlineLevel="1"/>
    <col min="11" max="11" width="1.88671875" style="66" customWidth="1" outlineLevel="1"/>
    <col min="12" max="12" width="15" style="66" customWidth="1" outlineLevel="1"/>
    <col min="13" max="13" width="1.88671875" style="66" customWidth="1" outlineLevel="1"/>
    <col min="14" max="14" width="15" style="67" customWidth="1" outlineLevel="1"/>
    <col min="15" max="15" width="1.88671875" style="64" customWidth="1"/>
    <col min="16" max="16" width="15" style="66" customWidth="1"/>
    <col min="17" max="17" width="1.88671875" style="66" customWidth="1" outlineLevel="1"/>
    <col min="18" max="18" width="15" style="68" customWidth="1" outlineLevel="1"/>
    <col min="19" max="19" width="1.88671875" style="66" customWidth="1" outlineLevel="1"/>
    <col min="20" max="20" width="15" style="66" customWidth="1" outlineLevel="1"/>
    <col min="21" max="21" width="1.88671875" style="66" customWidth="1" outlineLevel="1"/>
    <col min="22" max="22" width="15" style="68" customWidth="1" outlineLevel="1"/>
    <col min="23" max="23" width="1.88671875" style="66" customWidth="1" outlineLevel="1"/>
    <col min="24" max="24" width="15" style="66" customWidth="1" outlineLevel="1"/>
    <col min="25" max="25" width="1.88671875" style="66" customWidth="1" outlineLevel="1"/>
    <col min="26" max="26" width="15" style="68" customWidth="1" outlineLevel="1"/>
  </cols>
  <sheetData>
    <row r="2" spans="1:26" ht="15" customHeight="1" x14ac:dyDescent="0.3">
      <c r="D2" s="54" t="s">
        <v>276</v>
      </c>
    </row>
    <row r="3" spans="1:26" ht="15" customHeight="1" x14ac:dyDescent="0.3">
      <c r="D3" s="54" t="s">
        <v>277</v>
      </c>
      <c r="E3" s="18"/>
      <c r="F3" s="44"/>
      <c r="G3" s="18"/>
      <c r="H3" s="18"/>
      <c r="I3" s="18"/>
      <c r="J3" s="38"/>
      <c r="K3" s="18"/>
      <c r="L3" s="18"/>
      <c r="M3" s="18"/>
      <c r="N3" s="44"/>
      <c r="O3" s="53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ht="15" customHeight="1" x14ac:dyDescent="0.3">
      <c r="D4" s="54" t="e">
        <f ca="1">CONCATENATE("Period ",RIGHT(_xll.ONESTOP.REPORTPLAYER.OSRFUNCTIONS.OSRGET("Period","PeriodId"),2),", ",_xll.ONESTOP.REPORTPLAYER.OSRFUNCTIONS.OSRGET("Period","Year"))</f>
        <v>#NAME?</v>
      </c>
      <c r="E4" s="18"/>
      <c r="F4" s="44"/>
      <c r="G4" s="18"/>
      <c r="H4" s="18"/>
      <c r="I4" s="18"/>
      <c r="J4" s="38"/>
      <c r="K4" s="18"/>
      <c r="L4" s="18"/>
      <c r="M4" s="18"/>
      <c r="N4" s="44"/>
      <c r="O4" s="53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ht="15" customHeight="1" x14ac:dyDescent="0.3">
      <c r="A5" s="24"/>
      <c r="D5" s="61" t="e">
        <f ca="1">_xll.ONESTOP.REPORTPLAYER.OSRFUNCTIONS.OSRGET("Period","PeriodEnd")</f>
        <v>#NAME?</v>
      </c>
      <c r="E5" s="18"/>
      <c r="F5" s="44"/>
      <c r="G5" s="18"/>
      <c r="H5" s="18"/>
      <c r="I5" s="18"/>
      <c r="J5" s="38"/>
      <c r="K5" s="18"/>
      <c r="L5" s="18"/>
      <c r="M5" s="18"/>
      <c r="N5" s="44"/>
      <c r="O5" s="53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ht="15" customHeight="1" x14ac:dyDescent="0.3">
      <c r="A6" s="24"/>
      <c r="B6" s="47"/>
      <c r="C6" s="47"/>
      <c r="D6" s="24" t="s">
        <v>304</v>
      </c>
      <c r="E6" s="18"/>
      <c r="F6" s="44"/>
      <c r="G6" s="18"/>
      <c r="H6" s="18"/>
      <c r="I6" s="18"/>
      <c r="J6" s="38"/>
      <c r="K6" s="18"/>
      <c r="L6" s="18"/>
      <c r="M6" s="18"/>
      <c r="N6" s="44"/>
      <c r="O6" s="59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ht="15" customHeight="1" x14ac:dyDescent="0.3">
      <c r="B7" s="52"/>
    </row>
    <row r="8" spans="1:26" ht="15" customHeight="1" x14ac:dyDescent="0.3">
      <c r="B8" s="52"/>
    </row>
    <row r="9" spans="1:26" ht="15" customHeight="1" x14ac:dyDescent="0.3">
      <c r="B9" s="10"/>
      <c r="C9" s="10"/>
      <c r="D9" s="17" t="s">
        <v>279</v>
      </c>
      <c r="E9" s="17"/>
      <c r="F9" s="36"/>
      <c r="G9" s="17"/>
      <c r="H9" s="17"/>
      <c r="I9" s="17"/>
      <c r="J9" s="43"/>
      <c r="K9" s="17"/>
      <c r="L9" s="17"/>
      <c r="M9" s="17"/>
      <c r="N9" s="36"/>
      <c r="P9" s="17" t="s">
        <v>280</v>
      </c>
      <c r="Q9" s="17"/>
      <c r="R9" s="36"/>
      <c r="S9" s="17"/>
      <c r="T9" s="17"/>
      <c r="U9" s="17"/>
      <c r="V9" s="43"/>
      <c r="W9" s="17"/>
      <c r="X9" s="17"/>
      <c r="Y9" s="17"/>
      <c r="Z9" s="36"/>
    </row>
    <row r="10" spans="1:26" ht="15" customHeight="1" x14ac:dyDescent="0.3">
      <c r="A10" s="11"/>
      <c r="B10" s="57"/>
      <c r="C10" s="11"/>
      <c r="D10" s="41" t="s">
        <v>281</v>
      </c>
      <c r="E10" s="33"/>
      <c r="F10" s="37" t="s">
        <v>282</v>
      </c>
      <c r="G10" s="33"/>
      <c r="H10" s="48" t="s">
        <v>283</v>
      </c>
      <c r="I10" s="33"/>
      <c r="J10" s="45" t="s">
        <v>284</v>
      </c>
      <c r="K10" s="11"/>
      <c r="L10" s="41" t="s">
        <v>285</v>
      </c>
      <c r="M10" s="11"/>
      <c r="N10" s="37" t="s">
        <v>286</v>
      </c>
      <c r="O10" s="11"/>
      <c r="P10" s="56" t="s">
        <v>281</v>
      </c>
      <c r="Q10" s="33"/>
      <c r="R10" s="37" t="s">
        <v>282</v>
      </c>
      <c r="S10" s="33"/>
      <c r="T10" s="48" t="s">
        <v>283</v>
      </c>
      <c r="U10" s="33"/>
      <c r="V10" s="45" t="s">
        <v>284</v>
      </c>
      <c r="W10" s="11"/>
      <c r="X10" s="41" t="s">
        <v>285</v>
      </c>
      <c r="Y10" s="11"/>
      <c r="Z10" s="37" t="s">
        <v>286</v>
      </c>
    </row>
    <row r="11" spans="1:26" ht="16.5" customHeight="1" x14ac:dyDescent="0.3">
      <c r="A11" s="10"/>
      <c r="B11" s="55"/>
      <c r="C11" s="10"/>
      <c r="D11" s="10"/>
      <c r="E11" s="10"/>
      <c r="F11" s="9"/>
      <c r="G11" s="10"/>
      <c r="H11" s="10"/>
      <c r="I11" s="10"/>
      <c r="J11" s="46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6"/>
      <c r="W11" s="10"/>
      <c r="X11" s="10"/>
      <c r="Y11" s="10"/>
      <c r="Z11" s="9"/>
    </row>
    <row r="12" spans="1:26" s="63" customFormat="1" ht="15" customHeight="1" collapsed="1" x14ac:dyDescent="0.3">
      <c r="A12" s="11"/>
      <c r="B12" s="28" t="s">
        <v>287</v>
      </c>
      <c r="C12" s="11"/>
      <c r="D12" s="5" t="e">
        <f ca="1">SUM(_xll.ONESTOP.REPORTPLAYER.OSRFUNCTIONS.OSRREF(D13))</f>
        <v>#NAME?</v>
      </c>
      <c r="E12" s="5"/>
      <c r="F12" s="13"/>
      <c r="G12" s="5"/>
      <c r="H12" s="5" t="e">
        <f ca="1">SUM(_xll.ONESTOP.REPORTPLAYER.OSRFUNCTIONS.OSRREF(H13))</f>
        <v>#NAME?</v>
      </c>
      <c r="I12" s="5"/>
      <c r="J12" s="13"/>
      <c r="K12" s="5"/>
      <c r="L12" s="5" t="e">
        <f ca="1">+D12-H12</f>
        <v>#NAME?</v>
      </c>
      <c r="M12" s="5"/>
      <c r="N12" s="13" t="e">
        <f ca="1">IF(H12=0,0,L12/H12)</f>
        <v>#NAME?</v>
      </c>
      <c r="O12" s="11"/>
      <c r="P12" s="5" t="e">
        <f ca="1">SUM(_xll.ONESTOP.REPORTPLAYER.OSRFUNCTIONS.OSRREF(P13))</f>
        <v>#NAME?</v>
      </c>
      <c r="Q12" s="5"/>
      <c r="R12" s="13"/>
      <c r="S12" s="5"/>
      <c r="T12" s="5" t="e">
        <f ca="1">SUM(_xll.ONESTOP.REPORTPLAYER.OSRFUNCTIONS.OSRREF(T13))</f>
        <v>#NAME?</v>
      </c>
      <c r="U12" s="5"/>
      <c r="V12" s="13"/>
      <c r="W12" s="5"/>
      <c r="X12" s="5" t="e">
        <f ca="1">+P12-T12</f>
        <v>#NAME?</v>
      </c>
      <c r="Y12" s="5"/>
      <c r="Z12" s="13" t="e">
        <f ca="1">IF(T12=0,0,X12/T12)</f>
        <v>#NAME?</v>
      </c>
    </row>
    <row r="13" spans="1:26" s="70" customFormat="1" ht="15" hidden="1" customHeight="1" outlineLevel="1" x14ac:dyDescent="0.3">
      <c r="A13" s="42"/>
      <c r="B13" s="12" t="e">
        <f ca="1">CONCATENATE("          ",_xll.ONESTOP.REPORTPLAYER.OSRFUNCTIONS.OSRGET("d_Account","Code")," - ",_xll.ONESTOP.REPORTPLAYER.OSRFUNCTIONS.OSRGET("d_Account","Description"))</f>
        <v>#NAME?</v>
      </c>
      <c r="C13" s="12"/>
      <c r="D13" s="3" t="e">
        <f ca="1">-_xll.ONESTOP.REPORTPLAYER.OSRFUNCTIONS.OSRGET("GL_F_Trans","Value1")</f>
        <v>#NAME?</v>
      </c>
      <c r="E13" s="3"/>
      <c r="F13" s="20"/>
      <c r="G13" s="3"/>
      <c r="H13" s="3" t="e">
        <f ca="1">_xll.ONESTOP.REPORTPLAYER.OSRFUNCTIONS.OSRGET("GL_F_Trans","Value1")</f>
        <v>#NAME?</v>
      </c>
      <c r="I13" s="3"/>
      <c r="J13" s="20"/>
      <c r="K13" s="3"/>
      <c r="L13" s="3" t="e">
        <f ca="1">+D13-H13</f>
        <v>#NAME?</v>
      </c>
      <c r="M13" s="3"/>
      <c r="N13" s="20" t="e">
        <f ca="1">IF(H13=0,0,L13/H13)</f>
        <v>#NAME?</v>
      </c>
      <c r="O13" s="12"/>
      <c r="P13" s="3" t="e">
        <f ca="1">-_xll.ONESTOP.REPORTPLAYER.OSRFUNCTIONS.OSRGET("GL_F_Trans","Value1")</f>
        <v>#NAME?</v>
      </c>
      <c r="Q13" s="3"/>
      <c r="R13" s="20"/>
      <c r="S13" s="3"/>
      <c r="T13" s="3" t="e">
        <f ca="1">_xll.ONESTOP.REPORTPLAYER.OSRFUNCTIONS.OSRGET("GL_F_Trans","Value1")</f>
        <v>#NAME?</v>
      </c>
      <c r="U13" s="3"/>
      <c r="V13" s="20"/>
      <c r="W13" s="3"/>
      <c r="X13" s="3" t="e">
        <f ca="1">+P13-T13</f>
        <v>#NAME?</v>
      </c>
      <c r="Y13" s="3"/>
      <c r="Z13" s="20" t="e">
        <f ca="1">IF(T13=0,0,X13/T13)</f>
        <v>#NAME?</v>
      </c>
    </row>
    <row r="14" spans="1:26" ht="15" customHeight="1" x14ac:dyDescent="0.3">
      <c r="A14" s="10"/>
      <c r="B14" s="11"/>
      <c r="C14" s="10"/>
      <c r="D14" s="4"/>
      <c r="E14" s="4"/>
      <c r="F14" s="9"/>
      <c r="G14" s="4"/>
      <c r="H14" s="4"/>
      <c r="I14" s="4"/>
      <c r="J14" s="9"/>
      <c r="K14" s="4"/>
      <c r="L14" s="4"/>
      <c r="M14" s="4"/>
      <c r="N14" s="9"/>
      <c r="P14" s="4"/>
      <c r="Q14" s="4"/>
      <c r="R14" s="9"/>
      <c r="S14" s="4"/>
      <c r="T14" s="4"/>
      <c r="U14" s="4"/>
      <c r="V14" s="9"/>
      <c r="W14" s="4"/>
      <c r="X14" s="4"/>
      <c r="Y14" s="4"/>
      <c r="Z14" s="9"/>
    </row>
    <row r="15" spans="1:26" s="63" customFormat="1" ht="15" customHeight="1" collapsed="1" x14ac:dyDescent="0.3">
      <c r="A15" s="11"/>
      <c r="B15" s="28" t="s">
        <v>288</v>
      </c>
      <c r="C15" s="11"/>
      <c r="D15" s="5" t="e">
        <f ca="1">SUM(_xll.ONESTOP.REPORTPLAYER.OSRFUNCTIONS.OSRREF(D16))</f>
        <v>#NAME?</v>
      </c>
      <c r="E15" s="5"/>
      <c r="F15" s="13" t="e">
        <f ca="1">IF(D$12=0,0,D15/D$12)</f>
        <v>#NAME?</v>
      </c>
      <c r="G15" s="5"/>
      <c r="H15" s="5" t="e">
        <f ca="1">SUM(_xll.ONESTOP.REPORTPLAYER.OSRFUNCTIONS.OSRREF(H16))</f>
        <v>#NAME?</v>
      </c>
      <c r="I15" s="5"/>
      <c r="J15" s="13" t="e">
        <f ca="1">IF(H$12=0,0,H15/H$12)</f>
        <v>#NAME?</v>
      </c>
      <c r="K15" s="5"/>
      <c r="L15" s="5" t="e">
        <f ca="1">+D15-H15</f>
        <v>#NAME?</v>
      </c>
      <c r="M15" s="5"/>
      <c r="N15" s="13" t="e">
        <f ca="1">IF(H15=0,0,L15/H15)</f>
        <v>#NAME?</v>
      </c>
      <c r="O15" s="11"/>
      <c r="P15" s="5" t="e">
        <f ca="1">SUM(_xll.ONESTOP.REPORTPLAYER.OSRFUNCTIONS.OSRREF(P16))</f>
        <v>#NAME?</v>
      </c>
      <c r="Q15" s="5"/>
      <c r="R15" s="13" t="e">
        <f ca="1">IF(P$12=0,0,P15/P$12)</f>
        <v>#NAME?</v>
      </c>
      <c r="S15" s="5"/>
      <c r="T15" s="5" t="e">
        <f ca="1">SUM(_xll.ONESTOP.REPORTPLAYER.OSRFUNCTIONS.OSRREF(T16))</f>
        <v>#NAME?</v>
      </c>
      <c r="U15" s="5"/>
      <c r="V15" s="13" t="e">
        <f ca="1">IF(T$12=0,0,T15/T$12)</f>
        <v>#NAME?</v>
      </c>
      <c r="W15" s="5"/>
      <c r="X15" s="5" t="e">
        <f ca="1">+P15-T15</f>
        <v>#NAME?</v>
      </c>
      <c r="Y15" s="5"/>
      <c r="Z15" s="13" t="e">
        <f ca="1">IF(T15=0,0,X15/T15)</f>
        <v>#NAME?</v>
      </c>
    </row>
    <row r="16" spans="1:26" s="70" customFormat="1" ht="15" hidden="1" customHeight="1" outlineLevel="1" x14ac:dyDescent="0.3">
      <c r="A16" s="42"/>
      <c r="B16" s="12" t="e">
        <f ca="1">CONCATENATE("          ",_xll.ONESTOP.REPORTPLAYER.OSRFUNCTIONS.OSRGET("d_Account","Code")," - ",_xll.ONESTOP.REPORTPLAYER.OSRFUNCTIONS.OSRGET("d_Account","Description"))</f>
        <v>#NAME?</v>
      </c>
      <c r="C16" s="12"/>
      <c r="D16" s="3" t="e">
        <f ca="1">_xll.ONESTOP.REPORTPLAYER.OSRFUNCTIONS.OSRGET("GL_F_Trans","Value1")</f>
        <v>#NAME?</v>
      </c>
      <c r="E16" s="3"/>
      <c r="F16" s="20" t="e">
        <f ca="1">IF(D$12=0,0,D16/D$12)</f>
        <v>#NAME?</v>
      </c>
      <c r="G16" s="3"/>
      <c r="H16" s="3" t="e">
        <f ca="1">_xll.ONESTOP.REPORTPLAYER.OSRFUNCTIONS.OSRGET("GL_F_Trans","Value1")</f>
        <v>#NAME?</v>
      </c>
      <c r="I16" s="3"/>
      <c r="J16" s="20" t="e">
        <f ca="1">IF(H$12=0,0,H16/H$12)</f>
        <v>#NAME?</v>
      </c>
      <c r="K16" s="3"/>
      <c r="L16" s="3" t="e">
        <f ca="1">+D16-H16</f>
        <v>#NAME?</v>
      </c>
      <c r="M16" s="3"/>
      <c r="N16" s="20" t="e">
        <f ca="1">IF(H16=0,0,L16/H16)</f>
        <v>#NAME?</v>
      </c>
      <c r="O16" s="12"/>
      <c r="P16" s="3" t="e">
        <f ca="1">_xll.ONESTOP.REPORTPLAYER.OSRFUNCTIONS.OSRGET("GL_F_Trans","Value1")</f>
        <v>#NAME?</v>
      </c>
      <c r="Q16" s="3"/>
      <c r="R16" s="20" t="e">
        <f ca="1">IF(P$12=0,0,P16/P$12)</f>
        <v>#NAME?</v>
      </c>
      <c r="S16" s="3"/>
      <c r="T16" s="3" t="e">
        <f ca="1">_xll.ONESTOP.REPORTPLAYER.OSRFUNCTIONS.OSRGET("GL_F_Trans","Value1")</f>
        <v>#NAME?</v>
      </c>
      <c r="U16" s="3"/>
      <c r="V16" s="20" t="e">
        <f ca="1">IF(T$12=0,0,T16/T$12)</f>
        <v>#NAME?</v>
      </c>
      <c r="W16" s="3"/>
      <c r="X16" s="3" t="e">
        <f ca="1">+P16-T16</f>
        <v>#NAME?</v>
      </c>
      <c r="Y16" s="3"/>
      <c r="Z16" s="20" t="e">
        <f ca="1">IF(T16=0,0,X16/T16)</f>
        <v>#NAME?</v>
      </c>
    </row>
    <row r="17" spans="1:26" ht="15" customHeight="1" x14ac:dyDescent="0.3">
      <c r="A17" s="10"/>
      <c r="B17" s="11"/>
      <c r="C17" s="11"/>
      <c r="D17" s="4"/>
      <c r="E17" s="4"/>
      <c r="F17" s="9"/>
      <c r="G17" s="4"/>
      <c r="H17" s="4"/>
      <c r="I17" s="4"/>
      <c r="J17" s="9"/>
      <c r="K17" s="4"/>
      <c r="L17" s="4"/>
      <c r="M17" s="4"/>
      <c r="N17" s="9"/>
      <c r="O17" s="11"/>
      <c r="P17" s="4"/>
      <c r="Q17" s="4"/>
      <c r="R17" s="9"/>
      <c r="S17" s="4"/>
      <c r="T17" s="4"/>
      <c r="U17" s="4"/>
      <c r="V17" s="9"/>
      <c r="W17" s="4"/>
      <c r="X17" s="4"/>
      <c r="Y17" s="4"/>
      <c r="Z17" s="9"/>
    </row>
    <row r="18" spans="1:26" s="63" customFormat="1" ht="15" customHeight="1" x14ac:dyDescent="0.3">
      <c r="A18" s="11"/>
      <c r="B18" s="27" t="s">
        <v>289</v>
      </c>
      <c r="C18" s="27"/>
      <c r="D18" s="21" t="e">
        <f ca="1">D12-D15</f>
        <v>#NAME?</v>
      </c>
      <c r="E18" s="15"/>
      <c r="F18" s="23" t="e">
        <f ca="1">IF(D$12=0,0,D18/D$12)</f>
        <v>#NAME?</v>
      </c>
      <c r="G18" s="15"/>
      <c r="H18" s="21" t="e">
        <f ca="1">H12-H15</f>
        <v>#NAME?</v>
      </c>
      <c r="I18" s="15"/>
      <c r="J18" s="23" t="e">
        <f ca="1">IF(H$12=0,0,H18/H$12)</f>
        <v>#NAME?</v>
      </c>
      <c r="K18" s="16"/>
      <c r="L18" s="21" t="e">
        <f ca="1">+D18-H18</f>
        <v>#NAME?</v>
      </c>
      <c r="M18" s="16"/>
      <c r="N18" s="23" t="e">
        <f ca="1">IF(H18=0,0,L18/H18)</f>
        <v>#NAME?</v>
      </c>
      <c r="O18" s="28"/>
      <c r="P18" s="21" t="e">
        <f ca="1">P12-P15</f>
        <v>#NAME?</v>
      </c>
      <c r="Q18" s="15"/>
      <c r="R18" s="23" t="e">
        <f ca="1">IF(P$12=0,0,P18/P$12)</f>
        <v>#NAME?</v>
      </c>
      <c r="S18" s="15"/>
      <c r="T18" s="21" t="e">
        <f ca="1">T12-T15</f>
        <v>#NAME?</v>
      </c>
      <c r="U18" s="15"/>
      <c r="V18" s="23" t="e">
        <f ca="1">IF(T$12=0,0,T18/T$12)</f>
        <v>#NAME?</v>
      </c>
      <c r="W18" s="16"/>
      <c r="X18" s="21" t="e">
        <f ca="1">+P18-T18</f>
        <v>#NAME?</v>
      </c>
      <c r="Y18" s="16"/>
      <c r="Z18" s="23" t="e">
        <f ca="1">IF(T18=0,0,X18/T18)</f>
        <v>#NAME?</v>
      </c>
    </row>
    <row r="19" spans="1:26" ht="15" customHeight="1" x14ac:dyDescent="0.3">
      <c r="A19" s="10"/>
      <c r="B19" s="11"/>
      <c r="C19" s="10"/>
      <c r="D19" s="2"/>
      <c r="E19" s="2"/>
      <c r="F19" s="6"/>
      <c r="G19" s="2"/>
      <c r="H19" s="2"/>
      <c r="I19" s="2"/>
      <c r="J19" s="6"/>
      <c r="K19" s="2"/>
      <c r="L19" s="2"/>
      <c r="M19" s="2"/>
      <c r="N19" s="6"/>
      <c r="O19" s="35"/>
      <c r="P19" s="2"/>
      <c r="Q19" s="2"/>
      <c r="R19" s="6"/>
      <c r="S19" s="2"/>
      <c r="T19" s="2"/>
      <c r="U19" s="2"/>
      <c r="V19" s="6"/>
      <c r="W19" s="2"/>
      <c r="X19" s="2"/>
      <c r="Y19" s="2"/>
      <c r="Z19" s="6"/>
    </row>
    <row r="20" spans="1:26" s="63" customFormat="1" ht="15" customHeight="1" x14ac:dyDescent="0.3">
      <c r="A20" s="11"/>
      <c r="B20" s="28" t="s">
        <v>290</v>
      </c>
      <c r="C20" s="11"/>
      <c r="D20" s="22" t="e">
        <f ca="1">SUM(_xll.ONESTOP.REPORTPLAYER.OSRFUNCTIONS.OSRREF(D22))</f>
        <v>#NAME?</v>
      </c>
      <c r="E20" s="22"/>
      <c r="F20" s="30" t="e">
        <f ca="1">IF(D$12=0,0,D20/D$12)</f>
        <v>#NAME?</v>
      </c>
      <c r="G20" s="22"/>
      <c r="H20" s="22" t="e">
        <f ca="1">SUM(_xll.ONESTOP.REPORTPLAYER.OSRFUNCTIONS.OSRREF(H22))</f>
        <v>#NAME?</v>
      </c>
      <c r="I20" s="22"/>
      <c r="J20" s="30" t="e">
        <f ca="1">IF(H$12=0,0,H20/H$12)</f>
        <v>#NAME?</v>
      </c>
      <c r="K20" s="5"/>
      <c r="L20" s="22" t="e">
        <f ca="1">+D20-H20</f>
        <v>#NAME?</v>
      </c>
      <c r="M20" s="5"/>
      <c r="N20" s="30" t="e">
        <f ca="1">IF(H20=0,0,L20/H20)</f>
        <v>#NAME?</v>
      </c>
      <c r="O20" s="11"/>
      <c r="P20" s="22" t="e">
        <f ca="1">SUM(_xll.ONESTOP.REPORTPLAYER.OSRFUNCTIONS.OSRREF(P22))</f>
        <v>#NAME?</v>
      </c>
      <c r="Q20" s="22"/>
      <c r="R20" s="30" t="e">
        <f ca="1">IF(P$12=0,0,P20/P$12)</f>
        <v>#NAME?</v>
      </c>
      <c r="S20" s="22"/>
      <c r="T20" s="22" t="e">
        <f ca="1">SUM(_xll.ONESTOP.REPORTPLAYER.OSRFUNCTIONS.OSRREF(T22))</f>
        <v>#NAME?</v>
      </c>
      <c r="U20" s="22"/>
      <c r="V20" s="30" t="e">
        <f ca="1">IF(T$12=0,0,T20/T$12)</f>
        <v>#NAME?</v>
      </c>
      <c r="W20" s="5"/>
      <c r="X20" s="22" t="e">
        <f ca="1">+P20-T20</f>
        <v>#NAME?</v>
      </c>
      <c r="Y20" s="5"/>
      <c r="Z20" s="30" t="e">
        <f ca="1">IF(T20=0,0,X20/T20)</f>
        <v>#NAME?</v>
      </c>
    </row>
    <row r="21" spans="1:26" s="69" customFormat="1" ht="15" customHeight="1" outlineLevel="1" collapsed="1" x14ac:dyDescent="0.3">
      <c r="A21" s="25"/>
      <c r="B21" s="14" t="e">
        <f ca="1">CONCATENATE("     ",_xll.ONESTOP.REPORTPLAYER.OSRFUNCTIONS.OSRGET("d_Account","AccountCategory"))</f>
        <v>#NAME?</v>
      </c>
      <c r="C21" s="14"/>
      <c r="D21" s="2" t="e">
        <f ca="1">SUM(_xll.ONESTOP.REPORTPLAYER.OSRFUNCTIONS.OSRREF(D22))</f>
        <v>#NAME?</v>
      </c>
      <c r="E21" s="2"/>
      <c r="F21" s="6" t="e">
        <f ca="1">IF(D$12=0,0,D21/D$12)</f>
        <v>#NAME?</v>
      </c>
      <c r="G21" s="2"/>
      <c r="H21" s="2" t="e">
        <f ca="1">SUM(_xll.ONESTOP.REPORTPLAYER.OSRFUNCTIONS.OSRREF(H22))</f>
        <v>#NAME?</v>
      </c>
      <c r="I21" s="2"/>
      <c r="J21" s="6" t="e">
        <f ca="1">IF(H$12=0,0,H21/H$12)</f>
        <v>#NAME?</v>
      </c>
      <c r="K21" s="2"/>
      <c r="L21" s="2" t="e">
        <f ca="1">+D21-H21</f>
        <v>#NAME?</v>
      </c>
      <c r="M21" s="2"/>
      <c r="N21" s="6" t="e">
        <f ca="1">IF(H21=0,0,L21/H21)</f>
        <v>#NAME?</v>
      </c>
      <c r="O21" s="14"/>
      <c r="P21" s="2" t="e">
        <f ca="1">SUM(_xll.ONESTOP.REPORTPLAYER.OSRFUNCTIONS.OSRREF(P22))</f>
        <v>#NAME?</v>
      </c>
      <c r="Q21" s="2"/>
      <c r="R21" s="6" t="e">
        <f ca="1">IF(P$12=0,0,P21/P$12)</f>
        <v>#NAME?</v>
      </c>
      <c r="S21" s="2"/>
      <c r="T21" s="2" t="e">
        <f ca="1">SUM(_xll.ONESTOP.REPORTPLAYER.OSRFUNCTIONS.OSRREF(T22))</f>
        <v>#NAME?</v>
      </c>
      <c r="U21" s="2"/>
      <c r="V21" s="6" t="e">
        <f ca="1">IF(T$12=0,0,T21/T$12)</f>
        <v>#NAME?</v>
      </c>
      <c r="W21" s="2"/>
      <c r="X21" s="2" t="e">
        <f ca="1">+P21-T21</f>
        <v>#NAME?</v>
      </c>
      <c r="Y21" s="2"/>
      <c r="Z21" s="6" t="e">
        <f ca="1">IF(T21=0,0,X21/T21)</f>
        <v>#NAME?</v>
      </c>
    </row>
    <row r="22" spans="1:26" s="70" customFormat="1" ht="15" hidden="1" customHeight="1" outlineLevel="2" x14ac:dyDescent="0.3">
      <c r="A22" s="26"/>
      <c r="B22" s="12" t="e">
        <f ca="1">CONCATENATE("          ",_xll.ONESTOP.REPORTPLAYER.OSRFUNCTIONS.OSRGET("d_Account","Code")," - ",_xll.ONESTOP.REPORTPLAYER.OSRFUNCTIONS.OSRGET("d_Account","Description"))</f>
        <v>#NAME?</v>
      </c>
      <c r="C22" s="12"/>
      <c r="D22" s="7" t="e">
        <f ca="1">_xll.ONESTOP.REPORTPLAYER.OSRFUNCTIONS.OSRGET("GL_F_Trans","Value1")</f>
        <v>#NAME?</v>
      </c>
      <c r="E22" s="3"/>
      <c r="F22" s="8" t="e">
        <f ca="1">IF(D$12=0,0,D22/D$12)</f>
        <v>#NAME?</v>
      </c>
      <c r="G22" s="3"/>
      <c r="H22" s="7" t="e">
        <f ca="1">_xll.ONESTOP.REPORTPLAYER.OSRFUNCTIONS.OSRGET("GL_F_Trans","Value1")</f>
        <v>#NAME?</v>
      </c>
      <c r="I22" s="3"/>
      <c r="J22" s="8" t="e">
        <f ca="1">IF(H$12=0,0,H22/H$12)</f>
        <v>#NAME?</v>
      </c>
      <c r="K22" s="3"/>
      <c r="L22" s="7" t="e">
        <f ca="1">+D22-H22</f>
        <v>#NAME?</v>
      </c>
      <c r="M22" s="3"/>
      <c r="N22" s="8" t="e">
        <f ca="1">IF(H22=0,0,L22/H22)</f>
        <v>#NAME?</v>
      </c>
      <c r="O22" s="12"/>
      <c r="P22" s="7" t="e">
        <f ca="1">_xll.ONESTOP.REPORTPLAYER.OSRFUNCTIONS.OSRGET("GL_F_Trans","Value1")</f>
        <v>#NAME?</v>
      </c>
      <c r="Q22" s="3"/>
      <c r="R22" s="8" t="e">
        <f ca="1">IF(P$12=0,0,P22/P$12)</f>
        <v>#NAME?</v>
      </c>
      <c r="S22" s="3"/>
      <c r="T22" s="7" t="e">
        <f ca="1">_xll.ONESTOP.REPORTPLAYER.OSRFUNCTIONS.OSRGET("GL_F_Trans","Value1")</f>
        <v>#NAME?</v>
      </c>
      <c r="U22" s="3"/>
      <c r="V22" s="8" t="e">
        <f ca="1">IF(T$12=0,0,T22/T$12)</f>
        <v>#NAME?</v>
      </c>
      <c r="W22" s="3"/>
      <c r="X22" s="7" t="e">
        <f ca="1">+P22-T22</f>
        <v>#NAME?</v>
      </c>
      <c r="Y22" s="3"/>
      <c r="Z22" s="8" t="e">
        <f ca="1">IF(T22=0,0,X22/T22)</f>
        <v>#NAME?</v>
      </c>
    </row>
    <row r="23" spans="1:26" s="65" customFormat="1" ht="15" customHeight="1" x14ac:dyDescent="0.3">
      <c r="A23" s="35"/>
      <c r="B23" s="35"/>
      <c r="C23" s="35"/>
      <c r="D23" s="2"/>
      <c r="E23" s="2"/>
      <c r="F23" s="6"/>
      <c r="G23" s="2"/>
      <c r="H23" s="2"/>
      <c r="I23" s="2"/>
      <c r="J23" s="6"/>
      <c r="K23" s="2"/>
      <c r="L23" s="2"/>
      <c r="M23" s="2"/>
      <c r="N23" s="6"/>
      <c r="O23" s="35"/>
      <c r="P23" s="2"/>
      <c r="Q23" s="2"/>
      <c r="R23" s="6"/>
      <c r="S23" s="2"/>
      <c r="T23" s="2"/>
      <c r="U23" s="2"/>
      <c r="V23" s="6"/>
      <c r="W23" s="2"/>
      <c r="X23" s="2"/>
      <c r="Y23" s="2"/>
      <c r="Z23" s="6"/>
    </row>
    <row r="24" spans="1:26" s="63" customFormat="1" ht="15" customHeight="1" collapsed="1" x14ac:dyDescent="0.3">
      <c r="A24" s="11"/>
      <c r="B24" s="28" t="s">
        <v>291</v>
      </c>
      <c r="C24" s="11"/>
      <c r="D24" s="5" t="e">
        <f ca="1">SUM(_xll.ONESTOP.REPORTPLAYER.OSRFUNCTIONS.OSRREF(D25))</f>
        <v>#NAME?</v>
      </c>
      <c r="E24" s="5"/>
      <c r="F24" s="13" t="e">
        <f ca="1">IF(D$12=0,0,D24/D$12)</f>
        <v>#NAME?</v>
      </c>
      <c r="G24" s="5"/>
      <c r="H24" s="5" t="e">
        <f ca="1">SUM(_xll.ONESTOP.REPORTPLAYER.OSRFUNCTIONS.OSRREF(H25))</f>
        <v>#NAME?</v>
      </c>
      <c r="I24" s="5"/>
      <c r="J24" s="13" t="e">
        <f ca="1">IF(H$12=0,0,H24/H$12)</f>
        <v>#NAME?</v>
      </c>
      <c r="K24" s="5"/>
      <c r="L24" s="5" t="e">
        <f ca="1">+D24-H24</f>
        <v>#NAME?</v>
      </c>
      <c r="M24" s="5"/>
      <c r="N24" s="13" t="e">
        <f ca="1">IF(H24=0,0,L24/H24)</f>
        <v>#NAME?</v>
      </c>
      <c r="O24" s="11"/>
      <c r="P24" s="5" t="e">
        <f ca="1">SUM(_xll.ONESTOP.REPORTPLAYER.OSRFUNCTIONS.OSRREF(P25))</f>
        <v>#NAME?</v>
      </c>
      <c r="Q24" s="5"/>
      <c r="R24" s="13" t="e">
        <f ca="1">IF(P$12=0,0,P24/P$12)</f>
        <v>#NAME?</v>
      </c>
      <c r="S24" s="5"/>
      <c r="T24" s="5" t="e">
        <f ca="1">SUM(_xll.ONESTOP.REPORTPLAYER.OSRFUNCTIONS.OSRREF(T25))</f>
        <v>#NAME?</v>
      </c>
      <c r="U24" s="5"/>
      <c r="V24" s="13" t="e">
        <f ca="1">IF(T$12=0,0,T24/T$12)</f>
        <v>#NAME?</v>
      </c>
      <c r="W24" s="5"/>
      <c r="X24" s="5" t="e">
        <f ca="1">+P24-T24</f>
        <v>#NAME?</v>
      </c>
      <c r="Y24" s="5"/>
      <c r="Z24" s="13" t="e">
        <f ca="1">IF(T24=0,0,X24/T24)</f>
        <v>#NAME?</v>
      </c>
    </row>
    <row r="25" spans="1:26" s="70" customFormat="1" ht="15" hidden="1" customHeight="1" outlineLevel="1" x14ac:dyDescent="0.3">
      <c r="A25" s="42"/>
      <c r="B25" s="12" t="e">
        <f ca="1">CONCATENATE("          ",_xll.ONESTOP.REPORTPLAYER.OSRFUNCTIONS.OSRGET("d_Account","Code")," - ",_xll.ONESTOP.REPORTPLAYER.OSRFUNCTIONS.OSRGET("d_Account","Description"))</f>
        <v>#NAME?</v>
      </c>
      <c r="C25" s="12"/>
      <c r="D25" s="3" t="e">
        <f ca="1">-_xll.ONESTOP.REPORTPLAYER.OSRFUNCTIONS.OSRGET("GL_F_Trans","Value1")</f>
        <v>#NAME?</v>
      </c>
      <c r="E25" s="3"/>
      <c r="F25" s="20" t="e">
        <f ca="1">IF(D$12=0,0,D25/D$12)</f>
        <v>#NAME?</v>
      </c>
      <c r="G25" s="3"/>
      <c r="H25" s="3" t="e">
        <f ca="1">_xll.ONESTOP.REPORTPLAYER.OSRFUNCTIONS.OSRGET("GL_F_Trans","Value1")</f>
        <v>#NAME?</v>
      </c>
      <c r="I25" s="3"/>
      <c r="J25" s="20" t="e">
        <f ca="1">IF(H$12=0,0,H25/H$12)</f>
        <v>#NAME?</v>
      </c>
      <c r="K25" s="3"/>
      <c r="L25" s="3" t="e">
        <f ca="1">+D25-H25</f>
        <v>#NAME?</v>
      </c>
      <c r="M25" s="3"/>
      <c r="N25" s="20" t="e">
        <f ca="1">IF(H25=0,0,L25/H25)</f>
        <v>#NAME?</v>
      </c>
      <c r="O25" s="12"/>
      <c r="P25" s="3" t="e">
        <f ca="1">-_xll.ONESTOP.REPORTPLAYER.OSRFUNCTIONS.OSRGET("GL_F_Trans","Value1")</f>
        <v>#NAME?</v>
      </c>
      <c r="Q25" s="3"/>
      <c r="R25" s="20" t="e">
        <f ca="1">IF(P$12=0,0,P25/P$12)</f>
        <v>#NAME?</v>
      </c>
      <c r="S25" s="3"/>
      <c r="T25" s="3" t="e">
        <f ca="1">_xll.ONESTOP.REPORTPLAYER.OSRFUNCTIONS.OSRGET("GL_F_Trans","Value1")</f>
        <v>#NAME?</v>
      </c>
      <c r="U25" s="3"/>
      <c r="V25" s="20" t="e">
        <f ca="1">IF(T$12=0,0,T25/T$12)</f>
        <v>#NAME?</v>
      </c>
      <c r="W25" s="3"/>
      <c r="X25" s="3" t="e">
        <f ca="1">+P25-T25</f>
        <v>#NAME?</v>
      </c>
      <c r="Y25" s="3"/>
      <c r="Z25" s="20" t="e">
        <f ca="1">IF(T25=0,0,X25/T25)</f>
        <v>#NAME?</v>
      </c>
    </row>
    <row r="26" spans="1:26" ht="15" customHeight="1" x14ac:dyDescent="0.3">
      <c r="A26" s="10"/>
      <c r="B26" s="11"/>
      <c r="C26" s="11"/>
      <c r="D26" s="4"/>
      <c r="E26" s="4"/>
      <c r="F26" s="9"/>
      <c r="G26" s="4"/>
      <c r="H26" s="4"/>
      <c r="I26" s="4"/>
      <c r="J26" s="9"/>
      <c r="K26" s="4"/>
      <c r="L26" s="4"/>
      <c r="M26" s="4"/>
      <c r="N26" s="9"/>
      <c r="O26" s="11"/>
      <c r="P26" s="4"/>
      <c r="Q26" s="4"/>
      <c r="R26" s="9"/>
      <c r="S26" s="4"/>
      <c r="T26" s="4"/>
      <c r="U26" s="4"/>
      <c r="V26" s="9"/>
      <c r="W26" s="4"/>
      <c r="X26" s="4"/>
      <c r="Y26" s="4"/>
      <c r="Z26" s="9"/>
    </row>
    <row r="27" spans="1:26" s="63" customFormat="1" ht="15" customHeight="1" x14ac:dyDescent="0.3">
      <c r="A27" s="11"/>
      <c r="B27" s="27" t="s">
        <v>292</v>
      </c>
      <c r="C27" s="27"/>
      <c r="D27" s="21" t="e">
        <f ca="1">+D18-D20+D24</f>
        <v>#NAME?</v>
      </c>
      <c r="E27" s="15"/>
      <c r="F27" s="23" t="e">
        <f ca="1">IF(D$12=0,0,D27/D$12)</f>
        <v>#NAME?</v>
      </c>
      <c r="G27" s="15"/>
      <c r="H27" s="21" t="e">
        <f ca="1">+H18-H20+H24</f>
        <v>#NAME?</v>
      </c>
      <c r="I27" s="15"/>
      <c r="J27" s="23" t="e">
        <f ca="1">IF(H$12=0,0,H27/H$12)</f>
        <v>#NAME?</v>
      </c>
      <c r="K27" s="16"/>
      <c r="L27" s="21" t="e">
        <f ca="1">+D27-H27</f>
        <v>#NAME?</v>
      </c>
      <c r="M27" s="16"/>
      <c r="N27" s="23" t="e">
        <f ca="1">IF(H27=0,0,L27/H27)</f>
        <v>#NAME?</v>
      </c>
      <c r="O27" s="28"/>
      <c r="P27" s="21" t="e">
        <f ca="1">+P18-P20+P24</f>
        <v>#NAME?</v>
      </c>
      <c r="Q27" s="15"/>
      <c r="R27" s="23" t="e">
        <f ca="1">IF(P$12=0,0,P27/P$12)</f>
        <v>#NAME?</v>
      </c>
      <c r="S27" s="15"/>
      <c r="T27" s="21" t="e">
        <f ca="1">+T18-T20+T24</f>
        <v>#NAME?</v>
      </c>
      <c r="U27" s="15"/>
      <c r="V27" s="23" t="e">
        <f ca="1">IF(T$12=0,0,T27/T$12)</f>
        <v>#NAME?</v>
      </c>
      <c r="W27" s="16"/>
      <c r="X27" s="21" t="e">
        <f ca="1">+P27-T27</f>
        <v>#NAME?</v>
      </c>
      <c r="Y27" s="16"/>
      <c r="Z27" s="23" t="e">
        <f ca="1">IF(T27=0,0,X27/T27)</f>
        <v>#NAME?</v>
      </c>
    </row>
    <row r="28" spans="1:26" ht="15" customHeight="1" x14ac:dyDescent="0.3">
      <c r="A28" s="10"/>
      <c r="B28" s="11"/>
      <c r="C28" s="10"/>
      <c r="D28" s="4"/>
      <c r="E28" s="4"/>
      <c r="F28" s="9"/>
      <c r="G28" s="4"/>
      <c r="H28" s="4"/>
      <c r="I28" s="4"/>
      <c r="J28" s="9"/>
      <c r="K28" s="4"/>
      <c r="L28" s="4"/>
      <c r="M28" s="4"/>
      <c r="N28" s="9"/>
      <c r="P28" s="4"/>
      <c r="Q28" s="4"/>
      <c r="R28" s="9"/>
      <c r="S28" s="4"/>
      <c r="T28" s="4"/>
      <c r="U28" s="4"/>
      <c r="V28" s="9"/>
      <c r="W28" s="4"/>
      <c r="X28" s="4"/>
      <c r="Y28" s="4"/>
      <c r="Z28" s="9"/>
    </row>
    <row r="29" spans="1:26" s="63" customFormat="1" ht="15" customHeight="1" x14ac:dyDescent="0.3">
      <c r="A29" s="49"/>
      <c r="B29" s="11" t="s">
        <v>293</v>
      </c>
      <c r="C29" s="11"/>
      <c r="D29" s="5" t="e">
        <f ca="1">_xll.ONESTOP.REPORTPLAYER.OSRFUNCTIONS.OSRGET("GL_F_Trans","Value1")</f>
        <v>#NAME?</v>
      </c>
      <c r="E29" s="5"/>
      <c r="F29" s="13" t="e">
        <f ca="1">IF(D$12=0,0,D29/D$12)</f>
        <v>#NAME?</v>
      </c>
      <c r="G29" s="5"/>
      <c r="H29" s="5" t="e">
        <f ca="1">_xll.ONESTOP.REPORTPLAYER.OSRFUNCTIONS.OSRGET("GL_F_Trans","Value1")</f>
        <v>#NAME?</v>
      </c>
      <c r="I29" s="5"/>
      <c r="J29" s="13" t="e">
        <f ca="1">IF(H$12=0,0,H29/H$12)</f>
        <v>#NAME?</v>
      </c>
      <c r="K29" s="5"/>
      <c r="L29" s="5" t="e">
        <f ca="1">+D29-H29</f>
        <v>#NAME?</v>
      </c>
      <c r="M29" s="5"/>
      <c r="N29" s="13" t="e">
        <f ca="1">IF(H29=0,0,L29/H29)</f>
        <v>#NAME?</v>
      </c>
      <c r="O29" s="11"/>
      <c r="P29" s="5" t="e">
        <f ca="1">_xll.ONESTOP.REPORTPLAYER.OSRFUNCTIONS.OSRGET("GL_F_Trans","Value1")</f>
        <v>#NAME?</v>
      </c>
      <c r="Q29" s="5"/>
      <c r="R29" s="13" t="e">
        <f ca="1">IF(P$12=0,0,P29/P$12)</f>
        <v>#NAME?</v>
      </c>
      <c r="S29" s="5"/>
      <c r="T29" s="5" t="e">
        <f ca="1">_xll.ONESTOP.REPORTPLAYER.OSRFUNCTIONS.OSRGET("GL_F_Trans","Value1")</f>
        <v>#NAME?</v>
      </c>
      <c r="U29" s="5"/>
      <c r="V29" s="13" t="e">
        <f ca="1">IF(T$12=0,0,T29/T$12)</f>
        <v>#NAME?</v>
      </c>
      <c r="W29" s="5"/>
      <c r="X29" s="5" t="e">
        <f ca="1">+P29-T29</f>
        <v>#NAME?</v>
      </c>
      <c r="Y29" s="5"/>
      <c r="Z29" s="13" t="e">
        <f ca="1">IF(T29=0,0,X29/T29)</f>
        <v>#NAME?</v>
      </c>
    </row>
    <row r="30" spans="1:26" ht="15" customHeight="1" x14ac:dyDescent="0.3">
      <c r="A30" s="10"/>
      <c r="B30" s="11"/>
      <c r="C30" s="11"/>
      <c r="D30" s="4"/>
      <c r="E30" s="4"/>
      <c r="F30" s="9"/>
      <c r="G30" s="4"/>
      <c r="H30" s="4"/>
      <c r="I30" s="4"/>
      <c r="J30" s="9"/>
      <c r="K30" s="4"/>
      <c r="L30" s="4"/>
      <c r="M30" s="4"/>
      <c r="N30" s="9"/>
      <c r="O30" s="11"/>
      <c r="P30" s="4"/>
      <c r="Q30" s="4"/>
      <c r="R30" s="9"/>
      <c r="S30" s="4"/>
      <c r="T30" s="4"/>
      <c r="U30" s="4"/>
      <c r="V30" s="9"/>
      <c r="W30" s="4"/>
      <c r="X30" s="4"/>
      <c r="Y30" s="4"/>
      <c r="Z30" s="9"/>
    </row>
    <row r="31" spans="1:26" s="63" customFormat="1" ht="15" customHeight="1" x14ac:dyDescent="0.3">
      <c r="A31" s="11"/>
      <c r="B31" s="27" t="s">
        <v>294</v>
      </c>
      <c r="C31" s="27"/>
      <c r="D31" s="34" t="e">
        <f ca="1">+D27-D29</f>
        <v>#NAME?</v>
      </c>
      <c r="E31" s="15"/>
      <c r="F31" s="29" t="e">
        <f ca="1">IF(D$12=0,0,D31/D$12)</f>
        <v>#NAME?</v>
      </c>
      <c r="G31" s="15"/>
      <c r="H31" s="34" t="e">
        <f ca="1">+H27-H29</f>
        <v>#NAME?</v>
      </c>
      <c r="I31" s="15"/>
      <c r="J31" s="29" t="e">
        <f ca="1">IF(H$12=0,0,H31/H$12)</f>
        <v>#NAME?</v>
      </c>
      <c r="K31" s="16"/>
      <c r="L31" s="34" t="e">
        <f ca="1">D31-H31</f>
        <v>#NAME?</v>
      </c>
      <c r="M31" s="16"/>
      <c r="N31" s="29" t="e">
        <f ca="1">IF(H31=0,0,L31/H31)</f>
        <v>#NAME?</v>
      </c>
      <c r="O31" s="28"/>
      <c r="P31" s="34" t="e">
        <f ca="1">+P27-P29</f>
        <v>#NAME?</v>
      </c>
      <c r="Q31" s="15"/>
      <c r="R31" s="29" t="e">
        <f ca="1">IF(P$12=0,0,P31/P$12)</f>
        <v>#NAME?</v>
      </c>
      <c r="S31" s="15"/>
      <c r="T31" s="34" t="e">
        <f ca="1">+T27-T29</f>
        <v>#NAME?</v>
      </c>
      <c r="U31" s="15"/>
      <c r="V31" s="29" t="e">
        <f ca="1">IF(T$12=0,0,T31/T$12)</f>
        <v>#NAME?</v>
      </c>
      <c r="W31" s="16"/>
      <c r="X31" s="34" t="e">
        <f ca="1">P31-T31</f>
        <v>#NAME?</v>
      </c>
      <c r="Y31" s="16"/>
      <c r="Z31" s="29" t="e">
        <f ca="1">IF(T31=0,0,X31/T31)</f>
        <v>#NAME?</v>
      </c>
    </row>
    <row r="32" spans="1:26" ht="15" customHeight="1" x14ac:dyDescent="0.3">
      <c r="A32" s="10"/>
      <c r="B32" s="10"/>
      <c r="C32" s="10"/>
      <c r="D32" s="4"/>
      <c r="E32" s="4"/>
      <c r="F32" s="9"/>
      <c r="G32" s="4"/>
      <c r="H32" s="4"/>
      <c r="I32" s="4"/>
      <c r="J32" s="9"/>
      <c r="K32" s="4"/>
      <c r="L32" s="4"/>
      <c r="M32" s="4"/>
      <c r="N32" s="9"/>
      <c r="P32" s="4"/>
      <c r="Q32" s="4"/>
      <c r="R32" s="9"/>
      <c r="S32" s="4"/>
      <c r="T32" s="4"/>
      <c r="U32" s="4"/>
      <c r="V32" s="9"/>
      <c r="W32" s="4"/>
      <c r="X32" s="4"/>
      <c r="Y32" s="4"/>
      <c r="Z32" s="9"/>
    </row>
    <row r="33" spans="1:26" s="63" customFormat="1" ht="15" customHeight="1" x14ac:dyDescent="0.3">
      <c r="A33" s="49"/>
      <c r="B33" s="11" t="s">
        <v>295</v>
      </c>
      <c r="C33" s="11"/>
      <c r="D33" s="5" t="e">
        <f ca="1">-_xll.ONESTOP.REPORTPLAYER.OSRFUNCTIONS.OSRGET("GL_F_Trans","Value1")</f>
        <v>#NAME?</v>
      </c>
      <c r="E33" s="5"/>
      <c r="F33" s="13" t="e">
        <f ca="1">IF(D$12=0,0,D33/D$12)</f>
        <v>#NAME?</v>
      </c>
      <c r="G33" s="5"/>
      <c r="H33" s="5" t="e">
        <f ca="1">-_xll.ONESTOP.REPORTPLAYER.OSRFUNCTIONS.OSRGET("GL_F_Trans","Value1")</f>
        <v>#NAME?</v>
      </c>
      <c r="I33" s="5"/>
      <c r="J33" s="13" t="e">
        <f ca="1">IF(H$12=0,0,H33/H$12)</f>
        <v>#NAME?</v>
      </c>
      <c r="K33" s="5"/>
      <c r="L33" s="5" t="e">
        <f ca="1">+D33-H33</f>
        <v>#NAME?</v>
      </c>
      <c r="M33" s="5"/>
      <c r="N33" s="13" t="e">
        <f ca="1">IF(H33=0,0,L33/H33)</f>
        <v>#NAME?</v>
      </c>
      <c r="O33" s="11"/>
      <c r="P33" s="5" t="e">
        <f ca="1">-_xll.ONESTOP.REPORTPLAYER.OSRFUNCTIONS.OSRGET("GL_F_Trans","Value1")</f>
        <v>#NAME?</v>
      </c>
      <c r="Q33" s="5"/>
      <c r="R33" s="13" t="e">
        <f ca="1">IF(P$12=0,0,P33/P$12)</f>
        <v>#NAME?</v>
      </c>
      <c r="S33" s="5"/>
      <c r="T33" s="5" t="e">
        <f ca="1">-_xll.ONESTOP.REPORTPLAYER.OSRFUNCTIONS.OSRGET("GL_F_Trans","Value1")</f>
        <v>#NAME?</v>
      </c>
      <c r="U33" s="5"/>
      <c r="V33" s="13" t="e">
        <f ca="1">IF(T$12=0,0,T33/T$12)</f>
        <v>#NAME?</v>
      </c>
      <c r="W33" s="5"/>
      <c r="X33" s="5" t="e">
        <f ca="1">+P33-T33</f>
        <v>#NAME?</v>
      </c>
      <c r="Y33" s="5"/>
      <c r="Z33" s="13" t="e">
        <f ca="1">IF(T33=0,0,X33/T33)</f>
        <v>#NAME?</v>
      </c>
    </row>
    <row r="34" spans="1:26" s="63" customFormat="1" ht="15" customHeight="1" x14ac:dyDescent="0.3">
      <c r="A34" s="49"/>
      <c r="B34" s="11" t="s">
        <v>296</v>
      </c>
      <c r="C34" s="11"/>
      <c r="D34" s="5" t="e">
        <f ca="1">-_xll.ONESTOP.REPORTPLAYER.OSRFUNCTIONS.OSRGET("GL_F_Trans","Value1")</f>
        <v>#NAME?</v>
      </c>
      <c r="E34" s="5"/>
      <c r="F34" s="13" t="e">
        <f ca="1">IF(D$12=0,0,D34/D$12)</f>
        <v>#NAME?</v>
      </c>
      <c r="G34" s="5"/>
      <c r="H34" s="5" t="e">
        <f ca="1">-_xll.ONESTOP.REPORTPLAYER.OSRFUNCTIONS.OSRGET("GL_F_Trans","Value1")</f>
        <v>#NAME?</v>
      </c>
      <c r="I34" s="5"/>
      <c r="J34" s="13" t="e">
        <f ca="1">IF(H$12=0,0,H34/H$12)</f>
        <v>#NAME?</v>
      </c>
      <c r="K34" s="5"/>
      <c r="L34" s="5" t="e">
        <f ca="1">+D34-H34</f>
        <v>#NAME?</v>
      </c>
      <c r="M34" s="5"/>
      <c r="N34" s="13" t="e">
        <f ca="1">IF(H34=0,0,L34/H34)</f>
        <v>#NAME?</v>
      </c>
      <c r="O34" s="11"/>
      <c r="P34" s="5" t="e">
        <f ca="1">-_xll.ONESTOP.REPORTPLAYER.OSRFUNCTIONS.OSRGET("GL_F_Trans","Value1")</f>
        <v>#NAME?</v>
      </c>
      <c r="Q34" s="5"/>
      <c r="R34" s="13" t="e">
        <f ca="1">IF(P$12=0,0,P34/P$12)</f>
        <v>#NAME?</v>
      </c>
      <c r="S34" s="5"/>
      <c r="T34" s="5" t="e">
        <f ca="1">-_xll.ONESTOP.REPORTPLAYER.OSRFUNCTIONS.OSRGET("GL_F_Trans","Value1")</f>
        <v>#NAME?</v>
      </c>
      <c r="U34" s="5"/>
      <c r="V34" s="13" t="e">
        <f ca="1">IF(T$12=0,0,T34/T$12)</f>
        <v>#NAME?</v>
      </c>
      <c r="W34" s="5"/>
      <c r="X34" s="5" t="e">
        <f ca="1">+P34-T34</f>
        <v>#NAME?</v>
      </c>
      <c r="Y34" s="5"/>
      <c r="Z34" s="13" t="e">
        <f ca="1">IF(T34=0,0,X34/T34)</f>
        <v>#NAME?</v>
      </c>
    </row>
    <row r="35" spans="1:26" ht="15" customHeight="1" x14ac:dyDescent="0.3">
      <c r="A35" s="10"/>
      <c r="B35" s="10"/>
      <c r="C35" s="10"/>
      <c r="D35" s="4"/>
      <c r="E35" s="4"/>
      <c r="F35" s="9"/>
      <c r="G35" s="4"/>
      <c r="H35" s="4"/>
      <c r="I35" s="4"/>
      <c r="J35" s="9"/>
      <c r="K35" s="4"/>
      <c r="L35" s="4"/>
      <c r="M35" s="4"/>
      <c r="N35" s="9"/>
      <c r="P35" s="4"/>
      <c r="Q35" s="4"/>
      <c r="R35" s="9"/>
      <c r="S35" s="4"/>
      <c r="T35" s="4"/>
      <c r="U35" s="4"/>
      <c r="V35" s="9"/>
      <c r="W35" s="4"/>
      <c r="X35" s="4"/>
      <c r="Y35" s="4"/>
      <c r="Z35" s="9"/>
    </row>
    <row r="36" spans="1:26" s="63" customFormat="1" ht="15" customHeight="1" x14ac:dyDescent="0.3">
      <c r="A36" s="11"/>
      <c r="B36" s="27" t="s">
        <v>297</v>
      </c>
      <c r="C36" s="27"/>
      <c r="D36" s="32" t="e">
        <f ca="1">SUM(D31:D35)</f>
        <v>#NAME?</v>
      </c>
      <c r="E36" s="15"/>
      <c r="F36" s="31" t="e">
        <f ca="1">IF(D$12=0,0,D36/D$12)</f>
        <v>#NAME?</v>
      </c>
      <c r="G36" s="15"/>
      <c r="H36" s="32" t="e">
        <f ca="1">SUM(H31:H35)</f>
        <v>#NAME?</v>
      </c>
      <c r="I36" s="15"/>
      <c r="J36" s="31" t="e">
        <f ca="1">IF(H$12=0,0,H36/H$12)</f>
        <v>#NAME?</v>
      </c>
      <c r="K36" s="16"/>
      <c r="L36" s="32" t="e">
        <f ca="1">+D36-H36</f>
        <v>#NAME?</v>
      </c>
      <c r="M36" s="16"/>
      <c r="N36" s="31" t="e">
        <f ca="1">IF(H36=0,0,L36/H36)</f>
        <v>#NAME?</v>
      </c>
      <c r="O36" s="28"/>
      <c r="P36" s="32" t="e">
        <f ca="1">SUM(P31:P35)</f>
        <v>#NAME?</v>
      </c>
      <c r="Q36" s="15"/>
      <c r="R36" s="31" t="e">
        <f ca="1">IF(P$12=0,0,P36/P$12)</f>
        <v>#NAME?</v>
      </c>
      <c r="S36" s="15"/>
      <c r="T36" s="32" t="e">
        <f ca="1">SUM(T31:T35)</f>
        <v>#NAME?</v>
      </c>
      <c r="U36" s="15"/>
      <c r="V36" s="31" t="e">
        <f ca="1">IF(T$12=0,0,T36/T$12)</f>
        <v>#NAME?</v>
      </c>
      <c r="W36" s="16"/>
      <c r="X36" s="32" t="e">
        <f ca="1">+P36-T36</f>
        <v>#NAME?</v>
      </c>
      <c r="Y36" s="16"/>
      <c r="Z36" s="31" t="e">
        <f ca="1">IF(T36=0,0,X36/T36)</f>
        <v>#NAME?</v>
      </c>
    </row>
    <row r="37" spans="1:26" ht="15" customHeight="1" x14ac:dyDescent="0.3">
      <c r="A37" s="10"/>
      <c r="C37" s="10"/>
      <c r="D37" s="19"/>
      <c r="E37" s="19"/>
      <c r="G37" s="19"/>
      <c r="H37" s="19"/>
      <c r="I37" s="19"/>
      <c r="J37" s="40"/>
      <c r="K37" s="19"/>
      <c r="L37" s="19"/>
      <c r="M37" s="19"/>
      <c r="P37" s="19"/>
      <c r="Q37" s="19"/>
      <c r="R37" s="40"/>
      <c r="S37" s="19"/>
      <c r="T37" s="19"/>
      <c r="U37" s="19"/>
      <c r="V37" s="40"/>
      <c r="W37" s="19"/>
      <c r="X37" s="19"/>
    </row>
    <row r="38" spans="1:26" ht="15" customHeight="1" x14ac:dyDescent="0.3">
      <c r="A38" s="10"/>
      <c r="B38" s="51" t="e">
        <f ca="1">_xll.ONESTOP.REPORTPLAYER.OSRFUNCTIONS.OSRGET("CurrentDate","Date")</f>
        <v>#NAME?</v>
      </c>
      <c r="D38" s="19"/>
      <c r="E38" s="19"/>
      <c r="G38" s="19"/>
      <c r="H38" s="19"/>
      <c r="I38" s="19"/>
      <c r="J38" s="40"/>
      <c r="K38" s="19"/>
      <c r="L38" s="19"/>
      <c r="M38" s="19"/>
      <c r="P38" s="19"/>
      <c r="Q38" s="19"/>
      <c r="R38" s="40"/>
      <c r="S38" s="19"/>
      <c r="T38" s="19"/>
      <c r="U38" s="19"/>
      <c r="V38" s="40"/>
      <c r="W38" s="19"/>
      <c r="X38" s="19"/>
    </row>
    <row r="39" spans="1:26" ht="15" customHeight="1" x14ac:dyDescent="0.3">
      <c r="A39" s="10"/>
      <c r="B39" s="58" t="e">
        <f ca="1">_xll.ONESTOP.REPORTPLAYER.OSRFUNCTIONS.OSRGET("User","UserId")</f>
        <v>#NAME?</v>
      </c>
      <c r="D39" s="19"/>
      <c r="E39" s="19"/>
      <c r="G39" s="19"/>
      <c r="H39" s="19"/>
      <c r="I39" s="19"/>
      <c r="J39" s="40"/>
      <c r="K39" s="19"/>
      <c r="L39" s="19"/>
      <c r="M39" s="19"/>
      <c r="P39" s="19"/>
      <c r="Q39" s="19"/>
      <c r="R39" s="40"/>
      <c r="S39" s="19"/>
      <c r="T39" s="19"/>
      <c r="U39" s="19"/>
      <c r="V39" s="40"/>
      <c r="W39" s="19"/>
      <c r="X39" s="19"/>
    </row>
    <row r="40" spans="1:26" ht="15" customHeight="1" x14ac:dyDescent="0.3">
      <c r="A40" s="10"/>
      <c r="B40" s="50"/>
      <c r="D40" s="19"/>
      <c r="E40" s="19"/>
      <c r="G40" s="19"/>
      <c r="H40" s="19"/>
      <c r="I40" s="19"/>
      <c r="J40" s="40"/>
      <c r="K40" s="19"/>
      <c r="L40" s="19"/>
      <c r="M40" s="19"/>
      <c r="P40" s="19"/>
      <c r="Q40" s="19"/>
      <c r="R40" s="40"/>
      <c r="S40" s="19"/>
      <c r="T40" s="19"/>
      <c r="U40" s="19"/>
      <c r="V40" s="40"/>
      <c r="W40" s="19"/>
      <c r="X40" s="19"/>
    </row>
    <row r="41" spans="1:26" ht="15" customHeight="1" x14ac:dyDescent="0.3">
      <c r="D41" s="19"/>
      <c r="E41" s="19"/>
      <c r="G41" s="19"/>
      <c r="H41" s="19"/>
      <c r="I41" s="19"/>
      <c r="J41" s="40"/>
      <c r="K41" s="19"/>
      <c r="L41" s="19"/>
      <c r="M41" s="19"/>
      <c r="P41" s="19"/>
      <c r="Q41" s="19"/>
      <c r="R41" s="40"/>
      <c r="S41" s="19"/>
      <c r="T41" s="19"/>
      <c r="U41" s="19"/>
      <c r="V41" s="40"/>
      <c r="W41" s="19"/>
      <c r="X41" s="19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F1DAE9-0D7C-470E-5AD8-BFAA5B4B6C07}">
  <sheetPr>
    <tabColor rgb="FFFFFF00"/>
    <outlinePr summaryBelow="0" summaryRight="0"/>
  </sheetPr>
  <dimension ref="A2:Z41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6" customWidth="1"/>
    <col min="2" max="2" width="33.44140625" style="66" customWidth="1"/>
    <col min="3" max="3" width="1.88671875" style="66" customWidth="1"/>
    <col min="4" max="4" width="15" style="66" customWidth="1"/>
    <col min="5" max="5" width="1.88671875" style="66" customWidth="1" outlineLevel="1"/>
    <col min="6" max="6" width="15" style="67" customWidth="1" outlineLevel="1"/>
    <col min="7" max="7" width="1.88671875" style="66" customWidth="1" outlineLevel="1"/>
    <col min="8" max="8" width="15" style="66" customWidth="1" outlineLevel="1"/>
    <col min="9" max="9" width="1.88671875" style="66" customWidth="1" outlineLevel="1"/>
    <col min="10" max="10" width="15" style="68" customWidth="1" outlineLevel="1"/>
    <col min="11" max="11" width="1.88671875" style="66" customWidth="1" outlineLevel="1"/>
    <col min="12" max="12" width="15" style="66" customWidth="1" outlineLevel="1"/>
    <col min="13" max="13" width="1.88671875" style="66" customWidth="1" outlineLevel="1"/>
    <col min="14" max="14" width="15" style="67" customWidth="1" outlineLevel="1"/>
    <col min="15" max="15" width="1.88671875" style="64" customWidth="1"/>
    <col min="16" max="16" width="15" style="66" customWidth="1"/>
    <col min="17" max="17" width="1.88671875" style="66" customWidth="1" outlineLevel="1"/>
    <col min="18" max="18" width="15" style="68" customWidth="1" outlineLevel="1"/>
    <col min="19" max="19" width="1.88671875" style="66" customWidth="1" outlineLevel="1"/>
    <col min="20" max="20" width="15" style="66" customWidth="1" outlineLevel="1"/>
    <col min="21" max="21" width="1.88671875" style="66" customWidth="1" outlineLevel="1"/>
    <col min="22" max="22" width="15" style="68" customWidth="1" outlineLevel="1"/>
    <col min="23" max="23" width="1.88671875" style="66" customWidth="1" outlineLevel="1"/>
    <col min="24" max="24" width="15" style="66" customWidth="1" outlineLevel="1"/>
    <col min="25" max="25" width="1.88671875" style="66" customWidth="1" outlineLevel="1"/>
    <col min="26" max="26" width="15" style="68" customWidth="1" outlineLevel="1"/>
  </cols>
  <sheetData>
    <row r="2" spans="1:26" ht="15" customHeight="1" x14ac:dyDescent="0.3">
      <c r="D2" s="54" t="s">
        <v>276</v>
      </c>
    </row>
    <row r="3" spans="1:26" ht="15" customHeight="1" x14ac:dyDescent="0.3">
      <c r="D3" s="54" t="s">
        <v>277</v>
      </c>
      <c r="E3" s="18"/>
      <c r="F3" s="44"/>
      <c r="G3" s="18"/>
      <c r="H3" s="18"/>
      <c r="I3" s="18"/>
      <c r="J3" s="38"/>
      <c r="K3" s="18"/>
      <c r="L3" s="18"/>
      <c r="M3" s="18"/>
      <c r="N3" s="44"/>
      <c r="O3" s="53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ht="15" customHeight="1" x14ac:dyDescent="0.3">
      <c r="D4" s="54" t="e">
        <f ca="1">CONCATENATE("Period ",RIGHT(_xll.ONESTOP.REPORTPLAYER.OSRFUNCTIONS.OSRGET("Period","PeriodId"),2),", ",_xll.ONESTOP.REPORTPLAYER.OSRFUNCTIONS.OSRGET("Period","Year"))</f>
        <v>#NAME?</v>
      </c>
      <c r="E4" s="18"/>
      <c r="F4" s="44"/>
      <c r="G4" s="18"/>
      <c r="H4" s="18"/>
      <c r="I4" s="18"/>
      <c r="J4" s="38"/>
      <c r="K4" s="18"/>
      <c r="L4" s="18"/>
      <c r="M4" s="18"/>
      <c r="N4" s="44"/>
      <c r="O4" s="53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ht="15" customHeight="1" x14ac:dyDescent="0.3">
      <c r="A5" s="24"/>
      <c r="D5" s="61" t="e">
        <f ca="1">_xll.ONESTOP.REPORTPLAYER.OSRFUNCTIONS.OSRGET("Period","PeriodEnd")</f>
        <v>#NAME?</v>
      </c>
      <c r="E5" s="18"/>
      <c r="F5" s="44"/>
      <c r="G5" s="18"/>
      <c r="H5" s="18"/>
      <c r="I5" s="18"/>
      <c r="J5" s="38"/>
      <c r="K5" s="18"/>
      <c r="L5" s="18"/>
      <c r="M5" s="18"/>
      <c r="N5" s="44"/>
      <c r="O5" s="53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ht="15" customHeight="1" x14ac:dyDescent="0.3">
      <c r="A6" s="24"/>
      <c r="B6" s="47"/>
      <c r="C6" s="47"/>
      <c r="D6" s="24" t="s">
        <v>304</v>
      </c>
      <c r="E6" s="18"/>
      <c r="F6" s="44"/>
      <c r="G6" s="18"/>
      <c r="H6" s="18"/>
      <c r="I6" s="18"/>
      <c r="J6" s="38"/>
      <c r="K6" s="18"/>
      <c r="L6" s="18"/>
      <c r="M6" s="18"/>
      <c r="N6" s="44"/>
      <c r="O6" s="59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ht="15" customHeight="1" x14ac:dyDescent="0.3">
      <c r="B7" s="52"/>
    </row>
    <row r="8" spans="1:26" ht="15" customHeight="1" x14ac:dyDescent="0.3">
      <c r="B8" s="52"/>
    </row>
    <row r="9" spans="1:26" ht="15" customHeight="1" x14ac:dyDescent="0.3">
      <c r="B9" s="10"/>
      <c r="C9" s="10"/>
      <c r="D9" s="17" t="s">
        <v>279</v>
      </c>
      <c r="E9" s="17"/>
      <c r="F9" s="36"/>
      <c r="G9" s="17"/>
      <c r="H9" s="17"/>
      <c r="I9" s="17"/>
      <c r="J9" s="43"/>
      <c r="K9" s="17"/>
      <c r="L9" s="17"/>
      <c r="M9" s="17"/>
      <c r="N9" s="36"/>
      <c r="P9" s="17" t="s">
        <v>280</v>
      </c>
      <c r="Q9" s="17"/>
      <c r="R9" s="36"/>
      <c r="S9" s="17"/>
      <c r="T9" s="17"/>
      <c r="U9" s="17"/>
      <c r="V9" s="43"/>
      <c r="W9" s="17"/>
      <c r="X9" s="17"/>
      <c r="Y9" s="17"/>
      <c r="Z9" s="36"/>
    </row>
    <row r="10" spans="1:26" ht="15" customHeight="1" x14ac:dyDescent="0.3">
      <c r="A10" s="11"/>
      <c r="B10" s="57"/>
      <c r="C10" s="11"/>
      <c r="D10" s="41" t="s">
        <v>281</v>
      </c>
      <c r="E10" s="33"/>
      <c r="F10" s="37" t="s">
        <v>282</v>
      </c>
      <c r="G10" s="33"/>
      <c r="H10" s="48" t="s">
        <v>283</v>
      </c>
      <c r="I10" s="33"/>
      <c r="J10" s="45" t="s">
        <v>284</v>
      </c>
      <c r="K10" s="11"/>
      <c r="L10" s="41" t="s">
        <v>285</v>
      </c>
      <c r="M10" s="11"/>
      <c r="N10" s="37" t="s">
        <v>286</v>
      </c>
      <c r="O10" s="11"/>
      <c r="P10" s="56" t="s">
        <v>281</v>
      </c>
      <c r="Q10" s="33"/>
      <c r="R10" s="37" t="s">
        <v>282</v>
      </c>
      <c r="S10" s="33"/>
      <c r="T10" s="48" t="s">
        <v>283</v>
      </c>
      <c r="U10" s="33"/>
      <c r="V10" s="45" t="s">
        <v>284</v>
      </c>
      <c r="W10" s="11"/>
      <c r="X10" s="41" t="s">
        <v>285</v>
      </c>
      <c r="Y10" s="11"/>
      <c r="Z10" s="37" t="s">
        <v>286</v>
      </c>
    </row>
    <row r="11" spans="1:26" ht="16.5" customHeight="1" x14ac:dyDescent="0.3">
      <c r="A11" s="10"/>
      <c r="B11" s="55"/>
      <c r="C11" s="10"/>
      <c r="D11" s="10"/>
      <c r="E11" s="10"/>
      <c r="F11" s="9"/>
      <c r="G11" s="10"/>
      <c r="H11" s="10"/>
      <c r="I11" s="10"/>
      <c r="J11" s="46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6"/>
      <c r="W11" s="10"/>
      <c r="X11" s="10"/>
      <c r="Y11" s="10"/>
      <c r="Z11" s="9"/>
    </row>
    <row r="12" spans="1:26" s="63" customFormat="1" ht="15" customHeight="1" collapsed="1" x14ac:dyDescent="0.3">
      <c r="A12" s="11"/>
      <c r="B12" s="28" t="s">
        <v>287</v>
      </c>
      <c r="C12" s="11"/>
      <c r="D12" s="5" t="e">
        <f ca="1">SUM(_xll.ONESTOP.REPORTPLAYER.OSRFUNCTIONS.OSRREF(D13))</f>
        <v>#NAME?</v>
      </c>
      <c r="E12" s="5"/>
      <c r="F12" s="13"/>
      <c r="G12" s="5"/>
      <c r="H12" s="5" t="e">
        <f ca="1">SUM(_xll.ONESTOP.REPORTPLAYER.OSRFUNCTIONS.OSRREF(H13))</f>
        <v>#NAME?</v>
      </c>
      <c r="I12" s="5"/>
      <c r="J12" s="13"/>
      <c r="K12" s="5"/>
      <c r="L12" s="5" t="e">
        <f ca="1">+D12-H12</f>
        <v>#NAME?</v>
      </c>
      <c r="M12" s="5"/>
      <c r="N12" s="13" t="e">
        <f ca="1">IF(H12=0,0,L12/H12)</f>
        <v>#NAME?</v>
      </c>
      <c r="O12" s="11"/>
      <c r="P12" s="5" t="e">
        <f ca="1">SUM(_xll.ONESTOP.REPORTPLAYER.OSRFUNCTIONS.OSRREF(P13))</f>
        <v>#NAME?</v>
      </c>
      <c r="Q12" s="5"/>
      <c r="R12" s="13"/>
      <c r="S12" s="5"/>
      <c r="T12" s="5" t="e">
        <f ca="1">SUM(_xll.ONESTOP.REPORTPLAYER.OSRFUNCTIONS.OSRREF(T13))</f>
        <v>#NAME?</v>
      </c>
      <c r="U12" s="5"/>
      <c r="V12" s="13"/>
      <c r="W12" s="5"/>
      <c r="X12" s="5" t="e">
        <f ca="1">+P12-T12</f>
        <v>#NAME?</v>
      </c>
      <c r="Y12" s="5"/>
      <c r="Z12" s="13" t="e">
        <f ca="1">IF(T12=0,0,X12/T12)</f>
        <v>#NAME?</v>
      </c>
    </row>
    <row r="13" spans="1:26" s="70" customFormat="1" ht="15" hidden="1" customHeight="1" outlineLevel="1" x14ac:dyDescent="0.3">
      <c r="A13" s="42"/>
      <c r="B13" s="12" t="e">
        <f ca="1">CONCATENATE("          ",_xll.ONESTOP.REPORTPLAYER.OSRFUNCTIONS.OSRGET("d_Account","Code")," - ",_xll.ONESTOP.REPORTPLAYER.OSRFUNCTIONS.OSRGET("d_Account","Description"))</f>
        <v>#NAME?</v>
      </c>
      <c r="C13" s="12"/>
      <c r="D13" s="3" t="e">
        <f ca="1">-_xll.ONESTOP.REPORTPLAYER.OSRFUNCTIONS.OSRGET("GL_F_Trans","Value1")</f>
        <v>#NAME?</v>
      </c>
      <c r="E13" s="3"/>
      <c r="F13" s="20"/>
      <c r="G13" s="3"/>
      <c r="H13" s="3" t="e">
        <f ca="1">_xll.ONESTOP.REPORTPLAYER.OSRFUNCTIONS.OSRGET("GL_F_Trans","Value1")</f>
        <v>#NAME?</v>
      </c>
      <c r="I13" s="3"/>
      <c r="J13" s="20"/>
      <c r="K13" s="3"/>
      <c r="L13" s="3" t="e">
        <f ca="1">+D13-H13</f>
        <v>#NAME?</v>
      </c>
      <c r="M13" s="3"/>
      <c r="N13" s="20" t="e">
        <f ca="1">IF(H13=0,0,L13/H13)</f>
        <v>#NAME?</v>
      </c>
      <c r="O13" s="12"/>
      <c r="P13" s="3" t="e">
        <f ca="1">-_xll.ONESTOP.REPORTPLAYER.OSRFUNCTIONS.OSRGET("GL_F_Trans","Value1")</f>
        <v>#NAME?</v>
      </c>
      <c r="Q13" s="3"/>
      <c r="R13" s="20"/>
      <c r="S13" s="3"/>
      <c r="T13" s="3" t="e">
        <f ca="1">_xll.ONESTOP.REPORTPLAYER.OSRFUNCTIONS.OSRGET("GL_F_Trans","Value1")</f>
        <v>#NAME?</v>
      </c>
      <c r="U13" s="3"/>
      <c r="V13" s="20"/>
      <c r="W13" s="3"/>
      <c r="X13" s="3" t="e">
        <f ca="1">+P13-T13</f>
        <v>#NAME?</v>
      </c>
      <c r="Y13" s="3"/>
      <c r="Z13" s="20" t="e">
        <f ca="1">IF(T13=0,0,X13/T13)</f>
        <v>#NAME?</v>
      </c>
    </row>
    <row r="14" spans="1:26" ht="15" customHeight="1" x14ac:dyDescent="0.3">
      <c r="A14" s="10"/>
      <c r="B14" s="11"/>
      <c r="C14" s="10"/>
      <c r="D14" s="4"/>
      <c r="E14" s="4"/>
      <c r="F14" s="9"/>
      <c r="G14" s="4"/>
      <c r="H14" s="4"/>
      <c r="I14" s="4"/>
      <c r="J14" s="9"/>
      <c r="K14" s="4"/>
      <c r="L14" s="4"/>
      <c r="M14" s="4"/>
      <c r="N14" s="9"/>
      <c r="P14" s="4"/>
      <c r="Q14" s="4"/>
      <c r="R14" s="9"/>
      <c r="S14" s="4"/>
      <c r="T14" s="4"/>
      <c r="U14" s="4"/>
      <c r="V14" s="9"/>
      <c r="W14" s="4"/>
      <c r="X14" s="4"/>
      <c r="Y14" s="4"/>
      <c r="Z14" s="9"/>
    </row>
    <row r="15" spans="1:26" s="63" customFormat="1" ht="15" customHeight="1" collapsed="1" x14ac:dyDescent="0.3">
      <c r="A15" s="11"/>
      <c r="B15" s="28" t="s">
        <v>288</v>
      </c>
      <c r="C15" s="11"/>
      <c r="D15" s="5" t="e">
        <f ca="1">SUM(_xll.ONESTOP.REPORTPLAYER.OSRFUNCTIONS.OSRREF(D16))</f>
        <v>#NAME?</v>
      </c>
      <c r="E15" s="5"/>
      <c r="F15" s="13" t="e">
        <f ca="1">IF(D$12=0,0,D15/D$12)</f>
        <v>#NAME?</v>
      </c>
      <c r="G15" s="5"/>
      <c r="H15" s="5" t="e">
        <f ca="1">SUM(_xll.ONESTOP.REPORTPLAYER.OSRFUNCTIONS.OSRREF(H16))</f>
        <v>#NAME?</v>
      </c>
      <c r="I15" s="5"/>
      <c r="J15" s="13" t="e">
        <f ca="1">IF(H$12=0,0,H15/H$12)</f>
        <v>#NAME?</v>
      </c>
      <c r="K15" s="5"/>
      <c r="L15" s="5" t="e">
        <f ca="1">+D15-H15</f>
        <v>#NAME?</v>
      </c>
      <c r="M15" s="5"/>
      <c r="N15" s="13" t="e">
        <f ca="1">IF(H15=0,0,L15/H15)</f>
        <v>#NAME?</v>
      </c>
      <c r="O15" s="11"/>
      <c r="P15" s="5" t="e">
        <f ca="1">SUM(_xll.ONESTOP.REPORTPLAYER.OSRFUNCTIONS.OSRREF(P16))</f>
        <v>#NAME?</v>
      </c>
      <c r="Q15" s="5"/>
      <c r="R15" s="13" t="e">
        <f ca="1">IF(P$12=0,0,P15/P$12)</f>
        <v>#NAME?</v>
      </c>
      <c r="S15" s="5"/>
      <c r="T15" s="5" t="e">
        <f ca="1">SUM(_xll.ONESTOP.REPORTPLAYER.OSRFUNCTIONS.OSRREF(T16))</f>
        <v>#NAME?</v>
      </c>
      <c r="U15" s="5"/>
      <c r="V15" s="13" t="e">
        <f ca="1">IF(T$12=0,0,T15/T$12)</f>
        <v>#NAME?</v>
      </c>
      <c r="W15" s="5"/>
      <c r="X15" s="5" t="e">
        <f ca="1">+P15-T15</f>
        <v>#NAME?</v>
      </c>
      <c r="Y15" s="5"/>
      <c r="Z15" s="13" t="e">
        <f ca="1">IF(T15=0,0,X15/T15)</f>
        <v>#NAME?</v>
      </c>
    </row>
    <row r="16" spans="1:26" s="70" customFormat="1" ht="15" hidden="1" customHeight="1" outlineLevel="1" x14ac:dyDescent="0.3">
      <c r="A16" s="42"/>
      <c r="B16" s="12" t="e">
        <f ca="1">CONCATENATE("          ",_xll.ONESTOP.REPORTPLAYER.OSRFUNCTIONS.OSRGET("d_Account","Code")," - ",_xll.ONESTOP.REPORTPLAYER.OSRFUNCTIONS.OSRGET("d_Account","Description"))</f>
        <v>#NAME?</v>
      </c>
      <c r="C16" s="12"/>
      <c r="D16" s="3" t="e">
        <f ca="1">_xll.ONESTOP.REPORTPLAYER.OSRFUNCTIONS.OSRGET("GL_F_Trans","Value1")</f>
        <v>#NAME?</v>
      </c>
      <c r="E16" s="3"/>
      <c r="F16" s="20" t="e">
        <f ca="1">IF(D$12=0,0,D16/D$12)</f>
        <v>#NAME?</v>
      </c>
      <c r="G16" s="3"/>
      <c r="H16" s="3" t="e">
        <f ca="1">_xll.ONESTOP.REPORTPLAYER.OSRFUNCTIONS.OSRGET("GL_F_Trans","Value1")</f>
        <v>#NAME?</v>
      </c>
      <c r="I16" s="3"/>
      <c r="J16" s="20" t="e">
        <f ca="1">IF(H$12=0,0,H16/H$12)</f>
        <v>#NAME?</v>
      </c>
      <c r="K16" s="3"/>
      <c r="L16" s="3" t="e">
        <f ca="1">+D16-H16</f>
        <v>#NAME?</v>
      </c>
      <c r="M16" s="3"/>
      <c r="N16" s="20" t="e">
        <f ca="1">IF(H16=0,0,L16/H16)</f>
        <v>#NAME?</v>
      </c>
      <c r="O16" s="12"/>
      <c r="P16" s="3" t="e">
        <f ca="1">_xll.ONESTOP.REPORTPLAYER.OSRFUNCTIONS.OSRGET("GL_F_Trans","Value1")</f>
        <v>#NAME?</v>
      </c>
      <c r="Q16" s="3"/>
      <c r="R16" s="20" t="e">
        <f ca="1">IF(P$12=0,0,P16/P$12)</f>
        <v>#NAME?</v>
      </c>
      <c r="S16" s="3"/>
      <c r="T16" s="3" t="e">
        <f ca="1">_xll.ONESTOP.REPORTPLAYER.OSRFUNCTIONS.OSRGET("GL_F_Trans","Value1")</f>
        <v>#NAME?</v>
      </c>
      <c r="U16" s="3"/>
      <c r="V16" s="20" t="e">
        <f ca="1">IF(T$12=0,0,T16/T$12)</f>
        <v>#NAME?</v>
      </c>
      <c r="W16" s="3"/>
      <c r="X16" s="3" t="e">
        <f ca="1">+P16-T16</f>
        <v>#NAME?</v>
      </c>
      <c r="Y16" s="3"/>
      <c r="Z16" s="20" t="e">
        <f ca="1">IF(T16=0,0,X16/T16)</f>
        <v>#NAME?</v>
      </c>
    </row>
    <row r="17" spans="1:26" ht="15" customHeight="1" x14ac:dyDescent="0.3">
      <c r="A17" s="10"/>
      <c r="B17" s="11"/>
      <c r="C17" s="11"/>
      <c r="D17" s="4"/>
      <c r="E17" s="4"/>
      <c r="F17" s="9"/>
      <c r="G17" s="4"/>
      <c r="H17" s="4"/>
      <c r="I17" s="4"/>
      <c r="J17" s="9"/>
      <c r="K17" s="4"/>
      <c r="L17" s="4"/>
      <c r="M17" s="4"/>
      <c r="N17" s="9"/>
      <c r="O17" s="11"/>
      <c r="P17" s="4"/>
      <c r="Q17" s="4"/>
      <c r="R17" s="9"/>
      <c r="S17" s="4"/>
      <c r="T17" s="4"/>
      <c r="U17" s="4"/>
      <c r="V17" s="9"/>
      <c r="W17" s="4"/>
      <c r="X17" s="4"/>
      <c r="Y17" s="4"/>
      <c r="Z17" s="9"/>
    </row>
    <row r="18" spans="1:26" s="63" customFormat="1" ht="15" customHeight="1" x14ac:dyDescent="0.3">
      <c r="A18" s="11"/>
      <c r="B18" s="27" t="s">
        <v>289</v>
      </c>
      <c r="C18" s="27"/>
      <c r="D18" s="21" t="e">
        <f ca="1">D12-D15</f>
        <v>#NAME?</v>
      </c>
      <c r="E18" s="15"/>
      <c r="F18" s="23" t="e">
        <f ca="1">IF(D$12=0,0,D18/D$12)</f>
        <v>#NAME?</v>
      </c>
      <c r="G18" s="15"/>
      <c r="H18" s="21" t="e">
        <f ca="1">H12-H15</f>
        <v>#NAME?</v>
      </c>
      <c r="I18" s="15"/>
      <c r="J18" s="23" t="e">
        <f ca="1">IF(H$12=0,0,H18/H$12)</f>
        <v>#NAME?</v>
      </c>
      <c r="K18" s="16"/>
      <c r="L18" s="21" t="e">
        <f ca="1">+D18-H18</f>
        <v>#NAME?</v>
      </c>
      <c r="M18" s="16"/>
      <c r="N18" s="23" t="e">
        <f ca="1">IF(H18=0,0,L18/H18)</f>
        <v>#NAME?</v>
      </c>
      <c r="O18" s="28"/>
      <c r="P18" s="21" t="e">
        <f ca="1">P12-P15</f>
        <v>#NAME?</v>
      </c>
      <c r="Q18" s="15"/>
      <c r="R18" s="23" t="e">
        <f ca="1">IF(P$12=0,0,P18/P$12)</f>
        <v>#NAME?</v>
      </c>
      <c r="S18" s="15"/>
      <c r="T18" s="21" t="e">
        <f ca="1">T12-T15</f>
        <v>#NAME?</v>
      </c>
      <c r="U18" s="15"/>
      <c r="V18" s="23" t="e">
        <f ca="1">IF(T$12=0,0,T18/T$12)</f>
        <v>#NAME?</v>
      </c>
      <c r="W18" s="16"/>
      <c r="X18" s="21" t="e">
        <f ca="1">+P18-T18</f>
        <v>#NAME?</v>
      </c>
      <c r="Y18" s="16"/>
      <c r="Z18" s="23" t="e">
        <f ca="1">IF(T18=0,0,X18/T18)</f>
        <v>#NAME?</v>
      </c>
    </row>
    <row r="19" spans="1:26" ht="15" customHeight="1" x14ac:dyDescent="0.3">
      <c r="A19" s="10"/>
      <c r="B19" s="11"/>
      <c r="C19" s="10"/>
      <c r="D19" s="2"/>
      <c r="E19" s="2"/>
      <c r="F19" s="6"/>
      <c r="G19" s="2"/>
      <c r="H19" s="2"/>
      <c r="I19" s="2"/>
      <c r="J19" s="6"/>
      <c r="K19" s="2"/>
      <c r="L19" s="2"/>
      <c r="M19" s="2"/>
      <c r="N19" s="6"/>
      <c r="O19" s="35"/>
      <c r="P19" s="2"/>
      <c r="Q19" s="2"/>
      <c r="R19" s="6"/>
      <c r="S19" s="2"/>
      <c r="T19" s="2"/>
      <c r="U19" s="2"/>
      <c r="V19" s="6"/>
      <c r="W19" s="2"/>
      <c r="X19" s="2"/>
      <c r="Y19" s="2"/>
      <c r="Z19" s="6"/>
    </row>
    <row r="20" spans="1:26" s="63" customFormat="1" ht="15" customHeight="1" x14ac:dyDescent="0.3">
      <c r="A20" s="11"/>
      <c r="B20" s="28" t="s">
        <v>290</v>
      </c>
      <c r="C20" s="11"/>
      <c r="D20" s="22" t="e">
        <f ca="1">SUM(_xll.ONESTOP.REPORTPLAYER.OSRFUNCTIONS.OSRREF(D22))</f>
        <v>#NAME?</v>
      </c>
      <c r="E20" s="22"/>
      <c r="F20" s="30" t="e">
        <f ca="1">IF(D$12=0,0,D20/D$12)</f>
        <v>#NAME?</v>
      </c>
      <c r="G20" s="22"/>
      <c r="H20" s="22" t="e">
        <f ca="1">SUM(_xll.ONESTOP.REPORTPLAYER.OSRFUNCTIONS.OSRREF(H22))</f>
        <v>#NAME?</v>
      </c>
      <c r="I20" s="22"/>
      <c r="J20" s="30" t="e">
        <f ca="1">IF(H$12=0,0,H20/H$12)</f>
        <v>#NAME?</v>
      </c>
      <c r="K20" s="5"/>
      <c r="L20" s="22" t="e">
        <f ca="1">+D20-H20</f>
        <v>#NAME?</v>
      </c>
      <c r="M20" s="5"/>
      <c r="N20" s="30" t="e">
        <f ca="1">IF(H20=0,0,L20/H20)</f>
        <v>#NAME?</v>
      </c>
      <c r="O20" s="11"/>
      <c r="P20" s="22" t="e">
        <f ca="1">SUM(_xll.ONESTOP.REPORTPLAYER.OSRFUNCTIONS.OSRREF(P22))</f>
        <v>#NAME?</v>
      </c>
      <c r="Q20" s="22"/>
      <c r="R20" s="30" t="e">
        <f ca="1">IF(P$12=0,0,P20/P$12)</f>
        <v>#NAME?</v>
      </c>
      <c r="S20" s="22"/>
      <c r="T20" s="22" t="e">
        <f ca="1">SUM(_xll.ONESTOP.REPORTPLAYER.OSRFUNCTIONS.OSRREF(T22))</f>
        <v>#NAME?</v>
      </c>
      <c r="U20" s="22"/>
      <c r="V20" s="30" t="e">
        <f ca="1">IF(T$12=0,0,T20/T$12)</f>
        <v>#NAME?</v>
      </c>
      <c r="W20" s="5"/>
      <c r="X20" s="22" t="e">
        <f ca="1">+P20-T20</f>
        <v>#NAME?</v>
      </c>
      <c r="Y20" s="5"/>
      <c r="Z20" s="30" t="e">
        <f ca="1">IF(T20=0,0,X20/T20)</f>
        <v>#NAME?</v>
      </c>
    </row>
    <row r="21" spans="1:26" s="69" customFormat="1" ht="15" customHeight="1" outlineLevel="1" collapsed="1" x14ac:dyDescent="0.3">
      <c r="A21" s="25"/>
      <c r="B21" s="14" t="e">
        <f ca="1">CONCATENATE("     ",_xll.ONESTOP.REPORTPLAYER.OSRFUNCTIONS.OSRGET("d_Account","AccountCategory"))</f>
        <v>#NAME?</v>
      </c>
      <c r="C21" s="14"/>
      <c r="D21" s="2" t="e">
        <f ca="1">SUM(_xll.ONESTOP.REPORTPLAYER.OSRFUNCTIONS.OSRREF(D22))</f>
        <v>#NAME?</v>
      </c>
      <c r="E21" s="2"/>
      <c r="F21" s="6" t="e">
        <f ca="1">IF(D$12=0,0,D21/D$12)</f>
        <v>#NAME?</v>
      </c>
      <c r="G21" s="2"/>
      <c r="H21" s="2" t="e">
        <f ca="1">SUM(_xll.ONESTOP.REPORTPLAYER.OSRFUNCTIONS.OSRREF(H22))</f>
        <v>#NAME?</v>
      </c>
      <c r="I21" s="2"/>
      <c r="J21" s="6" t="e">
        <f ca="1">IF(H$12=0,0,H21/H$12)</f>
        <v>#NAME?</v>
      </c>
      <c r="K21" s="2"/>
      <c r="L21" s="2" t="e">
        <f ca="1">+D21-H21</f>
        <v>#NAME?</v>
      </c>
      <c r="M21" s="2"/>
      <c r="N21" s="6" t="e">
        <f ca="1">IF(H21=0,0,L21/H21)</f>
        <v>#NAME?</v>
      </c>
      <c r="O21" s="14"/>
      <c r="P21" s="2" t="e">
        <f ca="1">SUM(_xll.ONESTOP.REPORTPLAYER.OSRFUNCTIONS.OSRREF(P22))</f>
        <v>#NAME?</v>
      </c>
      <c r="Q21" s="2"/>
      <c r="R21" s="6" t="e">
        <f ca="1">IF(P$12=0,0,P21/P$12)</f>
        <v>#NAME?</v>
      </c>
      <c r="S21" s="2"/>
      <c r="T21" s="2" t="e">
        <f ca="1">SUM(_xll.ONESTOP.REPORTPLAYER.OSRFUNCTIONS.OSRREF(T22))</f>
        <v>#NAME?</v>
      </c>
      <c r="U21" s="2"/>
      <c r="V21" s="6" t="e">
        <f ca="1">IF(T$12=0,0,T21/T$12)</f>
        <v>#NAME?</v>
      </c>
      <c r="W21" s="2"/>
      <c r="X21" s="2" t="e">
        <f ca="1">+P21-T21</f>
        <v>#NAME?</v>
      </c>
      <c r="Y21" s="2"/>
      <c r="Z21" s="6" t="e">
        <f ca="1">IF(T21=0,0,X21/T21)</f>
        <v>#NAME?</v>
      </c>
    </row>
    <row r="22" spans="1:26" s="70" customFormat="1" ht="15" hidden="1" customHeight="1" outlineLevel="2" x14ac:dyDescent="0.3">
      <c r="A22" s="26"/>
      <c r="B22" s="12" t="e">
        <f ca="1">CONCATENATE("          ",_xll.ONESTOP.REPORTPLAYER.OSRFUNCTIONS.OSRGET("d_Account","Code")," - ",_xll.ONESTOP.REPORTPLAYER.OSRFUNCTIONS.OSRGET("d_Account","Description"))</f>
        <v>#NAME?</v>
      </c>
      <c r="C22" s="12"/>
      <c r="D22" s="7" t="e">
        <f ca="1">_xll.ONESTOP.REPORTPLAYER.OSRFUNCTIONS.OSRGET("GL_F_Trans","Value1")</f>
        <v>#NAME?</v>
      </c>
      <c r="E22" s="3"/>
      <c r="F22" s="8" t="e">
        <f ca="1">IF(D$12=0,0,D22/D$12)</f>
        <v>#NAME?</v>
      </c>
      <c r="G22" s="3"/>
      <c r="H22" s="7" t="e">
        <f ca="1">_xll.ONESTOP.REPORTPLAYER.OSRFUNCTIONS.OSRGET("GL_F_Trans","Value1")</f>
        <v>#NAME?</v>
      </c>
      <c r="I22" s="3"/>
      <c r="J22" s="8" t="e">
        <f ca="1">IF(H$12=0,0,H22/H$12)</f>
        <v>#NAME?</v>
      </c>
      <c r="K22" s="3"/>
      <c r="L22" s="7" t="e">
        <f ca="1">+D22-H22</f>
        <v>#NAME?</v>
      </c>
      <c r="M22" s="3"/>
      <c r="N22" s="8" t="e">
        <f ca="1">IF(H22=0,0,L22/H22)</f>
        <v>#NAME?</v>
      </c>
      <c r="O22" s="12"/>
      <c r="P22" s="7" t="e">
        <f ca="1">_xll.ONESTOP.REPORTPLAYER.OSRFUNCTIONS.OSRGET("GL_F_Trans","Value1")</f>
        <v>#NAME?</v>
      </c>
      <c r="Q22" s="3"/>
      <c r="R22" s="8" t="e">
        <f ca="1">IF(P$12=0,0,P22/P$12)</f>
        <v>#NAME?</v>
      </c>
      <c r="S22" s="3"/>
      <c r="T22" s="7" t="e">
        <f ca="1">_xll.ONESTOP.REPORTPLAYER.OSRFUNCTIONS.OSRGET("GL_F_Trans","Value1")</f>
        <v>#NAME?</v>
      </c>
      <c r="U22" s="3"/>
      <c r="V22" s="8" t="e">
        <f ca="1">IF(T$12=0,0,T22/T$12)</f>
        <v>#NAME?</v>
      </c>
      <c r="W22" s="3"/>
      <c r="X22" s="7" t="e">
        <f ca="1">+P22-T22</f>
        <v>#NAME?</v>
      </c>
      <c r="Y22" s="3"/>
      <c r="Z22" s="8" t="e">
        <f ca="1">IF(T22=0,0,X22/T22)</f>
        <v>#NAME?</v>
      </c>
    </row>
    <row r="23" spans="1:26" s="65" customFormat="1" ht="15" customHeight="1" x14ac:dyDescent="0.3">
      <c r="A23" s="35"/>
      <c r="B23" s="35"/>
      <c r="C23" s="35"/>
      <c r="D23" s="2"/>
      <c r="E23" s="2"/>
      <c r="F23" s="6"/>
      <c r="G23" s="2"/>
      <c r="H23" s="2"/>
      <c r="I23" s="2"/>
      <c r="J23" s="6"/>
      <c r="K23" s="2"/>
      <c r="L23" s="2"/>
      <c r="M23" s="2"/>
      <c r="N23" s="6"/>
      <c r="O23" s="35"/>
      <c r="P23" s="2"/>
      <c r="Q23" s="2"/>
      <c r="R23" s="6"/>
      <c r="S23" s="2"/>
      <c r="T23" s="2"/>
      <c r="U23" s="2"/>
      <c r="V23" s="6"/>
      <c r="W23" s="2"/>
      <c r="X23" s="2"/>
      <c r="Y23" s="2"/>
      <c r="Z23" s="6"/>
    </row>
    <row r="24" spans="1:26" s="63" customFormat="1" ht="15" customHeight="1" collapsed="1" x14ac:dyDescent="0.3">
      <c r="A24" s="11"/>
      <c r="B24" s="28" t="s">
        <v>291</v>
      </c>
      <c r="C24" s="11"/>
      <c r="D24" s="5" t="e">
        <f ca="1">SUM(_xll.ONESTOP.REPORTPLAYER.OSRFUNCTIONS.OSRREF(D25))</f>
        <v>#NAME?</v>
      </c>
      <c r="E24" s="5"/>
      <c r="F24" s="13" t="e">
        <f ca="1">IF(D$12=0,0,D24/D$12)</f>
        <v>#NAME?</v>
      </c>
      <c r="G24" s="5"/>
      <c r="H24" s="5" t="e">
        <f ca="1">SUM(_xll.ONESTOP.REPORTPLAYER.OSRFUNCTIONS.OSRREF(H25))</f>
        <v>#NAME?</v>
      </c>
      <c r="I24" s="5"/>
      <c r="J24" s="13" t="e">
        <f ca="1">IF(H$12=0,0,H24/H$12)</f>
        <v>#NAME?</v>
      </c>
      <c r="K24" s="5"/>
      <c r="L24" s="5" t="e">
        <f ca="1">+D24-H24</f>
        <v>#NAME?</v>
      </c>
      <c r="M24" s="5"/>
      <c r="N24" s="13" t="e">
        <f ca="1">IF(H24=0,0,L24/H24)</f>
        <v>#NAME?</v>
      </c>
      <c r="O24" s="11"/>
      <c r="P24" s="5" t="e">
        <f ca="1">SUM(_xll.ONESTOP.REPORTPLAYER.OSRFUNCTIONS.OSRREF(P25))</f>
        <v>#NAME?</v>
      </c>
      <c r="Q24" s="5"/>
      <c r="R24" s="13" t="e">
        <f ca="1">IF(P$12=0,0,P24/P$12)</f>
        <v>#NAME?</v>
      </c>
      <c r="S24" s="5"/>
      <c r="T24" s="5" t="e">
        <f ca="1">SUM(_xll.ONESTOP.REPORTPLAYER.OSRFUNCTIONS.OSRREF(T25))</f>
        <v>#NAME?</v>
      </c>
      <c r="U24" s="5"/>
      <c r="V24" s="13" t="e">
        <f ca="1">IF(T$12=0,0,T24/T$12)</f>
        <v>#NAME?</v>
      </c>
      <c r="W24" s="5"/>
      <c r="X24" s="5" t="e">
        <f ca="1">+P24-T24</f>
        <v>#NAME?</v>
      </c>
      <c r="Y24" s="5"/>
      <c r="Z24" s="13" t="e">
        <f ca="1">IF(T24=0,0,X24/T24)</f>
        <v>#NAME?</v>
      </c>
    </row>
    <row r="25" spans="1:26" s="70" customFormat="1" ht="15" hidden="1" customHeight="1" outlineLevel="1" x14ac:dyDescent="0.3">
      <c r="A25" s="42"/>
      <c r="B25" s="12" t="e">
        <f ca="1">CONCATENATE("          ",_xll.ONESTOP.REPORTPLAYER.OSRFUNCTIONS.OSRGET("d_Account","Code")," - ",_xll.ONESTOP.REPORTPLAYER.OSRFUNCTIONS.OSRGET("d_Account","Description"))</f>
        <v>#NAME?</v>
      </c>
      <c r="C25" s="12"/>
      <c r="D25" s="3" t="e">
        <f ca="1">-_xll.ONESTOP.REPORTPLAYER.OSRFUNCTIONS.OSRGET("GL_F_Trans","Value1")</f>
        <v>#NAME?</v>
      </c>
      <c r="E25" s="3"/>
      <c r="F25" s="20" t="e">
        <f ca="1">IF(D$12=0,0,D25/D$12)</f>
        <v>#NAME?</v>
      </c>
      <c r="G25" s="3"/>
      <c r="H25" s="3" t="e">
        <f ca="1">_xll.ONESTOP.REPORTPLAYER.OSRFUNCTIONS.OSRGET("GL_F_Trans","Value1")</f>
        <v>#NAME?</v>
      </c>
      <c r="I25" s="3"/>
      <c r="J25" s="20" t="e">
        <f ca="1">IF(H$12=0,0,H25/H$12)</f>
        <v>#NAME?</v>
      </c>
      <c r="K25" s="3"/>
      <c r="L25" s="3" t="e">
        <f ca="1">+D25-H25</f>
        <v>#NAME?</v>
      </c>
      <c r="M25" s="3"/>
      <c r="N25" s="20" t="e">
        <f ca="1">IF(H25=0,0,L25/H25)</f>
        <v>#NAME?</v>
      </c>
      <c r="O25" s="12"/>
      <c r="P25" s="3" t="e">
        <f ca="1">-_xll.ONESTOP.REPORTPLAYER.OSRFUNCTIONS.OSRGET("GL_F_Trans","Value1")</f>
        <v>#NAME?</v>
      </c>
      <c r="Q25" s="3"/>
      <c r="R25" s="20" t="e">
        <f ca="1">IF(P$12=0,0,P25/P$12)</f>
        <v>#NAME?</v>
      </c>
      <c r="S25" s="3"/>
      <c r="T25" s="3" t="e">
        <f ca="1">_xll.ONESTOP.REPORTPLAYER.OSRFUNCTIONS.OSRGET("GL_F_Trans","Value1")</f>
        <v>#NAME?</v>
      </c>
      <c r="U25" s="3"/>
      <c r="V25" s="20" t="e">
        <f ca="1">IF(T$12=0,0,T25/T$12)</f>
        <v>#NAME?</v>
      </c>
      <c r="W25" s="3"/>
      <c r="X25" s="3" t="e">
        <f ca="1">+P25-T25</f>
        <v>#NAME?</v>
      </c>
      <c r="Y25" s="3"/>
      <c r="Z25" s="20" t="e">
        <f ca="1">IF(T25=0,0,X25/T25)</f>
        <v>#NAME?</v>
      </c>
    </row>
    <row r="26" spans="1:26" ht="15" customHeight="1" x14ac:dyDescent="0.3">
      <c r="A26" s="10"/>
      <c r="B26" s="11"/>
      <c r="C26" s="11"/>
      <c r="D26" s="4"/>
      <c r="E26" s="4"/>
      <c r="F26" s="9"/>
      <c r="G26" s="4"/>
      <c r="H26" s="4"/>
      <c r="I26" s="4"/>
      <c r="J26" s="9"/>
      <c r="K26" s="4"/>
      <c r="L26" s="4"/>
      <c r="M26" s="4"/>
      <c r="N26" s="9"/>
      <c r="O26" s="11"/>
      <c r="P26" s="4"/>
      <c r="Q26" s="4"/>
      <c r="R26" s="9"/>
      <c r="S26" s="4"/>
      <c r="T26" s="4"/>
      <c r="U26" s="4"/>
      <c r="V26" s="9"/>
      <c r="W26" s="4"/>
      <c r="X26" s="4"/>
      <c r="Y26" s="4"/>
      <c r="Z26" s="9"/>
    </row>
    <row r="27" spans="1:26" s="63" customFormat="1" ht="15" customHeight="1" x14ac:dyDescent="0.3">
      <c r="A27" s="11"/>
      <c r="B27" s="27" t="s">
        <v>292</v>
      </c>
      <c r="C27" s="27"/>
      <c r="D27" s="21" t="e">
        <f ca="1">+D18-D20+D24</f>
        <v>#NAME?</v>
      </c>
      <c r="E27" s="15"/>
      <c r="F27" s="23" t="e">
        <f ca="1">IF(D$12=0,0,D27/D$12)</f>
        <v>#NAME?</v>
      </c>
      <c r="G27" s="15"/>
      <c r="H27" s="21" t="e">
        <f ca="1">+H18-H20+H24</f>
        <v>#NAME?</v>
      </c>
      <c r="I27" s="15"/>
      <c r="J27" s="23" t="e">
        <f ca="1">IF(H$12=0,0,H27/H$12)</f>
        <v>#NAME?</v>
      </c>
      <c r="K27" s="16"/>
      <c r="L27" s="21" t="e">
        <f ca="1">+D27-H27</f>
        <v>#NAME?</v>
      </c>
      <c r="M27" s="16"/>
      <c r="N27" s="23" t="e">
        <f ca="1">IF(H27=0,0,L27/H27)</f>
        <v>#NAME?</v>
      </c>
      <c r="O27" s="28"/>
      <c r="P27" s="21" t="e">
        <f ca="1">+P18-P20+P24</f>
        <v>#NAME?</v>
      </c>
      <c r="Q27" s="15"/>
      <c r="R27" s="23" t="e">
        <f ca="1">IF(P$12=0,0,P27/P$12)</f>
        <v>#NAME?</v>
      </c>
      <c r="S27" s="15"/>
      <c r="T27" s="21" t="e">
        <f ca="1">+T18-T20+T24</f>
        <v>#NAME?</v>
      </c>
      <c r="U27" s="15"/>
      <c r="V27" s="23" t="e">
        <f ca="1">IF(T$12=0,0,T27/T$12)</f>
        <v>#NAME?</v>
      </c>
      <c r="W27" s="16"/>
      <c r="X27" s="21" t="e">
        <f ca="1">+P27-T27</f>
        <v>#NAME?</v>
      </c>
      <c r="Y27" s="16"/>
      <c r="Z27" s="23" t="e">
        <f ca="1">IF(T27=0,0,X27/T27)</f>
        <v>#NAME?</v>
      </c>
    </row>
    <row r="28" spans="1:26" ht="15" customHeight="1" x14ac:dyDescent="0.3">
      <c r="A28" s="10"/>
      <c r="B28" s="11"/>
      <c r="C28" s="10"/>
      <c r="D28" s="4"/>
      <c r="E28" s="4"/>
      <c r="F28" s="9"/>
      <c r="G28" s="4"/>
      <c r="H28" s="4"/>
      <c r="I28" s="4"/>
      <c r="J28" s="9"/>
      <c r="K28" s="4"/>
      <c r="L28" s="4"/>
      <c r="M28" s="4"/>
      <c r="N28" s="9"/>
      <c r="P28" s="4"/>
      <c r="Q28" s="4"/>
      <c r="R28" s="9"/>
      <c r="S28" s="4"/>
      <c r="T28" s="4"/>
      <c r="U28" s="4"/>
      <c r="V28" s="9"/>
      <c r="W28" s="4"/>
      <c r="X28" s="4"/>
      <c r="Y28" s="4"/>
      <c r="Z28" s="9"/>
    </row>
    <row r="29" spans="1:26" s="63" customFormat="1" ht="15" customHeight="1" x14ac:dyDescent="0.3">
      <c r="A29" s="49"/>
      <c r="B29" s="11" t="s">
        <v>293</v>
      </c>
      <c r="C29" s="11"/>
      <c r="D29" s="5" t="e">
        <f ca="1">_xll.ONESTOP.REPORTPLAYER.OSRFUNCTIONS.OSRGET("GL_F_Trans","Value1")</f>
        <v>#NAME?</v>
      </c>
      <c r="E29" s="5"/>
      <c r="F29" s="13" t="e">
        <f ca="1">IF(D$12=0,0,D29/D$12)</f>
        <v>#NAME?</v>
      </c>
      <c r="G29" s="5"/>
      <c r="H29" s="5" t="e">
        <f ca="1">_xll.ONESTOP.REPORTPLAYER.OSRFUNCTIONS.OSRGET("GL_F_Trans","Value1")</f>
        <v>#NAME?</v>
      </c>
      <c r="I29" s="5"/>
      <c r="J29" s="13" t="e">
        <f ca="1">IF(H$12=0,0,H29/H$12)</f>
        <v>#NAME?</v>
      </c>
      <c r="K29" s="5"/>
      <c r="L29" s="5" t="e">
        <f ca="1">+D29-H29</f>
        <v>#NAME?</v>
      </c>
      <c r="M29" s="5"/>
      <c r="N29" s="13" t="e">
        <f ca="1">IF(H29=0,0,L29/H29)</f>
        <v>#NAME?</v>
      </c>
      <c r="O29" s="11"/>
      <c r="P29" s="5" t="e">
        <f ca="1">_xll.ONESTOP.REPORTPLAYER.OSRFUNCTIONS.OSRGET("GL_F_Trans","Value1")</f>
        <v>#NAME?</v>
      </c>
      <c r="Q29" s="5"/>
      <c r="R29" s="13" t="e">
        <f ca="1">IF(P$12=0,0,P29/P$12)</f>
        <v>#NAME?</v>
      </c>
      <c r="S29" s="5"/>
      <c r="T29" s="5" t="e">
        <f ca="1">_xll.ONESTOP.REPORTPLAYER.OSRFUNCTIONS.OSRGET("GL_F_Trans","Value1")</f>
        <v>#NAME?</v>
      </c>
      <c r="U29" s="5"/>
      <c r="V29" s="13" t="e">
        <f ca="1">IF(T$12=0,0,T29/T$12)</f>
        <v>#NAME?</v>
      </c>
      <c r="W29" s="5"/>
      <c r="X29" s="5" t="e">
        <f ca="1">+P29-T29</f>
        <v>#NAME?</v>
      </c>
      <c r="Y29" s="5"/>
      <c r="Z29" s="13" t="e">
        <f ca="1">IF(T29=0,0,X29/T29)</f>
        <v>#NAME?</v>
      </c>
    </row>
    <row r="30" spans="1:26" ht="15" customHeight="1" x14ac:dyDescent="0.3">
      <c r="A30" s="10"/>
      <c r="B30" s="11"/>
      <c r="C30" s="11"/>
      <c r="D30" s="4"/>
      <c r="E30" s="4"/>
      <c r="F30" s="9"/>
      <c r="G30" s="4"/>
      <c r="H30" s="4"/>
      <c r="I30" s="4"/>
      <c r="J30" s="9"/>
      <c r="K30" s="4"/>
      <c r="L30" s="4"/>
      <c r="M30" s="4"/>
      <c r="N30" s="9"/>
      <c r="O30" s="11"/>
      <c r="P30" s="4"/>
      <c r="Q30" s="4"/>
      <c r="R30" s="9"/>
      <c r="S30" s="4"/>
      <c r="T30" s="4"/>
      <c r="U30" s="4"/>
      <c r="V30" s="9"/>
      <c r="W30" s="4"/>
      <c r="X30" s="4"/>
      <c r="Y30" s="4"/>
      <c r="Z30" s="9"/>
    </row>
    <row r="31" spans="1:26" s="63" customFormat="1" ht="15" customHeight="1" x14ac:dyDescent="0.3">
      <c r="A31" s="11"/>
      <c r="B31" s="27" t="s">
        <v>294</v>
      </c>
      <c r="C31" s="27"/>
      <c r="D31" s="34" t="e">
        <f ca="1">+D27-D29</f>
        <v>#NAME?</v>
      </c>
      <c r="E31" s="15"/>
      <c r="F31" s="29" t="e">
        <f ca="1">IF(D$12=0,0,D31/D$12)</f>
        <v>#NAME?</v>
      </c>
      <c r="G31" s="15"/>
      <c r="H31" s="34" t="e">
        <f ca="1">+H27-H29</f>
        <v>#NAME?</v>
      </c>
      <c r="I31" s="15"/>
      <c r="J31" s="29" t="e">
        <f ca="1">IF(H$12=0,0,H31/H$12)</f>
        <v>#NAME?</v>
      </c>
      <c r="K31" s="16"/>
      <c r="L31" s="34" t="e">
        <f ca="1">D31-H31</f>
        <v>#NAME?</v>
      </c>
      <c r="M31" s="16"/>
      <c r="N31" s="29" t="e">
        <f ca="1">IF(H31=0,0,L31/H31)</f>
        <v>#NAME?</v>
      </c>
      <c r="O31" s="28"/>
      <c r="P31" s="34" t="e">
        <f ca="1">+P27-P29</f>
        <v>#NAME?</v>
      </c>
      <c r="Q31" s="15"/>
      <c r="R31" s="29" t="e">
        <f ca="1">IF(P$12=0,0,P31/P$12)</f>
        <v>#NAME?</v>
      </c>
      <c r="S31" s="15"/>
      <c r="T31" s="34" t="e">
        <f ca="1">+T27-T29</f>
        <v>#NAME?</v>
      </c>
      <c r="U31" s="15"/>
      <c r="V31" s="29" t="e">
        <f ca="1">IF(T$12=0,0,T31/T$12)</f>
        <v>#NAME?</v>
      </c>
      <c r="W31" s="16"/>
      <c r="X31" s="34" t="e">
        <f ca="1">P31-T31</f>
        <v>#NAME?</v>
      </c>
      <c r="Y31" s="16"/>
      <c r="Z31" s="29" t="e">
        <f ca="1">IF(T31=0,0,X31/T31)</f>
        <v>#NAME?</v>
      </c>
    </row>
    <row r="32" spans="1:26" ht="15" customHeight="1" x14ac:dyDescent="0.3">
      <c r="A32" s="10"/>
      <c r="B32" s="10"/>
      <c r="C32" s="10"/>
      <c r="D32" s="4"/>
      <c r="E32" s="4"/>
      <c r="F32" s="9"/>
      <c r="G32" s="4"/>
      <c r="H32" s="4"/>
      <c r="I32" s="4"/>
      <c r="J32" s="9"/>
      <c r="K32" s="4"/>
      <c r="L32" s="4"/>
      <c r="M32" s="4"/>
      <c r="N32" s="9"/>
      <c r="P32" s="4"/>
      <c r="Q32" s="4"/>
      <c r="R32" s="9"/>
      <c r="S32" s="4"/>
      <c r="T32" s="4"/>
      <c r="U32" s="4"/>
      <c r="V32" s="9"/>
      <c r="W32" s="4"/>
      <c r="X32" s="4"/>
      <c r="Y32" s="4"/>
      <c r="Z32" s="9"/>
    </row>
    <row r="33" spans="1:26" s="63" customFormat="1" ht="15" customHeight="1" x14ac:dyDescent="0.3">
      <c r="A33" s="49"/>
      <c r="B33" s="11" t="s">
        <v>295</v>
      </c>
      <c r="C33" s="11"/>
      <c r="D33" s="5" t="e">
        <f ca="1">-_xll.ONESTOP.REPORTPLAYER.OSRFUNCTIONS.OSRGET("GL_F_Trans","Value1")</f>
        <v>#NAME?</v>
      </c>
      <c r="E33" s="5"/>
      <c r="F33" s="13" t="e">
        <f ca="1">IF(D$12=0,0,D33/D$12)</f>
        <v>#NAME?</v>
      </c>
      <c r="G33" s="5"/>
      <c r="H33" s="5" t="e">
        <f ca="1">-_xll.ONESTOP.REPORTPLAYER.OSRFUNCTIONS.OSRGET("GL_F_Trans","Value1")</f>
        <v>#NAME?</v>
      </c>
      <c r="I33" s="5"/>
      <c r="J33" s="13" t="e">
        <f ca="1">IF(H$12=0,0,H33/H$12)</f>
        <v>#NAME?</v>
      </c>
      <c r="K33" s="5"/>
      <c r="L33" s="5" t="e">
        <f ca="1">+D33-H33</f>
        <v>#NAME?</v>
      </c>
      <c r="M33" s="5"/>
      <c r="N33" s="13" t="e">
        <f ca="1">IF(H33=0,0,L33/H33)</f>
        <v>#NAME?</v>
      </c>
      <c r="O33" s="11"/>
      <c r="P33" s="5" t="e">
        <f ca="1">-_xll.ONESTOP.REPORTPLAYER.OSRFUNCTIONS.OSRGET("GL_F_Trans","Value1")</f>
        <v>#NAME?</v>
      </c>
      <c r="Q33" s="5"/>
      <c r="R33" s="13" t="e">
        <f ca="1">IF(P$12=0,0,P33/P$12)</f>
        <v>#NAME?</v>
      </c>
      <c r="S33" s="5"/>
      <c r="T33" s="5" t="e">
        <f ca="1">-_xll.ONESTOP.REPORTPLAYER.OSRFUNCTIONS.OSRGET("GL_F_Trans","Value1")</f>
        <v>#NAME?</v>
      </c>
      <c r="U33" s="5"/>
      <c r="V33" s="13" t="e">
        <f ca="1">IF(T$12=0,0,T33/T$12)</f>
        <v>#NAME?</v>
      </c>
      <c r="W33" s="5"/>
      <c r="X33" s="5" t="e">
        <f ca="1">+P33-T33</f>
        <v>#NAME?</v>
      </c>
      <c r="Y33" s="5"/>
      <c r="Z33" s="13" t="e">
        <f ca="1">IF(T33=0,0,X33/T33)</f>
        <v>#NAME?</v>
      </c>
    </row>
    <row r="34" spans="1:26" s="63" customFormat="1" ht="15" customHeight="1" x14ac:dyDescent="0.3">
      <c r="A34" s="49"/>
      <c r="B34" s="11" t="s">
        <v>296</v>
      </c>
      <c r="C34" s="11"/>
      <c r="D34" s="5" t="e">
        <f ca="1">-_xll.ONESTOP.REPORTPLAYER.OSRFUNCTIONS.OSRGET("GL_F_Trans","Value1")</f>
        <v>#NAME?</v>
      </c>
      <c r="E34" s="5"/>
      <c r="F34" s="13" t="e">
        <f ca="1">IF(D$12=0,0,D34/D$12)</f>
        <v>#NAME?</v>
      </c>
      <c r="G34" s="5"/>
      <c r="H34" s="5" t="e">
        <f ca="1">-_xll.ONESTOP.REPORTPLAYER.OSRFUNCTIONS.OSRGET("GL_F_Trans","Value1")</f>
        <v>#NAME?</v>
      </c>
      <c r="I34" s="5"/>
      <c r="J34" s="13" t="e">
        <f ca="1">IF(H$12=0,0,H34/H$12)</f>
        <v>#NAME?</v>
      </c>
      <c r="K34" s="5"/>
      <c r="L34" s="5" t="e">
        <f ca="1">+D34-H34</f>
        <v>#NAME?</v>
      </c>
      <c r="M34" s="5"/>
      <c r="N34" s="13" t="e">
        <f ca="1">IF(H34=0,0,L34/H34)</f>
        <v>#NAME?</v>
      </c>
      <c r="O34" s="11"/>
      <c r="P34" s="5" t="e">
        <f ca="1">-_xll.ONESTOP.REPORTPLAYER.OSRFUNCTIONS.OSRGET("GL_F_Trans","Value1")</f>
        <v>#NAME?</v>
      </c>
      <c r="Q34" s="5"/>
      <c r="R34" s="13" t="e">
        <f ca="1">IF(P$12=0,0,P34/P$12)</f>
        <v>#NAME?</v>
      </c>
      <c r="S34" s="5"/>
      <c r="T34" s="5" t="e">
        <f ca="1">-_xll.ONESTOP.REPORTPLAYER.OSRFUNCTIONS.OSRGET("GL_F_Trans","Value1")</f>
        <v>#NAME?</v>
      </c>
      <c r="U34" s="5"/>
      <c r="V34" s="13" t="e">
        <f ca="1">IF(T$12=0,0,T34/T$12)</f>
        <v>#NAME?</v>
      </c>
      <c r="W34" s="5"/>
      <c r="X34" s="5" t="e">
        <f ca="1">+P34-T34</f>
        <v>#NAME?</v>
      </c>
      <c r="Y34" s="5"/>
      <c r="Z34" s="13" t="e">
        <f ca="1">IF(T34=0,0,X34/T34)</f>
        <v>#NAME?</v>
      </c>
    </row>
    <row r="35" spans="1:26" ht="15" customHeight="1" x14ac:dyDescent="0.3">
      <c r="A35" s="10"/>
      <c r="B35" s="10"/>
      <c r="C35" s="10"/>
      <c r="D35" s="4"/>
      <c r="E35" s="4"/>
      <c r="F35" s="9"/>
      <c r="G35" s="4"/>
      <c r="H35" s="4"/>
      <c r="I35" s="4"/>
      <c r="J35" s="9"/>
      <c r="K35" s="4"/>
      <c r="L35" s="4"/>
      <c r="M35" s="4"/>
      <c r="N35" s="9"/>
      <c r="P35" s="4"/>
      <c r="Q35" s="4"/>
      <c r="R35" s="9"/>
      <c r="S35" s="4"/>
      <c r="T35" s="4"/>
      <c r="U35" s="4"/>
      <c r="V35" s="9"/>
      <c r="W35" s="4"/>
      <c r="X35" s="4"/>
      <c r="Y35" s="4"/>
      <c r="Z35" s="9"/>
    </row>
    <row r="36" spans="1:26" s="63" customFormat="1" ht="15" customHeight="1" x14ac:dyDescent="0.3">
      <c r="A36" s="11"/>
      <c r="B36" s="27" t="s">
        <v>297</v>
      </c>
      <c r="C36" s="27"/>
      <c r="D36" s="32" t="e">
        <f ca="1">SUM(D31:D35)</f>
        <v>#NAME?</v>
      </c>
      <c r="E36" s="15"/>
      <c r="F36" s="31" t="e">
        <f ca="1">IF(D$12=0,0,D36/D$12)</f>
        <v>#NAME?</v>
      </c>
      <c r="G36" s="15"/>
      <c r="H36" s="32" t="e">
        <f ca="1">SUM(H31:H35)</f>
        <v>#NAME?</v>
      </c>
      <c r="I36" s="15"/>
      <c r="J36" s="31" t="e">
        <f ca="1">IF(H$12=0,0,H36/H$12)</f>
        <v>#NAME?</v>
      </c>
      <c r="K36" s="16"/>
      <c r="L36" s="32" t="e">
        <f ca="1">+D36-H36</f>
        <v>#NAME?</v>
      </c>
      <c r="M36" s="16"/>
      <c r="N36" s="31" t="e">
        <f ca="1">IF(H36=0,0,L36/H36)</f>
        <v>#NAME?</v>
      </c>
      <c r="O36" s="28"/>
      <c r="P36" s="32" t="e">
        <f ca="1">SUM(P31:P35)</f>
        <v>#NAME?</v>
      </c>
      <c r="Q36" s="15"/>
      <c r="R36" s="31" t="e">
        <f ca="1">IF(P$12=0,0,P36/P$12)</f>
        <v>#NAME?</v>
      </c>
      <c r="S36" s="15"/>
      <c r="T36" s="32" t="e">
        <f ca="1">SUM(T31:T35)</f>
        <v>#NAME?</v>
      </c>
      <c r="U36" s="15"/>
      <c r="V36" s="31" t="e">
        <f ca="1">IF(T$12=0,0,T36/T$12)</f>
        <v>#NAME?</v>
      </c>
      <c r="W36" s="16"/>
      <c r="X36" s="32" t="e">
        <f ca="1">+P36-T36</f>
        <v>#NAME?</v>
      </c>
      <c r="Y36" s="16"/>
      <c r="Z36" s="31" t="e">
        <f ca="1">IF(T36=0,0,X36/T36)</f>
        <v>#NAME?</v>
      </c>
    </row>
    <row r="37" spans="1:26" ht="15" customHeight="1" x14ac:dyDescent="0.3">
      <c r="A37" s="10"/>
      <c r="C37" s="10"/>
      <c r="D37" s="19"/>
      <c r="E37" s="19"/>
      <c r="G37" s="19"/>
      <c r="H37" s="19"/>
      <c r="I37" s="19"/>
      <c r="J37" s="40"/>
      <c r="K37" s="19"/>
      <c r="L37" s="19"/>
      <c r="M37" s="19"/>
      <c r="P37" s="19"/>
      <c r="Q37" s="19"/>
      <c r="R37" s="40"/>
      <c r="S37" s="19"/>
      <c r="T37" s="19"/>
      <c r="U37" s="19"/>
      <c r="V37" s="40"/>
      <c r="W37" s="19"/>
      <c r="X37" s="19"/>
    </row>
    <row r="38" spans="1:26" ht="15" customHeight="1" x14ac:dyDescent="0.3">
      <c r="A38" s="10"/>
      <c r="B38" s="51" t="e">
        <f ca="1">_xll.ONESTOP.REPORTPLAYER.OSRFUNCTIONS.OSRGET("CurrentDate","Date")</f>
        <v>#NAME?</v>
      </c>
      <c r="D38" s="19"/>
      <c r="E38" s="19"/>
      <c r="G38" s="19"/>
      <c r="H38" s="19"/>
      <c r="I38" s="19"/>
      <c r="J38" s="40"/>
      <c r="K38" s="19"/>
      <c r="L38" s="19"/>
      <c r="M38" s="19"/>
      <c r="P38" s="19"/>
      <c r="Q38" s="19"/>
      <c r="R38" s="40"/>
      <c r="S38" s="19"/>
      <c r="T38" s="19"/>
      <c r="U38" s="19"/>
      <c r="V38" s="40"/>
      <c r="W38" s="19"/>
      <c r="X38" s="19"/>
    </row>
    <row r="39" spans="1:26" ht="15" customHeight="1" x14ac:dyDescent="0.3">
      <c r="A39" s="10"/>
      <c r="B39" s="58" t="e">
        <f ca="1">_xll.ONESTOP.REPORTPLAYER.OSRFUNCTIONS.OSRGET("User","UserId")</f>
        <v>#NAME?</v>
      </c>
      <c r="D39" s="19"/>
      <c r="E39" s="19"/>
      <c r="G39" s="19"/>
      <c r="H39" s="19"/>
      <c r="I39" s="19"/>
      <c r="J39" s="40"/>
      <c r="K39" s="19"/>
      <c r="L39" s="19"/>
      <c r="M39" s="19"/>
      <c r="P39" s="19"/>
      <c r="Q39" s="19"/>
      <c r="R39" s="40"/>
      <c r="S39" s="19"/>
      <c r="T39" s="19"/>
      <c r="U39" s="19"/>
      <c r="V39" s="40"/>
      <c r="W39" s="19"/>
      <c r="X39" s="19"/>
    </row>
    <row r="40" spans="1:26" ht="15" customHeight="1" x14ac:dyDescent="0.3">
      <c r="A40" s="10"/>
      <c r="B40" s="50"/>
      <c r="D40" s="19"/>
      <c r="E40" s="19"/>
      <c r="G40" s="19"/>
      <c r="H40" s="19"/>
      <c r="I40" s="19"/>
      <c r="J40" s="40"/>
      <c r="K40" s="19"/>
      <c r="L40" s="19"/>
      <c r="M40" s="19"/>
      <c r="P40" s="19"/>
      <c r="Q40" s="19"/>
      <c r="R40" s="40"/>
      <c r="S40" s="19"/>
      <c r="T40" s="19"/>
      <c r="U40" s="19"/>
      <c r="V40" s="40"/>
      <c r="W40" s="19"/>
      <c r="X40" s="19"/>
    </row>
    <row r="41" spans="1:26" ht="15" customHeight="1" x14ac:dyDescent="0.3">
      <c r="D41" s="19"/>
      <c r="E41" s="19"/>
      <c r="G41" s="19"/>
      <c r="H41" s="19"/>
      <c r="I41" s="19"/>
      <c r="J41" s="40"/>
      <c r="K41" s="19"/>
      <c r="L41" s="19"/>
      <c r="M41" s="19"/>
      <c r="P41" s="19"/>
      <c r="Q41" s="19"/>
      <c r="R41" s="40"/>
      <c r="S41" s="19"/>
      <c r="T41" s="19"/>
      <c r="U41" s="19"/>
      <c r="V41" s="40"/>
      <c r="W41" s="19"/>
      <c r="X41" s="19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D1B265-FEDD-F987-21B2-216B8CAE962D}">
  <sheetPr>
    <tabColor rgb="FFFFFF00"/>
    <outlinePr summaryBelow="0" summaryRight="0"/>
  </sheetPr>
  <dimension ref="A2:Z41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6" customWidth="1"/>
    <col min="2" max="2" width="33.44140625" style="66" customWidth="1"/>
    <col min="3" max="3" width="1.88671875" style="66" customWidth="1"/>
    <col min="4" max="4" width="15" style="66" customWidth="1"/>
    <col min="5" max="5" width="1.88671875" style="66" customWidth="1" outlineLevel="1"/>
    <col min="6" max="6" width="15" style="67" customWidth="1" outlineLevel="1"/>
    <col min="7" max="7" width="1.88671875" style="66" customWidth="1" outlineLevel="1"/>
    <col min="8" max="8" width="15" style="66" customWidth="1" outlineLevel="1"/>
    <col min="9" max="9" width="1.88671875" style="66" customWidth="1" outlineLevel="1"/>
    <col min="10" max="10" width="15" style="68" customWidth="1" outlineLevel="1"/>
    <col min="11" max="11" width="1.88671875" style="66" customWidth="1" outlineLevel="1"/>
    <col min="12" max="12" width="15" style="66" customWidth="1" outlineLevel="1"/>
    <col min="13" max="13" width="1.88671875" style="66" customWidth="1" outlineLevel="1"/>
    <col min="14" max="14" width="15" style="67" customWidth="1" outlineLevel="1"/>
    <col min="15" max="15" width="1.88671875" style="64" customWidth="1"/>
    <col min="16" max="16" width="15" style="66" customWidth="1"/>
    <col min="17" max="17" width="1.88671875" style="66" customWidth="1" outlineLevel="1"/>
    <col min="18" max="18" width="15" style="68" customWidth="1" outlineLevel="1"/>
    <col min="19" max="19" width="1.88671875" style="66" customWidth="1" outlineLevel="1"/>
    <col min="20" max="20" width="15" style="66" customWidth="1" outlineLevel="1"/>
    <col min="21" max="21" width="1.88671875" style="66" customWidth="1" outlineLevel="1"/>
    <col min="22" max="22" width="15" style="68" customWidth="1" outlineLevel="1"/>
    <col min="23" max="23" width="1.88671875" style="66" customWidth="1" outlineLevel="1"/>
    <col min="24" max="24" width="15" style="66" customWidth="1" outlineLevel="1"/>
    <col min="25" max="25" width="1.88671875" style="66" customWidth="1" outlineLevel="1"/>
    <col min="26" max="26" width="15" style="68" customWidth="1" outlineLevel="1"/>
  </cols>
  <sheetData>
    <row r="2" spans="1:26" ht="15" customHeight="1" x14ac:dyDescent="0.3">
      <c r="D2" s="54" t="s">
        <v>276</v>
      </c>
    </row>
    <row r="3" spans="1:26" ht="15" customHeight="1" x14ac:dyDescent="0.3">
      <c r="D3" s="54" t="s">
        <v>277</v>
      </c>
      <c r="E3" s="18"/>
      <c r="F3" s="44"/>
      <c r="G3" s="18"/>
      <c r="H3" s="18"/>
      <c r="I3" s="18"/>
      <c r="J3" s="38"/>
      <c r="K3" s="18"/>
      <c r="L3" s="18"/>
      <c r="M3" s="18"/>
      <c r="N3" s="44"/>
      <c r="O3" s="53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ht="15" customHeight="1" x14ac:dyDescent="0.3">
      <c r="D4" s="54" t="e">
        <f ca="1">CONCATENATE("Period ",RIGHT(_xll.ONESTOP.REPORTPLAYER.OSRFUNCTIONS.OSRGET("Period","PeriodId"),2),", ",_xll.ONESTOP.REPORTPLAYER.OSRFUNCTIONS.OSRGET("Period","Year"))</f>
        <v>#NAME?</v>
      </c>
      <c r="E4" s="18"/>
      <c r="F4" s="44"/>
      <c r="G4" s="18"/>
      <c r="H4" s="18"/>
      <c r="I4" s="18"/>
      <c r="J4" s="38"/>
      <c r="K4" s="18"/>
      <c r="L4" s="18"/>
      <c r="M4" s="18"/>
      <c r="N4" s="44"/>
      <c r="O4" s="53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ht="15" customHeight="1" x14ac:dyDescent="0.3">
      <c r="A5" s="24"/>
      <c r="D5" s="61" t="e">
        <f ca="1">_xll.ONESTOP.REPORTPLAYER.OSRFUNCTIONS.OSRGET("Period","PeriodEnd")</f>
        <v>#NAME?</v>
      </c>
      <c r="E5" s="18"/>
      <c r="F5" s="44"/>
      <c r="G5" s="18"/>
      <c r="H5" s="18"/>
      <c r="I5" s="18"/>
      <c r="J5" s="38"/>
      <c r="K5" s="18"/>
      <c r="L5" s="18"/>
      <c r="M5" s="18"/>
      <c r="N5" s="44"/>
      <c r="O5" s="53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ht="15" customHeight="1" x14ac:dyDescent="0.3">
      <c r="A6" s="24"/>
      <c r="B6" s="47"/>
      <c r="C6" s="47"/>
      <c r="D6" s="24" t="s">
        <v>305</v>
      </c>
      <c r="E6" s="18"/>
      <c r="F6" s="44"/>
      <c r="G6" s="18"/>
      <c r="H6" s="18"/>
      <c r="I6" s="18"/>
      <c r="J6" s="38"/>
      <c r="K6" s="18"/>
      <c r="L6" s="18"/>
      <c r="M6" s="18"/>
      <c r="N6" s="44"/>
      <c r="O6" s="59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ht="15" customHeight="1" x14ac:dyDescent="0.3">
      <c r="B7" s="52"/>
    </row>
    <row r="8" spans="1:26" ht="15" customHeight="1" x14ac:dyDescent="0.3">
      <c r="B8" s="52"/>
    </row>
    <row r="9" spans="1:26" ht="15" customHeight="1" x14ac:dyDescent="0.3">
      <c r="B9" s="10"/>
      <c r="C9" s="10"/>
      <c r="D9" s="17" t="s">
        <v>279</v>
      </c>
      <c r="E9" s="17"/>
      <c r="F9" s="36"/>
      <c r="G9" s="17"/>
      <c r="H9" s="17"/>
      <c r="I9" s="17"/>
      <c r="J9" s="43"/>
      <c r="K9" s="17"/>
      <c r="L9" s="17"/>
      <c r="M9" s="17"/>
      <c r="N9" s="36"/>
      <c r="P9" s="17" t="s">
        <v>280</v>
      </c>
      <c r="Q9" s="17"/>
      <c r="R9" s="36"/>
      <c r="S9" s="17"/>
      <c r="T9" s="17"/>
      <c r="U9" s="17"/>
      <c r="V9" s="43"/>
      <c r="W9" s="17"/>
      <c r="X9" s="17"/>
      <c r="Y9" s="17"/>
      <c r="Z9" s="36"/>
    </row>
    <row r="10" spans="1:26" ht="15" customHeight="1" x14ac:dyDescent="0.3">
      <c r="A10" s="11"/>
      <c r="B10" s="57"/>
      <c r="C10" s="11"/>
      <c r="D10" s="41" t="s">
        <v>281</v>
      </c>
      <c r="E10" s="33"/>
      <c r="F10" s="37" t="s">
        <v>282</v>
      </c>
      <c r="G10" s="33"/>
      <c r="H10" s="48" t="s">
        <v>283</v>
      </c>
      <c r="I10" s="33"/>
      <c r="J10" s="45" t="s">
        <v>284</v>
      </c>
      <c r="K10" s="11"/>
      <c r="L10" s="41" t="s">
        <v>285</v>
      </c>
      <c r="M10" s="11"/>
      <c r="N10" s="37" t="s">
        <v>286</v>
      </c>
      <c r="O10" s="11"/>
      <c r="P10" s="56" t="s">
        <v>281</v>
      </c>
      <c r="Q10" s="33"/>
      <c r="R10" s="37" t="s">
        <v>282</v>
      </c>
      <c r="S10" s="33"/>
      <c r="T10" s="48" t="s">
        <v>283</v>
      </c>
      <c r="U10" s="33"/>
      <c r="V10" s="45" t="s">
        <v>284</v>
      </c>
      <c r="W10" s="11"/>
      <c r="X10" s="41" t="s">
        <v>285</v>
      </c>
      <c r="Y10" s="11"/>
      <c r="Z10" s="37" t="s">
        <v>286</v>
      </c>
    </row>
    <row r="11" spans="1:26" ht="16.5" customHeight="1" x14ac:dyDescent="0.3">
      <c r="A11" s="10"/>
      <c r="B11" s="55"/>
      <c r="C11" s="10"/>
      <c r="D11" s="10"/>
      <c r="E11" s="10"/>
      <c r="F11" s="9"/>
      <c r="G11" s="10"/>
      <c r="H11" s="10"/>
      <c r="I11" s="10"/>
      <c r="J11" s="46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6"/>
      <c r="W11" s="10"/>
      <c r="X11" s="10"/>
      <c r="Y11" s="10"/>
      <c r="Z11" s="9"/>
    </row>
    <row r="12" spans="1:26" s="63" customFormat="1" ht="15" customHeight="1" collapsed="1" x14ac:dyDescent="0.3">
      <c r="A12" s="11"/>
      <c r="B12" s="28" t="s">
        <v>287</v>
      </c>
      <c r="C12" s="11"/>
      <c r="D12" s="5" t="e">
        <f ca="1">SUM(_xll.ONESTOP.REPORTPLAYER.OSRFUNCTIONS.OSRREF(D13))</f>
        <v>#NAME?</v>
      </c>
      <c r="E12" s="5"/>
      <c r="F12" s="13"/>
      <c r="G12" s="5"/>
      <c r="H12" s="5" t="e">
        <f ca="1">SUM(_xll.ONESTOP.REPORTPLAYER.OSRFUNCTIONS.OSRREF(H13))</f>
        <v>#NAME?</v>
      </c>
      <c r="I12" s="5"/>
      <c r="J12" s="13"/>
      <c r="K12" s="5"/>
      <c r="L12" s="5" t="e">
        <f ca="1">+D12-H12</f>
        <v>#NAME?</v>
      </c>
      <c r="M12" s="5"/>
      <c r="N12" s="13" t="e">
        <f ca="1">IF(H12=0,0,L12/H12)</f>
        <v>#NAME?</v>
      </c>
      <c r="O12" s="11"/>
      <c r="P12" s="5" t="e">
        <f ca="1">SUM(_xll.ONESTOP.REPORTPLAYER.OSRFUNCTIONS.OSRREF(P13))</f>
        <v>#NAME?</v>
      </c>
      <c r="Q12" s="5"/>
      <c r="R12" s="13"/>
      <c r="S12" s="5"/>
      <c r="T12" s="5" t="e">
        <f ca="1">SUM(_xll.ONESTOP.REPORTPLAYER.OSRFUNCTIONS.OSRREF(T13))</f>
        <v>#NAME?</v>
      </c>
      <c r="U12" s="5"/>
      <c r="V12" s="13"/>
      <c r="W12" s="5"/>
      <c r="X12" s="5" t="e">
        <f ca="1">+P12-T12</f>
        <v>#NAME?</v>
      </c>
      <c r="Y12" s="5"/>
      <c r="Z12" s="13" t="e">
        <f ca="1">IF(T12=0,0,X12/T12)</f>
        <v>#NAME?</v>
      </c>
    </row>
    <row r="13" spans="1:26" s="70" customFormat="1" ht="15" hidden="1" customHeight="1" outlineLevel="1" x14ac:dyDescent="0.3">
      <c r="A13" s="42"/>
      <c r="B13" s="12" t="e">
        <f ca="1">CONCATENATE("          ",_xll.ONESTOP.REPORTPLAYER.OSRFUNCTIONS.OSRGET("d_Account","Code")," - ",_xll.ONESTOP.REPORTPLAYER.OSRFUNCTIONS.OSRGET("d_Account","Description"))</f>
        <v>#NAME?</v>
      </c>
      <c r="C13" s="12"/>
      <c r="D13" s="3" t="e">
        <f ca="1">-_xll.ONESTOP.REPORTPLAYER.OSRFUNCTIONS.OSRGET("GL_F_Trans","Value1")</f>
        <v>#NAME?</v>
      </c>
      <c r="E13" s="3"/>
      <c r="F13" s="20"/>
      <c r="G13" s="3"/>
      <c r="H13" s="3" t="e">
        <f ca="1">_xll.ONESTOP.REPORTPLAYER.OSRFUNCTIONS.OSRGET("GL_F_Trans","Value1")</f>
        <v>#NAME?</v>
      </c>
      <c r="I13" s="3"/>
      <c r="J13" s="20"/>
      <c r="K13" s="3"/>
      <c r="L13" s="3" t="e">
        <f ca="1">+D13-H13</f>
        <v>#NAME?</v>
      </c>
      <c r="M13" s="3"/>
      <c r="N13" s="20" t="e">
        <f ca="1">IF(H13=0,0,L13/H13)</f>
        <v>#NAME?</v>
      </c>
      <c r="O13" s="12"/>
      <c r="P13" s="3" t="e">
        <f ca="1">-_xll.ONESTOP.REPORTPLAYER.OSRFUNCTIONS.OSRGET("GL_F_Trans","Value1")</f>
        <v>#NAME?</v>
      </c>
      <c r="Q13" s="3"/>
      <c r="R13" s="20"/>
      <c r="S13" s="3"/>
      <c r="T13" s="3" t="e">
        <f ca="1">_xll.ONESTOP.REPORTPLAYER.OSRFUNCTIONS.OSRGET("GL_F_Trans","Value1")</f>
        <v>#NAME?</v>
      </c>
      <c r="U13" s="3"/>
      <c r="V13" s="20"/>
      <c r="W13" s="3"/>
      <c r="X13" s="3" t="e">
        <f ca="1">+P13-T13</f>
        <v>#NAME?</v>
      </c>
      <c r="Y13" s="3"/>
      <c r="Z13" s="20" t="e">
        <f ca="1">IF(T13=0,0,X13/T13)</f>
        <v>#NAME?</v>
      </c>
    </row>
    <row r="14" spans="1:26" ht="15" customHeight="1" x14ac:dyDescent="0.3">
      <c r="A14" s="10"/>
      <c r="B14" s="11"/>
      <c r="C14" s="10"/>
      <c r="D14" s="4"/>
      <c r="E14" s="4"/>
      <c r="F14" s="9"/>
      <c r="G14" s="4"/>
      <c r="H14" s="4"/>
      <c r="I14" s="4"/>
      <c r="J14" s="9"/>
      <c r="K14" s="4"/>
      <c r="L14" s="4"/>
      <c r="M14" s="4"/>
      <c r="N14" s="9"/>
      <c r="P14" s="4"/>
      <c r="Q14" s="4"/>
      <c r="R14" s="9"/>
      <c r="S14" s="4"/>
      <c r="T14" s="4"/>
      <c r="U14" s="4"/>
      <c r="V14" s="9"/>
      <c r="W14" s="4"/>
      <c r="X14" s="4"/>
      <c r="Y14" s="4"/>
      <c r="Z14" s="9"/>
    </row>
    <row r="15" spans="1:26" s="63" customFormat="1" ht="15" customHeight="1" collapsed="1" x14ac:dyDescent="0.3">
      <c r="A15" s="11"/>
      <c r="B15" s="28" t="s">
        <v>288</v>
      </c>
      <c r="C15" s="11"/>
      <c r="D15" s="5" t="e">
        <f ca="1">SUM(_xll.ONESTOP.REPORTPLAYER.OSRFUNCTIONS.OSRREF(D16))</f>
        <v>#NAME?</v>
      </c>
      <c r="E15" s="5"/>
      <c r="F15" s="13" t="e">
        <f ca="1">IF(D$12=0,0,D15/D$12)</f>
        <v>#NAME?</v>
      </c>
      <c r="G15" s="5"/>
      <c r="H15" s="5" t="e">
        <f ca="1">SUM(_xll.ONESTOP.REPORTPLAYER.OSRFUNCTIONS.OSRREF(H16))</f>
        <v>#NAME?</v>
      </c>
      <c r="I15" s="5"/>
      <c r="J15" s="13" t="e">
        <f ca="1">IF(H$12=0,0,H15/H$12)</f>
        <v>#NAME?</v>
      </c>
      <c r="K15" s="5"/>
      <c r="L15" s="5" t="e">
        <f ca="1">+D15-H15</f>
        <v>#NAME?</v>
      </c>
      <c r="M15" s="5"/>
      <c r="N15" s="13" t="e">
        <f ca="1">IF(H15=0,0,L15/H15)</f>
        <v>#NAME?</v>
      </c>
      <c r="O15" s="11"/>
      <c r="P15" s="5" t="e">
        <f ca="1">SUM(_xll.ONESTOP.REPORTPLAYER.OSRFUNCTIONS.OSRREF(P16))</f>
        <v>#NAME?</v>
      </c>
      <c r="Q15" s="5"/>
      <c r="R15" s="13" t="e">
        <f ca="1">IF(P$12=0,0,P15/P$12)</f>
        <v>#NAME?</v>
      </c>
      <c r="S15" s="5"/>
      <c r="T15" s="5" t="e">
        <f ca="1">SUM(_xll.ONESTOP.REPORTPLAYER.OSRFUNCTIONS.OSRREF(T16))</f>
        <v>#NAME?</v>
      </c>
      <c r="U15" s="5"/>
      <c r="V15" s="13" t="e">
        <f ca="1">IF(T$12=0,0,T15/T$12)</f>
        <v>#NAME?</v>
      </c>
      <c r="W15" s="5"/>
      <c r="X15" s="5" t="e">
        <f ca="1">+P15-T15</f>
        <v>#NAME?</v>
      </c>
      <c r="Y15" s="5"/>
      <c r="Z15" s="13" t="e">
        <f ca="1">IF(T15=0,0,X15/T15)</f>
        <v>#NAME?</v>
      </c>
    </row>
    <row r="16" spans="1:26" s="70" customFormat="1" ht="15" hidden="1" customHeight="1" outlineLevel="1" x14ac:dyDescent="0.3">
      <c r="A16" s="42"/>
      <c r="B16" s="12" t="e">
        <f ca="1">CONCATENATE("          ",_xll.ONESTOP.REPORTPLAYER.OSRFUNCTIONS.OSRGET("d_Account","Code")," - ",_xll.ONESTOP.REPORTPLAYER.OSRFUNCTIONS.OSRGET("d_Account","Description"))</f>
        <v>#NAME?</v>
      </c>
      <c r="C16" s="12"/>
      <c r="D16" s="3" t="e">
        <f ca="1">_xll.ONESTOP.REPORTPLAYER.OSRFUNCTIONS.OSRGET("GL_F_Trans","Value1")</f>
        <v>#NAME?</v>
      </c>
      <c r="E16" s="3"/>
      <c r="F16" s="20" t="e">
        <f ca="1">IF(D$12=0,0,D16/D$12)</f>
        <v>#NAME?</v>
      </c>
      <c r="G16" s="3"/>
      <c r="H16" s="3" t="e">
        <f ca="1">_xll.ONESTOP.REPORTPLAYER.OSRFUNCTIONS.OSRGET("GL_F_Trans","Value1")</f>
        <v>#NAME?</v>
      </c>
      <c r="I16" s="3"/>
      <c r="J16" s="20" t="e">
        <f ca="1">IF(H$12=0,0,H16/H$12)</f>
        <v>#NAME?</v>
      </c>
      <c r="K16" s="3"/>
      <c r="L16" s="3" t="e">
        <f ca="1">+D16-H16</f>
        <v>#NAME?</v>
      </c>
      <c r="M16" s="3"/>
      <c r="N16" s="20" t="e">
        <f ca="1">IF(H16=0,0,L16/H16)</f>
        <v>#NAME?</v>
      </c>
      <c r="O16" s="12"/>
      <c r="P16" s="3" t="e">
        <f ca="1">_xll.ONESTOP.REPORTPLAYER.OSRFUNCTIONS.OSRGET("GL_F_Trans","Value1")</f>
        <v>#NAME?</v>
      </c>
      <c r="Q16" s="3"/>
      <c r="R16" s="20" t="e">
        <f ca="1">IF(P$12=0,0,P16/P$12)</f>
        <v>#NAME?</v>
      </c>
      <c r="S16" s="3"/>
      <c r="T16" s="3" t="e">
        <f ca="1">_xll.ONESTOP.REPORTPLAYER.OSRFUNCTIONS.OSRGET("GL_F_Trans","Value1")</f>
        <v>#NAME?</v>
      </c>
      <c r="U16" s="3"/>
      <c r="V16" s="20" t="e">
        <f ca="1">IF(T$12=0,0,T16/T$12)</f>
        <v>#NAME?</v>
      </c>
      <c r="W16" s="3"/>
      <c r="X16" s="3" t="e">
        <f ca="1">+P16-T16</f>
        <v>#NAME?</v>
      </c>
      <c r="Y16" s="3"/>
      <c r="Z16" s="20" t="e">
        <f ca="1">IF(T16=0,0,X16/T16)</f>
        <v>#NAME?</v>
      </c>
    </row>
    <row r="17" spans="1:26" ht="15" customHeight="1" x14ac:dyDescent="0.3">
      <c r="A17" s="10"/>
      <c r="B17" s="11"/>
      <c r="C17" s="11"/>
      <c r="D17" s="4"/>
      <c r="E17" s="4"/>
      <c r="F17" s="9"/>
      <c r="G17" s="4"/>
      <c r="H17" s="4"/>
      <c r="I17" s="4"/>
      <c r="J17" s="9"/>
      <c r="K17" s="4"/>
      <c r="L17" s="4"/>
      <c r="M17" s="4"/>
      <c r="N17" s="9"/>
      <c r="O17" s="11"/>
      <c r="P17" s="4"/>
      <c r="Q17" s="4"/>
      <c r="R17" s="9"/>
      <c r="S17" s="4"/>
      <c r="T17" s="4"/>
      <c r="U17" s="4"/>
      <c r="V17" s="9"/>
      <c r="W17" s="4"/>
      <c r="X17" s="4"/>
      <c r="Y17" s="4"/>
      <c r="Z17" s="9"/>
    </row>
    <row r="18" spans="1:26" s="63" customFormat="1" ht="15" customHeight="1" x14ac:dyDescent="0.3">
      <c r="A18" s="11"/>
      <c r="B18" s="27" t="s">
        <v>289</v>
      </c>
      <c r="C18" s="27"/>
      <c r="D18" s="21" t="e">
        <f ca="1">D12-D15</f>
        <v>#NAME?</v>
      </c>
      <c r="E18" s="15"/>
      <c r="F18" s="23" t="e">
        <f ca="1">IF(D$12=0,0,D18/D$12)</f>
        <v>#NAME?</v>
      </c>
      <c r="G18" s="15"/>
      <c r="H18" s="21" t="e">
        <f ca="1">H12-H15</f>
        <v>#NAME?</v>
      </c>
      <c r="I18" s="15"/>
      <c r="J18" s="23" t="e">
        <f ca="1">IF(H$12=0,0,H18/H$12)</f>
        <v>#NAME?</v>
      </c>
      <c r="K18" s="16"/>
      <c r="L18" s="21" t="e">
        <f ca="1">+D18-H18</f>
        <v>#NAME?</v>
      </c>
      <c r="M18" s="16"/>
      <c r="N18" s="23" t="e">
        <f ca="1">IF(H18=0,0,L18/H18)</f>
        <v>#NAME?</v>
      </c>
      <c r="O18" s="28"/>
      <c r="P18" s="21" t="e">
        <f ca="1">P12-P15</f>
        <v>#NAME?</v>
      </c>
      <c r="Q18" s="15"/>
      <c r="R18" s="23" t="e">
        <f ca="1">IF(P$12=0,0,P18/P$12)</f>
        <v>#NAME?</v>
      </c>
      <c r="S18" s="15"/>
      <c r="T18" s="21" t="e">
        <f ca="1">T12-T15</f>
        <v>#NAME?</v>
      </c>
      <c r="U18" s="15"/>
      <c r="V18" s="23" t="e">
        <f ca="1">IF(T$12=0,0,T18/T$12)</f>
        <v>#NAME?</v>
      </c>
      <c r="W18" s="16"/>
      <c r="X18" s="21" t="e">
        <f ca="1">+P18-T18</f>
        <v>#NAME?</v>
      </c>
      <c r="Y18" s="16"/>
      <c r="Z18" s="23" t="e">
        <f ca="1">IF(T18=0,0,X18/T18)</f>
        <v>#NAME?</v>
      </c>
    </row>
    <row r="19" spans="1:26" ht="15" customHeight="1" x14ac:dyDescent="0.3">
      <c r="A19" s="10"/>
      <c r="B19" s="11"/>
      <c r="C19" s="10"/>
      <c r="D19" s="2"/>
      <c r="E19" s="2"/>
      <c r="F19" s="6"/>
      <c r="G19" s="2"/>
      <c r="H19" s="2"/>
      <c r="I19" s="2"/>
      <c r="J19" s="6"/>
      <c r="K19" s="2"/>
      <c r="L19" s="2"/>
      <c r="M19" s="2"/>
      <c r="N19" s="6"/>
      <c r="O19" s="35"/>
      <c r="P19" s="2"/>
      <c r="Q19" s="2"/>
      <c r="R19" s="6"/>
      <c r="S19" s="2"/>
      <c r="T19" s="2"/>
      <c r="U19" s="2"/>
      <c r="V19" s="6"/>
      <c r="W19" s="2"/>
      <c r="X19" s="2"/>
      <c r="Y19" s="2"/>
      <c r="Z19" s="6"/>
    </row>
    <row r="20" spans="1:26" s="63" customFormat="1" ht="15" customHeight="1" x14ac:dyDescent="0.3">
      <c r="A20" s="11"/>
      <c r="B20" s="28" t="s">
        <v>290</v>
      </c>
      <c r="C20" s="11"/>
      <c r="D20" s="22" t="e">
        <f ca="1">SUM(_xll.ONESTOP.REPORTPLAYER.OSRFUNCTIONS.OSRREF(D22))</f>
        <v>#NAME?</v>
      </c>
      <c r="E20" s="22"/>
      <c r="F20" s="30" t="e">
        <f ca="1">IF(D$12=0,0,D20/D$12)</f>
        <v>#NAME?</v>
      </c>
      <c r="G20" s="22"/>
      <c r="H20" s="22" t="e">
        <f ca="1">SUM(_xll.ONESTOP.REPORTPLAYER.OSRFUNCTIONS.OSRREF(H22))</f>
        <v>#NAME?</v>
      </c>
      <c r="I20" s="22"/>
      <c r="J20" s="30" t="e">
        <f ca="1">IF(H$12=0,0,H20/H$12)</f>
        <v>#NAME?</v>
      </c>
      <c r="K20" s="5"/>
      <c r="L20" s="22" t="e">
        <f ca="1">+D20-H20</f>
        <v>#NAME?</v>
      </c>
      <c r="M20" s="5"/>
      <c r="N20" s="30" t="e">
        <f ca="1">IF(H20=0,0,L20/H20)</f>
        <v>#NAME?</v>
      </c>
      <c r="O20" s="11"/>
      <c r="P20" s="22" t="e">
        <f ca="1">SUM(_xll.ONESTOP.REPORTPLAYER.OSRFUNCTIONS.OSRREF(P22))</f>
        <v>#NAME?</v>
      </c>
      <c r="Q20" s="22"/>
      <c r="R20" s="30" t="e">
        <f ca="1">IF(P$12=0,0,P20/P$12)</f>
        <v>#NAME?</v>
      </c>
      <c r="S20" s="22"/>
      <c r="T20" s="22" t="e">
        <f ca="1">SUM(_xll.ONESTOP.REPORTPLAYER.OSRFUNCTIONS.OSRREF(T22))</f>
        <v>#NAME?</v>
      </c>
      <c r="U20" s="22"/>
      <c r="V20" s="30" t="e">
        <f ca="1">IF(T$12=0,0,T20/T$12)</f>
        <v>#NAME?</v>
      </c>
      <c r="W20" s="5"/>
      <c r="X20" s="22" t="e">
        <f ca="1">+P20-T20</f>
        <v>#NAME?</v>
      </c>
      <c r="Y20" s="5"/>
      <c r="Z20" s="30" t="e">
        <f ca="1">IF(T20=0,0,X20/T20)</f>
        <v>#NAME?</v>
      </c>
    </row>
    <row r="21" spans="1:26" s="69" customFormat="1" ht="15" customHeight="1" outlineLevel="1" collapsed="1" x14ac:dyDescent="0.3">
      <c r="A21" s="25"/>
      <c r="B21" s="14" t="e">
        <f ca="1">CONCATENATE("     ",_xll.ONESTOP.REPORTPLAYER.OSRFUNCTIONS.OSRGET("d_Account","AccountCategory"))</f>
        <v>#NAME?</v>
      </c>
      <c r="C21" s="14"/>
      <c r="D21" s="2" t="e">
        <f ca="1">SUM(_xll.ONESTOP.REPORTPLAYER.OSRFUNCTIONS.OSRREF(D22))</f>
        <v>#NAME?</v>
      </c>
      <c r="E21" s="2"/>
      <c r="F21" s="6" t="e">
        <f ca="1">IF(D$12=0,0,D21/D$12)</f>
        <v>#NAME?</v>
      </c>
      <c r="G21" s="2"/>
      <c r="H21" s="2" t="e">
        <f ca="1">SUM(_xll.ONESTOP.REPORTPLAYER.OSRFUNCTIONS.OSRREF(H22))</f>
        <v>#NAME?</v>
      </c>
      <c r="I21" s="2"/>
      <c r="J21" s="6" t="e">
        <f ca="1">IF(H$12=0,0,H21/H$12)</f>
        <v>#NAME?</v>
      </c>
      <c r="K21" s="2"/>
      <c r="L21" s="2" t="e">
        <f ca="1">+D21-H21</f>
        <v>#NAME?</v>
      </c>
      <c r="M21" s="2"/>
      <c r="N21" s="6" t="e">
        <f ca="1">IF(H21=0,0,L21/H21)</f>
        <v>#NAME?</v>
      </c>
      <c r="O21" s="14"/>
      <c r="P21" s="2" t="e">
        <f ca="1">SUM(_xll.ONESTOP.REPORTPLAYER.OSRFUNCTIONS.OSRREF(P22))</f>
        <v>#NAME?</v>
      </c>
      <c r="Q21" s="2"/>
      <c r="R21" s="6" t="e">
        <f ca="1">IF(P$12=0,0,P21/P$12)</f>
        <v>#NAME?</v>
      </c>
      <c r="S21" s="2"/>
      <c r="T21" s="2" t="e">
        <f ca="1">SUM(_xll.ONESTOP.REPORTPLAYER.OSRFUNCTIONS.OSRREF(T22))</f>
        <v>#NAME?</v>
      </c>
      <c r="U21" s="2"/>
      <c r="V21" s="6" t="e">
        <f ca="1">IF(T$12=0,0,T21/T$12)</f>
        <v>#NAME?</v>
      </c>
      <c r="W21" s="2"/>
      <c r="X21" s="2" t="e">
        <f ca="1">+P21-T21</f>
        <v>#NAME?</v>
      </c>
      <c r="Y21" s="2"/>
      <c r="Z21" s="6" t="e">
        <f ca="1">IF(T21=0,0,X21/T21)</f>
        <v>#NAME?</v>
      </c>
    </row>
    <row r="22" spans="1:26" s="70" customFormat="1" ht="15" hidden="1" customHeight="1" outlineLevel="2" x14ac:dyDescent="0.3">
      <c r="A22" s="26"/>
      <c r="B22" s="12" t="e">
        <f ca="1">CONCATENATE("          ",_xll.ONESTOP.REPORTPLAYER.OSRFUNCTIONS.OSRGET("d_Account","Code")," - ",_xll.ONESTOP.REPORTPLAYER.OSRFUNCTIONS.OSRGET("d_Account","Description"))</f>
        <v>#NAME?</v>
      </c>
      <c r="C22" s="12"/>
      <c r="D22" s="7" t="e">
        <f ca="1">_xll.ONESTOP.REPORTPLAYER.OSRFUNCTIONS.OSRGET("GL_F_Trans","Value1")</f>
        <v>#NAME?</v>
      </c>
      <c r="E22" s="3"/>
      <c r="F22" s="8" t="e">
        <f ca="1">IF(D$12=0,0,D22/D$12)</f>
        <v>#NAME?</v>
      </c>
      <c r="G22" s="3"/>
      <c r="H22" s="7" t="e">
        <f ca="1">_xll.ONESTOP.REPORTPLAYER.OSRFUNCTIONS.OSRGET("GL_F_Trans","Value1")</f>
        <v>#NAME?</v>
      </c>
      <c r="I22" s="3"/>
      <c r="J22" s="8" t="e">
        <f ca="1">IF(H$12=0,0,H22/H$12)</f>
        <v>#NAME?</v>
      </c>
      <c r="K22" s="3"/>
      <c r="L22" s="7" t="e">
        <f ca="1">+D22-H22</f>
        <v>#NAME?</v>
      </c>
      <c r="M22" s="3"/>
      <c r="N22" s="8" t="e">
        <f ca="1">IF(H22=0,0,L22/H22)</f>
        <v>#NAME?</v>
      </c>
      <c r="O22" s="12"/>
      <c r="P22" s="7" t="e">
        <f ca="1">_xll.ONESTOP.REPORTPLAYER.OSRFUNCTIONS.OSRGET("GL_F_Trans","Value1")</f>
        <v>#NAME?</v>
      </c>
      <c r="Q22" s="3"/>
      <c r="R22" s="8" t="e">
        <f ca="1">IF(P$12=0,0,P22/P$12)</f>
        <v>#NAME?</v>
      </c>
      <c r="S22" s="3"/>
      <c r="T22" s="7" t="e">
        <f ca="1">_xll.ONESTOP.REPORTPLAYER.OSRFUNCTIONS.OSRGET("GL_F_Trans","Value1")</f>
        <v>#NAME?</v>
      </c>
      <c r="U22" s="3"/>
      <c r="V22" s="8" t="e">
        <f ca="1">IF(T$12=0,0,T22/T$12)</f>
        <v>#NAME?</v>
      </c>
      <c r="W22" s="3"/>
      <c r="X22" s="7" t="e">
        <f ca="1">+P22-T22</f>
        <v>#NAME?</v>
      </c>
      <c r="Y22" s="3"/>
      <c r="Z22" s="8" t="e">
        <f ca="1">IF(T22=0,0,X22/T22)</f>
        <v>#NAME?</v>
      </c>
    </row>
    <row r="23" spans="1:26" s="65" customFormat="1" ht="15" customHeight="1" x14ac:dyDescent="0.3">
      <c r="A23" s="35"/>
      <c r="B23" s="35"/>
      <c r="C23" s="35"/>
      <c r="D23" s="2"/>
      <c r="E23" s="2"/>
      <c r="F23" s="6"/>
      <c r="G23" s="2"/>
      <c r="H23" s="2"/>
      <c r="I23" s="2"/>
      <c r="J23" s="6"/>
      <c r="K23" s="2"/>
      <c r="L23" s="2"/>
      <c r="M23" s="2"/>
      <c r="N23" s="6"/>
      <c r="O23" s="35"/>
      <c r="P23" s="2"/>
      <c r="Q23" s="2"/>
      <c r="R23" s="6"/>
      <c r="S23" s="2"/>
      <c r="T23" s="2"/>
      <c r="U23" s="2"/>
      <c r="V23" s="6"/>
      <c r="W23" s="2"/>
      <c r="X23" s="2"/>
      <c r="Y23" s="2"/>
      <c r="Z23" s="6"/>
    </row>
    <row r="24" spans="1:26" s="63" customFormat="1" ht="15" customHeight="1" collapsed="1" x14ac:dyDescent="0.3">
      <c r="A24" s="11"/>
      <c r="B24" s="28" t="s">
        <v>291</v>
      </c>
      <c r="C24" s="11"/>
      <c r="D24" s="5" t="e">
        <f ca="1">SUM(_xll.ONESTOP.REPORTPLAYER.OSRFUNCTIONS.OSRREF(D25))</f>
        <v>#NAME?</v>
      </c>
      <c r="E24" s="5"/>
      <c r="F24" s="13" t="e">
        <f ca="1">IF(D$12=0,0,D24/D$12)</f>
        <v>#NAME?</v>
      </c>
      <c r="G24" s="5"/>
      <c r="H24" s="5" t="e">
        <f ca="1">SUM(_xll.ONESTOP.REPORTPLAYER.OSRFUNCTIONS.OSRREF(H25))</f>
        <v>#NAME?</v>
      </c>
      <c r="I24" s="5"/>
      <c r="J24" s="13" t="e">
        <f ca="1">IF(H$12=0,0,H24/H$12)</f>
        <v>#NAME?</v>
      </c>
      <c r="K24" s="5"/>
      <c r="L24" s="5" t="e">
        <f ca="1">+D24-H24</f>
        <v>#NAME?</v>
      </c>
      <c r="M24" s="5"/>
      <c r="N24" s="13" t="e">
        <f ca="1">IF(H24=0,0,L24/H24)</f>
        <v>#NAME?</v>
      </c>
      <c r="O24" s="11"/>
      <c r="P24" s="5" t="e">
        <f ca="1">SUM(_xll.ONESTOP.REPORTPLAYER.OSRFUNCTIONS.OSRREF(P25))</f>
        <v>#NAME?</v>
      </c>
      <c r="Q24" s="5"/>
      <c r="R24" s="13" t="e">
        <f ca="1">IF(P$12=0,0,P24/P$12)</f>
        <v>#NAME?</v>
      </c>
      <c r="S24" s="5"/>
      <c r="T24" s="5" t="e">
        <f ca="1">SUM(_xll.ONESTOP.REPORTPLAYER.OSRFUNCTIONS.OSRREF(T25))</f>
        <v>#NAME?</v>
      </c>
      <c r="U24" s="5"/>
      <c r="V24" s="13" t="e">
        <f ca="1">IF(T$12=0,0,T24/T$12)</f>
        <v>#NAME?</v>
      </c>
      <c r="W24" s="5"/>
      <c r="X24" s="5" t="e">
        <f ca="1">+P24-T24</f>
        <v>#NAME?</v>
      </c>
      <c r="Y24" s="5"/>
      <c r="Z24" s="13" t="e">
        <f ca="1">IF(T24=0,0,X24/T24)</f>
        <v>#NAME?</v>
      </c>
    </row>
    <row r="25" spans="1:26" s="70" customFormat="1" ht="15" hidden="1" customHeight="1" outlineLevel="1" x14ac:dyDescent="0.3">
      <c r="A25" s="42"/>
      <c r="B25" s="12" t="e">
        <f ca="1">CONCATENATE("          ",_xll.ONESTOP.REPORTPLAYER.OSRFUNCTIONS.OSRGET("d_Account","Code")," - ",_xll.ONESTOP.REPORTPLAYER.OSRFUNCTIONS.OSRGET("d_Account","Description"))</f>
        <v>#NAME?</v>
      </c>
      <c r="C25" s="12"/>
      <c r="D25" s="3" t="e">
        <f ca="1">-_xll.ONESTOP.REPORTPLAYER.OSRFUNCTIONS.OSRGET("GL_F_Trans","Value1")</f>
        <v>#NAME?</v>
      </c>
      <c r="E25" s="3"/>
      <c r="F25" s="20" t="e">
        <f ca="1">IF(D$12=0,0,D25/D$12)</f>
        <v>#NAME?</v>
      </c>
      <c r="G25" s="3"/>
      <c r="H25" s="3" t="e">
        <f ca="1">_xll.ONESTOP.REPORTPLAYER.OSRFUNCTIONS.OSRGET("GL_F_Trans","Value1")</f>
        <v>#NAME?</v>
      </c>
      <c r="I25" s="3"/>
      <c r="J25" s="20" t="e">
        <f ca="1">IF(H$12=0,0,H25/H$12)</f>
        <v>#NAME?</v>
      </c>
      <c r="K25" s="3"/>
      <c r="L25" s="3" t="e">
        <f ca="1">+D25-H25</f>
        <v>#NAME?</v>
      </c>
      <c r="M25" s="3"/>
      <c r="N25" s="20" t="e">
        <f ca="1">IF(H25=0,0,L25/H25)</f>
        <v>#NAME?</v>
      </c>
      <c r="O25" s="12"/>
      <c r="P25" s="3" t="e">
        <f ca="1">-_xll.ONESTOP.REPORTPLAYER.OSRFUNCTIONS.OSRGET("GL_F_Trans","Value1")</f>
        <v>#NAME?</v>
      </c>
      <c r="Q25" s="3"/>
      <c r="R25" s="20" t="e">
        <f ca="1">IF(P$12=0,0,P25/P$12)</f>
        <v>#NAME?</v>
      </c>
      <c r="S25" s="3"/>
      <c r="T25" s="3" t="e">
        <f ca="1">_xll.ONESTOP.REPORTPLAYER.OSRFUNCTIONS.OSRGET("GL_F_Trans","Value1")</f>
        <v>#NAME?</v>
      </c>
      <c r="U25" s="3"/>
      <c r="V25" s="20" t="e">
        <f ca="1">IF(T$12=0,0,T25/T$12)</f>
        <v>#NAME?</v>
      </c>
      <c r="W25" s="3"/>
      <c r="X25" s="3" t="e">
        <f ca="1">+P25-T25</f>
        <v>#NAME?</v>
      </c>
      <c r="Y25" s="3"/>
      <c r="Z25" s="20" t="e">
        <f ca="1">IF(T25=0,0,X25/T25)</f>
        <v>#NAME?</v>
      </c>
    </row>
    <row r="26" spans="1:26" ht="15" customHeight="1" x14ac:dyDescent="0.3">
      <c r="A26" s="10"/>
      <c r="B26" s="11"/>
      <c r="C26" s="11"/>
      <c r="D26" s="4"/>
      <c r="E26" s="4"/>
      <c r="F26" s="9"/>
      <c r="G26" s="4"/>
      <c r="H26" s="4"/>
      <c r="I26" s="4"/>
      <c r="J26" s="9"/>
      <c r="K26" s="4"/>
      <c r="L26" s="4"/>
      <c r="M26" s="4"/>
      <c r="N26" s="9"/>
      <c r="O26" s="11"/>
      <c r="P26" s="4"/>
      <c r="Q26" s="4"/>
      <c r="R26" s="9"/>
      <c r="S26" s="4"/>
      <c r="T26" s="4"/>
      <c r="U26" s="4"/>
      <c r="V26" s="9"/>
      <c r="W26" s="4"/>
      <c r="X26" s="4"/>
      <c r="Y26" s="4"/>
      <c r="Z26" s="9"/>
    </row>
    <row r="27" spans="1:26" s="63" customFormat="1" ht="15" customHeight="1" x14ac:dyDescent="0.3">
      <c r="A27" s="11"/>
      <c r="B27" s="27" t="s">
        <v>292</v>
      </c>
      <c r="C27" s="27"/>
      <c r="D27" s="21" t="e">
        <f ca="1">+D18-D20+D24</f>
        <v>#NAME?</v>
      </c>
      <c r="E27" s="15"/>
      <c r="F27" s="23" t="e">
        <f ca="1">IF(D$12=0,0,D27/D$12)</f>
        <v>#NAME?</v>
      </c>
      <c r="G27" s="15"/>
      <c r="H27" s="21" t="e">
        <f ca="1">+H18-H20+H24</f>
        <v>#NAME?</v>
      </c>
      <c r="I27" s="15"/>
      <c r="J27" s="23" t="e">
        <f ca="1">IF(H$12=0,0,H27/H$12)</f>
        <v>#NAME?</v>
      </c>
      <c r="K27" s="16"/>
      <c r="L27" s="21" t="e">
        <f ca="1">+D27-H27</f>
        <v>#NAME?</v>
      </c>
      <c r="M27" s="16"/>
      <c r="N27" s="23" t="e">
        <f ca="1">IF(H27=0,0,L27/H27)</f>
        <v>#NAME?</v>
      </c>
      <c r="O27" s="28"/>
      <c r="P27" s="21" t="e">
        <f ca="1">+P18-P20+P24</f>
        <v>#NAME?</v>
      </c>
      <c r="Q27" s="15"/>
      <c r="R27" s="23" t="e">
        <f ca="1">IF(P$12=0,0,P27/P$12)</f>
        <v>#NAME?</v>
      </c>
      <c r="S27" s="15"/>
      <c r="T27" s="21" t="e">
        <f ca="1">+T18-T20+T24</f>
        <v>#NAME?</v>
      </c>
      <c r="U27" s="15"/>
      <c r="V27" s="23" t="e">
        <f ca="1">IF(T$12=0,0,T27/T$12)</f>
        <v>#NAME?</v>
      </c>
      <c r="W27" s="16"/>
      <c r="X27" s="21" t="e">
        <f ca="1">+P27-T27</f>
        <v>#NAME?</v>
      </c>
      <c r="Y27" s="16"/>
      <c r="Z27" s="23" t="e">
        <f ca="1">IF(T27=0,0,X27/T27)</f>
        <v>#NAME?</v>
      </c>
    </row>
    <row r="28" spans="1:26" ht="15" customHeight="1" x14ac:dyDescent="0.3">
      <c r="A28" s="10"/>
      <c r="B28" s="11"/>
      <c r="C28" s="10"/>
      <c r="D28" s="4"/>
      <c r="E28" s="4"/>
      <c r="F28" s="9"/>
      <c r="G28" s="4"/>
      <c r="H28" s="4"/>
      <c r="I28" s="4"/>
      <c r="J28" s="9"/>
      <c r="K28" s="4"/>
      <c r="L28" s="4"/>
      <c r="M28" s="4"/>
      <c r="N28" s="9"/>
      <c r="P28" s="4"/>
      <c r="Q28" s="4"/>
      <c r="R28" s="9"/>
      <c r="S28" s="4"/>
      <c r="T28" s="4"/>
      <c r="U28" s="4"/>
      <c r="V28" s="9"/>
      <c r="W28" s="4"/>
      <c r="X28" s="4"/>
      <c r="Y28" s="4"/>
      <c r="Z28" s="9"/>
    </row>
    <row r="29" spans="1:26" s="63" customFormat="1" ht="15" customHeight="1" x14ac:dyDescent="0.3">
      <c r="A29" s="49"/>
      <c r="B29" s="11" t="s">
        <v>293</v>
      </c>
      <c r="C29" s="11"/>
      <c r="D29" s="5" t="e">
        <f ca="1">_xll.ONESTOP.REPORTPLAYER.OSRFUNCTIONS.OSRGET("GL_F_Trans","Value1")</f>
        <v>#NAME?</v>
      </c>
      <c r="E29" s="5"/>
      <c r="F29" s="13" t="e">
        <f ca="1">IF(D$12=0,0,D29/D$12)</f>
        <v>#NAME?</v>
      </c>
      <c r="G29" s="5"/>
      <c r="H29" s="5" t="e">
        <f ca="1">_xll.ONESTOP.REPORTPLAYER.OSRFUNCTIONS.OSRGET("GL_F_Trans","Value1")</f>
        <v>#NAME?</v>
      </c>
      <c r="I29" s="5"/>
      <c r="J29" s="13" t="e">
        <f ca="1">IF(H$12=0,0,H29/H$12)</f>
        <v>#NAME?</v>
      </c>
      <c r="K29" s="5"/>
      <c r="L29" s="5" t="e">
        <f ca="1">+D29-H29</f>
        <v>#NAME?</v>
      </c>
      <c r="M29" s="5"/>
      <c r="N29" s="13" t="e">
        <f ca="1">IF(H29=0,0,L29/H29)</f>
        <v>#NAME?</v>
      </c>
      <c r="O29" s="11"/>
      <c r="P29" s="5" t="e">
        <f ca="1">_xll.ONESTOP.REPORTPLAYER.OSRFUNCTIONS.OSRGET("GL_F_Trans","Value1")</f>
        <v>#NAME?</v>
      </c>
      <c r="Q29" s="5"/>
      <c r="R29" s="13" t="e">
        <f ca="1">IF(P$12=0,0,P29/P$12)</f>
        <v>#NAME?</v>
      </c>
      <c r="S29" s="5"/>
      <c r="T29" s="5" t="e">
        <f ca="1">_xll.ONESTOP.REPORTPLAYER.OSRFUNCTIONS.OSRGET("GL_F_Trans","Value1")</f>
        <v>#NAME?</v>
      </c>
      <c r="U29" s="5"/>
      <c r="V29" s="13" t="e">
        <f ca="1">IF(T$12=0,0,T29/T$12)</f>
        <v>#NAME?</v>
      </c>
      <c r="W29" s="5"/>
      <c r="X29" s="5" t="e">
        <f ca="1">+P29-T29</f>
        <v>#NAME?</v>
      </c>
      <c r="Y29" s="5"/>
      <c r="Z29" s="13" t="e">
        <f ca="1">IF(T29=0,0,X29/T29)</f>
        <v>#NAME?</v>
      </c>
    </row>
    <row r="30" spans="1:26" ht="15" customHeight="1" x14ac:dyDescent="0.3">
      <c r="A30" s="10"/>
      <c r="B30" s="11"/>
      <c r="C30" s="11"/>
      <c r="D30" s="4"/>
      <c r="E30" s="4"/>
      <c r="F30" s="9"/>
      <c r="G30" s="4"/>
      <c r="H30" s="4"/>
      <c r="I30" s="4"/>
      <c r="J30" s="9"/>
      <c r="K30" s="4"/>
      <c r="L30" s="4"/>
      <c r="M30" s="4"/>
      <c r="N30" s="9"/>
      <c r="O30" s="11"/>
      <c r="P30" s="4"/>
      <c r="Q30" s="4"/>
      <c r="R30" s="9"/>
      <c r="S30" s="4"/>
      <c r="T30" s="4"/>
      <c r="U30" s="4"/>
      <c r="V30" s="9"/>
      <c r="W30" s="4"/>
      <c r="X30" s="4"/>
      <c r="Y30" s="4"/>
      <c r="Z30" s="9"/>
    </row>
    <row r="31" spans="1:26" s="63" customFormat="1" ht="15" customHeight="1" x14ac:dyDescent="0.3">
      <c r="A31" s="11"/>
      <c r="B31" s="27" t="s">
        <v>294</v>
      </c>
      <c r="C31" s="27"/>
      <c r="D31" s="34" t="e">
        <f ca="1">+D27-D29</f>
        <v>#NAME?</v>
      </c>
      <c r="E31" s="15"/>
      <c r="F31" s="29" t="e">
        <f ca="1">IF(D$12=0,0,D31/D$12)</f>
        <v>#NAME?</v>
      </c>
      <c r="G31" s="15"/>
      <c r="H31" s="34" t="e">
        <f ca="1">+H27-H29</f>
        <v>#NAME?</v>
      </c>
      <c r="I31" s="15"/>
      <c r="J31" s="29" t="e">
        <f ca="1">IF(H$12=0,0,H31/H$12)</f>
        <v>#NAME?</v>
      </c>
      <c r="K31" s="16"/>
      <c r="L31" s="34" t="e">
        <f ca="1">D31-H31</f>
        <v>#NAME?</v>
      </c>
      <c r="M31" s="16"/>
      <c r="N31" s="29" t="e">
        <f ca="1">IF(H31=0,0,L31/H31)</f>
        <v>#NAME?</v>
      </c>
      <c r="O31" s="28"/>
      <c r="P31" s="34" t="e">
        <f ca="1">+P27-P29</f>
        <v>#NAME?</v>
      </c>
      <c r="Q31" s="15"/>
      <c r="R31" s="29" t="e">
        <f ca="1">IF(P$12=0,0,P31/P$12)</f>
        <v>#NAME?</v>
      </c>
      <c r="S31" s="15"/>
      <c r="T31" s="34" t="e">
        <f ca="1">+T27-T29</f>
        <v>#NAME?</v>
      </c>
      <c r="U31" s="15"/>
      <c r="V31" s="29" t="e">
        <f ca="1">IF(T$12=0,0,T31/T$12)</f>
        <v>#NAME?</v>
      </c>
      <c r="W31" s="16"/>
      <c r="X31" s="34" t="e">
        <f ca="1">P31-T31</f>
        <v>#NAME?</v>
      </c>
      <c r="Y31" s="16"/>
      <c r="Z31" s="29" t="e">
        <f ca="1">IF(T31=0,0,X31/T31)</f>
        <v>#NAME?</v>
      </c>
    </row>
    <row r="32" spans="1:26" ht="15" customHeight="1" x14ac:dyDescent="0.3">
      <c r="A32" s="10"/>
      <c r="B32" s="10"/>
      <c r="C32" s="10"/>
      <c r="D32" s="4"/>
      <c r="E32" s="4"/>
      <c r="F32" s="9"/>
      <c r="G32" s="4"/>
      <c r="H32" s="4"/>
      <c r="I32" s="4"/>
      <c r="J32" s="9"/>
      <c r="K32" s="4"/>
      <c r="L32" s="4"/>
      <c r="M32" s="4"/>
      <c r="N32" s="9"/>
      <c r="P32" s="4"/>
      <c r="Q32" s="4"/>
      <c r="R32" s="9"/>
      <c r="S32" s="4"/>
      <c r="T32" s="4"/>
      <c r="U32" s="4"/>
      <c r="V32" s="9"/>
      <c r="W32" s="4"/>
      <c r="X32" s="4"/>
      <c r="Y32" s="4"/>
      <c r="Z32" s="9"/>
    </row>
    <row r="33" spans="1:26" s="63" customFormat="1" ht="15" customHeight="1" x14ac:dyDescent="0.3">
      <c r="A33" s="49"/>
      <c r="B33" s="11" t="s">
        <v>295</v>
      </c>
      <c r="C33" s="11"/>
      <c r="D33" s="5" t="e">
        <f ca="1">-_xll.ONESTOP.REPORTPLAYER.OSRFUNCTIONS.OSRGET("GL_F_Trans","Value1")</f>
        <v>#NAME?</v>
      </c>
      <c r="E33" s="5"/>
      <c r="F33" s="13" t="e">
        <f ca="1">IF(D$12=0,0,D33/D$12)</f>
        <v>#NAME?</v>
      </c>
      <c r="G33" s="5"/>
      <c r="H33" s="5" t="e">
        <f ca="1">-_xll.ONESTOP.REPORTPLAYER.OSRFUNCTIONS.OSRGET("GL_F_Trans","Value1")</f>
        <v>#NAME?</v>
      </c>
      <c r="I33" s="5"/>
      <c r="J33" s="13" t="e">
        <f ca="1">IF(H$12=0,0,H33/H$12)</f>
        <v>#NAME?</v>
      </c>
      <c r="K33" s="5"/>
      <c r="L33" s="5" t="e">
        <f ca="1">+D33-H33</f>
        <v>#NAME?</v>
      </c>
      <c r="M33" s="5"/>
      <c r="N33" s="13" t="e">
        <f ca="1">IF(H33=0,0,L33/H33)</f>
        <v>#NAME?</v>
      </c>
      <c r="O33" s="11"/>
      <c r="P33" s="5" t="e">
        <f ca="1">-_xll.ONESTOP.REPORTPLAYER.OSRFUNCTIONS.OSRGET("GL_F_Trans","Value1")</f>
        <v>#NAME?</v>
      </c>
      <c r="Q33" s="5"/>
      <c r="R33" s="13" t="e">
        <f ca="1">IF(P$12=0,0,P33/P$12)</f>
        <v>#NAME?</v>
      </c>
      <c r="S33" s="5"/>
      <c r="T33" s="5" t="e">
        <f ca="1">-_xll.ONESTOP.REPORTPLAYER.OSRFUNCTIONS.OSRGET("GL_F_Trans","Value1")</f>
        <v>#NAME?</v>
      </c>
      <c r="U33" s="5"/>
      <c r="V33" s="13" t="e">
        <f ca="1">IF(T$12=0,0,T33/T$12)</f>
        <v>#NAME?</v>
      </c>
      <c r="W33" s="5"/>
      <c r="X33" s="5" t="e">
        <f ca="1">+P33-T33</f>
        <v>#NAME?</v>
      </c>
      <c r="Y33" s="5"/>
      <c r="Z33" s="13" t="e">
        <f ca="1">IF(T33=0,0,X33/T33)</f>
        <v>#NAME?</v>
      </c>
    </row>
    <row r="34" spans="1:26" s="63" customFormat="1" ht="15" customHeight="1" x14ac:dyDescent="0.3">
      <c r="A34" s="49"/>
      <c r="B34" s="11" t="s">
        <v>296</v>
      </c>
      <c r="C34" s="11"/>
      <c r="D34" s="5" t="e">
        <f ca="1">-_xll.ONESTOP.REPORTPLAYER.OSRFUNCTIONS.OSRGET("GL_F_Trans","Value1")</f>
        <v>#NAME?</v>
      </c>
      <c r="E34" s="5"/>
      <c r="F34" s="13" t="e">
        <f ca="1">IF(D$12=0,0,D34/D$12)</f>
        <v>#NAME?</v>
      </c>
      <c r="G34" s="5"/>
      <c r="H34" s="5" t="e">
        <f ca="1">-_xll.ONESTOP.REPORTPLAYER.OSRFUNCTIONS.OSRGET("GL_F_Trans","Value1")</f>
        <v>#NAME?</v>
      </c>
      <c r="I34" s="5"/>
      <c r="J34" s="13" t="e">
        <f ca="1">IF(H$12=0,0,H34/H$12)</f>
        <v>#NAME?</v>
      </c>
      <c r="K34" s="5"/>
      <c r="L34" s="5" t="e">
        <f ca="1">+D34-H34</f>
        <v>#NAME?</v>
      </c>
      <c r="M34" s="5"/>
      <c r="N34" s="13" t="e">
        <f ca="1">IF(H34=0,0,L34/H34)</f>
        <v>#NAME?</v>
      </c>
      <c r="O34" s="11"/>
      <c r="P34" s="5" t="e">
        <f ca="1">-_xll.ONESTOP.REPORTPLAYER.OSRFUNCTIONS.OSRGET("GL_F_Trans","Value1")</f>
        <v>#NAME?</v>
      </c>
      <c r="Q34" s="5"/>
      <c r="R34" s="13" t="e">
        <f ca="1">IF(P$12=0,0,P34/P$12)</f>
        <v>#NAME?</v>
      </c>
      <c r="S34" s="5"/>
      <c r="T34" s="5" t="e">
        <f ca="1">-_xll.ONESTOP.REPORTPLAYER.OSRFUNCTIONS.OSRGET("GL_F_Trans","Value1")</f>
        <v>#NAME?</v>
      </c>
      <c r="U34" s="5"/>
      <c r="V34" s="13" t="e">
        <f ca="1">IF(T$12=0,0,T34/T$12)</f>
        <v>#NAME?</v>
      </c>
      <c r="W34" s="5"/>
      <c r="X34" s="5" t="e">
        <f ca="1">+P34-T34</f>
        <v>#NAME?</v>
      </c>
      <c r="Y34" s="5"/>
      <c r="Z34" s="13" t="e">
        <f ca="1">IF(T34=0,0,X34/T34)</f>
        <v>#NAME?</v>
      </c>
    </row>
    <row r="35" spans="1:26" ht="15" customHeight="1" x14ac:dyDescent="0.3">
      <c r="A35" s="10"/>
      <c r="B35" s="10"/>
      <c r="C35" s="10"/>
      <c r="D35" s="4"/>
      <c r="E35" s="4"/>
      <c r="F35" s="9"/>
      <c r="G35" s="4"/>
      <c r="H35" s="4"/>
      <c r="I35" s="4"/>
      <c r="J35" s="9"/>
      <c r="K35" s="4"/>
      <c r="L35" s="4"/>
      <c r="M35" s="4"/>
      <c r="N35" s="9"/>
      <c r="P35" s="4"/>
      <c r="Q35" s="4"/>
      <c r="R35" s="9"/>
      <c r="S35" s="4"/>
      <c r="T35" s="4"/>
      <c r="U35" s="4"/>
      <c r="V35" s="9"/>
      <c r="W35" s="4"/>
      <c r="X35" s="4"/>
      <c r="Y35" s="4"/>
      <c r="Z35" s="9"/>
    </row>
    <row r="36" spans="1:26" s="63" customFormat="1" ht="15" customHeight="1" x14ac:dyDescent="0.3">
      <c r="A36" s="11"/>
      <c r="B36" s="27" t="s">
        <v>297</v>
      </c>
      <c r="C36" s="27"/>
      <c r="D36" s="32" t="e">
        <f ca="1">SUM(D31:D35)</f>
        <v>#NAME?</v>
      </c>
      <c r="E36" s="15"/>
      <c r="F36" s="31" t="e">
        <f ca="1">IF(D$12=0,0,D36/D$12)</f>
        <v>#NAME?</v>
      </c>
      <c r="G36" s="15"/>
      <c r="H36" s="32" t="e">
        <f ca="1">SUM(H31:H35)</f>
        <v>#NAME?</v>
      </c>
      <c r="I36" s="15"/>
      <c r="J36" s="31" t="e">
        <f ca="1">IF(H$12=0,0,H36/H$12)</f>
        <v>#NAME?</v>
      </c>
      <c r="K36" s="16"/>
      <c r="L36" s="32" t="e">
        <f ca="1">+D36-H36</f>
        <v>#NAME?</v>
      </c>
      <c r="M36" s="16"/>
      <c r="N36" s="31" t="e">
        <f ca="1">IF(H36=0,0,L36/H36)</f>
        <v>#NAME?</v>
      </c>
      <c r="O36" s="28"/>
      <c r="P36" s="32" t="e">
        <f ca="1">SUM(P31:P35)</f>
        <v>#NAME?</v>
      </c>
      <c r="Q36" s="15"/>
      <c r="R36" s="31" t="e">
        <f ca="1">IF(P$12=0,0,P36/P$12)</f>
        <v>#NAME?</v>
      </c>
      <c r="S36" s="15"/>
      <c r="T36" s="32" t="e">
        <f ca="1">SUM(T31:T35)</f>
        <v>#NAME?</v>
      </c>
      <c r="U36" s="15"/>
      <c r="V36" s="31" t="e">
        <f ca="1">IF(T$12=0,0,T36/T$12)</f>
        <v>#NAME?</v>
      </c>
      <c r="W36" s="16"/>
      <c r="X36" s="32" t="e">
        <f ca="1">+P36-T36</f>
        <v>#NAME?</v>
      </c>
      <c r="Y36" s="16"/>
      <c r="Z36" s="31" t="e">
        <f ca="1">IF(T36=0,0,X36/T36)</f>
        <v>#NAME?</v>
      </c>
    </row>
    <row r="37" spans="1:26" ht="15" customHeight="1" x14ac:dyDescent="0.3">
      <c r="A37" s="10"/>
      <c r="C37" s="10"/>
      <c r="D37" s="19"/>
      <c r="E37" s="19"/>
      <c r="G37" s="19"/>
      <c r="H37" s="19"/>
      <c r="I37" s="19"/>
      <c r="J37" s="40"/>
      <c r="K37" s="19"/>
      <c r="L37" s="19"/>
      <c r="M37" s="19"/>
      <c r="P37" s="19"/>
      <c r="Q37" s="19"/>
      <c r="R37" s="40"/>
      <c r="S37" s="19"/>
      <c r="T37" s="19"/>
      <c r="U37" s="19"/>
      <c r="V37" s="40"/>
      <c r="W37" s="19"/>
      <c r="X37" s="19"/>
    </row>
    <row r="38" spans="1:26" ht="15" customHeight="1" x14ac:dyDescent="0.3">
      <c r="A38" s="10"/>
      <c r="B38" s="51" t="e">
        <f ca="1">_xll.ONESTOP.REPORTPLAYER.OSRFUNCTIONS.OSRGET("CurrentDate","Date")</f>
        <v>#NAME?</v>
      </c>
      <c r="D38" s="19"/>
      <c r="E38" s="19"/>
      <c r="G38" s="19"/>
      <c r="H38" s="19"/>
      <c r="I38" s="19"/>
      <c r="J38" s="40"/>
      <c r="K38" s="19"/>
      <c r="L38" s="19"/>
      <c r="M38" s="19"/>
      <c r="P38" s="19"/>
      <c r="Q38" s="19"/>
      <c r="R38" s="40"/>
      <c r="S38" s="19"/>
      <c r="T38" s="19"/>
      <c r="U38" s="19"/>
      <c r="V38" s="40"/>
      <c r="W38" s="19"/>
      <c r="X38" s="19"/>
    </row>
    <row r="39" spans="1:26" ht="15" customHeight="1" x14ac:dyDescent="0.3">
      <c r="A39" s="10"/>
      <c r="B39" s="58" t="e">
        <f ca="1">_xll.ONESTOP.REPORTPLAYER.OSRFUNCTIONS.OSRGET("User","UserId")</f>
        <v>#NAME?</v>
      </c>
      <c r="D39" s="19"/>
      <c r="E39" s="19"/>
      <c r="G39" s="19"/>
      <c r="H39" s="19"/>
      <c r="I39" s="19"/>
      <c r="J39" s="40"/>
      <c r="K39" s="19"/>
      <c r="L39" s="19"/>
      <c r="M39" s="19"/>
      <c r="P39" s="19"/>
      <c r="Q39" s="19"/>
      <c r="R39" s="40"/>
      <c r="S39" s="19"/>
      <c r="T39" s="19"/>
      <c r="U39" s="19"/>
      <c r="V39" s="40"/>
      <c r="W39" s="19"/>
      <c r="X39" s="19"/>
    </row>
    <row r="40" spans="1:26" ht="15" customHeight="1" x14ac:dyDescent="0.3">
      <c r="A40" s="10"/>
      <c r="B40" s="50"/>
      <c r="D40" s="19"/>
      <c r="E40" s="19"/>
      <c r="G40" s="19"/>
      <c r="H40" s="19"/>
      <c r="I40" s="19"/>
      <c r="J40" s="40"/>
      <c r="K40" s="19"/>
      <c r="L40" s="19"/>
      <c r="M40" s="19"/>
      <c r="P40" s="19"/>
      <c r="Q40" s="19"/>
      <c r="R40" s="40"/>
      <c r="S40" s="19"/>
      <c r="T40" s="19"/>
      <c r="U40" s="19"/>
      <c r="V40" s="40"/>
      <c r="W40" s="19"/>
      <c r="X40" s="19"/>
    </row>
    <row r="41" spans="1:26" ht="15" customHeight="1" x14ac:dyDescent="0.3">
      <c r="D41" s="19"/>
      <c r="E41" s="19"/>
      <c r="G41" s="19"/>
      <c r="H41" s="19"/>
      <c r="I41" s="19"/>
      <c r="J41" s="40"/>
      <c r="K41" s="19"/>
      <c r="L41" s="19"/>
      <c r="M41" s="19"/>
      <c r="P41" s="19"/>
      <c r="Q41" s="19"/>
      <c r="R41" s="40"/>
      <c r="S41" s="19"/>
      <c r="T41" s="19"/>
      <c r="U41" s="19"/>
      <c r="V41" s="40"/>
      <c r="W41" s="19"/>
      <c r="X41" s="19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D99075-6B78-ACC8-F063-6A8217B693F9}">
  <dimension ref="A1:JL10002"/>
  <sheetViews>
    <sheetView showGridLines="0" defaultGridColor="0" colorId="8" workbookViewId="0"/>
  </sheetViews>
  <sheetFormatPr defaultRowHeight="15" customHeight="1" x14ac:dyDescent="0.3"/>
  <cols>
    <col min="1" max="220" width="20.6640625" style="66" customWidth="1"/>
    <col min="221" max="221" width="20.6640625" style="71" customWidth="1"/>
    <col min="222" max="223" width="20.6640625" style="66" customWidth="1"/>
  </cols>
  <sheetData>
    <row r="1" spans="1:272" ht="15" customHeight="1" x14ac:dyDescent="0.3">
      <c r="D1" s="1">
        <v>4</v>
      </c>
    </row>
    <row r="2" spans="1:272" ht="15" customHeight="1" x14ac:dyDescent="0.3">
      <c r="JK2" s="1">
        <v>271</v>
      </c>
      <c r="JL2" s="1">
        <v>4</v>
      </c>
    </row>
    <row r="3" spans="1:272" ht="30" customHeight="1" x14ac:dyDescent="0.3">
      <c r="A3" s="39" t="s">
        <v>2</v>
      </c>
      <c r="B3" s="39" t="s">
        <v>54</v>
      </c>
      <c r="C3" s="39" t="s">
        <v>5</v>
      </c>
      <c r="D3" s="39" t="s">
        <v>55</v>
      </c>
      <c r="E3" s="39" t="s">
        <v>56</v>
      </c>
      <c r="F3" s="39" t="s">
        <v>57</v>
      </c>
      <c r="G3" s="39" t="s">
        <v>58</v>
      </c>
      <c r="H3" s="39" t="s">
        <v>59</v>
      </c>
      <c r="I3" s="39" t="s">
        <v>60</v>
      </c>
      <c r="J3" s="39" t="s">
        <v>61</v>
      </c>
      <c r="K3" s="39" t="s">
        <v>62</v>
      </c>
      <c r="L3" s="39" t="s">
        <v>63</v>
      </c>
      <c r="M3" s="39" t="s">
        <v>64</v>
      </c>
      <c r="N3" s="39" t="s">
        <v>65</v>
      </c>
      <c r="O3" s="39" t="s">
        <v>66</v>
      </c>
      <c r="P3" s="39" t="s">
        <v>67</v>
      </c>
      <c r="Q3" s="39" t="s">
        <v>68</v>
      </c>
      <c r="R3" s="39" t="s">
        <v>69</v>
      </c>
      <c r="S3" s="39" t="s">
        <v>70</v>
      </c>
      <c r="T3" s="39" t="s">
        <v>71</v>
      </c>
      <c r="U3" s="39" t="s">
        <v>72</v>
      </c>
      <c r="V3" s="39" t="s">
        <v>73</v>
      </c>
      <c r="W3" s="39" t="s">
        <v>74</v>
      </c>
      <c r="X3" s="39" t="s">
        <v>75</v>
      </c>
      <c r="Y3" s="39" t="s">
        <v>76</v>
      </c>
      <c r="Z3" s="39" t="s">
        <v>77</v>
      </c>
      <c r="AA3" s="39" t="s">
        <v>78</v>
      </c>
      <c r="AB3" s="39" t="s">
        <v>79</v>
      </c>
      <c r="AC3" s="39" t="s">
        <v>80</v>
      </c>
      <c r="AD3" s="39" t="s">
        <v>81</v>
      </c>
      <c r="AE3" s="39" t="s">
        <v>82</v>
      </c>
      <c r="AF3" s="39" t="s">
        <v>83</v>
      </c>
      <c r="AG3" s="39" t="s">
        <v>84</v>
      </c>
      <c r="AH3" s="39" t="s">
        <v>85</v>
      </c>
      <c r="AI3" s="39" t="s">
        <v>86</v>
      </c>
      <c r="AJ3" s="39" t="s">
        <v>87</v>
      </c>
      <c r="AK3" s="39" t="s">
        <v>88</v>
      </c>
      <c r="AL3" s="39" t="s">
        <v>89</v>
      </c>
      <c r="AM3" s="39" t="s">
        <v>90</v>
      </c>
      <c r="AN3" s="39" t="s">
        <v>91</v>
      </c>
      <c r="AO3" s="39" t="s">
        <v>92</v>
      </c>
      <c r="AP3" s="39" t="s">
        <v>93</v>
      </c>
      <c r="AQ3" s="39" t="s">
        <v>94</v>
      </c>
      <c r="AR3" s="39" t="s">
        <v>95</v>
      </c>
      <c r="AS3" s="39" t="s">
        <v>96</v>
      </c>
      <c r="AT3" s="39" t="s">
        <v>97</v>
      </c>
      <c r="AU3" s="39" t="s">
        <v>98</v>
      </c>
      <c r="AV3" s="39" t="s">
        <v>99</v>
      </c>
      <c r="AW3" s="39" t="s">
        <v>100</v>
      </c>
      <c r="AX3" s="39" t="s">
        <v>101</v>
      </c>
      <c r="AY3" s="39" t="s">
        <v>102</v>
      </c>
      <c r="AZ3" s="39" t="s">
        <v>103</v>
      </c>
      <c r="BA3" s="39" t="s">
        <v>104</v>
      </c>
      <c r="BB3" s="39" t="s">
        <v>105</v>
      </c>
      <c r="BC3" s="39" t="s">
        <v>106</v>
      </c>
      <c r="BD3" s="39" t="s">
        <v>107</v>
      </c>
      <c r="BE3" s="39" t="s">
        <v>108</v>
      </c>
      <c r="BF3" s="39" t="s">
        <v>109</v>
      </c>
      <c r="BG3" s="39" t="s">
        <v>110</v>
      </c>
      <c r="BH3" s="39" t="s">
        <v>111</v>
      </c>
      <c r="BI3" s="39" t="s">
        <v>112</v>
      </c>
      <c r="BJ3" s="39" t="s">
        <v>113</v>
      </c>
      <c r="BK3" s="39" t="s">
        <v>114</v>
      </c>
      <c r="BL3" s="39" t="s">
        <v>115</v>
      </c>
      <c r="BM3" s="39" t="s">
        <v>116</v>
      </c>
      <c r="BN3" s="39" t="s">
        <v>117</v>
      </c>
      <c r="BO3" s="39" t="s">
        <v>118</v>
      </c>
      <c r="BP3" s="39" t="s">
        <v>119</v>
      </c>
      <c r="BQ3" s="39" t="s">
        <v>120</v>
      </c>
      <c r="BR3" s="39" t="s">
        <v>121</v>
      </c>
      <c r="BS3" s="39" t="s">
        <v>122</v>
      </c>
      <c r="BT3" s="39" t="s">
        <v>123</v>
      </c>
      <c r="BU3" s="39" t="s">
        <v>124</v>
      </c>
      <c r="BV3" s="39" t="s">
        <v>125</v>
      </c>
      <c r="BW3" s="39" t="s">
        <v>126</v>
      </c>
      <c r="BX3" s="39" t="s">
        <v>127</v>
      </c>
      <c r="BY3" s="39" t="s">
        <v>128</v>
      </c>
      <c r="BZ3" s="39" t="s">
        <v>129</v>
      </c>
      <c r="CA3" s="39" t="s">
        <v>130</v>
      </c>
      <c r="CB3" s="39" t="s">
        <v>131</v>
      </c>
      <c r="CC3" s="39" t="s">
        <v>132</v>
      </c>
      <c r="CD3" s="39" t="s">
        <v>133</v>
      </c>
      <c r="CE3" s="39" t="s">
        <v>134</v>
      </c>
      <c r="CF3" s="39" t="s">
        <v>135</v>
      </c>
      <c r="CG3" s="39" t="s">
        <v>136</v>
      </c>
      <c r="CH3" s="39" t="s">
        <v>137</v>
      </c>
      <c r="CI3" s="39" t="s">
        <v>138</v>
      </c>
      <c r="CJ3" s="39" t="s">
        <v>139</v>
      </c>
      <c r="CK3" s="39" t="s">
        <v>140</v>
      </c>
      <c r="CL3" s="39" t="s">
        <v>141</v>
      </c>
      <c r="CM3" s="39" t="s">
        <v>142</v>
      </c>
      <c r="CN3" s="39" t="s">
        <v>143</v>
      </c>
      <c r="CO3" s="39" t="s">
        <v>144</v>
      </c>
      <c r="CP3" s="39" t="s">
        <v>145</v>
      </c>
      <c r="CQ3" s="39" t="s">
        <v>146</v>
      </c>
      <c r="CR3" s="39" t="s">
        <v>147</v>
      </c>
      <c r="CS3" s="39" t="s">
        <v>148</v>
      </c>
      <c r="CT3" s="39" t="s">
        <v>149</v>
      </c>
      <c r="CU3" s="39" t="s">
        <v>150</v>
      </c>
      <c r="CV3" s="39" t="s">
        <v>151</v>
      </c>
      <c r="CW3" s="39" t="s">
        <v>152</v>
      </c>
      <c r="CX3" s="39" t="s">
        <v>153</v>
      </c>
      <c r="CY3" s="39" t="s">
        <v>154</v>
      </c>
      <c r="CZ3" s="39" t="s">
        <v>155</v>
      </c>
      <c r="DA3" s="39" t="s">
        <v>156</v>
      </c>
      <c r="DB3" s="39" t="s">
        <v>157</v>
      </c>
      <c r="DC3" s="39" t="s">
        <v>158</v>
      </c>
      <c r="DD3" s="39" t="s">
        <v>159</v>
      </c>
      <c r="DE3" s="39" t="s">
        <v>160</v>
      </c>
      <c r="DF3" s="39" t="s">
        <v>161</v>
      </c>
      <c r="DG3" s="39" t="s">
        <v>162</v>
      </c>
      <c r="DH3" s="39" t="s">
        <v>163</v>
      </c>
      <c r="DI3" s="39" t="s">
        <v>164</v>
      </c>
      <c r="DJ3" s="39" t="s">
        <v>165</v>
      </c>
      <c r="DK3" s="39" t="s">
        <v>166</v>
      </c>
      <c r="DL3" s="39" t="s">
        <v>167</v>
      </c>
      <c r="DM3" s="39" t="s">
        <v>168</v>
      </c>
      <c r="DN3" s="39" t="s">
        <v>169</v>
      </c>
      <c r="DO3" s="39" t="s">
        <v>170</v>
      </c>
      <c r="DP3" s="39" t="s">
        <v>171</v>
      </c>
      <c r="DQ3" s="39" t="s">
        <v>172</v>
      </c>
      <c r="DR3" s="39" t="s">
        <v>173</v>
      </c>
      <c r="DS3" s="39" t="s">
        <v>174</v>
      </c>
      <c r="DT3" s="39" t="s">
        <v>175</v>
      </c>
      <c r="DU3" s="39" t="s">
        <v>176</v>
      </c>
      <c r="DV3" s="39" t="s">
        <v>177</v>
      </c>
      <c r="DW3" s="39" t="s">
        <v>178</v>
      </c>
      <c r="DX3" s="39" t="s">
        <v>179</v>
      </c>
      <c r="DY3" s="39" t="s">
        <v>180</v>
      </c>
      <c r="DZ3" s="39" t="s">
        <v>181</v>
      </c>
      <c r="EA3" s="39" t="s">
        <v>182</v>
      </c>
      <c r="EB3" s="39" t="s">
        <v>183</v>
      </c>
      <c r="EC3" s="39" t="s">
        <v>184</v>
      </c>
      <c r="ED3" s="39" t="s">
        <v>185</v>
      </c>
      <c r="EE3" s="39" t="s">
        <v>186</v>
      </c>
      <c r="EF3" s="39" t="s">
        <v>187</v>
      </c>
      <c r="EG3" s="39" t="s">
        <v>188</v>
      </c>
      <c r="EH3" s="39" t="s">
        <v>189</v>
      </c>
      <c r="EI3" s="39" t="s">
        <v>190</v>
      </c>
      <c r="EJ3" s="39" t="s">
        <v>191</v>
      </c>
      <c r="EK3" s="39" t="s">
        <v>192</v>
      </c>
      <c r="EL3" s="39" t="s">
        <v>193</v>
      </c>
      <c r="EM3" s="39" t="s">
        <v>194</v>
      </c>
      <c r="EN3" s="39" t="s">
        <v>195</v>
      </c>
      <c r="EO3" s="39" t="s">
        <v>196</v>
      </c>
      <c r="EP3" s="39" t="s">
        <v>197</v>
      </c>
      <c r="EQ3" s="39" t="s">
        <v>198</v>
      </c>
      <c r="ER3" s="39" t="s">
        <v>199</v>
      </c>
      <c r="ES3" s="39" t="s">
        <v>200</v>
      </c>
      <c r="ET3" s="39" t="s">
        <v>201</v>
      </c>
      <c r="EU3" s="39" t="s">
        <v>202</v>
      </c>
      <c r="EV3" s="39" t="s">
        <v>203</v>
      </c>
      <c r="EW3" s="39" t="s">
        <v>204</v>
      </c>
      <c r="EX3" s="39" t="s">
        <v>205</v>
      </c>
      <c r="EY3" s="39" t="s">
        <v>206</v>
      </c>
      <c r="EZ3" s="39" t="s">
        <v>207</v>
      </c>
      <c r="FA3" s="39" t="s">
        <v>208</v>
      </c>
      <c r="FB3" s="39" t="s">
        <v>209</v>
      </c>
      <c r="FC3" s="39" t="s">
        <v>210</v>
      </c>
      <c r="FD3" s="39" t="s">
        <v>211</v>
      </c>
      <c r="FE3" s="39" t="s">
        <v>212</v>
      </c>
      <c r="FF3" s="39" t="s">
        <v>213</v>
      </c>
      <c r="FG3" s="39" t="s">
        <v>214</v>
      </c>
      <c r="FH3" s="39" t="s">
        <v>215</v>
      </c>
      <c r="FI3" s="39" t="s">
        <v>216</v>
      </c>
      <c r="FJ3" s="39" t="s">
        <v>217</v>
      </c>
      <c r="FK3" s="39" t="s">
        <v>218</v>
      </c>
      <c r="FL3" s="39" t="s">
        <v>219</v>
      </c>
      <c r="FM3" s="39" t="s">
        <v>220</v>
      </c>
      <c r="FN3" s="39" t="s">
        <v>221</v>
      </c>
      <c r="FO3" s="39" t="s">
        <v>222</v>
      </c>
      <c r="FP3" s="39" t="s">
        <v>223</v>
      </c>
      <c r="FQ3" s="39" t="s">
        <v>224</v>
      </c>
      <c r="FR3" s="39" t="s">
        <v>225</v>
      </c>
      <c r="FS3" s="39" t="s">
        <v>226</v>
      </c>
      <c r="FT3" s="39" t="s">
        <v>227</v>
      </c>
      <c r="FU3" s="39" t="s">
        <v>228</v>
      </c>
      <c r="FV3" s="39" t="s">
        <v>229</v>
      </c>
      <c r="FW3" s="39" t="s">
        <v>230</v>
      </c>
      <c r="FX3" s="39" t="s">
        <v>231</v>
      </c>
      <c r="FY3" s="39" t="s">
        <v>232</v>
      </c>
      <c r="FZ3" s="39" t="s">
        <v>233</v>
      </c>
      <c r="GA3" s="39" t="s">
        <v>234</v>
      </c>
      <c r="GB3" s="39" t="s">
        <v>235</v>
      </c>
      <c r="GC3" s="39" t="s">
        <v>236</v>
      </c>
      <c r="GD3" s="39" t="s">
        <v>237</v>
      </c>
      <c r="GE3" s="39" t="s">
        <v>238</v>
      </c>
      <c r="GF3" s="39" t="s">
        <v>239</v>
      </c>
      <c r="GG3" s="39" t="s">
        <v>240</v>
      </c>
      <c r="GH3" s="39" t="s">
        <v>241</v>
      </c>
      <c r="GI3" s="39" t="s">
        <v>242</v>
      </c>
      <c r="GJ3" s="39" t="s">
        <v>243</v>
      </c>
      <c r="GK3" s="39" t="s">
        <v>244</v>
      </c>
      <c r="GL3" s="39" t="s">
        <v>245</v>
      </c>
      <c r="GM3" s="39" t="s">
        <v>246</v>
      </c>
      <c r="GN3" s="39" t="s">
        <v>247</v>
      </c>
      <c r="GO3" s="39" t="s">
        <v>248</v>
      </c>
      <c r="GP3" s="39" t="s">
        <v>249</v>
      </c>
      <c r="GQ3" s="39" t="s">
        <v>250</v>
      </c>
      <c r="GR3" s="39" t="s">
        <v>251</v>
      </c>
      <c r="GS3" s="39" t="s">
        <v>252</v>
      </c>
      <c r="GT3" s="39" t="s">
        <v>253</v>
      </c>
      <c r="GU3" s="39" t="s">
        <v>254</v>
      </c>
      <c r="GV3" s="39" t="s">
        <v>255</v>
      </c>
      <c r="GW3" s="39" t="s">
        <v>256</v>
      </c>
      <c r="GX3" s="39" t="s">
        <v>257</v>
      </c>
      <c r="GY3" s="39" t="s">
        <v>258</v>
      </c>
      <c r="GZ3" s="39" t="s">
        <v>259</v>
      </c>
      <c r="HA3" s="39" t="s">
        <v>260</v>
      </c>
      <c r="HB3" s="39" t="s">
        <v>261</v>
      </c>
      <c r="HC3" s="39" t="s">
        <v>262</v>
      </c>
      <c r="HD3" s="39" t="s">
        <v>263</v>
      </c>
      <c r="HE3" s="39" t="s">
        <v>264</v>
      </c>
      <c r="HF3" s="39" t="s">
        <v>265</v>
      </c>
      <c r="HG3" s="39" t="s">
        <v>266</v>
      </c>
      <c r="HH3" s="39" t="s">
        <v>267</v>
      </c>
      <c r="HI3" s="39" t="s">
        <v>268</v>
      </c>
      <c r="HJ3" s="39" t="s">
        <v>269</v>
      </c>
      <c r="HK3" s="39"/>
      <c r="HL3" s="39" t="s">
        <v>270</v>
      </c>
      <c r="HM3" s="62"/>
      <c r="HN3" s="39" t="s">
        <v>52</v>
      </c>
      <c r="HO3" s="39" t="s">
        <v>53</v>
      </c>
      <c r="HP3" s="1" t="s">
        <v>271</v>
      </c>
      <c r="JK3" s="39" t="s">
        <v>272</v>
      </c>
      <c r="JL3" s="39" t="s">
        <v>273</v>
      </c>
    </row>
    <row r="10001" spans="271:272" ht="15" customHeight="1" x14ac:dyDescent="0.3">
      <c r="JK10001">
        <v>271</v>
      </c>
      <c r="JL10001">
        <v>10003</v>
      </c>
    </row>
    <row r="10002" spans="271:272" ht="45" customHeight="1" x14ac:dyDescent="0.3">
      <c r="JK10002" s="39" t="s">
        <v>274</v>
      </c>
      <c r="JL10002" s="39" t="s">
        <v>275</v>
      </c>
    </row>
  </sheetData>
  <pageMargins left="0.7" right="0.7" top="0.75" bottom="0.75" header="0.3" footer="0.3"/>
  <pageSetup orientation="portrait"/>
  <headerFooter>
    <oddHeader>&amp;L&amp;C&amp;R</oddHeader>
    <oddFooter>&amp;L&amp;C&amp;R</oddFooter>
    <evenHeader>&amp;L&amp;C&amp;R</evenHeader>
    <evenFooter>&amp;L&amp;C&amp;R</even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C773A5-3AB1-1E3C-B649-E622B6576DB5}">
  <sheetPr>
    <tabColor rgb="FFFFFF00"/>
    <outlinePr summaryBelow="0" summaryRight="0"/>
  </sheetPr>
  <dimension ref="A2:Z41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6" customWidth="1"/>
    <col min="2" max="2" width="33.44140625" style="66" customWidth="1"/>
    <col min="3" max="3" width="1.88671875" style="66" customWidth="1"/>
    <col min="4" max="4" width="15" style="66" customWidth="1"/>
    <col min="5" max="5" width="1.88671875" style="66" customWidth="1" outlineLevel="1"/>
    <col min="6" max="6" width="15" style="67" customWidth="1" outlineLevel="1"/>
    <col min="7" max="7" width="1.88671875" style="66" customWidth="1" outlineLevel="1"/>
    <col min="8" max="8" width="15" style="66" customWidth="1" outlineLevel="1"/>
    <col min="9" max="9" width="1.88671875" style="66" customWidth="1" outlineLevel="1"/>
    <col min="10" max="10" width="15" style="68" customWidth="1" outlineLevel="1"/>
    <col min="11" max="11" width="1.88671875" style="66" customWidth="1" outlineLevel="1"/>
    <col min="12" max="12" width="15" style="66" customWidth="1" outlineLevel="1"/>
    <col min="13" max="13" width="1.88671875" style="66" customWidth="1" outlineLevel="1"/>
    <col min="14" max="14" width="15" style="67" customWidth="1" outlineLevel="1"/>
    <col min="15" max="15" width="1.88671875" style="64" customWidth="1"/>
    <col min="16" max="16" width="15" style="66" customWidth="1"/>
    <col min="17" max="17" width="1.88671875" style="66" customWidth="1" outlineLevel="1"/>
    <col min="18" max="18" width="15" style="68" customWidth="1" outlineLevel="1"/>
    <col min="19" max="19" width="1.88671875" style="66" customWidth="1" outlineLevel="1"/>
    <col min="20" max="20" width="15" style="66" customWidth="1" outlineLevel="1"/>
    <col min="21" max="21" width="1.88671875" style="66" customWidth="1" outlineLevel="1"/>
    <col min="22" max="22" width="15" style="68" customWidth="1" outlineLevel="1"/>
    <col min="23" max="23" width="1.88671875" style="66" customWidth="1" outlineLevel="1"/>
    <col min="24" max="24" width="15" style="66" customWidth="1" outlineLevel="1"/>
    <col min="25" max="25" width="1.88671875" style="66" customWidth="1" outlineLevel="1"/>
    <col min="26" max="26" width="15" style="68" customWidth="1" outlineLevel="1"/>
  </cols>
  <sheetData>
    <row r="2" spans="1:26" ht="15" customHeight="1" x14ac:dyDescent="0.3">
      <c r="D2" s="54" t="s">
        <v>276</v>
      </c>
    </row>
    <row r="3" spans="1:26" ht="15" customHeight="1" x14ac:dyDescent="0.3">
      <c r="D3" s="54" t="s">
        <v>277</v>
      </c>
      <c r="E3" s="18"/>
      <c r="F3" s="44"/>
      <c r="G3" s="18"/>
      <c r="H3" s="18"/>
      <c r="I3" s="18"/>
      <c r="J3" s="38"/>
      <c r="K3" s="18"/>
      <c r="L3" s="18"/>
      <c r="M3" s="18"/>
      <c r="N3" s="44"/>
      <c r="O3" s="53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ht="15" customHeight="1" x14ac:dyDescent="0.3">
      <c r="D4" s="54" t="e">
        <f ca="1">CONCATENATE("Period ",RIGHT(_xll.ONESTOP.REPORTPLAYER.OSRFUNCTIONS.OSRGET("Period","PeriodId"),2),", ",_xll.ONESTOP.REPORTPLAYER.OSRFUNCTIONS.OSRGET("Period","Year"))</f>
        <v>#NAME?</v>
      </c>
      <c r="E4" s="18"/>
      <c r="F4" s="44"/>
      <c r="G4" s="18"/>
      <c r="H4" s="18"/>
      <c r="I4" s="18"/>
      <c r="J4" s="38"/>
      <c r="K4" s="18"/>
      <c r="L4" s="18"/>
      <c r="M4" s="18"/>
      <c r="N4" s="44"/>
      <c r="O4" s="53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ht="15" customHeight="1" x14ac:dyDescent="0.3">
      <c r="A5" s="24"/>
      <c r="D5" s="61" t="e">
        <f ca="1">_xll.ONESTOP.REPORTPLAYER.OSRFUNCTIONS.OSRGET("Period","PeriodEnd")</f>
        <v>#NAME?</v>
      </c>
      <c r="E5" s="18"/>
      <c r="F5" s="44"/>
      <c r="G5" s="18"/>
      <c r="H5" s="18"/>
      <c r="I5" s="18"/>
      <c r="J5" s="38"/>
      <c r="K5" s="18"/>
      <c r="L5" s="18"/>
      <c r="M5" s="18"/>
      <c r="N5" s="44"/>
      <c r="O5" s="53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ht="15" customHeight="1" x14ac:dyDescent="0.3">
      <c r="A6" s="24"/>
      <c r="B6" s="47"/>
      <c r="C6" s="47"/>
      <c r="D6" s="24" t="s">
        <v>306</v>
      </c>
      <c r="E6" s="18"/>
      <c r="F6" s="44"/>
      <c r="G6" s="18"/>
      <c r="H6" s="18"/>
      <c r="I6" s="18"/>
      <c r="J6" s="38"/>
      <c r="K6" s="18"/>
      <c r="L6" s="18"/>
      <c r="M6" s="18"/>
      <c r="N6" s="44"/>
      <c r="O6" s="59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ht="15" customHeight="1" x14ac:dyDescent="0.3">
      <c r="B7" s="52"/>
    </row>
    <row r="8" spans="1:26" ht="15" customHeight="1" x14ac:dyDescent="0.3">
      <c r="B8" s="52"/>
    </row>
    <row r="9" spans="1:26" ht="15" customHeight="1" x14ac:dyDescent="0.3">
      <c r="B9" s="10"/>
      <c r="C9" s="10"/>
      <c r="D9" s="17" t="s">
        <v>279</v>
      </c>
      <c r="E9" s="17"/>
      <c r="F9" s="36"/>
      <c r="G9" s="17"/>
      <c r="H9" s="17"/>
      <c r="I9" s="17"/>
      <c r="J9" s="43"/>
      <c r="K9" s="17"/>
      <c r="L9" s="17"/>
      <c r="M9" s="17"/>
      <c r="N9" s="36"/>
      <c r="P9" s="17" t="s">
        <v>280</v>
      </c>
      <c r="Q9" s="17"/>
      <c r="R9" s="36"/>
      <c r="S9" s="17"/>
      <c r="T9" s="17"/>
      <c r="U9" s="17"/>
      <c r="V9" s="43"/>
      <c r="W9" s="17"/>
      <c r="X9" s="17"/>
      <c r="Y9" s="17"/>
      <c r="Z9" s="36"/>
    </row>
    <row r="10" spans="1:26" ht="15" customHeight="1" x14ac:dyDescent="0.3">
      <c r="A10" s="11"/>
      <c r="B10" s="57"/>
      <c r="C10" s="11"/>
      <c r="D10" s="41" t="s">
        <v>281</v>
      </c>
      <c r="E10" s="33"/>
      <c r="F10" s="37" t="s">
        <v>282</v>
      </c>
      <c r="G10" s="33"/>
      <c r="H10" s="48" t="s">
        <v>283</v>
      </c>
      <c r="I10" s="33"/>
      <c r="J10" s="45" t="s">
        <v>284</v>
      </c>
      <c r="K10" s="11"/>
      <c r="L10" s="41" t="s">
        <v>285</v>
      </c>
      <c r="M10" s="11"/>
      <c r="N10" s="37" t="s">
        <v>286</v>
      </c>
      <c r="O10" s="11"/>
      <c r="P10" s="56" t="s">
        <v>281</v>
      </c>
      <c r="Q10" s="33"/>
      <c r="R10" s="37" t="s">
        <v>282</v>
      </c>
      <c r="S10" s="33"/>
      <c r="T10" s="48" t="s">
        <v>283</v>
      </c>
      <c r="U10" s="33"/>
      <c r="V10" s="45" t="s">
        <v>284</v>
      </c>
      <c r="W10" s="11"/>
      <c r="X10" s="41" t="s">
        <v>285</v>
      </c>
      <c r="Y10" s="11"/>
      <c r="Z10" s="37" t="s">
        <v>286</v>
      </c>
    </row>
    <row r="11" spans="1:26" ht="16.5" customHeight="1" x14ac:dyDescent="0.3">
      <c r="A11" s="10"/>
      <c r="B11" s="55"/>
      <c r="C11" s="10"/>
      <c r="D11" s="10"/>
      <c r="E11" s="10"/>
      <c r="F11" s="9"/>
      <c r="G11" s="10"/>
      <c r="H11" s="10"/>
      <c r="I11" s="10"/>
      <c r="J11" s="46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6"/>
      <c r="W11" s="10"/>
      <c r="X11" s="10"/>
      <c r="Y11" s="10"/>
      <c r="Z11" s="9"/>
    </row>
    <row r="12" spans="1:26" s="63" customFormat="1" ht="15" customHeight="1" collapsed="1" x14ac:dyDescent="0.3">
      <c r="A12" s="11"/>
      <c r="B12" s="28" t="s">
        <v>287</v>
      </c>
      <c r="C12" s="11"/>
      <c r="D12" s="5" t="e">
        <f ca="1">SUM(_xll.ONESTOP.REPORTPLAYER.OSRFUNCTIONS.OSRREF(D13))</f>
        <v>#NAME?</v>
      </c>
      <c r="E12" s="5"/>
      <c r="F12" s="13"/>
      <c r="G12" s="5"/>
      <c r="H12" s="5" t="e">
        <f ca="1">SUM(_xll.ONESTOP.REPORTPLAYER.OSRFUNCTIONS.OSRREF(H13))</f>
        <v>#NAME?</v>
      </c>
      <c r="I12" s="5"/>
      <c r="J12" s="13"/>
      <c r="K12" s="5"/>
      <c r="L12" s="5" t="e">
        <f ca="1">+D12-H12</f>
        <v>#NAME?</v>
      </c>
      <c r="M12" s="5"/>
      <c r="N12" s="13" t="e">
        <f ca="1">IF(H12=0,0,L12/H12)</f>
        <v>#NAME?</v>
      </c>
      <c r="O12" s="11"/>
      <c r="P12" s="5" t="e">
        <f ca="1">SUM(_xll.ONESTOP.REPORTPLAYER.OSRFUNCTIONS.OSRREF(P13))</f>
        <v>#NAME?</v>
      </c>
      <c r="Q12" s="5"/>
      <c r="R12" s="13"/>
      <c r="S12" s="5"/>
      <c r="T12" s="5" t="e">
        <f ca="1">SUM(_xll.ONESTOP.REPORTPLAYER.OSRFUNCTIONS.OSRREF(T13))</f>
        <v>#NAME?</v>
      </c>
      <c r="U12" s="5"/>
      <c r="V12" s="13"/>
      <c r="W12" s="5"/>
      <c r="X12" s="5" t="e">
        <f ca="1">+P12-T12</f>
        <v>#NAME?</v>
      </c>
      <c r="Y12" s="5"/>
      <c r="Z12" s="13" t="e">
        <f ca="1">IF(T12=0,0,X12/T12)</f>
        <v>#NAME?</v>
      </c>
    </row>
    <row r="13" spans="1:26" s="70" customFormat="1" ht="15" hidden="1" customHeight="1" outlineLevel="1" x14ac:dyDescent="0.3">
      <c r="A13" s="42"/>
      <c r="B13" s="12" t="e">
        <f ca="1">CONCATENATE("          ",_xll.ONESTOP.REPORTPLAYER.OSRFUNCTIONS.OSRGET("d_Account","Code")," - ",_xll.ONESTOP.REPORTPLAYER.OSRFUNCTIONS.OSRGET("d_Account","Description"))</f>
        <v>#NAME?</v>
      </c>
      <c r="C13" s="12"/>
      <c r="D13" s="3" t="e">
        <f ca="1">-_xll.ONESTOP.REPORTPLAYER.OSRFUNCTIONS.OSRGET("GL_F_Trans","Value1")</f>
        <v>#NAME?</v>
      </c>
      <c r="E13" s="3"/>
      <c r="F13" s="20"/>
      <c r="G13" s="3"/>
      <c r="H13" s="3" t="e">
        <f ca="1">_xll.ONESTOP.REPORTPLAYER.OSRFUNCTIONS.OSRGET("GL_F_Trans","Value1")</f>
        <v>#NAME?</v>
      </c>
      <c r="I13" s="3"/>
      <c r="J13" s="20"/>
      <c r="K13" s="3"/>
      <c r="L13" s="3" t="e">
        <f ca="1">+D13-H13</f>
        <v>#NAME?</v>
      </c>
      <c r="M13" s="3"/>
      <c r="N13" s="20" t="e">
        <f ca="1">IF(H13=0,0,L13/H13)</f>
        <v>#NAME?</v>
      </c>
      <c r="O13" s="12"/>
      <c r="P13" s="3" t="e">
        <f ca="1">-_xll.ONESTOP.REPORTPLAYER.OSRFUNCTIONS.OSRGET("GL_F_Trans","Value1")</f>
        <v>#NAME?</v>
      </c>
      <c r="Q13" s="3"/>
      <c r="R13" s="20"/>
      <c r="S13" s="3"/>
      <c r="T13" s="3" t="e">
        <f ca="1">_xll.ONESTOP.REPORTPLAYER.OSRFUNCTIONS.OSRGET("GL_F_Trans","Value1")</f>
        <v>#NAME?</v>
      </c>
      <c r="U13" s="3"/>
      <c r="V13" s="20"/>
      <c r="W13" s="3"/>
      <c r="X13" s="3" t="e">
        <f ca="1">+P13-T13</f>
        <v>#NAME?</v>
      </c>
      <c r="Y13" s="3"/>
      <c r="Z13" s="20" t="e">
        <f ca="1">IF(T13=0,0,X13/T13)</f>
        <v>#NAME?</v>
      </c>
    </row>
    <row r="14" spans="1:26" ht="15" customHeight="1" x14ac:dyDescent="0.3">
      <c r="A14" s="10"/>
      <c r="B14" s="11"/>
      <c r="C14" s="10"/>
      <c r="D14" s="4"/>
      <c r="E14" s="4"/>
      <c r="F14" s="9"/>
      <c r="G14" s="4"/>
      <c r="H14" s="4"/>
      <c r="I14" s="4"/>
      <c r="J14" s="9"/>
      <c r="K14" s="4"/>
      <c r="L14" s="4"/>
      <c r="M14" s="4"/>
      <c r="N14" s="9"/>
      <c r="P14" s="4"/>
      <c r="Q14" s="4"/>
      <c r="R14" s="9"/>
      <c r="S14" s="4"/>
      <c r="T14" s="4"/>
      <c r="U14" s="4"/>
      <c r="V14" s="9"/>
      <c r="W14" s="4"/>
      <c r="X14" s="4"/>
      <c r="Y14" s="4"/>
      <c r="Z14" s="9"/>
    </row>
    <row r="15" spans="1:26" s="63" customFormat="1" ht="15" customHeight="1" collapsed="1" x14ac:dyDescent="0.3">
      <c r="A15" s="11"/>
      <c r="B15" s="28" t="s">
        <v>288</v>
      </c>
      <c r="C15" s="11"/>
      <c r="D15" s="5" t="e">
        <f ca="1">SUM(_xll.ONESTOP.REPORTPLAYER.OSRFUNCTIONS.OSRREF(D16))</f>
        <v>#NAME?</v>
      </c>
      <c r="E15" s="5"/>
      <c r="F15" s="13" t="e">
        <f ca="1">IF(D$12=0,0,D15/D$12)</f>
        <v>#NAME?</v>
      </c>
      <c r="G15" s="5"/>
      <c r="H15" s="5" t="e">
        <f ca="1">SUM(_xll.ONESTOP.REPORTPLAYER.OSRFUNCTIONS.OSRREF(H16))</f>
        <v>#NAME?</v>
      </c>
      <c r="I15" s="5"/>
      <c r="J15" s="13" t="e">
        <f ca="1">IF(H$12=0,0,H15/H$12)</f>
        <v>#NAME?</v>
      </c>
      <c r="K15" s="5"/>
      <c r="L15" s="5" t="e">
        <f ca="1">+D15-H15</f>
        <v>#NAME?</v>
      </c>
      <c r="M15" s="5"/>
      <c r="N15" s="13" t="e">
        <f ca="1">IF(H15=0,0,L15/H15)</f>
        <v>#NAME?</v>
      </c>
      <c r="O15" s="11"/>
      <c r="P15" s="5" t="e">
        <f ca="1">SUM(_xll.ONESTOP.REPORTPLAYER.OSRFUNCTIONS.OSRREF(P16))</f>
        <v>#NAME?</v>
      </c>
      <c r="Q15" s="5"/>
      <c r="R15" s="13" t="e">
        <f ca="1">IF(P$12=0,0,P15/P$12)</f>
        <v>#NAME?</v>
      </c>
      <c r="S15" s="5"/>
      <c r="T15" s="5" t="e">
        <f ca="1">SUM(_xll.ONESTOP.REPORTPLAYER.OSRFUNCTIONS.OSRREF(T16))</f>
        <v>#NAME?</v>
      </c>
      <c r="U15" s="5"/>
      <c r="V15" s="13" t="e">
        <f ca="1">IF(T$12=0,0,T15/T$12)</f>
        <v>#NAME?</v>
      </c>
      <c r="W15" s="5"/>
      <c r="X15" s="5" t="e">
        <f ca="1">+P15-T15</f>
        <v>#NAME?</v>
      </c>
      <c r="Y15" s="5"/>
      <c r="Z15" s="13" t="e">
        <f ca="1">IF(T15=0,0,X15/T15)</f>
        <v>#NAME?</v>
      </c>
    </row>
    <row r="16" spans="1:26" s="70" customFormat="1" ht="15" hidden="1" customHeight="1" outlineLevel="1" x14ac:dyDescent="0.3">
      <c r="A16" s="42"/>
      <c r="B16" s="12" t="e">
        <f ca="1">CONCATENATE("          ",_xll.ONESTOP.REPORTPLAYER.OSRFUNCTIONS.OSRGET("d_Account","Code")," - ",_xll.ONESTOP.REPORTPLAYER.OSRFUNCTIONS.OSRGET("d_Account","Description"))</f>
        <v>#NAME?</v>
      </c>
      <c r="C16" s="12"/>
      <c r="D16" s="3" t="e">
        <f ca="1">_xll.ONESTOP.REPORTPLAYER.OSRFUNCTIONS.OSRGET("GL_F_Trans","Value1")</f>
        <v>#NAME?</v>
      </c>
      <c r="E16" s="3"/>
      <c r="F16" s="20" t="e">
        <f ca="1">IF(D$12=0,0,D16/D$12)</f>
        <v>#NAME?</v>
      </c>
      <c r="G16" s="3"/>
      <c r="H16" s="3" t="e">
        <f ca="1">_xll.ONESTOP.REPORTPLAYER.OSRFUNCTIONS.OSRGET("GL_F_Trans","Value1")</f>
        <v>#NAME?</v>
      </c>
      <c r="I16" s="3"/>
      <c r="J16" s="20" t="e">
        <f ca="1">IF(H$12=0,0,H16/H$12)</f>
        <v>#NAME?</v>
      </c>
      <c r="K16" s="3"/>
      <c r="L16" s="3" t="e">
        <f ca="1">+D16-H16</f>
        <v>#NAME?</v>
      </c>
      <c r="M16" s="3"/>
      <c r="N16" s="20" t="e">
        <f ca="1">IF(H16=0,0,L16/H16)</f>
        <v>#NAME?</v>
      </c>
      <c r="O16" s="12"/>
      <c r="P16" s="3" t="e">
        <f ca="1">_xll.ONESTOP.REPORTPLAYER.OSRFUNCTIONS.OSRGET("GL_F_Trans","Value1")</f>
        <v>#NAME?</v>
      </c>
      <c r="Q16" s="3"/>
      <c r="R16" s="20" t="e">
        <f ca="1">IF(P$12=0,0,P16/P$12)</f>
        <v>#NAME?</v>
      </c>
      <c r="S16" s="3"/>
      <c r="T16" s="3" t="e">
        <f ca="1">_xll.ONESTOP.REPORTPLAYER.OSRFUNCTIONS.OSRGET("GL_F_Trans","Value1")</f>
        <v>#NAME?</v>
      </c>
      <c r="U16" s="3"/>
      <c r="V16" s="20" t="e">
        <f ca="1">IF(T$12=0,0,T16/T$12)</f>
        <v>#NAME?</v>
      </c>
      <c r="W16" s="3"/>
      <c r="X16" s="3" t="e">
        <f ca="1">+P16-T16</f>
        <v>#NAME?</v>
      </c>
      <c r="Y16" s="3"/>
      <c r="Z16" s="20" t="e">
        <f ca="1">IF(T16=0,0,X16/T16)</f>
        <v>#NAME?</v>
      </c>
    </row>
    <row r="17" spans="1:26" ht="15" customHeight="1" x14ac:dyDescent="0.3">
      <c r="A17" s="10"/>
      <c r="B17" s="11"/>
      <c r="C17" s="11"/>
      <c r="D17" s="4"/>
      <c r="E17" s="4"/>
      <c r="F17" s="9"/>
      <c r="G17" s="4"/>
      <c r="H17" s="4"/>
      <c r="I17" s="4"/>
      <c r="J17" s="9"/>
      <c r="K17" s="4"/>
      <c r="L17" s="4"/>
      <c r="M17" s="4"/>
      <c r="N17" s="9"/>
      <c r="O17" s="11"/>
      <c r="P17" s="4"/>
      <c r="Q17" s="4"/>
      <c r="R17" s="9"/>
      <c r="S17" s="4"/>
      <c r="T17" s="4"/>
      <c r="U17" s="4"/>
      <c r="V17" s="9"/>
      <c r="W17" s="4"/>
      <c r="X17" s="4"/>
      <c r="Y17" s="4"/>
      <c r="Z17" s="9"/>
    </row>
    <row r="18" spans="1:26" s="63" customFormat="1" ht="15" customHeight="1" x14ac:dyDescent="0.3">
      <c r="A18" s="11"/>
      <c r="B18" s="27" t="s">
        <v>289</v>
      </c>
      <c r="C18" s="27"/>
      <c r="D18" s="21" t="e">
        <f ca="1">D12-D15</f>
        <v>#NAME?</v>
      </c>
      <c r="E18" s="15"/>
      <c r="F18" s="23" t="e">
        <f ca="1">IF(D$12=0,0,D18/D$12)</f>
        <v>#NAME?</v>
      </c>
      <c r="G18" s="15"/>
      <c r="H18" s="21" t="e">
        <f ca="1">H12-H15</f>
        <v>#NAME?</v>
      </c>
      <c r="I18" s="15"/>
      <c r="J18" s="23" t="e">
        <f ca="1">IF(H$12=0,0,H18/H$12)</f>
        <v>#NAME?</v>
      </c>
      <c r="K18" s="16"/>
      <c r="L18" s="21" t="e">
        <f ca="1">+D18-H18</f>
        <v>#NAME?</v>
      </c>
      <c r="M18" s="16"/>
      <c r="N18" s="23" t="e">
        <f ca="1">IF(H18=0,0,L18/H18)</f>
        <v>#NAME?</v>
      </c>
      <c r="O18" s="28"/>
      <c r="P18" s="21" t="e">
        <f ca="1">P12-P15</f>
        <v>#NAME?</v>
      </c>
      <c r="Q18" s="15"/>
      <c r="R18" s="23" t="e">
        <f ca="1">IF(P$12=0,0,P18/P$12)</f>
        <v>#NAME?</v>
      </c>
      <c r="S18" s="15"/>
      <c r="T18" s="21" t="e">
        <f ca="1">T12-T15</f>
        <v>#NAME?</v>
      </c>
      <c r="U18" s="15"/>
      <c r="V18" s="23" t="e">
        <f ca="1">IF(T$12=0,0,T18/T$12)</f>
        <v>#NAME?</v>
      </c>
      <c r="W18" s="16"/>
      <c r="X18" s="21" t="e">
        <f ca="1">+P18-T18</f>
        <v>#NAME?</v>
      </c>
      <c r="Y18" s="16"/>
      <c r="Z18" s="23" t="e">
        <f ca="1">IF(T18=0,0,X18/T18)</f>
        <v>#NAME?</v>
      </c>
    </row>
    <row r="19" spans="1:26" ht="15" customHeight="1" x14ac:dyDescent="0.3">
      <c r="A19" s="10"/>
      <c r="B19" s="11"/>
      <c r="C19" s="10"/>
      <c r="D19" s="2"/>
      <c r="E19" s="2"/>
      <c r="F19" s="6"/>
      <c r="G19" s="2"/>
      <c r="H19" s="2"/>
      <c r="I19" s="2"/>
      <c r="J19" s="6"/>
      <c r="K19" s="2"/>
      <c r="L19" s="2"/>
      <c r="M19" s="2"/>
      <c r="N19" s="6"/>
      <c r="O19" s="35"/>
      <c r="P19" s="2"/>
      <c r="Q19" s="2"/>
      <c r="R19" s="6"/>
      <c r="S19" s="2"/>
      <c r="T19" s="2"/>
      <c r="U19" s="2"/>
      <c r="V19" s="6"/>
      <c r="W19" s="2"/>
      <c r="X19" s="2"/>
      <c r="Y19" s="2"/>
      <c r="Z19" s="6"/>
    </row>
    <row r="20" spans="1:26" s="63" customFormat="1" ht="15" customHeight="1" x14ac:dyDescent="0.3">
      <c r="A20" s="11"/>
      <c r="B20" s="28" t="s">
        <v>290</v>
      </c>
      <c r="C20" s="11"/>
      <c r="D20" s="22" t="e">
        <f ca="1">SUM(_xll.ONESTOP.REPORTPLAYER.OSRFUNCTIONS.OSRREF(D22))</f>
        <v>#NAME?</v>
      </c>
      <c r="E20" s="22"/>
      <c r="F20" s="30" t="e">
        <f ca="1">IF(D$12=0,0,D20/D$12)</f>
        <v>#NAME?</v>
      </c>
      <c r="G20" s="22"/>
      <c r="H20" s="22" t="e">
        <f ca="1">SUM(_xll.ONESTOP.REPORTPLAYER.OSRFUNCTIONS.OSRREF(H22))</f>
        <v>#NAME?</v>
      </c>
      <c r="I20" s="22"/>
      <c r="J20" s="30" t="e">
        <f ca="1">IF(H$12=0,0,H20/H$12)</f>
        <v>#NAME?</v>
      </c>
      <c r="K20" s="5"/>
      <c r="L20" s="22" t="e">
        <f ca="1">+D20-H20</f>
        <v>#NAME?</v>
      </c>
      <c r="M20" s="5"/>
      <c r="N20" s="30" t="e">
        <f ca="1">IF(H20=0,0,L20/H20)</f>
        <v>#NAME?</v>
      </c>
      <c r="O20" s="11"/>
      <c r="P20" s="22" t="e">
        <f ca="1">SUM(_xll.ONESTOP.REPORTPLAYER.OSRFUNCTIONS.OSRREF(P22))</f>
        <v>#NAME?</v>
      </c>
      <c r="Q20" s="22"/>
      <c r="R20" s="30" t="e">
        <f ca="1">IF(P$12=0,0,P20/P$12)</f>
        <v>#NAME?</v>
      </c>
      <c r="S20" s="22"/>
      <c r="T20" s="22" t="e">
        <f ca="1">SUM(_xll.ONESTOP.REPORTPLAYER.OSRFUNCTIONS.OSRREF(T22))</f>
        <v>#NAME?</v>
      </c>
      <c r="U20" s="22"/>
      <c r="V20" s="30" t="e">
        <f ca="1">IF(T$12=0,0,T20/T$12)</f>
        <v>#NAME?</v>
      </c>
      <c r="W20" s="5"/>
      <c r="X20" s="22" t="e">
        <f ca="1">+P20-T20</f>
        <v>#NAME?</v>
      </c>
      <c r="Y20" s="5"/>
      <c r="Z20" s="30" t="e">
        <f ca="1">IF(T20=0,0,X20/T20)</f>
        <v>#NAME?</v>
      </c>
    </row>
    <row r="21" spans="1:26" s="69" customFormat="1" ht="15" customHeight="1" outlineLevel="1" collapsed="1" x14ac:dyDescent="0.3">
      <c r="A21" s="25"/>
      <c r="B21" s="14" t="e">
        <f ca="1">CONCATENATE("     ",_xll.ONESTOP.REPORTPLAYER.OSRFUNCTIONS.OSRGET("d_Account","AccountCategory"))</f>
        <v>#NAME?</v>
      </c>
      <c r="C21" s="14"/>
      <c r="D21" s="2" t="e">
        <f ca="1">SUM(_xll.ONESTOP.REPORTPLAYER.OSRFUNCTIONS.OSRREF(D22))</f>
        <v>#NAME?</v>
      </c>
      <c r="E21" s="2"/>
      <c r="F21" s="6" t="e">
        <f ca="1">IF(D$12=0,0,D21/D$12)</f>
        <v>#NAME?</v>
      </c>
      <c r="G21" s="2"/>
      <c r="H21" s="2" t="e">
        <f ca="1">SUM(_xll.ONESTOP.REPORTPLAYER.OSRFUNCTIONS.OSRREF(H22))</f>
        <v>#NAME?</v>
      </c>
      <c r="I21" s="2"/>
      <c r="J21" s="6" t="e">
        <f ca="1">IF(H$12=0,0,H21/H$12)</f>
        <v>#NAME?</v>
      </c>
      <c r="K21" s="2"/>
      <c r="L21" s="2" t="e">
        <f ca="1">+D21-H21</f>
        <v>#NAME?</v>
      </c>
      <c r="M21" s="2"/>
      <c r="N21" s="6" t="e">
        <f ca="1">IF(H21=0,0,L21/H21)</f>
        <v>#NAME?</v>
      </c>
      <c r="O21" s="14"/>
      <c r="P21" s="2" t="e">
        <f ca="1">SUM(_xll.ONESTOP.REPORTPLAYER.OSRFUNCTIONS.OSRREF(P22))</f>
        <v>#NAME?</v>
      </c>
      <c r="Q21" s="2"/>
      <c r="R21" s="6" t="e">
        <f ca="1">IF(P$12=0,0,P21/P$12)</f>
        <v>#NAME?</v>
      </c>
      <c r="S21" s="2"/>
      <c r="T21" s="2" t="e">
        <f ca="1">SUM(_xll.ONESTOP.REPORTPLAYER.OSRFUNCTIONS.OSRREF(T22))</f>
        <v>#NAME?</v>
      </c>
      <c r="U21" s="2"/>
      <c r="V21" s="6" t="e">
        <f ca="1">IF(T$12=0,0,T21/T$12)</f>
        <v>#NAME?</v>
      </c>
      <c r="W21" s="2"/>
      <c r="X21" s="2" t="e">
        <f ca="1">+P21-T21</f>
        <v>#NAME?</v>
      </c>
      <c r="Y21" s="2"/>
      <c r="Z21" s="6" t="e">
        <f ca="1">IF(T21=0,0,X21/T21)</f>
        <v>#NAME?</v>
      </c>
    </row>
    <row r="22" spans="1:26" s="70" customFormat="1" ht="15" hidden="1" customHeight="1" outlineLevel="2" x14ac:dyDescent="0.3">
      <c r="A22" s="26"/>
      <c r="B22" s="12" t="e">
        <f ca="1">CONCATENATE("          ",_xll.ONESTOP.REPORTPLAYER.OSRFUNCTIONS.OSRGET("d_Account","Code")," - ",_xll.ONESTOP.REPORTPLAYER.OSRFUNCTIONS.OSRGET("d_Account","Description"))</f>
        <v>#NAME?</v>
      </c>
      <c r="C22" s="12"/>
      <c r="D22" s="7" t="e">
        <f ca="1">_xll.ONESTOP.REPORTPLAYER.OSRFUNCTIONS.OSRGET("GL_F_Trans","Value1")</f>
        <v>#NAME?</v>
      </c>
      <c r="E22" s="3"/>
      <c r="F22" s="8" t="e">
        <f ca="1">IF(D$12=0,0,D22/D$12)</f>
        <v>#NAME?</v>
      </c>
      <c r="G22" s="3"/>
      <c r="H22" s="7" t="e">
        <f ca="1">_xll.ONESTOP.REPORTPLAYER.OSRFUNCTIONS.OSRGET("GL_F_Trans","Value1")</f>
        <v>#NAME?</v>
      </c>
      <c r="I22" s="3"/>
      <c r="J22" s="8" t="e">
        <f ca="1">IF(H$12=0,0,H22/H$12)</f>
        <v>#NAME?</v>
      </c>
      <c r="K22" s="3"/>
      <c r="L22" s="7" t="e">
        <f ca="1">+D22-H22</f>
        <v>#NAME?</v>
      </c>
      <c r="M22" s="3"/>
      <c r="N22" s="8" t="e">
        <f ca="1">IF(H22=0,0,L22/H22)</f>
        <v>#NAME?</v>
      </c>
      <c r="O22" s="12"/>
      <c r="P22" s="7" t="e">
        <f ca="1">_xll.ONESTOP.REPORTPLAYER.OSRFUNCTIONS.OSRGET("GL_F_Trans","Value1")</f>
        <v>#NAME?</v>
      </c>
      <c r="Q22" s="3"/>
      <c r="R22" s="8" t="e">
        <f ca="1">IF(P$12=0,0,P22/P$12)</f>
        <v>#NAME?</v>
      </c>
      <c r="S22" s="3"/>
      <c r="T22" s="7" t="e">
        <f ca="1">_xll.ONESTOP.REPORTPLAYER.OSRFUNCTIONS.OSRGET("GL_F_Trans","Value1")</f>
        <v>#NAME?</v>
      </c>
      <c r="U22" s="3"/>
      <c r="V22" s="8" t="e">
        <f ca="1">IF(T$12=0,0,T22/T$12)</f>
        <v>#NAME?</v>
      </c>
      <c r="W22" s="3"/>
      <c r="X22" s="7" t="e">
        <f ca="1">+P22-T22</f>
        <v>#NAME?</v>
      </c>
      <c r="Y22" s="3"/>
      <c r="Z22" s="8" t="e">
        <f ca="1">IF(T22=0,0,X22/T22)</f>
        <v>#NAME?</v>
      </c>
    </row>
    <row r="23" spans="1:26" s="65" customFormat="1" ht="15" customHeight="1" x14ac:dyDescent="0.3">
      <c r="A23" s="35"/>
      <c r="B23" s="35"/>
      <c r="C23" s="35"/>
      <c r="D23" s="2"/>
      <c r="E23" s="2"/>
      <c r="F23" s="6"/>
      <c r="G23" s="2"/>
      <c r="H23" s="2"/>
      <c r="I23" s="2"/>
      <c r="J23" s="6"/>
      <c r="K23" s="2"/>
      <c r="L23" s="2"/>
      <c r="M23" s="2"/>
      <c r="N23" s="6"/>
      <c r="O23" s="35"/>
      <c r="P23" s="2"/>
      <c r="Q23" s="2"/>
      <c r="R23" s="6"/>
      <c r="S23" s="2"/>
      <c r="T23" s="2"/>
      <c r="U23" s="2"/>
      <c r="V23" s="6"/>
      <c r="W23" s="2"/>
      <c r="X23" s="2"/>
      <c r="Y23" s="2"/>
      <c r="Z23" s="6"/>
    </row>
    <row r="24" spans="1:26" s="63" customFormat="1" ht="15" customHeight="1" collapsed="1" x14ac:dyDescent="0.3">
      <c r="A24" s="11"/>
      <c r="B24" s="28" t="s">
        <v>291</v>
      </c>
      <c r="C24" s="11"/>
      <c r="D24" s="5" t="e">
        <f ca="1">SUM(_xll.ONESTOP.REPORTPLAYER.OSRFUNCTIONS.OSRREF(D25))</f>
        <v>#NAME?</v>
      </c>
      <c r="E24" s="5"/>
      <c r="F24" s="13" t="e">
        <f ca="1">IF(D$12=0,0,D24/D$12)</f>
        <v>#NAME?</v>
      </c>
      <c r="G24" s="5"/>
      <c r="H24" s="5" t="e">
        <f ca="1">SUM(_xll.ONESTOP.REPORTPLAYER.OSRFUNCTIONS.OSRREF(H25))</f>
        <v>#NAME?</v>
      </c>
      <c r="I24" s="5"/>
      <c r="J24" s="13" t="e">
        <f ca="1">IF(H$12=0,0,H24/H$12)</f>
        <v>#NAME?</v>
      </c>
      <c r="K24" s="5"/>
      <c r="L24" s="5" t="e">
        <f ca="1">+D24-H24</f>
        <v>#NAME?</v>
      </c>
      <c r="M24" s="5"/>
      <c r="N24" s="13" t="e">
        <f ca="1">IF(H24=0,0,L24/H24)</f>
        <v>#NAME?</v>
      </c>
      <c r="O24" s="11"/>
      <c r="P24" s="5" t="e">
        <f ca="1">SUM(_xll.ONESTOP.REPORTPLAYER.OSRFUNCTIONS.OSRREF(P25))</f>
        <v>#NAME?</v>
      </c>
      <c r="Q24" s="5"/>
      <c r="R24" s="13" t="e">
        <f ca="1">IF(P$12=0,0,P24/P$12)</f>
        <v>#NAME?</v>
      </c>
      <c r="S24" s="5"/>
      <c r="T24" s="5" t="e">
        <f ca="1">SUM(_xll.ONESTOP.REPORTPLAYER.OSRFUNCTIONS.OSRREF(T25))</f>
        <v>#NAME?</v>
      </c>
      <c r="U24" s="5"/>
      <c r="V24" s="13" t="e">
        <f ca="1">IF(T$12=0,0,T24/T$12)</f>
        <v>#NAME?</v>
      </c>
      <c r="W24" s="5"/>
      <c r="X24" s="5" t="e">
        <f ca="1">+P24-T24</f>
        <v>#NAME?</v>
      </c>
      <c r="Y24" s="5"/>
      <c r="Z24" s="13" t="e">
        <f ca="1">IF(T24=0,0,X24/T24)</f>
        <v>#NAME?</v>
      </c>
    </row>
    <row r="25" spans="1:26" s="70" customFormat="1" ht="15" hidden="1" customHeight="1" outlineLevel="1" x14ac:dyDescent="0.3">
      <c r="A25" s="42"/>
      <c r="B25" s="12" t="e">
        <f ca="1">CONCATENATE("          ",_xll.ONESTOP.REPORTPLAYER.OSRFUNCTIONS.OSRGET("d_Account","Code")," - ",_xll.ONESTOP.REPORTPLAYER.OSRFUNCTIONS.OSRGET("d_Account","Description"))</f>
        <v>#NAME?</v>
      </c>
      <c r="C25" s="12"/>
      <c r="D25" s="3" t="e">
        <f ca="1">-_xll.ONESTOP.REPORTPLAYER.OSRFUNCTIONS.OSRGET("GL_F_Trans","Value1")</f>
        <v>#NAME?</v>
      </c>
      <c r="E25" s="3"/>
      <c r="F25" s="20" t="e">
        <f ca="1">IF(D$12=0,0,D25/D$12)</f>
        <v>#NAME?</v>
      </c>
      <c r="G25" s="3"/>
      <c r="H25" s="3" t="e">
        <f ca="1">_xll.ONESTOP.REPORTPLAYER.OSRFUNCTIONS.OSRGET("GL_F_Trans","Value1")</f>
        <v>#NAME?</v>
      </c>
      <c r="I25" s="3"/>
      <c r="J25" s="20" t="e">
        <f ca="1">IF(H$12=0,0,H25/H$12)</f>
        <v>#NAME?</v>
      </c>
      <c r="K25" s="3"/>
      <c r="L25" s="3" t="e">
        <f ca="1">+D25-H25</f>
        <v>#NAME?</v>
      </c>
      <c r="M25" s="3"/>
      <c r="N25" s="20" t="e">
        <f ca="1">IF(H25=0,0,L25/H25)</f>
        <v>#NAME?</v>
      </c>
      <c r="O25" s="12"/>
      <c r="P25" s="3" t="e">
        <f ca="1">-_xll.ONESTOP.REPORTPLAYER.OSRFUNCTIONS.OSRGET("GL_F_Trans","Value1")</f>
        <v>#NAME?</v>
      </c>
      <c r="Q25" s="3"/>
      <c r="R25" s="20" t="e">
        <f ca="1">IF(P$12=0,0,P25/P$12)</f>
        <v>#NAME?</v>
      </c>
      <c r="S25" s="3"/>
      <c r="T25" s="3" t="e">
        <f ca="1">_xll.ONESTOP.REPORTPLAYER.OSRFUNCTIONS.OSRGET("GL_F_Trans","Value1")</f>
        <v>#NAME?</v>
      </c>
      <c r="U25" s="3"/>
      <c r="V25" s="20" t="e">
        <f ca="1">IF(T$12=0,0,T25/T$12)</f>
        <v>#NAME?</v>
      </c>
      <c r="W25" s="3"/>
      <c r="X25" s="3" t="e">
        <f ca="1">+P25-T25</f>
        <v>#NAME?</v>
      </c>
      <c r="Y25" s="3"/>
      <c r="Z25" s="20" t="e">
        <f ca="1">IF(T25=0,0,X25/T25)</f>
        <v>#NAME?</v>
      </c>
    </row>
    <row r="26" spans="1:26" ht="15" customHeight="1" x14ac:dyDescent="0.3">
      <c r="A26" s="10"/>
      <c r="B26" s="11"/>
      <c r="C26" s="11"/>
      <c r="D26" s="4"/>
      <c r="E26" s="4"/>
      <c r="F26" s="9"/>
      <c r="G26" s="4"/>
      <c r="H26" s="4"/>
      <c r="I26" s="4"/>
      <c r="J26" s="9"/>
      <c r="K26" s="4"/>
      <c r="L26" s="4"/>
      <c r="M26" s="4"/>
      <c r="N26" s="9"/>
      <c r="O26" s="11"/>
      <c r="P26" s="4"/>
      <c r="Q26" s="4"/>
      <c r="R26" s="9"/>
      <c r="S26" s="4"/>
      <c r="T26" s="4"/>
      <c r="U26" s="4"/>
      <c r="V26" s="9"/>
      <c r="W26" s="4"/>
      <c r="X26" s="4"/>
      <c r="Y26" s="4"/>
      <c r="Z26" s="9"/>
    </row>
    <row r="27" spans="1:26" s="63" customFormat="1" ht="15" customHeight="1" x14ac:dyDescent="0.3">
      <c r="A27" s="11"/>
      <c r="B27" s="27" t="s">
        <v>292</v>
      </c>
      <c r="C27" s="27"/>
      <c r="D27" s="21" t="e">
        <f ca="1">+D18-D20+D24</f>
        <v>#NAME?</v>
      </c>
      <c r="E27" s="15"/>
      <c r="F27" s="23" t="e">
        <f ca="1">IF(D$12=0,0,D27/D$12)</f>
        <v>#NAME?</v>
      </c>
      <c r="G27" s="15"/>
      <c r="H27" s="21" t="e">
        <f ca="1">+H18-H20+H24</f>
        <v>#NAME?</v>
      </c>
      <c r="I27" s="15"/>
      <c r="J27" s="23" t="e">
        <f ca="1">IF(H$12=0,0,H27/H$12)</f>
        <v>#NAME?</v>
      </c>
      <c r="K27" s="16"/>
      <c r="L27" s="21" t="e">
        <f ca="1">+D27-H27</f>
        <v>#NAME?</v>
      </c>
      <c r="M27" s="16"/>
      <c r="N27" s="23" t="e">
        <f ca="1">IF(H27=0,0,L27/H27)</f>
        <v>#NAME?</v>
      </c>
      <c r="O27" s="28"/>
      <c r="P27" s="21" t="e">
        <f ca="1">+P18-P20+P24</f>
        <v>#NAME?</v>
      </c>
      <c r="Q27" s="15"/>
      <c r="R27" s="23" t="e">
        <f ca="1">IF(P$12=0,0,P27/P$12)</f>
        <v>#NAME?</v>
      </c>
      <c r="S27" s="15"/>
      <c r="T27" s="21" t="e">
        <f ca="1">+T18-T20+T24</f>
        <v>#NAME?</v>
      </c>
      <c r="U27" s="15"/>
      <c r="V27" s="23" t="e">
        <f ca="1">IF(T$12=0,0,T27/T$12)</f>
        <v>#NAME?</v>
      </c>
      <c r="W27" s="16"/>
      <c r="X27" s="21" t="e">
        <f ca="1">+P27-T27</f>
        <v>#NAME?</v>
      </c>
      <c r="Y27" s="16"/>
      <c r="Z27" s="23" t="e">
        <f ca="1">IF(T27=0,0,X27/T27)</f>
        <v>#NAME?</v>
      </c>
    </row>
    <row r="28" spans="1:26" ht="15" customHeight="1" x14ac:dyDescent="0.3">
      <c r="A28" s="10"/>
      <c r="B28" s="11"/>
      <c r="C28" s="10"/>
      <c r="D28" s="4"/>
      <c r="E28" s="4"/>
      <c r="F28" s="9"/>
      <c r="G28" s="4"/>
      <c r="H28" s="4"/>
      <c r="I28" s="4"/>
      <c r="J28" s="9"/>
      <c r="K28" s="4"/>
      <c r="L28" s="4"/>
      <c r="M28" s="4"/>
      <c r="N28" s="9"/>
      <c r="P28" s="4"/>
      <c r="Q28" s="4"/>
      <c r="R28" s="9"/>
      <c r="S28" s="4"/>
      <c r="T28" s="4"/>
      <c r="U28" s="4"/>
      <c r="V28" s="9"/>
      <c r="W28" s="4"/>
      <c r="X28" s="4"/>
      <c r="Y28" s="4"/>
      <c r="Z28" s="9"/>
    </row>
    <row r="29" spans="1:26" s="63" customFormat="1" ht="15" customHeight="1" x14ac:dyDescent="0.3">
      <c r="A29" s="49"/>
      <c r="B29" s="11" t="s">
        <v>293</v>
      </c>
      <c r="C29" s="11"/>
      <c r="D29" s="5" t="e">
        <f ca="1">_xll.ONESTOP.REPORTPLAYER.OSRFUNCTIONS.OSRGET("GL_F_Trans","Value1")</f>
        <v>#NAME?</v>
      </c>
      <c r="E29" s="5"/>
      <c r="F29" s="13" t="e">
        <f ca="1">IF(D$12=0,0,D29/D$12)</f>
        <v>#NAME?</v>
      </c>
      <c r="G29" s="5"/>
      <c r="H29" s="5" t="e">
        <f ca="1">_xll.ONESTOP.REPORTPLAYER.OSRFUNCTIONS.OSRGET("GL_F_Trans","Value1")</f>
        <v>#NAME?</v>
      </c>
      <c r="I29" s="5"/>
      <c r="J29" s="13" t="e">
        <f ca="1">IF(H$12=0,0,H29/H$12)</f>
        <v>#NAME?</v>
      </c>
      <c r="K29" s="5"/>
      <c r="L29" s="5" t="e">
        <f ca="1">+D29-H29</f>
        <v>#NAME?</v>
      </c>
      <c r="M29" s="5"/>
      <c r="N29" s="13" t="e">
        <f ca="1">IF(H29=0,0,L29/H29)</f>
        <v>#NAME?</v>
      </c>
      <c r="O29" s="11"/>
      <c r="P29" s="5" t="e">
        <f ca="1">_xll.ONESTOP.REPORTPLAYER.OSRFUNCTIONS.OSRGET("GL_F_Trans","Value1")</f>
        <v>#NAME?</v>
      </c>
      <c r="Q29" s="5"/>
      <c r="R29" s="13" t="e">
        <f ca="1">IF(P$12=0,0,P29/P$12)</f>
        <v>#NAME?</v>
      </c>
      <c r="S29" s="5"/>
      <c r="T29" s="5" t="e">
        <f ca="1">_xll.ONESTOP.REPORTPLAYER.OSRFUNCTIONS.OSRGET("GL_F_Trans","Value1")</f>
        <v>#NAME?</v>
      </c>
      <c r="U29" s="5"/>
      <c r="V29" s="13" t="e">
        <f ca="1">IF(T$12=0,0,T29/T$12)</f>
        <v>#NAME?</v>
      </c>
      <c r="W29" s="5"/>
      <c r="X29" s="5" t="e">
        <f ca="1">+P29-T29</f>
        <v>#NAME?</v>
      </c>
      <c r="Y29" s="5"/>
      <c r="Z29" s="13" t="e">
        <f ca="1">IF(T29=0,0,X29/T29)</f>
        <v>#NAME?</v>
      </c>
    </row>
    <row r="30" spans="1:26" ht="15" customHeight="1" x14ac:dyDescent="0.3">
      <c r="A30" s="10"/>
      <c r="B30" s="11"/>
      <c r="C30" s="11"/>
      <c r="D30" s="4"/>
      <c r="E30" s="4"/>
      <c r="F30" s="9"/>
      <c r="G30" s="4"/>
      <c r="H30" s="4"/>
      <c r="I30" s="4"/>
      <c r="J30" s="9"/>
      <c r="K30" s="4"/>
      <c r="L30" s="4"/>
      <c r="M30" s="4"/>
      <c r="N30" s="9"/>
      <c r="O30" s="11"/>
      <c r="P30" s="4"/>
      <c r="Q30" s="4"/>
      <c r="R30" s="9"/>
      <c r="S30" s="4"/>
      <c r="T30" s="4"/>
      <c r="U30" s="4"/>
      <c r="V30" s="9"/>
      <c r="W30" s="4"/>
      <c r="X30" s="4"/>
      <c r="Y30" s="4"/>
      <c r="Z30" s="9"/>
    </row>
    <row r="31" spans="1:26" s="63" customFormat="1" ht="15" customHeight="1" x14ac:dyDescent="0.3">
      <c r="A31" s="11"/>
      <c r="B31" s="27" t="s">
        <v>294</v>
      </c>
      <c r="C31" s="27"/>
      <c r="D31" s="34" t="e">
        <f ca="1">+D27-D29</f>
        <v>#NAME?</v>
      </c>
      <c r="E31" s="15"/>
      <c r="F31" s="29" t="e">
        <f ca="1">IF(D$12=0,0,D31/D$12)</f>
        <v>#NAME?</v>
      </c>
      <c r="G31" s="15"/>
      <c r="H31" s="34" t="e">
        <f ca="1">+H27-H29</f>
        <v>#NAME?</v>
      </c>
      <c r="I31" s="15"/>
      <c r="J31" s="29" t="e">
        <f ca="1">IF(H$12=0,0,H31/H$12)</f>
        <v>#NAME?</v>
      </c>
      <c r="K31" s="16"/>
      <c r="L31" s="34" t="e">
        <f ca="1">D31-H31</f>
        <v>#NAME?</v>
      </c>
      <c r="M31" s="16"/>
      <c r="N31" s="29" t="e">
        <f ca="1">IF(H31=0,0,L31/H31)</f>
        <v>#NAME?</v>
      </c>
      <c r="O31" s="28"/>
      <c r="P31" s="34" t="e">
        <f ca="1">+P27-P29</f>
        <v>#NAME?</v>
      </c>
      <c r="Q31" s="15"/>
      <c r="R31" s="29" t="e">
        <f ca="1">IF(P$12=0,0,P31/P$12)</f>
        <v>#NAME?</v>
      </c>
      <c r="S31" s="15"/>
      <c r="T31" s="34" t="e">
        <f ca="1">+T27-T29</f>
        <v>#NAME?</v>
      </c>
      <c r="U31" s="15"/>
      <c r="V31" s="29" t="e">
        <f ca="1">IF(T$12=0,0,T31/T$12)</f>
        <v>#NAME?</v>
      </c>
      <c r="W31" s="16"/>
      <c r="X31" s="34" t="e">
        <f ca="1">P31-T31</f>
        <v>#NAME?</v>
      </c>
      <c r="Y31" s="16"/>
      <c r="Z31" s="29" t="e">
        <f ca="1">IF(T31=0,0,X31/T31)</f>
        <v>#NAME?</v>
      </c>
    </row>
    <row r="32" spans="1:26" ht="15" customHeight="1" x14ac:dyDescent="0.3">
      <c r="A32" s="10"/>
      <c r="B32" s="10"/>
      <c r="C32" s="10"/>
      <c r="D32" s="4"/>
      <c r="E32" s="4"/>
      <c r="F32" s="9"/>
      <c r="G32" s="4"/>
      <c r="H32" s="4"/>
      <c r="I32" s="4"/>
      <c r="J32" s="9"/>
      <c r="K32" s="4"/>
      <c r="L32" s="4"/>
      <c r="M32" s="4"/>
      <c r="N32" s="9"/>
      <c r="P32" s="4"/>
      <c r="Q32" s="4"/>
      <c r="R32" s="9"/>
      <c r="S32" s="4"/>
      <c r="T32" s="4"/>
      <c r="U32" s="4"/>
      <c r="V32" s="9"/>
      <c r="W32" s="4"/>
      <c r="X32" s="4"/>
      <c r="Y32" s="4"/>
      <c r="Z32" s="9"/>
    </row>
    <row r="33" spans="1:26" s="63" customFormat="1" ht="15" customHeight="1" x14ac:dyDescent="0.3">
      <c r="A33" s="49"/>
      <c r="B33" s="11" t="s">
        <v>295</v>
      </c>
      <c r="C33" s="11"/>
      <c r="D33" s="5" t="e">
        <f ca="1">-_xll.ONESTOP.REPORTPLAYER.OSRFUNCTIONS.OSRGET("GL_F_Trans","Value1")</f>
        <v>#NAME?</v>
      </c>
      <c r="E33" s="5"/>
      <c r="F33" s="13" t="e">
        <f ca="1">IF(D$12=0,0,D33/D$12)</f>
        <v>#NAME?</v>
      </c>
      <c r="G33" s="5"/>
      <c r="H33" s="5" t="e">
        <f ca="1">-_xll.ONESTOP.REPORTPLAYER.OSRFUNCTIONS.OSRGET("GL_F_Trans","Value1")</f>
        <v>#NAME?</v>
      </c>
      <c r="I33" s="5"/>
      <c r="J33" s="13" t="e">
        <f ca="1">IF(H$12=0,0,H33/H$12)</f>
        <v>#NAME?</v>
      </c>
      <c r="K33" s="5"/>
      <c r="L33" s="5" t="e">
        <f ca="1">+D33-H33</f>
        <v>#NAME?</v>
      </c>
      <c r="M33" s="5"/>
      <c r="N33" s="13" t="e">
        <f ca="1">IF(H33=0,0,L33/H33)</f>
        <v>#NAME?</v>
      </c>
      <c r="O33" s="11"/>
      <c r="P33" s="5" t="e">
        <f ca="1">-_xll.ONESTOP.REPORTPLAYER.OSRFUNCTIONS.OSRGET("GL_F_Trans","Value1")</f>
        <v>#NAME?</v>
      </c>
      <c r="Q33" s="5"/>
      <c r="R33" s="13" t="e">
        <f ca="1">IF(P$12=0,0,P33/P$12)</f>
        <v>#NAME?</v>
      </c>
      <c r="S33" s="5"/>
      <c r="T33" s="5" t="e">
        <f ca="1">-_xll.ONESTOP.REPORTPLAYER.OSRFUNCTIONS.OSRGET("GL_F_Trans","Value1")</f>
        <v>#NAME?</v>
      </c>
      <c r="U33" s="5"/>
      <c r="V33" s="13" t="e">
        <f ca="1">IF(T$12=0,0,T33/T$12)</f>
        <v>#NAME?</v>
      </c>
      <c r="W33" s="5"/>
      <c r="X33" s="5" t="e">
        <f ca="1">+P33-T33</f>
        <v>#NAME?</v>
      </c>
      <c r="Y33" s="5"/>
      <c r="Z33" s="13" t="e">
        <f ca="1">IF(T33=0,0,X33/T33)</f>
        <v>#NAME?</v>
      </c>
    </row>
    <row r="34" spans="1:26" s="63" customFormat="1" ht="15" customHeight="1" x14ac:dyDescent="0.3">
      <c r="A34" s="49"/>
      <c r="B34" s="11" t="s">
        <v>296</v>
      </c>
      <c r="C34" s="11"/>
      <c r="D34" s="5" t="e">
        <f ca="1">-_xll.ONESTOP.REPORTPLAYER.OSRFUNCTIONS.OSRGET("GL_F_Trans","Value1")</f>
        <v>#NAME?</v>
      </c>
      <c r="E34" s="5"/>
      <c r="F34" s="13" t="e">
        <f ca="1">IF(D$12=0,0,D34/D$12)</f>
        <v>#NAME?</v>
      </c>
      <c r="G34" s="5"/>
      <c r="H34" s="5" t="e">
        <f ca="1">-_xll.ONESTOP.REPORTPLAYER.OSRFUNCTIONS.OSRGET("GL_F_Trans","Value1")</f>
        <v>#NAME?</v>
      </c>
      <c r="I34" s="5"/>
      <c r="J34" s="13" t="e">
        <f ca="1">IF(H$12=0,0,H34/H$12)</f>
        <v>#NAME?</v>
      </c>
      <c r="K34" s="5"/>
      <c r="L34" s="5" t="e">
        <f ca="1">+D34-H34</f>
        <v>#NAME?</v>
      </c>
      <c r="M34" s="5"/>
      <c r="N34" s="13" t="e">
        <f ca="1">IF(H34=0,0,L34/H34)</f>
        <v>#NAME?</v>
      </c>
      <c r="O34" s="11"/>
      <c r="P34" s="5" t="e">
        <f ca="1">-_xll.ONESTOP.REPORTPLAYER.OSRFUNCTIONS.OSRGET("GL_F_Trans","Value1")</f>
        <v>#NAME?</v>
      </c>
      <c r="Q34" s="5"/>
      <c r="R34" s="13" t="e">
        <f ca="1">IF(P$12=0,0,P34/P$12)</f>
        <v>#NAME?</v>
      </c>
      <c r="S34" s="5"/>
      <c r="T34" s="5" t="e">
        <f ca="1">-_xll.ONESTOP.REPORTPLAYER.OSRFUNCTIONS.OSRGET("GL_F_Trans","Value1")</f>
        <v>#NAME?</v>
      </c>
      <c r="U34" s="5"/>
      <c r="V34" s="13" t="e">
        <f ca="1">IF(T$12=0,0,T34/T$12)</f>
        <v>#NAME?</v>
      </c>
      <c r="W34" s="5"/>
      <c r="X34" s="5" t="e">
        <f ca="1">+P34-T34</f>
        <v>#NAME?</v>
      </c>
      <c r="Y34" s="5"/>
      <c r="Z34" s="13" t="e">
        <f ca="1">IF(T34=0,0,X34/T34)</f>
        <v>#NAME?</v>
      </c>
    </row>
    <row r="35" spans="1:26" ht="15" customHeight="1" x14ac:dyDescent="0.3">
      <c r="A35" s="10"/>
      <c r="B35" s="10"/>
      <c r="C35" s="10"/>
      <c r="D35" s="4"/>
      <c r="E35" s="4"/>
      <c r="F35" s="9"/>
      <c r="G35" s="4"/>
      <c r="H35" s="4"/>
      <c r="I35" s="4"/>
      <c r="J35" s="9"/>
      <c r="K35" s="4"/>
      <c r="L35" s="4"/>
      <c r="M35" s="4"/>
      <c r="N35" s="9"/>
      <c r="P35" s="4"/>
      <c r="Q35" s="4"/>
      <c r="R35" s="9"/>
      <c r="S35" s="4"/>
      <c r="T35" s="4"/>
      <c r="U35" s="4"/>
      <c r="V35" s="9"/>
      <c r="W35" s="4"/>
      <c r="X35" s="4"/>
      <c r="Y35" s="4"/>
      <c r="Z35" s="9"/>
    </row>
    <row r="36" spans="1:26" s="63" customFormat="1" ht="15" customHeight="1" x14ac:dyDescent="0.3">
      <c r="A36" s="11"/>
      <c r="B36" s="27" t="s">
        <v>297</v>
      </c>
      <c r="C36" s="27"/>
      <c r="D36" s="32" t="e">
        <f ca="1">SUM(D31:D35)</f>
        <v>#NAME?</v>
      </c>
      <c r="E36" s="15"/>
      <c r="F36" s="31" t="e">
        <f ca="1">IF(D$12=0,0,D36/D$12)</f>
        <v>#NAME?</v>
      </c>
      <c r="G36" s="15"/>
      <c r="H36" s="32" t="e">
        <f ca="1">SUM(H31:H35)</f>
        <v>#NAME?</v>
      </c>
      <c r="I36" s="15"/>
      <c r="J36" s="31" t="e">
        <f ca="1">IF(H$12=0,0,H36/H$12)</f>
        <v>#NAME?</v>
      </c>
      <c r="K36" s="16"/>
      <c r="L36" s="32" t="e">
        <f ca="1">+D36-H36</f>
        <v>#NAME?</v>
      </c>
      <c r="M36" s="16"/>
      <c r="N36" s="31" t="e">
        <f ca="1">IF(H36=0,0,L36/H36)</f>
        <v>#NAME?</v>
      </c>
      <c r="O36" s="28"/>
      <c r="P36" s="32" t="e">
        <f ca="1">SUM(P31:P35)</f>
        <v>#NAME?</v>
      </c>
      <c r="Q36" s="15"/>
      <c r="R36" s="31" t="e">
        <f ca="1">IF(P$12=0,0,P36/P$12)</f>
        <v>#NAME?</v>
      </c>
      <c r="S36" s="15"/>
      <c r="T36" s="32" t="e">
        <f ca="1">SUM(T31:T35)</f>
        <v>#NAME?</v>
      </c>
      <c r="U36" s="15"/>
      <c r="V36" s="31" t="e">
        <f ca="1">IF(T$12=0,0,T36/T$12)</f>
        <v>#NAME?</v>
      </c>
      <c r="W36" s="16"/>
      <c r="X36" s="32" t="e">
        <f ca="1">+P36-T36</f>
        <v>#NAME?</v>
      </c>
      <c r="Y36" s="16"/>
      <c r="Z36" s="31" t="e">
        <f ca="1">IF(T36=0,0,X36/T36)</f>
        <v>#NAME?</v>
      </c>
    </row>
    <row r="37" spans="1:26" ht="15" customHeight="1" x14ac:dyDescent="0.3">
      <c r="A37" s="10"/>
      <c r="C37" s="10"/>
      <c r="D37" s="19"/>
      <c r="E37" s="19"/>
      <c r="G37" s="19"/>
      <c r="H37" s="19"/>
      <c r="I37" s="19"/>
      <c r="J37" s="40"/>
      <c r="K37" s="19"/>
      <c r="L37" s="19"/>
      <c r="M37" s="19"/>
      <c r="P37" s="19"/>
      <c r="Q37" s="19"/>
      <c r="R37" s="40"/>
      <c r="S37" s="19"/>
      <c r="T37" s="19"/>
      <c r="U37" s="19"/>
      <c r="V37" s="40"/>
      <c r="W37" s="19"/>
      <c r="X37" s="19"/>
    </row>
    <row r="38" spans="1:26" ht="15" customHeight="1" x14ac:dyDescent="0.3">
      <c r="A38" s="10"/>
      <c r="B38" s="51" t="e">
        <f ca="1">_xll.ONESTOP.REPORTPLAYER.OSRFUNCTIONS.OSRGET("CurrentDate","Date")</f>
        <v>#NAME?</v>
      </c>
      <c r="D38" s="19"/>
      <c r="E38" s="19"/>
      <c r="G38" s="19"/>
      <c r="H38" s="19"/>
      <c r="I38" s="19"/>
      <c r="J38" s="40"/>
      <c r="K38" s="19"/>
      <c r="L38" s="19"/>
      <c r="M38" s="19"/>
      <c r="P38" s="19"/>
      <c r="Q38" s="19"/>
      <c r="R38" s="40"/>
      <c r="S38" s="19"/>
      <c r="T38" s="19"/>
      <c r="U38" s="19"/>
      <c r="V38" s="40"/>
      <c r="W38" s="19"/>
      <c r="X38" s="19"/>
    </row>
    <row r="39" spans="1:26" ht="15" customHeight="1" x14ac:dyDescent="0.3">
      <c r="A39" s="10"/>
      <c r="B39" s="58" t="e">
        <f ca="1">_xll.ONESTOP.REPORTPLAYER.OSRFUNCTIONS.OSRGET("User","UserId")</f>
        <v>#NAME?</v>
      </c>
      <c r="D39" s="19"/>
      <c r="E39" s="19"/>
      <c r="G39" s="19"/>
      <c r="H39" s="19"/>
      <c r="I39" s="19"/>
      <c r="J39" s="40"/>
      <c r="K39" s="19"/>
      <c r="L39" s="19"/>
      <c r="M39" s="19"/>
      <c r="P39" s="19"/>
      <c r="Q39" s="19"/>
      <c r="R39" s="40"/>
      <c r="S39" s="19"/>
      <c r="T39" s="19"/>
      <c r="U39" s="19"/>
      <c r="V39" s="40"/>
      <c r="W39" s="19"/>
      <c r="X39" s="19"/>
    </row>
    <row r="40" spans="1:26" ht="15" customHeight="1" x14ac:dyDescent="0.3">
      <c r="A40" s="10"/>
      <c r="B40" s="50"/>
      <c r="D40" s="19"/>
      <c r="E40" s="19"/>
      <c r="G40" s="19"/>
      <c r="H40" s="19"/>
      <c r="I40" s="19"/>
      <c r="J40" s="40"/>
      <c r="K40" s="19"/>
      <c r="L40" s="19"/>
      <c r="M40" s="19"/>
      <c r="P40" s="19"/>
      <c r="Q40" s="19"/>
      <c r="R40" s="40"/>
      <c r="S40" s="19"/>
      <c r="T40" s="19"/>
      <c r="U40" s="19"/>
      <c r="V40" s="40"/>
      <c r="W40" s="19"/>
      <c r="X40" s="19"/>
    </row>
    <row r="41" spans="1:26" ht="15" customHeight="1" x14ac:dyDescent="0.3">
      <c r="D41" s="19"/>
      <c r="E41" s="19"/>
      <c r="G41" s="19"/>
      <c r="H41" s="19"/>
      <c r="I41" s="19"/>
      <c r="J41" s="40"/>
      <c r="K41" s="19"/>
      <c r="L41" s="19"/>
      <c r="M41" s="19"/>
      <c r="P41" s="19"/>
      <c r="Q41" s="19"/>
      <c r="R41" s="40"/>
      <c r="S41" s="19"/>
      <c r="T41" s="19"/>
      <c r="U41" s="19"/>
      <c r="V41" s="40"/>
      <c r="W41" s="19"/>
      <c r="X41" s="19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296F17-4A5D-EE63-3AAB-512D42E69C94}">
  <sheetPr>
    <tabColor rgb="FFFFFF00"/>
    <outlinePr summaryBelow="0" summaryRight="0"/>
  </sheetPr>
  <dimension ref="A2:Z41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6" customWidth="1"/>
    <col min="2" max="2" width="33.44140625" style="66" customWidth="1"/>
    <col min="3" max="3" width="1.88671875" style="66" customWidth="1"/>
    <col min="4" max="4" width="15" style="66" customWidth="1"/>
    <col min="5" max="5" width="1.88671875" style="66" customWidth="1" outlineLevel="1"/>
    <col min="6" max="6" width="15" style="67" customWidth="1" outlineLevel="1"/>
    <col min="7" max="7" width="1.88671875" style="66" customWidth="1" outlineLevel="1"/>
    <col min="8" max="8" width="15" style="66" customWidth="1" outlineLevel="1"/>
    <col min="9" max="9" width="1.88671875" style="66" customWidth="1" outlineLevel="1"/>
    <col min="10" max="10" width="15" style="68" customWidth="1" outlineLevel="1"/>
    <col min="11" max="11" width="1.88671875" style="66" customWidth="1" outlineLevel="1"/>
    <col min="12" max="12" width="15" style="66" customWidth="1" outlineLevel="1"/>
    <col min="13" max="13" width="1.88671875" style="66" customWidth="1" outlineLevel="1"/>
    <col min="14" max="14" width="15" style="67" customWidth="1" outlineLevel="1"/>
    <col min="15" max="15" width="1.88671875" style="64" customWidth="1"/>
    <col min="16" max="16" width="15" style="66" customWidth="1"/>
    <col min="17" max="17" width="1.88671875" style="66" customWidth="1" outlineLevel="1"/>
    <col min="18" max="18" width="15" style="68" customWidth="1" outlineLevel="1"/>
    <col min="19" max="19" width="1.88671875" style="66" customWidth="1" outlineLevel="1"/>
    <col min="20" max="20" width="15" style="66" customWidth="1" outlineLevel="1"/>
    <col min="21" max="21" width="1.88671875" style="66" customWidth="1" outlineLevel="1"/>
    <col min="22" max="22" width="15" style="68" customWidth="1" outlineLevel="1"/>
    <col min="23" max="23" width="1.88671875" style="66" customWidth="1" outlineLevel="1"/>
    <col min="24" max="24" width="15" style="66" customWidth="1" outlineLevel="1"/>
    <col min="25" max="25" width="1.88671875" style="66" customWidth="1" outlineLevel="1"/>
    <col min="26" max="26" width="15" style="68" customWidth="1" outlineLevel="1"/>
  </cols>
  <sheetData>
    <row r="2" spans="1:26" ht="15" customHeight="1" x14ac:dyDescent="0.3">
      <c r="D2" s="54" t="s">
        <v>276</v>
      </c>
    </row>
    <row r="3" spans="1:26" ht="15" customHeight="1" x14ac:dyDescent="0.3">
      <c r="D3" s="54" t="s">
        <v>277</v>
      </c>
      <c r="E3" s="18"/>
      <c r="F3" s="44"/>
      <c r="G3" s="18"/>
      <c r="H3" s="18"/>
      <c r="I3" s="18"/>
      <c r="J3" s="38"/>
      <c r="K3" s="18"/>
      <c r="L3" s="18"/>
      <c r="M3" s="18"/>
      <c r="N3" s="44"/>
      <c r="O3" s="53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ht="15" customHeight="1" x14ac:dyDescent="0.3">
      <c r="D4" s="54" t="e">
        <f ca="1">CONCATENATE("Period ",RIGHT(_xll.ONESTOP.REPORTPLAYER.OSRFUNCTIONS.OSRGET("Period","PeriodId"),2),", ",_xll.ONESTOP.REPORTPLAYER.OSRFUNCTIONS.OSRGET("Period","Year"))</f>
        <v>#NAME?</v>
      </c>
      <c r="E4" s="18"/>
      <c r="F4" s="44"/>
      <c r="G4" s="18"/>
      <c r="H4" s="18"/>
      <c r="I4" s="18"/>
      <c r="J4" s="38"/>
      <c r="K4" s="18"/>
      <c r="L4" s="18"/>
      <c r="M4" s="18"/>
      <c r="N4" s="44"/>
      <c r="O4" s="53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ht="15" customHeight="1" x14ac:dyDescent="0.3">
      <c r="A5" s="24"/>
      <c r="D5" s="61" t="e">
        <f ca="1">_xll.ONESTOP.REPORTPLAYER.OSRFUNCTIONS.OSRGET("Period","PeriodEnd")</f>
        <v>#NAME?</v>
      </c>
      <c r="E5" s="18"/>
      <c r="F5" s="44"/>
      <c r="G5" s="18"/>
      <c r="H5" s="18"/>
      <c r="I5" s="18"/>
      <c r="J5" s="38"/>
      <c r="K5" s="18"/>
      <c r="L5" s="18"/>
      <c r="M5" s="18"/>
      <c r="N5" s="44"/>
      <c r="O5" s="53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ht="15" customHeight="1" x14ac:dyDescent="0.3">
      <c r="A6" s="24"/>
      <c r="B6" s="47"/>
      <c r="C6" s="47"/>
      <c r="D6" s="24" t="s">
        <v>306</v>
      </c>
      <c r="E6" s="18"/>
      <c r="F6" s="44"/>
      <c r="G6" s="18"/>
      <c r="H6" s="18"/>
      <c r="I6" s="18"/>
      <c r="J6" s="38"/>
      <c r="K6" s="18"/>
      <c r="L6" s="18"/>
      <c r="M6" s="18"/>
      <c r="N6" s="44"/>
      <c r="O6" s="59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ht="15" customHeight="1" x14ac:dyDescent="0.3">
      <c r="B7" s="52"/>
    </row>
    <row r="8" spans="1:26" ht="15" customHeight="1" x14ac:dyDescent="0.3">
      <c r="B8" s="52"/>
    </row>
    <row r="9" spans="1:26" ht="15" customHeight="1" x14ac:dyDescent="0.3">
      <c r="B9" s="10"/>
      <c r="C9" s="10"/>
      <c r="D9" s="17" t="s">
        <v>279</v>
      </c>
      <c r="E9" s="17"/>
      <c r="F9" s="36"/>
      <c r="G9" s="17"/>
      <c r="H9" s="17"/>
      <c r="I9" s="17"/>
      <c r="J9" s="43"/>
      <c r="K9" s="17"/>
      <c r="L9" s="17"/>
      <c r="M9" s="17"/>
      <c r="N9" s="36"/>
      <c r="P9" s="17" t="s">
        <v>280</v>
      </c>
      <c r="Q9" s="17"/>
      <c r="R9" s="36"/>
      <c r="S9" s="17"/>
      <c r="T9" s="17"/>
      <c r="U9" s="17"/>
      <c r="V9" s="43"/>
      <c r="W9" s="17"/>
      <c r="X9" s="17"/>
      <c r="Y9" s="17"/>
      <c r="Z9" s="36"/>
    </row>
    <row r="10" spans="1:26" ht="15" customHeight="1" x14ac:dyDescent="0.3">
      <c r="A10" s="11"/>
      <c r="B10" s="57"/>
      <c r="C10" s="11"/>
      <c r="D10" s="41" t="s">
        <v>281</v>
      </c>
      <c r="E10" s="33"/>
      <c r="F10" s="37" t="s">
        <v>282</v>
      </c>
      <c r="G10" s="33"/>
      <c r="H10" s="48" t="s">
        <v>283</v>
      </c>
      <c r="I10" s="33"/>
      <c r="J10" s="45" t="s">
        <v>284</v>
      </c>
      <c r="K10" s="11"/>
      <c r="L10" s="41" t="s">
        <v>285</v>
      </c>
      <c r="M10" s="11"/>
      <c r="N10" s="37" t="s">
        <v>286</v>
      </c>
      <c r="O10" s="11"/>
      <c r="P10" s="56" t="s">
        <v>281</v>
      </c>
      <c r="Q10" s="33"/>
      <c r="R10" s="37" t="s">
        <v>282</v>
      </c>
      <c r="S10" s="33"/>
      <c r="T10" s="48" t="s">
        <v>283</v>
      </c>
      <c r="U10" s="33"/>
      <c r="V10" s="45" t="s">
        <v>284</v>
      </c>
      <c r="W10" s="11"/>
      <c r="X10" s="41" t="s">
        <v>285</v>
      </c>
      <c r="Y10" s="11"/>
      <c r="Z10" s="37" t="s">
        <v>286</v>
      </c>
    </row>
    <row r="11" spans="1:26" ht="16.5" customHeight="1" x14ac:dyDescent="0.3">
      <c r="A11" s="10"/>
      <c r="B11" s="55"/>
      <c r="C11" s="10"/>
      <c r="D11" s="10"/>
      <c r="E11" s="10"/>
      <c r="F11" s="9"/>
      <c r="G11" s="10"/>
      <c r="H11" s="10"/>
      <c r="I11" s="10"/>
      <c r="J11" s="46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6"/>
      <c r="W11" s="10"/>
      <c r="X11" s="10"/>
      <c r="Y11" s="10"/>
      <c r="Z11" s="9"/>
    </row>
    <row r="12" spans="1:26" s="63" customFormat="1" ht="15" customHeight="1" collapsed="1" x14ac:dyDescent="0.3">
      <c r="A12" s="11"/>
      <c r="B12" s="28" t="s">
        <v>287</v>
      </c>
      <c r="C12" s="11"/>
      <c r="D12" s="5" t="e">
        <f ca="1">SUM(_xll.ONESTOP.REPORTPLAYER.OSRFUNCTIONS.OSRREF(D13))</f>
        <v>#NAME?</v>
      </c>
      <c r="E12" s="5"/>
      <c r="F12" s="13"/>
      <c r="G12" s="5"/>
      <c r="H12" s="5" t="e">
        <f ca="1">SUM(_xll.ONESTOP.REPORTPLAYER.OSRFUNCTIONS.OSRREF(H13))</f>
        <v>#NAME?</v>
      </c>
      <c r="I12" s="5"/>
      <c r="J12" s="13"/>
      <c r="K12" s="5"/>
      <c r="L12" s="5" t="e">
        <f ca="1">+D12-H12</f>
        <v>#NAME?</v>
      </c>
      <c r="M12" s="5"/>
      <c r="N12" s="13" t="e">
        <f ca="1">IF(H12=0,0,L12/H12)</f>
        <v>#NAME?</v>
      </c>
      <c r="O12" s="11"/>
      <c r="P12" s="5" t="e">
        <f ca="1">SUM(_xll.ONESTOP.REPORTPLAYER.OSRFUNCTIONS.OSRREF(P13))</f>
        <v>#NAME?</v>
      </c>
      <c r="Q12" s="5"/>
      <c r="R12" s="13"/>
      <c r="S12" s="5"/>
      <c r="T12" s="5" t="e">
        <f ca="1">SUM(_xll.ONESTOP.REPORTPLAYER.OSRFUNCTIONS.OSRREF(T13))</f>
        <v>#NAME?</v>
      </c>
      <c r="U12" s="5"/>
      <c r="V12" s="13"/>
      <c r="W12" s="5"/>
      <c r="X12" s="5" t="e">
        <f ca="1">+P12-T12</f>
        <v>#NAME?</v>
      </c>
      <c r="Y12" s="5"/>
      <c r="Z12" s="13" t="e">
        <f ca="1">IF(T12=0,0,X12/T12)</f>
        <v>#NAME?</v>
      </c>
    </row>
    <row r="13" spans="1:26" s="70" customFormat="1" ht="15" hidden="1" customHeight="1" outlineLevel="1" x14ac:dyDescent="0.3">
      <c r="A13" s="42"/>
      <c r="B13" s="12" t="e">
        <f ca="1">CONCATENATE("          ",_xll.ONESTOP.REPORTPLAYER.OSRFUNCTIONS.OSRGET("d_Account","Code")," - ",_xll.ONESTOP.REPORTPLAYER.OSRFUNCTIONS.OSRGET("d_Account","Description"))</f>
        <v>#NAME?</v>
      </c>
      <c r="C13" s="12"/>
      <c r="D13" s="3" t="e">
        <f ca="1">-_xll.ONESTOP.REPORTPLAYER.OSRFUNCTIONS.OSRGET("GL_F_Trans","Value1")</f>
        <v>#NAME?</v>
      </c>
      <c r="E13" s="3"/>
      <c r="F13" s="20"/>
      <c r="G13" s="3"/>
      <c r="H13" s="3" t="e">
        <f ca="1">_xll.ONESTOP.REPORTPLAYER.OSRFUNCTIONS.OSRGET("GL_F_Trans","Value1")</f>
        <v>#NAME?</v>
      </c>
      <c r="I13" s="3"/>
      <c r="J13" s="20"/>
      <c r="K13" s="3"/>
      <c r="L13" s="3" t="e">
        <f ca="1">+D13-H13</f>
        <v>#NAME?</v>
      </c>
      <c r="M13" s="3"/>
      <c r="N13" s="20" t="e">
        <f ca="1">IF(H13=0,0,L13/H13)</f>
        <v>#NAME?</v>
      </c>
      <c r="O13" s="12"/>
      <c r="P13" s="3" t="e">
        <f ca="1">-_xll.ONESTOP.REPORTPLAYER.OSRFUNCTIONS.OSRGET("GL_F_Trans","Value1")</f>
        <v>#NAME?</v>
      </c>
      <c r="Q13" s="3"/>
      <c r="R13" s="20"/>
      <c r="S13" s="3"/>
      <c r="T13" s="3" t="e">
        <f ca="1">_xll.ONESTOP.REPORTPLAYER.OSRFUNCTIONS.OSRGET("GL_F_Trans","Value1")</f>
        <v>#NAME?</v>
      </c>
      <c r="U13" s="3"/>
      <c r="V13" s="20"/>
      <c r="W13" s="3"/>
      <c r="X13" s="3" t="e">
        <f ca="1">+P13-T13</f>
        <v>#NAME?</v>
      </c>
      <c r="Y13" s="3"/>
      <c r="Z13" s="20" t="e">
        <f ca="1">IF(T13=0,0,X13/T13)</f>
        <v>#NAME?</v>
      </c>
    </row>
    <row r="14" spans="1:26" ht="15" customHeight="1" x14ac:dyDescent="0.3">
      <c r="A14" s="10"/>
      <c r="B14" s="11"/>
      <c r="C14" s="10"/>
      <c r="D14" s="4"/>
      <c r="E14" s="4"/>
      <c r="F14" s="9"/>
      <c r="G14" s="4"/>
      <c r="H14" s="4"/>
      <c r="I14" s="4"/>
      <c r="J14" s="9"/>
      <c r="K14" s="4"/>
      <c r="L14" s="4"/>
      <c r="M14" s="4"/>
      <c r="N14" s="9"/>
      <c r="P14" s="4"/>
      <c r="Q14" s="4"/>
      <c r="R14" s="9"/>
      <c r="S14" s="4"/>
      <c r="T14" s="4"/>
      <c r="U14" s="4"/>
      <c r="V14" s="9"/>
      <c r="W14" s="4"/>
      <c r="X14" s="4"/>
      <c r="Y14" s="4"/>
      <c r="Z14" s="9"/>
    </row>
    <row r="15" spans="1:26" s="63" customFormat="1" ht="15" customHeight="1" collapsed="1" x14ac:dyDescent="0.3">
      <c r="A15" s="11"/>
      <c r="B15" s="28" t="s">
        <v>288</v>
      </c>
      <c r="C15" s="11"/>
      <c r="D15" s="5" t="e">
        <f ca="1">SUM(_xll.ONESTOP.REPORTPLAYER.OSRFUNCTIONS.OSRREF(D16))</f>
        <v>#NAME?</v>
      </c>
      <c r="E15" s="5"/>
      <c r="F15" s="13" t="e">
        <f ca="1">IF(D$12=0,0,D15/D$12)</f>
        <v>#NAME?</v>
      </c>
      <c r="G15" s="5"/>
      <c r="H15" s="5" t="e">
        <f ca="1">SUM(_xll.ONESTOP.REPORTPLAYER.OSRFUNCTIONS.OSRREF(H16))</f>
        <v>#NAME?</v>
      </c>
      <c r="I15" s="5"/>
      <c r="J15" s="13" t="e">
        <f ca="1">IF(H$12=0,0,H15/H$12)</f>
        <v>#NAME?</v>
      </c>
      <c r="K15" s="5"/>
      <c r="L15" s="5" t="e">
        <f ca="1">+D15-H15</f>
        <v>#NAME?</v>
      </c>
      <c r="M15" s="5"/>
      <c r="N15" s="13" t="e">
        <f ca="1">IF(H15=0,0,L15/H15)</f>
        <v>#NAME?</v>
      </c>
      <c r="O15" s="11"/>
      <c r="P15" s="5" t="e">
        <f ca="1">SUM(_xll.ONESTOP.REPORTPLAYER.OSRFUNCTIONS.OSRREF(P16))</f>
        <v>#NAME?</v>
      </c>
      <c r="Q15" s="5"/>
      <c r="R15" s="13" t="e">
        <f ca="1">IF(P$12=0,0,P15/P$12)</f>
        <v>#NAME?</v>
      </c>
      <c r="S15" s="5"/>
      <c r="T15" s="5" t="e">
        <f ca="1">SUM(_xll.ONESTOP.REPORTPLAYER.OSRFUNCTIONS.OSRREF(T16))</f>
        <v>#NAME?</v>
      </c>
      <c r="U15" s="5"/>
      <c r="V15" s="13" t="e">
        <f ca="1">IF(T$12=0,0,T15/T$12)</f>
        <v>#NAME?</v>
      </c>
      <c r="W15" s="5"/>
      <c r="X15" s="5" t="e">
        <f ca="1">+P15-T15</f>
        <v>#NAME?</v>
      </c>
      <c r="Y15" s="5"/>
      <c r="Z15" s="13" t="e">
        <f ca="1">IF(T15=0,0,X15/T15)</f>
        <v>#NAME?</v>
      </c>
    </row>
    <row r="16" spans="1:26" s="70" customFormat="1" ht="15" hidden="1" customHeight="1" outlineLevel="1" x14ac:dyDescent="0.3">
      <c r="A16" s="42"/>
      <c r="B16" s="12" t="e">
        <f ca="1">CONCATENATE("          ",_xll.ONESTOP.REPORTPLAYER.OSRFUNCTIONS.OSRGET("d_Account","Code")," - ",_xll.ONESTOP.REPORTPLAYER.OSRFUNCTIONS.OSRGET("d_Account","Description"))</f>
        <v>#NAME?</v>
      </c>
      <c r="C16" s="12"/>
      <c r="D16" s="3" t="e">
        <f ca="1">_xll.ONESTOP.REPORTPLAYER.OSRFUNCTIONS.OSRGET("GL_F_Trans","Value1")</f>
        <v>#NAME?</v>
      </c>
      <c r="E16" s="3"/>
      <c r="F16" s="20" t="e">
        <f ca="1">IF(D$12=0,0,D16/D$12)</f>
        <v>#NAME?</v>
      </c>
      <c r="G16" s="3"/>
      <c r="H16" s="3" t="e">
        <f ca="1">_xll.ONESTOP.REPORTPLAYER.OSRFUNCTIONS.OSRGET("GL_F_Trans","Value1")</f>
        <v>#NAME?</v>
      </c>
      <c r="I16" s="3"/>
      <c r="J16" s="20" t="e">
        <f ca="1">IF(H$12=0,0,H16/H$12)</f>
        <v>#NAME?</v>
      </c>
      <c r="K16" s="3"/>
      <c r="L16" s="3" t="e">
        <f ca="1">+D16-H16</f>
        <v>#NAME?</v>
      </c>
      <c r="M16" s="3"/>
      <c r="N16" s="20" t="e">
        <f ca="1">IF(H16=0,0,L16/H16)</f>
        <v>#NAME?</v>
      </c>
      <c r="O16" s="12"/>
      <c r="P16" s="3" t="e">
        <f ca="1">_xll.ONESTOP.REPORTPLAYER.OSRFUNCTIONS.OSRGET("GL_F_Trans","Value1")</f>
        <v>#NAME?</v>
      </c>
      <c r="Q16" s="3"/>
      <c r="R16" s="20" t="e">
        <f ca="1">IF(P$12=0,0,P16/P$12)</f>
        <v>#NAME?</v>
      </c>
      <c r="S16" s="3"/>
      <c r="T16" s="3" t="e">
        <f ca="1">_xll.ONESTOP.REPORTPLAYER.OSRFUNCTIONS.OSRGET("GL_F_Trans","Value1")</f>
        <v>#NAME?</v>
      </c>
      <c r="U16" s="3"/>
      <c r="V16" s="20" t="e">
        <f ca="1">IF(T$12=0,0,T16/T$12)</f>
        <v>#NAME?</v>
      </c>
      <c r="W16" s="3"/>
      <c r="X16" s="3" t="e">
        <f ca="1">+P16-T16</f>
        <v>#NAME?</v>
      </c>
      <c r="Y16" s="3"/>
      <c r="Z16" s="20" t="e">
        <f ca="1">IF(T16=0,0,X16/T16)</f>
        <v>#NAME?</v>
      </c>
    </row>
    <row r="17" spans="1:26" ht="15" customHeight="1" x14ac:dyDescent="0.3">
      <c r="A17" s="10"/>
      <c r="B17" s="11"/>
      <c r="C17" s="11"/>
      <c r="D17" s="4"/>
      <c r="E17" s="4"/>
      <c r="F17" s="9"/>
      <c r="G17" s="4"/>
      <c r="H17" s="4"/>
      <c r="I17" s="4"/>
      <c r="J17" s="9"/>
      <c r="K17" s="4"/>
      <c r="L17" s="4"/>
      <c r="M17" s="4"/>
      <c r="N17" s="9"/>
      <c r="O17" s="11"/>
      <c r="P17" s="4"/>
      <c r="Q17" s="4"/>
      <c r="R17" s="9"/>
      <c r="S17" s="4"/>
      <c r="T17" s="4"/>
      <c r="U17" s="4"/>
      <c r="V17" s="9"/>
      <c r="W17" s="4"/>
      <c r="X17" s="4"/>
      <c r="Y17" s="4"/>
      <c r="Z17" s="9"/>
    </row>
    <row r="18" spans="1:26" s="63" customFormat="1" ht="15" customHeight="1" x14ac:dyDescent="0.3">
      <c r="A18" s="11"/>
      <c r="B18" s="27" t="s">
        <v>289</v>
      </c>
      <c r="C18" s="27"/>
      <c r="D18" s="21" t="e">
        <f ca="1">D12-D15</f>
        <v>#NAME?</v>
      </c>
      <c r="E18" s="15"/>
      <c r="F18" s="23" t="e">
        <f ca="1">IF(D$12=0,0,D18/D$12)</f>
        <v>#NAME?</v>
      </c>
      <c r="G18" s="15"/>
      <c r="H18" s="21" t="e">
        <f ca="1">H12-H15</f>
        <v>#NAME?</v>
      </c>
      <c r="I18" s="15"/>
      <c r="J18" s="23" t="e">
        <f ca="1">IF(H$12=0,0,H18/H$12)</f>
        <v>#NAME?</v>
      </c>
      <c r="K18" s="16"/>
      <c r="L18" s="21" t="e">
        <f ca="1">+D18-H18</f>
        <v>#NAME?</v>
      </c>
      <c r="M18" s="16"/>
      <c r="N18" s="23" t="e">
        <f ca="1">IF(H18=0,0,L18/H18)</f>
        <v>#NAME?</v>
      </c>
      <c r="O18" s="28"/>
      <c r="P18" s="21" t="e">
        <f ca="1">P12-P15</f>
        <v>#NAME?</v>
      </c>
      <c r="Q18" s="15"/>
      <c r="R18" s="23" t="e">
        <f ca="1">IF(P$12=0,0,P18/P$12)</f>
        <v>#NAME?</v>
      </c>
      <c r="S18" s="15"/>
      <c r="T18" s="21" t="e">
        <f ca="1">T12-T15</f>
        <v>#NAME?</v>
      </c>
      <c r="U18" s="15"/>
      <c r="V18" s="23" t="e">
        <f ca="1">IF(T$12=0,0,T18/T$12)</f>
        <v>#NAME?</v>
      </c>
      <c r="W18" s="16"/>
      <c r="X18" s="21" t="e">
        <f ca="1">+P18-T18</f>
        <v>#NAME?</v>
      </c>
      <c r="Y18" s="16"/>
      <c r="Z18" s="23" t="e">
        <f ca="1">IF(T18=0,0,X18/T18)</f>
        <v>#NAME?</v>
      </c>
    </row>
    <row r="19" spans="1:26" ht="15" customHeight="1" x14ac:dyDescent="0.3">
      <c r="A19" s="10"/>
      <c r="B19" s="11"/>
      <c r="C19" s="10"/>
      <c r="D19" s="2"/>
      <c r="E19" s="2"/>
      <c r="F19" s="6"/>
      <c r="G19" s="2"/>
      <c r="H19" s="2"/>
      <c r="I19" s="2"/>
      <c r="J19" s="6"/>
      <c r="K19" s="2"/>
      <c r="L19" s="2"/>
      <c r="M19" s="2"/>
      <c r="N19" s="6"/>
      <c r="O19" s="35"/>
      <c r="P19" s="2"/>
      <c r="Q19" s="2"/>
      <c r="R19" s="6"/>
      <c r="S19" s="2"/>
      <c r="T19" s="2"/>
      <c r="U19" s="2"/>
      <c r="V19" s="6"/>
      <c r="W19" s="2"/>
      <c r="X19" s="2"/>
      <c r="Y19" s="2"/>
      <c r="Z19" s="6"/>
    </row>
    <row r="20" spans="1:26" s="63" customFormat="1" ht="15" customHeight="1" x14ac:dyDescent="0.3">
      <c r="A20" s="11"/>
      <c r="B20" s="28" t="s">
        <v>290</v>
      </c>
      <c r="C20" s="11"/>
      <c r="D20" s="22" t="e">
        <f ca="1">SUM(_xll.ONESTOP.REPORTPLAYER.OSRFUNCTIONS.OSRREF(D22))</f>
        <v>#NAME?</v>
      </c>
      <c r="E20" s="22"/>
      <c r="F20" s="30" t="e">
        <f ca="1">IF(D$12=0,0,D20/D$12)</f>
        <v>#NAME?</v>
      </c>
      <c r="G20" s="22"/>
      <c r="H20" s="22" t="e">
        <f ca="1">SUM(_xll.ONESTOP.REPORTPLAYER.OSRFUNCTIONS.OSRREF(H22))</f>
        <v>#NAME?</v>
      </c>
      <c r="I20" s="22"/>
      <c r="J20" s="30" t="e">
        <f ca="1">IF(H$12=0,0,H20/H$12)</f>
        <v>#NAME?</v>
      </c>
      <c r="K20" s="5"/>
      <c r="L20" s="22" t="e">
        <f ca="1">+D20-H20</f>
        <v>#NAME?</v>
      </c>
      <c r="M20" s="5"/>
      <c r="N20" s="30" t="e">
        <f ca="1">IF(H20=0,0,L20/H20)</f>
        <v>#NAME?</v>
      </c>
      <c r="O20" s="11"/>
      <c r="P20" s="22" t="e">
        <f ca="1">SUM(_xll.ONESTOP.REPORTPLAYER.OSRFUNCTIONS.OSRREF(P22))</f>
        <v>#NAME?</v>
      </c>
      <c r="Q20" s="22"/>
      <c r="R20" s="30" t="e">
        <f ca="1">IF(P$12=0,0,P20/P$12)</f>
        <v>#NAME?</v>
      </c>
      <c r="S20" s="22"/>
      <c r="T20" s="22" t="e">
        <f ca="1">SUM(_xll.ONESTOP.REPORTPLAYER.OSRFUNCTIONS.OSRREF(T22))</f>
        <v>#NAME?</v>
      </c>
      <c r="U20" s="22"/>
      <c r="V20" s="30" t="e">
        <f ca="1">IF(T$12=0,0,T20/T$12)</f>
        <v>#NAME?</v>
      </c>
      <c r="W20" s="5"/>
      <c r="X20" s="22" t="e">
        <f ca="1">+P20-T20</f>
        <v>#NAME?</v>
      </c>
      <c r="Y20" s="5"/>
      <c r="Z20" s="30" t="e">
        <f ca="1">IF(T20=0,0,X20/T20)</f>
        <v>#NAME?</v>
      </c>
    </row>
    <row r="21" spans="1:26" s="69" customFormat="1" ht="15" customHeight="1" outlineLevel="1" collapsed="1" x14ac:dyDescent="0.3">
      <c r="A21" s="25"/>
      <c r="B21" s="14" t="e">
        <f ca="1">CONCATENATE("     ",_xll.ONESTOP.REPORTPLAYER.OSRFUNCTIONS.OSRGET("d_Account","AccountCategory"))</f>
        <v>#NAME?</v>
      </c>
      <c r="C21" s="14"/>
      <c r="D21" s="2" t="e">
        <f ca="1">SUM(_xll.ONESTOP.REPORTPLAYER.OSRFUNCTIONS.OSRREF(D22))</f>
        <v>#NAME?</v>
      </c>
      <c r="E21" s="2"/>
      <c r="F21" s="6" t="e">
        <f ca="1">IF(D$12=0,0,D21/D$12)</f>
        <v>#NAME?</v>
      </c>
      <c r="G21" s="2"/>
      <c r="H21" s="2" t="e">
        <f ca="1">SUM(_xll.ONESTOP.REPORTPLAYER.OSRFUNCTIONS.OSRREF(H22))</f>
        <v>#NAME?</v>
      </c>
      <c r="I21" s="2"/>
      <c r="J21" s="6" t="e">
        <f ca="1">IF(H$12=0,0,H21/H$12)</f>
        <v>#NAME?</v>
      </c>
      <c r="K21" s="2"/>
      <c r="L21" s="2" t="e">
        <f ca="1">+D21-H21</f>
        <v>#NAME?</v>
      </c>
      <c r="M21" s="2"/>
      <c r="N21" s="6" t="e">
        <f ca="1">IF(H21=0,0,L21/H21)</f>
        <v>#NAME?</v>
      </c>
      <c r="O21" s="14"/>
      <c r="P21" s="2" t="e">
        <f ca="1">SUM(_xll.ONESTOP.REPORTPLAYER.OSRFUNCTIONS.OSRREF(P22))</f>
        <v>#NAME?</v>
      </c>
      <c r="Q21" s="2"/>
      <c r="R21" s="6" t="e">
        <f ca="1">IF(P$12=0,0,P21/P$12)</f>
        <v>#NAME?</v>
      </c>
      <c r="S21" s="2"/>
      <c r="T21" s="2" t="e">
        <f ca="1">SUM(_xll.ONESTOP.REPORTPLAYER.OSRFUNCTIONS.OSRREF(T22))</f>
        <v>#NAME?</v>
      </c>
      <c r="U21" s="2"/>
      <c r="V21" s="6" t="e">
        <f ca="1">IF(T$12=0,0,T21/T$12)</f>
        <v>#NAME?</v>
      </c>
      <c r="W21" s="2"/>
      <c r="X21" s="2" t="e">
        <f ca="1">+P21-T21</f>
        <v>#NAME?</v>
      </c>
      <c r="Y21" s="2"/>
      <c r="Z21" s="6" t="e">
        <f ca="1">IF(T21=0,0,X21/T21)</f>
        <v>#NAME?</v>
      </c>
    </row>
    <row r="22" spans="1:26" s="70" customFormat="1" ht="15" hidden="1" customHeight="1" outlineLevel="2" x14ac:dyDescent="0.3">
      <c r="A22" s="26"/>
      <c r="B22" s="12" t="e">
        <f ca="1">CONCATENATE("          ",_xll.ONESTOP.REPORTPLAYER.OSRFUNCTIONS.OSRGET("d_Account","Code")," - ",_xll.ONESTOP.REPORTPLAYER.OSRFUNCTIONS.OSRGET("d_Account","Description"))</f>
        <v>#NAME?</v>
      </c>
      <c r="C22" s="12"/>
      <c r="D22" s="7" t="e">
        <f ca="1">_xll.ONESTOP.REPORTPLAYER.OSRFUNCTIONS.OSRGET("GL_F_Trans","Value1")</f>
        <v>#NAME?</v>
      </c>
      <c r="E22" s="3"/>
      <c r="F22" s="8" t="e">
        <f ca="1">IF(D$12=0,0,D22/D$12)</f>
        <v>#NAME?</v>
      </c>
      <c r="G22" s="3"/>
      <c r="H22" s="7" t="e">
        <f ca="1">_xll.ONESTOP.REPORTPLAYER.OSRFUNCTIONS.OSRGET("GL_F_Trans","Value1")</f>
        <v>#NAME?</v>
      </c>
      <c r="I22" s="3"/>
      <c r="J22" s="8" t="e">
        <f ca="1">IF(H$12=0,0,H22/H$12)</f>
        <v>#NAME?</v>
      </c>
      <c r="K22" s="3"/>
      <c r="L22" s="7" t="e">
        <f ca="1">+D22-H22</f>
        <v>#NAME?</v>
      </c>
      <c r="M22" s="3"/>
      <c r="N22" s="8" t="e">
        <f ca="1">IF(H22=0,0,L22/H22)</f>
        <v>#NAME?</v>
      </c>
      <c r="O22" s="12"/>
      <c r="P22" s="7" t="e">
        <f ca="1">_xll.ONESTOP.REPORTPLAYER.OSRFUNCTIONS.OSRGET("GL_F_Trans","Value1")</f>
        <v>#NAME?</v>
      </c>
      <c r="Q22" s="3"/>
      <c r="R22" s="8" t="e">
        <f ca="1">IF(P$12=0,0,P22/P$12)</f>
        <v>#NAME?</v>
      </c>
      <c r="S22" s="3"/>
      <c r="T22" s="7" t="e">
        <f ca="1">_xll.ONESTOP.REPORTPLAYER.OSRFUNCTIONS.OSRGET("GL_F_Trans","Value1")</f>
        <v>#NAME?</v>
      </c>
      <c r="U22" s="3"/>
      <c r="V22" s="8" t="e">
        <f ca="1">IF(T$12=0,0,T22/T$12)</f>
        <v>#NAME?</v>
      </c>
      <c r="W22" s="3"/>
      <c r="X22" s="7" t="e">
        <f ca="1">+P22-T22</f>
        <v>#NAME?</v>
      </c>
      <c r="Y22" s="3"/>
      <c r="Z22" s="8" t="e">
        <f ca="1">IF(T22=0,0,X22/T22)</f>
        <v>#NAME?</v>
      </c>
    </row>
    <row r="23" spans="1:26" s="65" customFormat="1" ht="15" customHeight="1" x14ac:dyDescent="0.3">
      <c r="A23" s="35"/>
      <c r="B23" s="35"/>
      <c r="C23" s="35"/>
      <c r="D23" s="2"/>
      <c r="E23" s="2"/>
      <c r="F23" s="6"/>
      <c r="G23" s="2"/>
      <c r="H23" s="2"/>
      <c r="I23" s="2"/>
      <c r="J23" s="6"/>
      <c r="K23" s="2"/>
      <c r="L23" s="2"/>
      <c r="M23" s="2"/>
      <c r="N23" s="6"/>
      <c r="O23" s="35"/>
      <c r="P23" s="2"/>
      <c r="Q23" s="2"/>
      <c r="R23" s="6"/>
      <c r="S23" s="2"/>
      <c r="T23" s="2"/>
      <c r="U23" s="2"/>
      <c r="V23" s="6"/>
      <c r="W23" s="2"/>
      <c r="X23" s="2"/>
      <c r="Y23" s="2"/>
      <c r="Z23" s="6"/>
    </row>
    <row r="24" spans="1:26" s="63" customFormat="1" ht="15" customHeight="1" collapsed="1" x14ac:dyDescent="0.3">
      <c r="A24" s="11"/>
      <c r="B24" s="28" t="s">
        <v>291</v>
      </c>
      <c r="C24" s="11"/>
      <c r="D24" s="5" t="e">
        <f ca="1">SUM(_xll.ONESTOP.REPORTPLAYER.OSRFUNCTIONS.OSRREF(D25))</f>
        <v>#NAME?</v>
      </c>
      <c r="E24" s="5"/>
      <c r="F24" s="13" t="e">
        <f ca="1">IF(D$12=0,0,D24/D$12)</f>
        <v>#NAME?</v>
      </c>
      <c r="G24" s="5"/>
      <c r="H24" s="5" t="e">
        <f ca="1">SUM(_xll.ONESTOP.REPORTPLAYER.OSRFUNCTIONS.OSRREF(H25))</f>
        <v>#NAME?</v>
      </c>
      <c r="I24" s="5"/>
      <c r="J24" s="13" t="e">
        <f ca="1">IF(H$12=0,0,H24/H$12)</f>
        <v>#NAME?</v>
      </c>
      <c r="K24" s="5"/>
      <c r="L24" s="5" t="e">
        <f ca="1">+D24-H24</f>
        <v>#NAME?</v>
      </c>
      <c r="M24" s="5"/>
      <c r="N24" s="13" t="e">
        <f ca="1">IF(H24=0,0,L24/H24)</f>
        <v>#NAME?</v>
      </c>
      <c r="O24" s="11"/>
      <c r="P24" s="5" t="e">
        <f ca="1">SUM(_xll.ONESTOP.REPORTPLAYER.OSRFUNCTIONS.OSRREF(P25))</f>
        <v>#NAME?</v>
      </c>
      <c r="Q24" s="5"/>
      <c r="R24" s="13" t="e">
        <f ca="1">IF(P$12=0,0,P24/P$12)</f>
        <v>#NAME?</v>
      </c>
      <c r="S24" s="5"/>
      <c r="T24" s="5" t="e">
        <f ca="1">SUM(_xll.ONESTOP.REPORTPLAYER.OSRFUNCTIONS.OSRREF(T25))</f>
        <v>#NAME?</v>
      </c>
      <c r="U24" s="5"/>
      <c r="V24" s="13" t="e">
        <f ca="1">IF(T$12=0,0,T24/T$12)</f>
        <v>#NAME?</v>
      </c>
      <c r="W24" s="5"/>
      <c r="X24" s="5" t="e">
        <f ca="1">+P24-T24</f>
        <v>#NAME?</v>
      </c>
      <c r="Y24" s="5"/>
      <c r="Z24" s="13" t="e">
        <f ca="1">IF(T24=0,0,X24/T24)</f>
        <v>#NAME?</v>
      </c>
    </row>
    <row r="25" spans="1:26" s="70" customFormat="1" ht="15" hidden="1" customHeight="1" outlineLevel="1" x14ac:dyDescent="0.3">
      <c r="A25" s="42"/>
      <c r="B25" s="12" t="e">
        <f ca="1">CONCATENATE("          ",_xll.ONESTOP.REPORTPLAYER.OSRFUNCTIONS.OSRGET("d_Account","Code")," - ",_xll.ONESTOP.REPORTPLAYER.OSRFUNCTIONS.OSRGET("d_Account","Description"))</f>
        <v>#NAME?</v>
      </c>
      <c r="C25" s="12"/>
      <c r="D25" s="3" t="e">
        <f ca="1">-_xll.ONESTOP.REPORTPLAYER.OSRFUNCTIONS.OSRGET("GL_F_Trans","Value1")</f>
        <v>#NAME?</v>
      </c>
      <c r="E25" s="3"/>
      <c r="F25" s="20" t="e">
        <f ca="1">IF(D$12=0,0,D25/D$12)</f>
        <v>#NAME?</v>
      </c>
      <c r="G25" s="3"/>
      <c r="H25" s="3" t="e">
        <f ca="1">_xll.ONESTOP.REPORTPLAYER.OSRFUNCTIONS.OSRGET("GL_F_Trans","Value1")</f>
        <v>#NAME?</v>
      </c>
      <c r="I25" s="3"/>
      <c r="J25" s="20" t="e">
        <f ca="1">IF(H$12=0,0,H25/H$12)</f>
        <v>#NAME?</v>
      </c>
      <c r="K25" s="3"/>
      <c r="L25" s="3" t="e">
        <f ca="1">+D25-H25</f>
        <v>#NAME?</v>
      </c>
      <c r="M25" s="3"/>
      <c r="N25" s="20" t="e">
        <f ca="1">IF(H25=0,0,L25/H25)</f>
        <v>#NAME?</v>
      </c>
      <c r="O25" s="12"/>
      <c r="P25" s="3" t="e">
        <f ca="1">-_xll.ONESTOP.REPORTPLAYER.OSRFUNCTIONS.OSRGET("GL_F_Trans","Value1")</f>
        <v>#NAME?</v>
      </c>
      <c r="Q25" s="3"/>
      <c r="R25" s="20" t="e">
        <f ca="1">IF(P$12=0,0,P25/P$12)</f>
        <v>#NAME?</v>
      </c>
      <c r="S25" s="3"/>
      <c r="T25" s="3" t="e">
        <f ca="1">_xll.ONESTOP.REPORTPLAYER.OSRFUNCTIONS.OSRGET("GL_F_Trans","Value1")</f>
        <v>#NAME?</v>
      </c>
      <c r="U25" s="3"/>
      <c r="V25" s="20" t="e">
        <f ca="1">IF(T$12=0,0,T25/T$12)</f>
        <v>#NAME?</v>
      </c>
      <c r="W25" s="3"/>
      <c r="X25" s="3" t="e">
        <f ca="1">+P25-T25</f>
        <v>#NAME?</v>
      </c>
      <c r="Y25" s="3"/>
      <c r="Z25" s="20" t="e">
        <f ca="1">IF(T25=0,0,X25/T25)</f>
        <v>#NAME?</v>
      </c>
    </row>
    <row r="26" spans="1:26" ht="15" customHeight="1" x14ac:dyDescent="0.3">
      <c r="A26" s="10"/>
      <c r="B26" s="11"/>
      <c r="C26" s="11"/>
      <c r="D26" s="4"/>
      <c r="E26" s="4"/>
      <c r="F26" s="9"/>
      <c r="G26" s="4"/>
      <c r="H26" s="4"/>
      <c r="I26" s="4"/>
      <c r="J26" s="9"/>
      <c r="K26" s="4"/>
      <c r="L26" s="4"/>
      <c r="M26" s="4"/>
      <c r="N26" s="9"/>
      <c r="O26" s="11"/>
      <c r="P26" s="4"/>
      <c r="Q26" s="4"/>
      <c r="R26" s="9"/>
      <c r="S26" s="4"/>
      <c r="T26" s="4"/>
      <c r="U26" s="4"/>
      <c r="V26" s="9"/>
      <c r="W26" s="4"/>
      <c r="X26" s="4"/>
      <c r="Y26" s="4"/>
      <c r="Z26" s="9"/>
    </row>
    <row r="27" spans="1:26" s="63" customFormat="1" ht="15" customHeight="1" x14ac:dyDescent="0.3">
      <c r="A27" s="11"/>
      <c r="B27" s="27" t="s">
        <v>292</v>
      </c>
      <c r="C27" s="27"/>
      <c r="D27" s="21" t="e">
        <f ca="1">+D18-D20+D24</f>
        <v>#NAME?</v>
      </c>
      <c r="E27" s="15"/>
      <c r="F27" s="23" t="e">
        <f ca="1">IF(D$12=0,0,D27/D$12)</f>
        <v>#NAME?</v>
      </c>
      <c r="G27" s="15"/>
      <c r="H27" s="21" t="e">
        <f ca="1">+H18-H20+H24</f>
        <v>#NAME?</v>
      </c>
      <c r="I27" s="15"/>
      <c r="J27" s="23" t="e">
        <f ca="1">IF(H$12=0,0,H27/H$12)</f>
        <v>#NAME?</v>
      </c>
      <c r="K27" s="16"/>
      <c r="L27" s="21" t="e">
        <f ca="1">+D27-H27</f>
        <v>#NAME?</v>
      </c>
      <c r="M27" s="16"/>
      <c r="N27" s="23" t="e">
        <f ca="1">IF(H27=0,0,L27/H27)</f>
        <v>#NAME?</v>
      </c>
      <c r="O27" s="28"/>
      <c r="P27" s="21" t="e">
        <f ca="1">+P18-P20+P24</f>
        <v>#NAME?</v>
      </c>
      <c r="Q27" s="15"/>
      <c r="R27" s="23" t="e">
        <f ca="1">IF(P$12=0,0,P27/P$12)</f>
        <v>#NAME?</v>
      </c>
      <c r="S27" s="15"/>
      <c r="T27" s="21" t="e">
        <f ca="1">+T18-T20+T24</f>
        <v>#NAME?</v>
      </c>
      <c r="U27" s="15"/>
      <c r="V27" s="23" t="e">
        <f ca="1">IF(T$12=0,0,T27/T$12)</f>
        <v>#NAME?</v>
      </c>
      <c r="W27" s="16"/>
      <c r="X27" s="21" t="e">
        <f ca="1">+P27-T27</f>
        <v>#NAME?</v>
      </c>
      <c r="Y27" s="16"/>
      <c r="Z27" s="23" t="e">
        <f ca="1">IF(T27=0,0,X27/T27)</f>
        <v>#NAME?</v>
      </c>
    </row>
    <row r="28" spans="1:26" ht="15" customHeight="1" x14ac:dyDescent="0.3">
      <c r="A28" s="10"/>
      <c r="B28" s="11"/>
      <c r="C28" s="10"/>
      <c r="D28" s="4"/>
      <c r="E28" s="4"/>
      <c r="F28" s="9"/>
      <c r="G28" s="4"/>
      <c r="H28" s="4"/>
      <c r="I28" s="4"/>
      <c r="J28" s="9"/>
      <c r="K28" s="4"/>
      <c r="L28" s="4"/>
      <c r="M28" s="4"/>
      <c r="N28" s="9"/>
      <c r="P28" s="4"/>
      <c r="Q28" s="4"/>
      <c r="R28" s="9"/>
      <c r="S28" s="4"/>
      <c r="T28" s="4"/>
      <c r="U28" s="4"/>
      <c r="V28" s="9"/>
      <c r="W28" s="4"/>
      <c r="X28" s="4"/>
      <c r="Y28" s="4"/>
      <c r="Z28" s="9"/>
    </row>
    <row r="29" spans="1:26" s="63" customFormat="1" ht="15" customHeight="1" x14ac:dyDescent="0.3">
      <c r="A29" s="49"/>
      <c r="B29" s="11" t="s">
        <v>293</v>
      </c>
      <c r="C29" s="11"/>
      <c r="D29" s="5" t="e">
        <f ca="1">_xll.ONESTOP.REPORTPLAYER.OSRFUNCTIONS.OSRGET("GL_F_Trans","Value1")</f>
        <v>#NAME?</v>
      </c>
      <c r="E29" s="5"/>
      <c r="F29" s="13" t="e">
        <f ca="1">IF(D$12=0,0,D29/D$12)</f>
        <v>#NAME?</v>
      </c>
      <c r="G29" s="5"/>
      <c r="H29" s="5" t="e">
        <f ca="1">_xll.ONESTOP.REPORTPLAYER.OSRFUNCTIONS.OSRGET("GL_F_Trans","Value1")</f>
        <v>#NAME?</v>
      </c>
      <c r="I29" s="5"/>
      <c r="J29" s="13" t="e">
        <f ca="1">IF(H$12=0,0,H29/H$12)</f>
        <v>#NAME?</v>
      </c>
      <c r="K29" s="5"/>
      <c r="L29" s="5" t="e">
        <f ca="1">+D29-H29</f>
        <v>#NAME?</v>
      </c>
      <c r="M29" s="5"/>
      <c r="N29" s="13" t="e">
        <f ca="1">IF(H29=0,0,L29/H29)</f>
        <v>#NAME?</v>
      </c>
      <c r="O29" s="11"/>
      <c r="P29" s="5" t="e">
        <f ca="1">_xll.ONESTOP.REPORTPLAYER.OSRFUNCTIONS.OSRGET("GL_F_Trans","Value1")</f>
        <v>#NAME?</v>
      </c>
      <c r="Q29" s="5"/>
      <c r="R29" s="13" t="e">
        <f ca="1">IF(P$12=0,0,P29/P$12)</f>
        <v>#NAME?</v>
      </c>
      <c r="S29" s="5"/>
      <c r="T29" s="5" t="e">
        <f ca="1">_xll.ONESTOP.REPORTPLAYER.OSRFUNCTIONS.OSRGET("GL_F_Trans","Value1")</f>
        <v>#NAME?</v>
      </c>
      <c r="U29" s="5"/>
      <c r="V29" s="13" t="e">
        <f ca="1">IF(T$12=0,0,T29/T$12)</f>
        <v>#NAME?</v>
      </c>
      <c r="W29" s="5"/>
      <c r="X29" s="5" t="e">
        <f ca="1">+P29-T29</f>
        <v>#NAME?</v>
      </c>
      <c r="Y29" s="5"/>
      <c r="Z29" s="13" t="e">
        <f ca="1">IF(T29=0,0,X29/T29)</f>
        <v>#NAME?</v>
      </c>
    </row>
    <row r="30" spans="1:26" ht="15" customHeight="1" x14ac:dyDescent="0.3">
      <c r="A30" s="10"/>
      <c r="B30" s="11"/>
      <c r="C30" s="11"/>
      <c r="D30" s="4"/>
      <c r="E30" s="4"/>
      <c r="F30" s="9"/>
      <c r="G30" s="4"/>
      <c r="H30" s="4"/>
      <c r="I30" s="4"/>
      <c r="J30" s="9"/>
      <c r="K30" s="4"/>
      <c r="L30" s="4"/>
      <c r="M30" s="4"/>
      <c r="N30" s="9"/>
      <c r="O30" s="11"/>
      <c r="P30" s="4"/>
      <c r="Q30" s="4"/>
      <c r="R30" s="9"/>
      <c r="S30" s="4"/>
      <c r="T30" s="4"/>
      <c r="U30" s="4"/>
      <c r="V30" s="9"/>
      <c r="W30" s="4"/>
      <c r="X30" s="4"/>
      <c r="Y30" s="4"/>
      <c r="Z30" s="9"/>
    </row>
    <row r="31" spans="1:26" s="63" customFormat="1" ht="15" customHeight="1" x14ac:dyDescent="0.3">
      <c r="A31" s="11"/>
      <c r="B31" s="27" t="s">
        <v>294</v>
      </c>
      <c r="C31" s="27"/>
      <c r="D31" s="34" t="e">
        <f ca="1">+D27-D29</f>
        <v>#NAME?</v>
      </c>
      <c r="E31" s="15"/>
      <c r="F31" s="29" t="e">
        <f ca="1">IF(D$12=0,0,D31/D$12)</f>
        <v>#NAME?</v>
      </c>
      <c r="G31" s="15"/>
      <c r="H31" s="34" t="e">
        <f ca="1">+H27-H29</f>
        <v>#NAME?</v>
      </c>
      <c r="I31" s="15"/>
      <c r="J31" s="29" t="e">
        <f ca="1">IF(H$12=0,0,H31/H$12)</f>
        <v>#NAME?</v>
      </c>
      <c r="K31" s="16"/>
      <c r="L31" s="34" t="e">
        <f ca="1">D31-H31</f>
        <v>#NAME?</v>
      </c>
      <c r="M31" s="16"/>
      <c r="N31" s="29" t="e">
        <f ca="1">IF(H31=0,0,L31/H31)</f>
        <v>#NAME?</v>
      </c>
      <c r="O31" s="28"/>
      <c r="P31" s="34" t="e">
        <f ca="1">+P27-P29</f>
        <v>#NAME?</v>
      </c>
      <c r="Q31" s="15"/>
      <c r="R31" s="29" t="e">
        <f ca="1">IF(P$12=0,0,P31/P$12)</f>
        <v>#NAME?</v>
      </c>
      <c r="S31" s="15"/>
      <c r="T31" s="34" t="e">
        <f ca="1">+T27-T29</f>
        <v>#NAME?</v>
      </c>
      <c r="U31" s="15"/>
      <c r="V31" s="29" t="e">
        <f ca="1">IF(T$12=0,0,T31/T$12)</f>
        <v>#NAME?</v>
      </c>
      <c r="W31" s="16"/>
      <c r="X31" s="34" t="e">
        <f ca="1">P31-T31</f>
        <v>#NAME?</v>
      </c>
      <c r="Y31" s="16"/>
      <c r="Z31" s="29" t="e">
        <f ca="1">IF(T31=0,0,X31/T31)</f>
        <v>#NAME?</v>
      </c>
    </row>
    <row r="32" spans="1:26" ht="15" customHeight="1" x14ac:dyDescent="0.3">
      <c r="A32" s="10"/>
      <c r="B32" s="10"/>
      <c r="C32" s="10"/>
      <c r="D32" s="4"/>
      <c r="E32" s="4"/>
      <c r="F32" s="9"/>
      <c r="G32" s="4"/>
      <c r="H32" s="4"/>
      <c r="I32" s="4"/>
      <c r="J32" s="9"/>
      <c r="K32" s="4"/>
      <c r="L32" s="4"/>
      <c r="M32" s="4"/>
      <c r="N32" s="9"/>
      <c r="P32" s="4"/>
      <c r="Q32" s="4"/>
      <c r="R32" s="9"/>
      <c r="S32" s="4"/>
      <c r="T32" s="4"/>
      <c r="U32" s="4"/>
      <c r="V32" s="9"/>
      <c r="W32" s="4"/>
      <c r="X32" s="4"/>
      <c r="Y32" s="4"/>
      <c r="Z32" s="9"/>
    </row>
    <row r="33" spans="1:26" s="63" customFormat="1" ht="15" customHeight="1" x14ac:dyDescent="0.3">
      <c r="A33" s="49"/>
      <c r="B33" s="11" t="s">
        <v>295</v>
      </c>
      <c r="C33" s="11"/>
      <c r="D33" s="5" t="e">
        <f ca="1">-_xll.ONESTOP.REPORTPLAYER.OSRFUNCTIONS.OSRGET("GL_F_Trans","Value1")</f>
        <v>#NAME?</v>
      </c>
      <c r="E33" s="5"/>
      <c r="F33" s="13" t="e">
        <f ca="1">IF(D$12=0,0,D33/D$12)</f>
        <v>#NAME?</v>
      </c>
      <c r="G33" s="5"/>
      <c r="H33" s="5" t="e">
        <f ca="1">-_xll.ONESTOP.REPORTPLAYER.OSRFUNCTIONS.OSRGET("GL_F_Trans","Value1")</f>
        <v>#NAME?</v>
      </c>
      <c r="I33" s="5"/>
      <c r="J33" s="13" t="e">
        <f ca="1">IF(H$12=0,0,H33/H$12)</f>
        <v>#NAME?</v>
      </c>
      <c r="K33" s="5"/>
      <c r="L33" s="5" t="e">
        <f ca="1">+D33-H33</f>
        <v>#NAME?</v>
      </c>
      <c r="M33" s="5"/>
      <c r="N33" s="13" t="e">
        <f ca="1">IF(H33=0,0,L33/H33)</f>
        <v>#NAME?</v>
      </c>
      <c r="O33" s="11"/>
      <c r="P33" s="5" t="e">
        <f ca="1">-_xll.ONESTOP.REPORTPLAYER.OSRFUNCTIONS.OSRGET("GL_F_Trans","Value1")</f>
        <v>#NAME?</v>
      </c>
      <c r="Q33" s="5"/>
      <c r="R33" s="13" t="e">
        <f ca="1">IF(P$12=0,0,P33/P$12)</f>
        <v>#NAME?</v>
      </c>
      <c r="S33" s="5"/>
      <c r="T33" s="5" t="e">
        <f ca="1">-_xll.ONESTOP.REPORTPLAYER.OSRFUNCTIONS.OSRGET("GL_F_Trans","Value1")</f>
        <v>#NAME?</v>
      </c>
      <c r="U33" s="5"/>
      <c r="V33" s="13" t="e">
        <f ca="1">IF(T$12=0,0,T33/T$12)</f>
        <v>#NAME?</v>
      </c>
      <c r="W33" s="5"/>
      <c r="X33" s="5" t="e">
        <f ca="1">+P33-T33</f>
        <v>#NAME?</v>
      </c>
      <c r="Y33" s="5"/>
      <c r="Z33" s="13" t="e">
        <f ca="1">IF(T33=0,0,X33/T33)</f>
        <v>#NAME?</v>
      </c>
    </row>
    <row r="34" spans="1:26" s="63" customFormat="1" ht="15" customHeight="1" x14ac:dyDescent="0.3">
      <c r="A34" s="49"/>
      <c r="B34" s="11" t="s">
        <v>296</v>
      </c>
      <c r="C34" s="11"/>
      <c r="D34" s="5" t="e">
        <f ca="1">-_xll.ONESTOP.REPORTPLAYER.OSRFUNCTIONS.OSRGET("GL_F_Trans","Value1")</f>
        <v>#NAME?</v>
      </c>
      <c r="E34" s="5"/>
      <c r="F34" s="13" t="e">
        <f ca="1">IF(D$12=0,0,D34/D$12)</f>
        <v>#NAME?</v>
      </c>
      <c r="G34" s="5"/>
      <c r="H34" s="5" t="e">
        <f ca="1">-_xll.ONESTOP.REPORTPLAYER.OSRFUNCTIONS.OSRGET("GL_F_Trans","Value1")</f>
        <v>#NAME?</v>
      </c>
      <c r="I34" s="5"/>
      <c r="J34" s="13" t="e">
        <f ca="1">IF(H$12=0,0,H34/H$12)</f>
        <v>#NAME?</v>
      </c>
      <c r="K34" s="5"/>
      <c r="L34" s="5" t="e">
        <f ca="1">+D34-H34</f>
        <v>#NAME?</v>
      </c>
      <c r="M34" s="5"/>
      <c r="N34" s="13" t="e">
        <f ca="1">IF(H34=0,0,L34/H34)</f>
        <v>#NAME?</v>
      </c>
      <c r="O34" s="11"/>
      <c r="P34" s="5" t="e">
        <f ca="1">-_xll.ONESTOP.REPORTPLAYER.OSRFUNCTIONS.OSRGET("GL_F_Trans","Value1")</f>
        <v>#NAME?</v>
      </c>
      <c r="Q34" s="5"/>
      <c r="R34" s="13" t="e">
        <f ca="1">IF(P$12=0,0,P34/P$12)</f>
        <v>#NAME?</v>
      </c>
      <c r="S34" s="5"/>
      <c r="T34" s="5" t="e">
        <f ca="1">-_xll.ONESTOP.REPORTPLAYER.OSRFUNCTIONS.OSRGET("GL_F_Trans","Value1")</f>
        <v>#NAME?</v>
      </c>
      <c r="U34" s="5"/>
      <c r="V34" s="13" t="e">
        <f ca="1">IF(T$12=0,0,T34/T$12)</f>
        <v>#NAME?</v>
      </c>
      <c r="W34" s="5"/>
      <c r="X34" s="5" t="e">
        <f ca="1">+P34-T34</f>
        <v>#NAME?</v>
      </c>
      <c r="Y34" s="5"/>
      <c r="Z34" s="13" t="e">
        <f ca="1">IF(T34=0,0,X34/T34)</f>
        <v>#NAME?</v>
      </c>
    </row>
    <row r="35" spans="1:26" ht="15" customHeight="1" x14ac:dyDescent="0.3">
      <c r="A35" s="10"/>
      <c r="B35" s="10"/>
      <c r="C35" s="10"/>
      <c r="D35" s="4"/>
      <c r="E35" s="4"/>
      <c r="F35" s="9"/>
      <c r="G35" s="4"/>
      <c r="H35" s="4"/>
      <c r="I35" s="4"/>
      <c r="J35" s="9"/>
      <c r="K35" s="4"/>
      <c r="L35" s="4"/>
      <c r="M35" s="4"/>
      <c r="N35" s="9"/>
      <c r="P35" s="4"/>
      <c r="Q35" s="4"/>
      <c r="R35" s="9"/>
      <c r="S35" s="4"/>
      <c r="T35" s="4"/>
      <c r="U35" s="4"/>
      <c r="V35" s="9"/>
      <c r="W35" s="4"/>
      <c r="X35" s="4"/>
      <c r="Y35" s="4"/>
      <c r="Z35" s="9"/>
    </row>
    <row r="36" spans="1:26" s="63" customFormat="1" ht="15" customHeight="1" x14ac:dyDescent="0.3">
      <c r="A36" s="11"/>
      <c r="B36" s="27" t="s">
        <v>297</v>
      </c>
      <c r="C36" s="27"/>
      <c r="D36" s="32" t="e">
        <f ca="1">SUM(D31:D35)</f>
        <v>#NAME?</v>
      </c>
      <c r="E36" s="15"/>
      <c r="F36" s="31" t="e">
        <f ca="1">IF(D$12=0,0,D36/D$12)</f>
        <v>#NAME?</v>
      </c>
      <c r="G36" s="15"/>
      <c r="H36" s="32" t="e">
        <f ca="1">SUM(H31:H35)</f>
        <v>#NAME?</v>
      </c>
      <c r="I36" s="15"/>
      <c r="J36" s="31" t="e">
        <f ca="1">IF(H$12=0,0,H36/H$12)</f>
        <v>#NAME?</v>
      </c>
      <c r="K36" s="16"/>
      <c r="L36" s="32" t="e">
        <f ca="1">+D36-H36</f>
        <v>#NAME?</v>
      </c>
      <c r="M36" s="16"/>
      <c r="N36" s="31" t="e">
        <f ca="1">IF(H36=0,0,L36/H36)</f>
        <v>#NAME?</v>
      </c>
      <c r="O36" s="28"/>
      <c r="P36" s="32" t="e">
        <f ca="1">SUM(P31:P35)</f>
        <v>#NAME?</v>
      </c>
      <c r="Q36" s="15"/>
      <c r="R36" s="31" t="e">
        <f ca="1">IF(P$12=0,0,P36/P$12)</f>
        <v>#NAME?</v>
      </c>
      <c r="S36" s="15"/>
      <c r="T36" s="32" t="e">
        <f ca="1">SUM(T31:T35)</f>
        <v>#NAME?</v>
      </c>
      <c r="U36" s="15"/>
      <c r="V36" s="31" t="e">
        <f ca="1">IF(T$12=0,0,T36/T$12)</f>
        <v>#NAME?</v>
      </c>
      <c r="W36" s="16"/>
      <c r="X36" s="32" t="e">
        <f ca="1">+P36-T36</f>
        <v>#NAME?</v>
      </c>
      <c r="Y36" s="16"/>
      <c r="Z36" s="31" t="e">
        <f ca="1">IF(T36=0,0,X36/T36)</f>
        <v>#NAME?</v>
      </c>
    </row>
    <row r="37" spans="1:26" ht="15" customHeight="1" x14ac:dyDescent="0.3">
      <c r="A37" s="10"/>
      <c r="C37" s="10"/>
      <c r="D37" s="19"/>
      <c r="E37" s="19"/>
      <c r="G37" s="19"/>
      <c r="H37" s="19"/>
      <c r="I37" s="19"/>
      <c r="J37" s="40"/>
      <c r="K37" s="19"/>
      <c r="L37" s="19"/>
      <c r="M37" s="19"/>
      <c r="P37" s="19"/>
      <c r="Q37" s="19"/>
      <c r="R37" s="40"/>
      <c r="S37" s="19"/>
      <c r="T37" s="19"/>
      <c r="U37" s="19"/>
      <c r="V37" s="40"/>
      <c r="W37" s="19"/>
      <c r="X37" s="19"/>
    </row>
    <row r="38" spans="1:26" ht="15" customHeight="1" x14ac:dyDescent="0.3">
      <c r="A38" s="10"/>
      <c r="B38" s="51" t="e">
        <f ca="1">_xll.ONESTOP.REPORTPLAYER.OSRFUNCTIONS.OSRGET("CurrentDate","Date")</f>
        <v>#NAME?</v>
      </c>
      <c r="D38" s="19"/>
      <c r="E38" s="19"/>
      <c r="G38" s="19"/>
      <c r="H38" s="19"/>
      <c r="I38" s="19"/>
      <c r="J38" s="40"/>
      <c r="K38" s="19"/>
      <c r="L38" s="19"/>
      <c r="M38" s="19"/>
      <c r="P38" s="19"/>
      <c r="Q38" s="19"/>
      <c r="R38" s="40"/>
      <c r="S38" s="19"/>
      <c r="T38" s="19"/>
      <c r="U38" s="19"/>
      <c r="V38" s="40"/>
      <c r="W38" s="19"/>
      <c r="X38" s="19"/>
    </row>
    <row r="39" spans="1:26" ht="15" customHeight="1" x14ac:dyDescent="0.3">
      <c r="A39" s="10"/>
      <c r="B39" s="58" t="e">
        <f ca="1">_xll.ONESTOP.REPORTPLAYER.OSRFUNCTIONS.OSRGET("User","UserId")</f>
        <v>#NAME?</v>
      </c>
      <c r="D39" s="19"/>
      <c r="E39" s="19"/>
      <c r="G39" s="19"/>
      <c r="H39" s="19"/>
      <c r="I39" s="19"/>
      <c r="J39" s="40"/>
      <c r="K39" s="19"/>
      <c r="L39" s="19"/>
      <c r="M39" s="19"/>
      <c r="P39" s="19"/>
      <c r="Q39" s="19"/>
      <c r="R39" s="40"/>
      <c r="S39" s="19"/>
      <c r="T39" s="19"/>
      <c r="U39" s="19"/>
      <c r="V39" s="40"/>
      <c r="W39" s="19"/>
      <c r="X39" s="19"/>
    </row>
    <row r="40" spans="1:26" ht="15" customHeight="1" x14ac:dyDescent="0.3">
      <c r="A40" s="10"/>
      <c r="B40" s="50"/>
      <c r="D40" s="19"/>
      <c r="E40" s="19"/>
      <c r="G40" s="19"/>
      <c r="H40" s="19"/>
      <c r="I40" s="19"/>
      <c r="J40" s="40"/>
      <c r="K40" s="19"/>
      <c r="L40" s="19"/>
      <c r="M40" s="19"/>
      <c r="P40" s="19"/>
      <c r="Q40" s="19"/>
      <c r="R40" s="40"/>
      <c r="S40" s="19"/>
      <c r="T40" s="19"/>
      <c r="U40" s="19"/>
      <c r="V40" s="40"/>
      <c r="W40" s="19"/>
      <c r="X40" s="19"/>
    </row>
    <row r="41" spans="1:26" ht="15" customHeight="1" x14ac:dyDescent="0.3">
      <c r="D41" s="19"/>
      <c r="E41" s="19"/>
      <c r="G41" s="19"/>
      <c r="H41" s="19"/>
      <c r="I41" s="19"/>
      <c r="J41" s="40"/>
      <c r="K41" s="19"/>
      <c r="L41" s="19"/>
      <c r="M41" s="19"/>
      <c r="P41" s="19"/>
      <c r="Q41" s="19"/>
      <c r="R41" s="40"/>
      <c r="S41" s="19"/>
      <c r="T41" s="19"/>
      <c r="U41" s="19"/>
      <c r="V41" s="40"/>
      <c r="W41" s="19"/>
      <c r="X41" s="19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ADAB7B-264B-9194-BBAD-EBB34BD1F203}">
  <sheetPr>
    <tabColor rgb="FFFFFF00"/>
    <outlinePr summaryBelow="0" summaryRight="0"/>
  </sheetPr>
  <dimension ref="A2:Z41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6" customWidth="1"/>
    <col min="2" max="2" width="33.44140625" style="66" customWidth="1"/>
    <col min="3" max="3" width="1.88671875" style="66" customWidth="1"/>
    <col min="4" max="4" width="15" style="66" customWidth="1"/>
    <col min="5" max="5" width="1.88671875" style="66" customWidth="1" outlineLevel="1"/>
    <col min="6" max="6" width="15" style="67" customWidth="1" outlineLevel="1"/>
    <col min="7" max="7" width="1.88671875" style="66" customWidth="1" outlineLevel="1"/>
    <col min="8" max="8" width="15" style="66" customWidth="1" outlineLevel="1"/>
    <col min="9" max="9" width="1.88671875" style="66" customWidth="1" outlineLevel="1"/>
    <col min="10" max="10" width="15" style="68" customWidth="1" outlineLevel="1"/>
    <col min="11" max="11" width="1.88671875" style="66" customWidth="1" outlineLevel="1"/>
    <col min="12" max="12" width="15" style="66" customWidth="1" outlineLevel="1"/>
    <col min="13" max="13" width="1.88671875" style="66" customWidth="1" outlineLevel="1"/>
    <col min="14" max="14" width="15" style="67" customWidth="1" outlineLevel="1"/>
    <col min="15" max="15" width="1.88671875" style="64" customWidth="1"/>
    <col min="16" max="16" width="15" style="66" customWidth="1"/>
    <col min="17" max="17" width="1.88671875" style="66" customWidth="1" outlineLevel="1"/>
    <col min="18" max="18" width="15" style="68" customWidth="1" outlineLevel="1"/>
    <col min="19" max="19" width="1.88671875" style="66" customWidth="1" outlineLevel="1"/>
    <col min="20" max="20" width="15" style="66" customWidth="1" outlineLevel="1"/>
    <col min="21" max="21" width="1.88671875" style="66" customWidth="1" outlineLevel="1"/>
    <col min="22" max="22" width="15" style="68" customWidth="1" outlineLevel="1"/>
    <col min="23" max="23" width="1.88671875" style="66" customWidth="1" outlineLevel="1"/>
    <col min="24" max="24" width="15" style="66" customWidth="1" outlineLevel="1"/>
    <col min="25" max="25" width="1.88671875" style="66" customWidth="1" outlineLevel="1"/>
    <col min="26" max="26" width="15" style="68" customWidth="1" outlineLevel="1"/>
  </cols>
  <sheetData>
    <row r="2" spans="1:26" ht="15" customHeight="1" x14ac:dyDescent="0.3">
      <c r="D2" s="54" t="s">
        <v>276</v>
      </c>
    </row>
    <row r="3" spans="1:26" ht="15" customHeight="1" x14ac:dyDescent="0.3">
      <c r="D3" s="54" t="s">
        <v>277</v>
      </c>
      <c r="E3" s="18"/>
      <c r="F3" s="44"/>
      <c r="G3" s="18"/>
      <c r="H3" s="18"/>
      <c r="I3" s="18"/>
      <c r="J3" s="38"/>
      <c r="K3" s="18"/>
      <c r="L3" s="18"/>
      <c r="M3" s="18"/>
      <c r="N3" s="44"/>
      <c r="O3" s="53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ht="15" customHeight="1" x14ac:dyDescent="0.3">
      <c r="D4" s="54" t="e">
        <f ca="1">CONCATENATE("Period ",RIGHT(_xll.ONESTOP.REPORTPLAYER.OSRFUNCTIONS.OSRGET("Period","PeriodId"),2),", ",_xll.ONESTOP.REPORTPLAYER.OSRFUNCTIONS.OSRGET("Period","Year"))</f>
        <v>#NAME?</v>
      </c>
      <c r="E4" s="18"/>
      <c r="F4" s="44"/>
      <c r="G4" s="18"/>
      <c r="H4" s="18"/>
      <c r="I4" s="18"/>
      <c r="J4" s="38"/>
      <c r="K4" s="18"/>
      <c r="L4" s="18"/>
      <c r="M4" s="18"/>
      <c r="N4" s="44"/>
      <c r="O4" s="53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ht="15" customHeight="1" x14ac:dyDescent="0.3">
      <c r="A5" s="24"/>
      <c r="D5" s="61" t="e">
        <f ca="1">_xll.ONESTOP.REPORTPLAYER.OSRFUNCTIONS.OSRGET("Period","PeriodEnd")</f>
        <v>#NAME?</v>
      </c>
      <c r="E5" s="18"/>
      <c r="F5" s="44"/>
      <c r="G5" s="18"/>
      <c r="H5" s="18"/>
      <c r="I5" s="18"/>
      <c r="J5" s="38"/>
      <c r="K5" s="18"/>
      <c r="L5" s="18"/>
      <c r="M5" s="18"/>
      <c r="N5" s="44"/>
      <c r="O5" s="53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ht="15" customHeight="1" x14ac:dyDescent="0.3">
      <c r="A6" s="24"/>
      <c r="B6" s="47"/>
      <c r="C6" s="47"/>
      <c r="D6" s="24" t="s">
        <v>307</v>
      </c>
      <c r="E6" s="18"/>
      <c r="F6" s="44"/>
      <c r="G6" s="18"/>
      <c r="H6" s="18"/>
      <c r="I6" s="18"/>
      <c r="J6" s="38"/>
      <c r="K6" s="18"/>
      <c r="L6" s="18"/>
      <c r="M6" s="18"/>
      <c r="N6" s="44"/>
      <c r="O6" s="59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ht="15" customHeight="1" x14ac:dyDescent="0.3">
      <c r="B7" s="52"/>
    </row>
    <row r="8" spans="1:26" ht="15" customHeight="1" x14ac:dyDescent="0.3">
      <c r="B8" s="52"/>
    </row>
    <row r="9" spans="1:26" ht="15" customHeight="1" x14ac:dyDescent="0.3">
      <c r="B9" s="10"/>
      <c r="C9" s="10"/>
      <c r="D9" s="17" t="s">
        <v>279</v>
      </c>
      <c r="E9" s="17"/>
      <c r="F9" s="36"/>
      <c r="G9" s="17"/>
      <c r="H9" s="17"/>
      <c r="I9" s="17"/>
      <c r="J9" s="43"/>
      <c r="K9" s="17"/>
      <c r="L9" s="17"/>
      <c r="M9" s="17"/>
      <c r="N9" s="36"/>
      <c r="P9" s="17" t="s">
        <v>280</v>
      </c>
      <c r="Q9" s="17"/>
      <c r="R9" s="36"/>
      <c r="S9" s="17"/>
      <c r="T9" s="17"/>
      <c r="U9" s="17"/>
      <c r="V9" s="43"/>
      <c r="W9" s="17"/>
      <c r="X9" s="17"/>
      <c r="Y9" s="17"/>
      <c r="Z9" s="36"/>
    </row>
    <row r="10" spans="1:26" ht="15" customHeight="1" x14ac:dyDescent="0.3">
      <c r="A10" s="11"/>
      <c r="B10" s="57"/>
      <c r="C10" s="11"/>
      <c r="D10" s="41" t="s">
        <v>281</v>
      </c>
      <c r="E10" s="33"/>
      <c r="F10" s="37" t="s">
        <v>282</v>
      </c>
      <c r="G10" s="33"/>
      <c r="H10" s="48" t="s">
        <v>283</v>
      </c>
      <c r="I10" s="33"/>
      <c r="J10" s="45" t="s">
        <v>284</v>
      </c>
      <c r="K10" s="11"/>
      <c r="L10" s="41" t="s">
        <v>285</v>
      </c>
      <c r="M10" s="11"/>
      <c r="N10" s="37" t="s">
        <v>286</v>
      </c>
      <c r="O10" s="11"/>
      <c r="P10" s="56" t="s">
        <v>281</v>
      </c>
      <c r="Q10" s="33"/>
      <c r="R10" s="37" t="s">
        <v>282</v>
      </c>
      <c r="S10" s="33"/>
      <c r="T10" s="48" t="s">
        <v>283</v>
      </c>
      <c r="U10" s="33"/>
      <c r="V10" s="45" t="s">
        <v>284</v>
      </c>
      <c r="W10" s="11"/>
      <c r="X10" s="41" t="s">
        <v>285</v>
      </c>
      <c r="Y10" s="11"/>
      <c r="Z10" s="37" t="s">
        <v>286</v>
      </c>
    </row>
    <row r="11" spans="1:26" ht="16.5" customHeight="1" x14ac:dyDescent="0.3">
      <c r="A11" s="10"/>
      <c r="B11" s="55"/>
      <c r="C11" s="10"/>
      <c r="D11" s="10"/>
      <c r="E11" s="10"/>
      <c r="F11" s="9"/>
      <c r="G11" s="10"/>
      <c r="H11" s="10"/>
      <c r="I11" s="10"/>
      <c r="J11" s="46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6"/>
      <c r="W11" s="10"/>
      <c r="X11" s="10"/>
      <c r="Y11" s="10"/>
      <c r="Z11" s="9"/>
    </row>
    <row r="12" spans="1:26" s="63" customFormat="1" ht="15" customHeight="1" collapsed="1" x14ac:dyDescent="0.3">
      <c r="A12" s="11"/>
      <c r="B12" s="28" t="s">
        <v>287</v>
      </c>
      <c r="C12" s="11"/>
      <c r="D12" s="5" t="e">
        <f ca="1">SUM(_xll.ONESTOP.REPORTPLAYER.OSRFUNCTIONS.OSRREF(D13))</f>
        <v>#NAME?</v>
      </c>
      <c r="E12" s="5"/>
      <c r="F12" s="13"/>
      <c r="G12" s="5"/>
      <c r="H12" s="5" t="e">
        <f ca="1">SUM(_xll.ONESTOP.REPORTPLAYER.OSRFUNCTIONS.OSRREF(H13))</f>
        <v>#NAME?</v>
      </c>
      <c r="I12" s="5"/>
      <c r="J12" s="13"/>
      <c r="K12" s="5"/>
      <c r="L12" s="5" t="e">
        <f ca="1">+D12-H12</f>
        <v>#NAME?</v>
      </c>
      <c r="M12" s="5"/>
      <c r="N12" s="13" t="e">
        <f ca="1">IF(H12=0,0,L12/H12)</f>
        <v>#NAME?</v>
      </c>
      <c r="O12" s="11"/>
      <c r="P12" s="5" t="e">
        <f ca="1">SUM(_xll.ONESTOP.REPORTPLAYER.OSRFUNCTIONS.OSRREF(P13))</f>
        <v>#NAME?</v>
      </c>
      <c r="Q12" s="5"/>
      <c r="R12" s="13"/>
      <c r="S12" s="5"/>
      <c r="T12" s="5" t="e">
        <f ca="1">SUM(_xll.ONESTOP.REPORTPLAYER.OSRFUNCTIONS.OSRREF(T13))</f>
        <v>#NAME?</v>
      </c>
      <c r="U12" s="5"/>
      <c r="V12" s="13"/>
      <c r="W12" s="5"/>
      <c r="X12" s="5" t="e">
        <f ca="1">+P12-T12</f>
        <v>#NAME?</v>
      </c>
      <c r="Y12" s="5"/>
      <c r="Z12" s="13" t="e">
        <f ca="1">IF(T12=0,0,X12/T12)</f>
        <v>#NAME?</v>
      </c>
    </row>
    <row r="13" spans="1:26" s="70" customFormat="1" ht="15" hidden="1" customHeight="1" outlineLevel="1" x14ac:dyDescent="0.3">
      <c r="A13" s="42"/>
      <c r="B13" s="12" t="e">
        <f ca="1">CONCATENATE("          ",_xll.ONESTOP.REPORTPLAYER.OSRFUNCTIONS.OSRGET("d_Account","Code")," - ",_xll.ONESTOP.REPORTPLAYER.OSRFUNCTIONS.OSRGET("d_Account","Description"))</f>
        <v>#NAME?</v>
      </c>
      <c r="C13" s="12"/>
      <c r="D13" s="3" t="e">
        <f ca="1">-_xll.ONESTOP.REPORTPLAYER.OSRFUNCTIONS.OSRGET("GL_F_Trans","Value1")</f>
        <v>#NAME?</v>
      </c>
      <c r="E13" s="3"/>
      <c r="F13" s="20"/>
      <c r="G13" s="3"/>
      <c r="H13" s="3" t="e">
        <f ca="1">_xll.ONESTOP.REPORTPLAYER.OSRFUNCTIONS.OSRGET("GL_F_Trans","Value1")</f>
        <v>#NAME?</v>
      </c>
      <c r="I13" s="3"/>
      <c r="J13" s="20"/>
      <c r="K13" s="3"/>
      <c r="L13" s="3" t="e">
        <f ca="1">+D13-H13</f>
        <v>#NAME?</v>
      </c>
      <c r="M13" s="3"/>
      <c r="N13" s="20" t="e">
        <f ca="1">IF(H13=0,0,L13/H13)</f>
        <v>#NAME?</v>
      </c>
      <c r="O13" s="12"/>
      <c r="P13" s="3" t="e">
        <f ca="1">-_xll.ONESTOP.REPORTPLAYER.OSRFUNCTIONS.OSRGET("GL_F_Trans","Value1")</f>
        <v>#NAME?</v>
      </c>
      <c r="Q13" s="3"/>
      <c r="R13" s="20"/>
      <c r="S13" s="3"/>
      <c r="T13" s="3" t="e">
        <f ca="1">_xll.ONESTOP.REPORTPLAYER.OSRFUNCTIONS.OSRGET("GL_F_Trans","Value1")</f>
        <v>#NAME?</v>
      </c>
      <c r="U13" s="3"/>
      <c r="V13" s="20"/>
      <c r="W13" s="3"/>
      <c r="X13" s="3" t="e">
        <f ca="1">+P13-T13</f>
        <v>#NAME?</v>
      </c>
      <c r="Y13" s="3"/>
      <c r="Z13" s="20" t="e">
        <f ca="1">IF(T13=0,0,X13/T13)</f>
        <v>#NAME?</v>
      </c>
    </row>
    <row r="14" spans="1:26" ht="15" customHeight="1" x14ac:dyDescent="0.3">
      <c r="A14" s="10"/>
      <c r="B14" s="11"/>
      <c r="C14" s="10"/>
      <c r="D14" s="4"/>
      <c r="E14" s="4"/>
      <c r="F14" s="9"/>
      <c r="G14" s="4"/>
      <c r="H14" s="4"/>
      <c r="I14" s="4"/>
      <c r="J14" s="9"/>
      <c r="K14" s="4"/>
      <c r="L14" s="4"/>
      <c r="M14" s="4"/>
      <c r="N14" s="9"/>
      <c r="P14" s="4"/>
      <c r="Q14" s="4"/>
      <c r="R14" s="9"/>
      <c r="S14" s="4"/>
      <c r="T14" s="4"/>
      <c r="U14" s="4"/>
      <c r="V14" s="9"/>
      <c r="W14" s="4"/>
      <c r="X14" s="4"/>
      <c r="Y14" s="4"/>
      <c r="Z14" s="9"/>
    </row>
    <row r="15" spans="1:26" s="63" customFormat="1" ht="15" customHeight="1" collapsed="1" x14ac:dyDescent="0.3">
      <c r="A15" s="11"/>
      <c r="B15" s="28" t="s">
        <v>288</v>
      </c>
      <c r="C15" s="11"/>
      <c r="D15" s="5" t="e">
        <f ca="1">SUM(_xll.ONESTOP.REPORTPLAYER.OSRFUNCTIONS.OSRREF(D16))</f>
        <v>#NAME?</v>
      </c>
      <c r="E15" s="5"/>
      <c r="F15" s="13" t="e">
        <f ca="1">IF(D$12=0,0,D15/D$12)</f>
        <v>#NAME?</v>
      </c>
      <c r="G15" s="5"/>
      <c r="H15" s="5" t="e">
        <f ca="1">SUM(_xll.ONESTOP.REPORTPLAYER.OSRFUNCTIONS.OSRREF(H16))</f>
        <v>#NAME?</v>
      </c>
      <c r="I15" s="5"/>
      <c r="J15" s="13" t="e">
        <f ca="1">IF(H$12=0,0,H15/H$12)</f>
        <v>#NAME?</v>
      </c>
      <c r="K15" s="5"/>
      <c r="L15" s="5" t="e">
        <f ca="1">+D15-H15</f>
        <v>#NAME?</v>
      </c>
      <c r="M15" s="5"/>
      <c r="N15" s="13" t="e">
        <f ca="1">IF(H15=0,0,L15/H15)</f>
        <v>#NAME?</v>
      </c>
      <c r="O15" s="11"/>
      <c r="P15" s="5" t="e">
        <f ca="1">SUM(_xll.ONESTOP.REPORTPLAYER.OSRFUNCTIONS.OSRREF(P16))</f>
        <v>#NAME?</v>
      </c>
      <c r="Q15" s="5"/>
      <c r="R15" s="13" t="e">
        <f ca="1">IF(P$12=0,0,P15/P$12)</f>
        <v>#NAME?</v>
      </c>
      <c r="S15" s="5"/>
      <c r="T15" s="5" t="e">
        <f ca="1">SUM(_xll.ONESTOP.REPORTPLAYER.OSRFUNCTIONS.OSRREF(T16))</f>
        <v>#NAME?</v>
      </c>
      <c r="U15" s="5"/>
      <c r="V15" s="13" t="e">
        <f ca="1">IF(T$12=0,0,T15/T$12)</f>
        <v>#NAME?</v>
      </c>
      <c r="W15" s="5"/>
      <c r="X15" s="5" t="e">
        <f ca="1">+P15-T15</f>
        <v>#NAME?</v>
      </c>
      <c r="Y15" s="5"/>
      <c r="Z15" s="13" t="e">
        <f ca="1">IF(T15=0,0,X15/T15)</f>
        <v>#NAME?</v>
      </c>
    </row>
    <row r="16" spans="1:26" s="70" customFormat="1" ht="15" hidden="1" customHeight="1" outlineLevel="1" x14ac:dyDescent="0.3">
      <c r="A16" s="42"/>
      <c r="B16" s="12" t="e">
        <f ca="1">CONCATENATE("          ",_xll.ONESTOP.REPORTPLAYER.OSRFUNCTIONS.OSRGET("d_Account","Code")," - ",_xll.ONESTOP.REPORTPLAYER.OSRFUNCTIONS.OSRGET("d_Account","Description"))</f>
        <v>#NAME?</v>
      </c>
      <c r="C16" s="12"/>
      <c r="D16" s="3" t="e">
        <f ca="1">_xll.ONESTOP.REPORTPLAYER.OSRFUNCTIONS.OSRGET("GL_F_Trans","Value1")</f>
        <v>#NAME?</v>
      </c>
      <c r="E16" s="3"/>
      <c r="F16" s="20" t="e">
        <f ca="1">IF(D$12=0,0,D16/D$12)</f>
        <v>#NAME?</v>
      </c>
      <c r="G16" s="3"/>
      <c r="H16" s="3" t="e">
        <f ca="1">_xll.ONESTOP.REPORTPLAYER.OSRFUNCTIONS.OSRGET("GL_F_Trans","Value1")</f>
        <v>#NAME?</v>
      </c>
      <c r="I16" s="3"/>
      <c r="J16" s="20" t="e">
        <f ca="1">IF(H$12=0,0,H16/H$12)</f>
        <v>#NAME?</v>
      </c>
      <c r="K16" s="3"/>
      <c r="L16" s="3" t="e">
        <f ca="1">+D16-H16</f>
        <v>#NAME?</v>
      </c>
      <c r="M16" s="3"/>
      <c r="N16" s="20" t="e">
        <f ca="1">IF(H16=0,0,L16/H16)</f>
        <v>#NAME?</v>
      </c>
      <c r="O16" s="12"/>
      <c r="P16" s="3" t="e">
        <f ca="1">_xll.ONESTOP.REPORTPLAYER.OSRFUNCTIONS.OSRGET("GL_F_Trans","Value1")</f>
        <v>#NAME?</v>
      </c>
      <c r="Q16" s="3"/>
      <c r="R16" s="20" t="e">
        <f ca="1">IF(P$12=0,0,P16/P$12)</f>
        <v>#NAME?</v>
      </c>
      <c r="S16" s="3"/>
      <c r="T16" s="3" t="e">
        <f ca="1">_xll.ONESTOP.REPORTPLAYER.OSRFUNCTIONS.OSRGET("GL_F_Trans","Value1")</f>
        <v>#NAME?</v>
      </c>
      <c r="U16" s="3"/>
      <c r="V16" s="20" t="e">
        <f ca="1">IF(T$12=0,0,T16/T$12)</f>
        <v>#NAME?</v>
      </c>
      <c r="W16" s="3"/>
      <c r="X16" s="3" t="e">
        <f ca="1">+P16-T16</f>
        <v>#NAME?</v>
      </c>
      <c r="Y16" s="3"/>
      <c r="Z16" s="20" t="e">
        <f ca="1">IF(T16=0,0,X16/T16)</f>
        <v>#NAME?</v>
      </c>
    </row>
    <row r="17" spans="1:26" ht="15" customHeight="1" x14ac:dyDescent="0.3">
      <c r="A17" s="10"/>
      <c r="B17" s="11"/>
      <c r="C17" s="11"/>
      <c r="D17" s="4"/>
      <c r="E17" s="4"/>
      <c r="F17" s="9"/>
      <c r="G17" s="4"/>
      <c r="H17" s="4"/>
      <c r="I17" s="4"/>
      <c r="J17" s="9"/>
      <c r="K17" s="4"/>
      <c r="L17" s="4"/>
      <c r="M17" s="4"/>
      <c r="N17" s="9"/>
      <c r="O17" s="11"/>
      <c r="P17" s="4"/>
      <c r="Q17" s="4"/>
      <c r="R17" s="9"/>
      <c r="S17" s="4"/>
      <c r="T17" s="4"/>
      <c r="U17" s="4"/>
      <c r="V17" s="9"/>
      <c r="W17" s="4"/>
      <c r="X17" s="4"/>
      <c r="Y17" s="4"/>
      <c r="Z17" s="9"/>
    </row>
    <row r="18" spans="1:26" s="63" customFormat="1" ht="15" customHeight="1" x14ac:dyDescent="0.3">
      <c r="A18" s="11"/>
      <c r="B18" s="27" t="s">
        <v>289</v>
      </c>
      <c r="C18" s="27"/>
      <c r="D18" s="21" t="e">
        <f ca="1">D12-D15</f>
        <v>#NAME?</v>
      </c>
      <c r="E18" s="15"/>
      <c r="F18" s="23" t="e">
        <f ca="1">IF(D$12=0,0,D18/D$12)</f>
        <v>#NAME?</v>
      </c>
      <c r="G18" s="15"/>
      <c r="H18" s="21" t="e">
        <f ca="1">H12-H15</f>
        <v>#NAME?</v>
      </c>
      <c r="I18" s="15"/>
      <c r="J18" s="23" t="e">
        <f ca="1">IF(H$12=0,0,H18/H$12)</f>
        <v>#NAME?</v>
      </c>
      <c r="K18" s="16"/>
      <c r="L18" s="21" t="e">
        <f ca="1">+D18-H18</f>
        <v>#NAME?</v>
      </c>
      <c r="M18" s="16"/>
      <c r="N18" s="23" t="e">
        <f ca="1">IF(H18=0,0,L18/H18)</f>
        <v>#NAME?</v>
      </c>
      <c r="O18" s="28"/>
      <c r="P18" s="21" t="e">
        <f ca="1">P12-P15</f>
        <v>#NAME?</v>
      </c>
      <c r="Q18" s="15"/>
      <c r="R18" s="23" t="e">
        <f ca="1">IF(P$12=0,0,P18/P$12)</f>
        <v>#NAME?</v>
      </c>
      <c r="S18" s="15"/>
      <c r="T18" s="21" t="e">
        <f ca="1">T12-T15</f>
        <v>#NAME?</v>
      </c>
      <c r="U18" s="15"/>
      <c r="V18" s="23" t="e">
        <f ca="1">IF(T$12=0,0,T18/T$12)</f>
        <v>#NAME?</v>
      </c>
      <c r="W18" s="16"/>
      <c r="X18" s="21" t="e">
        <f ca="1">+P18-T18</f>
        <v>#NAME?</v>
      </c>
      <c r="Y18" s="16"/>
      <c r="Z18" s="23" t="e">
        <f ca="1">IF(T18=0,0,X18/T18)</f>
        <v>#NAME?</v>
      </c>
    </row>
    <row r="19" spans="1:26" ht="15" customHeight="1" x14ac:dyDescent="0.3">
      <c r="A19" s="10"/>
      <c r="B19" s="11"/>
      <c r="C19" s="10"/>
      <c r="D19" s="2"/>
      <c r="E19" s="2"/>
      <c r="F19" s="6"/>
      <c r="G19" s="2"/>
      <c r="H19" s="2"/>
      <c r="I19" s="2"/>
      <c r="J19" s="6"/>
      <c r="K19" s="2"/>
      <c r="L19" s="2"/>
      <c r="M19" s="2"/>
      <c r="N19" s="6"/>
      <c r="O19" s="35"/>
      <c r="P19" s="2"/>
      <c r="Q19" s="2"/>
      <c r="R19" s="6"/>
      <c r="S19" s="2"/>
      <c r="T19" s="2"/>
      <c r="U19" s="2"/>
      <c r="V19" s="6"/>
      <c r="W19" s="2"/>
      <c r="X19" s="2"/>
      <c r="Y19" s="2"/>
      <c r="Z19" s="6"/>
    </row>
    <row r="20" spans="1:26" s="63" customFormat="1" ht="15" customHeight="1" x14ac:dyDescent="0.3">
      <c r="A20" s="11"/>
      <c r="B20" s="28" t="s">
        <v>290</v>
      </c>
      <c r="C20" s="11"/>
      <c r="D20" s="22" t="e">
        <f ca="1">SUM(_xll.ONESTOP.REPORTPLAYER.OSRFUNCTIONS.OSRREF(D22))</f>
        <v>#NAME?</v>
      </c>
      <c r="E20" s="22"/>
      <c r="F20" s="30" t="e">
        <f ca="1">IF(D$12=0,0,D20/D$12)</f>
        <v>#NAME?</v>
      </c>
      <c r="G20" s="22"/>
      <c r="H20" s="22" t="e">
        <f ca="1">SUM(_xll.ONESTOP.REPORTPLAYER.OSRFUNCTIONS.OSRREF(H22))</f>
        <v>#NAME?</v>
      </c>
      <c r="I20" s="22"/>
      <c r="J20" s="30" t="e">
        <f ca="1">IF(H$12=0,0,H20/H$12)</f>
        <v>#NAME?</v>
      </c>
      <c r="K20" s="5"/>
      <c r="L20" s="22" t="e">
        <f ca="1">+D20-H20</f>
        <v>#NAME?</v>
      </c>
      <c r="M20" s="5"/>
      <c r="N20" s="30" t="e">
        <f ca="1">IF(H20=0,0,L20/H20)</f>
        <v>#NAME?</v>
      </c>
      <c r="O20" s="11"/>
      <c r="P20" s="22" t="e">
        <f ca="1">SUM(_xll.ONESTOP.REPORTPLAYER.OSRFUNCTIONS.OSRREF(P22))</f>
        <v>#NAME?</v>
      </c>
      <c r="Q20" s="22"/>
      <c r="R20" s="30" t="e">
        <f ca="1">IF(P$12=0,0,P20/P$12)</f>
        <v>#NAME?</v>
      </c>
      <c r="S20" s="22"/>
      <c r="T20" s="22" t="e">
        <f ca="1">SUM(_xll.ONESTOP.REPORTPLAYER.OSRFUNCTIONS.OSRREF(T22))</f>
        <v>#NAME?</v>
      </c>
      <c r="U20" s="22"/>
      <c r="V20" s="30" t="e">
        <f ca="1">IF(T$12=0,0,T20/T$12)</f>
        <v>#NAME?</v>
      </c>
      <c r="W20" s="5"/>
      <c r="X20" s="22" t="e">
        <f ca="1">+P20-T20</f>
        <v>#NAME?</v>
      </c>
      <c r="Y20" s="5"/>
      <c r="Z20" s="30" t="e">
        <f ca="1">IF(T20=0,0,X20/T20)</f>
        <v>#NAME?</v>
      </c>
    </row>
    <row r="21" spans="1:26" s="69" customFormat="1" ht="15" customHeight="1" outlineLevel="1" collapsed="1" x14ac:dyDescent="0.3">
      <c r="A21" s="25"/>
      <c r="B21" s="14" t="e">
        <f ca="1">CONCATENATE("     ",_xll.ONESTOP.REPORTPLAYER.OSRFUNCTIONS.OSRGET("d_Account","AccountCategory"))</f>
        <v>#NAME?</v>
      </c>
      <c r="C21" s="14"/>
      <c r="D21" s="2" t="e">
        <f ca="1">SUM(_xll.ONESTOP.REPORTPLAYER.OSRFUNCTIONS.OSRREF(D22))</f>
        <v>#NAME?</v>
      </c>
      <c r="E21" s="2"/>
      <c r="F21" s="6" t="e">
        <f ca="1">IF(D$12=0,0,D21/D$12)</f>
        <v>#NAME?</v>
      </c>
      <c r="G21" s="2"/>
      <c r="H21" s="2" t="e">
        <f ca="1">SUM(_xll.ONESTOP.REPORTPLAYER.OSRFUNCTIONS.OSRREF(H22))</f>
        <v>#NAME?</v>
      </c>
      <c r="I21" s="2"/>
      <c r="J21" s="6" t="e">
        <f ca="1">IF(H$12=0,0,H21/H$12)</f>
        <v>#NAME?</v>
      </c>
      <c r="K21" s="2"/>
      <c r="L21" s="2" t="e">
        <f ca="1">+D21-H21</f>
        <v>#NAME?</v>
      </c>
      <c r="M21" s="2"/>
      <c r="N21" s="6" t="e">
        <f ca="1">IF(H21=0,0,L21/H21)</f>
        <v>#NAME?</v>
      </c>
      <c r="O21" s="14"/>
      <c r="P21" s="2" t="e">
        <f ca="1">SUM(_xll.ONESTOP.REPORTPLAYER.OSRFUNCTIONS.OSRREF(P22))</f>
        <v>#NAME?</v>
      </c>
      <c r="Q21" s="2"/>
      <c r="R21" s="6" t="e">
        <f ca="1">IF(P$12=0,0,P21/P$12)</f>
        <v>#NAME?</v>
      </c>
      <c r="S21" s="2"/>
      <c r="T21" s="2" t="e">
        <f ca="1">SUM(_xll.ONESTOP.REPORTPLAYER.OSRFUNCTIONS.OSRREF(T22))</f>
        <v>#NAME?</v>
      </c>
      <c r="U21" s="2"/>
      <c r="V21" s="6" t="e">
        <f ca="1">IF(T$12=0,0,T21/T$12)</f>
        <v>#NAME?</v>
      </c>
      <c r="W21" s="2"/>
      <c r="X21" s="2" t="e">
        <f ca="1">+P21-T21</f>
        <v>#NAME?</v>
      </c>
      <c r="Y21" s="2"/>
      <c r="Z21" s="6" t="e">
        <f ca="1">IF(T21=0,0,X21/T21)</f>
        <v>#NAME?</v>
      </c>
    </row>
    <row r="22" spans="1:26" s="70" customFormat="1" ht="15" hidden="1" customHeight="1" outlineLevel="2" x14ac:dyDescent="0.3">
      <c r="A22" s="26"/>
      <c r="B22" s="12" t="e">
        <f ca="1">CONCATENATE("          ",_xll.ONESTOP.REPORTPLAYER.OSRFUNCTIONS.OSRGET("d_Account","Code")," - ",_xll.ONESTOP.REPORTPLAYER.OSRFUNCTIONS.OSRGET("d_Account","Description"))</f>
        <v>#NAME?</v>
      </c>
      <c r="C22" s="12"/>
      <c r="D22" s="7" t="e">
        <f ca="1">_xll.ONESTOP.REPORTPLAYER.OSRFUNCTIONS.OSRGET("GL_F_Trans","Value1")</f>
        <v>#NAME?</v>
      </c>
      <c r="E22" s="3"/>
      <c r="F22" s="8" t="e">
        <f ca="1">IF(D$12=0,0,D22/D$12)</f>
        <v>#NAME?</v>
      </c>
      <c r="G22" s="3"/>
      <c r="H22" s="7" t="e">
        <f ca="1">_xll.ONESTOP.REPORTPLAYER.OSRFUNCTIONS.OSRGET("GL_F_Trans","Value1")</f>
        <v>#NAME?</v>
      </c>
      <c r="I22" s="3"/>
      <c r="J22" s="8" t="e">
        <f ca="1">IF(H$12=0,0,H22/H$12)</f>
        <v>#NAME?</v>
      </c>
      <c r="K22" s="3"/>
      <c r="L22" s="7" t="e">
        <f ca="1">+D22-H22</f>
        <v>#NAME?</v>
      </c>
      <c r="M22" s="3"/>
      <c r="N22" s="8" t="e">
        <f ca="1">IF(H22=0,0,L22/H22)</f>
        <v>#NAME?</v>
      </c>
      <c r="O22" s="12"/>
      <c r="P22" s="7" t="e">
        <f ca="1">_xll.ONESTOP.REPORTPLAYER.OSRFUNCTIONS.OSRGET("GL_F_Trans","Value1")</f>
        <v>#NAME?</v>
      </c>
      <c r="Q22" s="3"/>
      <c r="R22" s="8" t="e">
        <f ca="1">IF(P$12=0,0,P22/P$12)</f>
        <v>#NAME?</v>
      </c>
      <c r="S22" s="3"/>
      <c r="T22" s="7" t="e">
        <f ca="1">_xll.ONESTOP.REPORTPLAYER.OSRFUNCTIONS.OSRGET("GL_F_Trans","Value1")</f>
        <v>#NAME?</v>
      </c>
      <c r="U22" s="3"/>
      <c r="V22" s="8" t="e">
        <f ca="1">IF(T$12=0,0,T22/T$12)</f>
        <v>#NAME?</v>
      </c>
      <c r="W22" s="3"/>
      <c r="X22" s="7" t="e">
        <f ca="1">+P22-T22</f>
        <v>#NAME?</v>
      </c>
      <c r="Y22" s="3"/>
      <c r="Z22" s="8" t="e">
        <f ca="1">IF(T22=0,0,X22/T22)</f>
        <v>#NAME?</v>
      </c>
    </row>
    <row r="23" spans="1:26" s="65" customFormat="1" ht="15" customHeight="1" x14ac:dyDescent="0.3">
      <c r="A23" s="35"/>
      <c r="B23" s="35"/>
      <c r="C23" s="35"/>
      <c r="D23" s="2"/>
      <c r="E23" s="2"/>
      <c r="F23" s="6"/>
      <c r="G23" s="2"/>
      <c r="H23" s="2"/>
      <c r="I23" s="2"/>
      <c r="J23" s="6"/>
      <c r="K23" s="2"/>
      <c r="L23" s="2"/>
      <c r="M23" s="2"/>
      <c r="N23" s="6"/>
      <c r="O23" s="35"/>
      <c r="P23" s="2"/>
      <c r="Q23" s="2"/>
      <c r="R23" s="6"/>
      <c r="S23" s="2"/>
      <c r="T23" s="2"/>
      <c r="U23" s="2"/>
      <c r="V23" s="6"/>
      <c r="W23" s="2"/>
      <c r="X23" s="2"/>
      <c r="Y23" s="2"/>
      <c r="Z23" s="6"/>
    </row>
    <row r="24" spans="1:26" s="63" customFormat="1" ht="15" customHeight="1" collapsed="1" x14ac:dyDescent="0.3">
      <c r="A24" s="11"/>
      <c r="B24" s="28" t="s">
        <v>291</v>
      </c>
      <c r="C24" s="11"/>
      <c r="D24" s="5" t="e">
        <f ca="1">SUM(_xll.ONESTOP.REPORTPLAYER.OSRFUNCTIONS.OSRREF(D25))</f>
        <v>#NAME?</v>
      </c>
      <c r="E24" s="5"/>
      <c r="F24" s="13" t="e">
        <f ca="1">IF(D$12=0,0,D24/D$12)</f>
        <v>#NAME?</v>
      </c>
      <c r="G24" s="5"/>
      <c r="H24" s="5" t="e">
        <f ca="1">SUM(_xll.ONESTOP.REPORTPLAYER.OSRFUNCTIONS.OSRREF(H25))</f>
        <v>#NAME?</v>
      </c>
      <c r="I24" s="5"/>
      <c r="J24" s="13" t="e">
        <f ca="1">IF(H$12=0,0,H24/H$12)</f>
        <v>#NAME?</v>
      </c>
      <c r="K24" s="5"/>
      <c r="L24" s="5" t="e">
        <f ca="1">+D24-H24</f>
        <v>#NAME?</v>
      </c>
      <c r="M24" s="5"/>
      <c r="N24" s="13" t="e">
        <f ca="1">IF(H24=0,0,L24/H24)</f>
        <v>#NAME?</v>
      </c>
      <c r="O24" s="11"/>
      <c r="P24" s="5" t="e">
        <f ca="1">SUM(_xll.ONESTOP.REPORTPLAYER.OSRFUNCTIONS.OSRREF(P25))</f>
        <v>#NAME?</v>
      </c>
      <c r="Q24" s="5"/>
      <c r="R24" s="13" t="e">
        <f ca="1">IF(P$12=0,0,P24/P$12)</f>
        <v>#NAME?</v>
      </c>
      <c r="S24" s="5"/>
      <c r="T24" s="5" t="e">
        <f ca="1">SUM(_xll.ONESTOP.REPORTPLAYER.OSRFUNCTIONS.OSRREF(T25))</f>
        <v>#NAME?</v>
      </c>
      <c r="U24" s="5"/>
      <c r="V24" s="13" t="e">
        <f ca="1">IF(T$12=0,0,T24/T$12)</f>
        <v>#NAME?</v>
      </c>
      <c r="W24" s="5"/>
      <c r="X24" s="5" t="e">
        <f ca="1">+P24-T24</f>
        <v>#NAME?</v>
      </c>
      <c r="Y24" s="5"/>
      <c r="Z24" s="13" t="e">
        <f ca="1">IF(T24=0,0,X24/T24)</f>
        <v>#NAME?</v>
      </c>
    </row>
    <row r="25" spans="1:26" s="70" customFormat="1" ht="15" hidden="1" customHeight="1" outlineLevel="1" x14ac:dyDescent="0.3">
      <c r="A25" s="42"/>
      <c r="B25" s="12" t="e">
        <f ca="1">CONCATENATE("          ",_xll.ONESTOP.REPORTPLAYER.OSRFUNCTIONS.OSRGET("d_Account","Code")," - ",_xll.ONESTOP.REPORTPLAYER.OSRFUNCTIONS.OSRGET("d_Account","Description"))</f>
        <v>#NAME?</v>
      </c>
      <c r="C25" s="12"/>
      <c r="D25" s="3" t="e">
        <f ca="1">-_xll.ONESTOP.REPORTPLAYER.OSRFUNCTIONS.OSRGET("GL_F_Trans","Value1")</f>
        <v>#NAME?</v>
      </c>
      <c r="E25" s="3"/>
      <c r="F25" s="20" t="e">
        <f ca="1">IF(D$12=0,0,D25/D$12)</f>
        <v>#NAME?</v>
      </c>
      <c r="G25" s="3"/>
      <c r="H25" s="3" t="e">
        <f ca="1">_xll.ONESTOP.REPORTPLAYER.OSRFUNCTIONS.OSRGET("GL_F_Trans","Value1")</f>
        <v>#NAME?</v>
      </c>
      <c r="I25" s="3"/>
      <c r="J25" s="20" t="e">
        <f ca="1">IF(H$12=0,0,H25/H$12)</f>
        <v>#NAME?</v>
      </c>
      <c r="K25" s="3"/>
      <c r="L25" s="3" t="e">
        <f ca="1">+D25-H25</f>
        <v>#NAME?</v>
      </c>
      <c r="M25" s="3"/>
      <c r="N25" s="20" t="e">
        <f ca="1">IF(H25=0,0,L25/H25)</f>
        <v>#NAME?</v>
      </c>
      <c r="O25" s="12"/>
      <c r="P25" s="3" t="e">
        <f ca="1">-_xll.ONESTOP.REPORTPLAYER.OSRFUNCTIONS.OSRGET("GL_F_Trans","Value1")</f>
        <v>#NAME?</v>
      </c>
      <c r="Q25" s="3"/>
      <c r="R25" s="20" t="e">
        <f ca="1">IF(P$12=0,0,P25/P$12)</f>
        <v>#NAME?</v>
      </c>
      <c r="S25" s="3"/>
      <c r="T25" s="3" t="e">
        <f ca="1">_xll.ONESTOP.REPORTPLAYER.OSRFUNCTIONS.OSRGET("GL_F_Trans","Value1")</f>
        <v>#NAME?</v>
      </c>
      <c r="U25" s="3"/>
      <c r="V25" s="20" t="e">
        <f ca="1">IF(T$12=0,0,T25/T$12)</f>
        <v>#NAME?</v>
      </c>
      <c r="W25" s="3"/>
      <c r="X25" s="3" t="e">
        <f ca="1">+P25-T25</f>
        <v>#NAME?</v>
      </c>
      <c r="Y25" s="3"/>
      <c r="Z25" s="20" t="e">
        <f ca="1">IF(T25=0,0,X25/T25)</f>
        <v>#NAME?</v>
      </c>
    </row>
    <row r="26" spans="1:26" ht="15" customHeight="1" x14ac:dyDescent="0.3">
      <c r="A26" s="10"/>
      <c r="B26" s="11"/>
      <c r="C26" s="11"/>
      <c r="D26" s="4"/>
      <c r="E26" s="4"/>
      <c r="F26" s="9"/>
      <c r="G26" s="4"/>
      <c r="H26" s="4"/>
      <c r="I26" s="4"/>
      <c r="J26" s="9"/>
      <c r="K26" s="4"/>
      <c r="L26" s="4"/>
      <c r="M26" s="4"/>
      <c r="N26" s="9"/>
      <c r="O26" s="11"/>
      <c r="P26" s="4"/>
      <c r="Q26" s="4"/>
      <c r="R26" s="9"/>
      <c r="S26" s="4"/>
      <c r="T26" s="4"/>
      <c r="U26" s="4"/>
      <c r="V26" s="9"/>
      <c r="W26" s="4"/>
      <c r="X26" s="4"/>
      <c r="Y26" s="4"/>
      <c r="Z26" s="9"/>
    </row>
    <row r="27" spans="1:26" s="63" customFormat="1" ht="15" customHeight="1" x14ac:dyDescent="0.3">
      <c r="A27" s="11"/>
      <c r="B27" s="27" t="s">
        <v>292</v>
      </c>
      <c r="C27" s="27"/>
      <c r="D27" s="21" t="e">
        <f ca="1">+D18-D20+D24</f>
        <v>#NAME?</v>
      </c>
      <c r="E27" s="15"/>
      <c r="F27" s="23" t="e">
        <f ca="1">IF(D$12=0,0,D27/D$12)</f>
        <v>#NAME?</v>
      </c>
      <c r="G27" s="15"/>
      <c r="H27" s="21" t="e">
        <f ca="1">+H18-H20+H24</f>
        <v>#NAME?</v>
      </c>
      <c r="I27" s="15"/>
      <c r="J27" s="23" t="e">
        <f ca="1">IF(H$12=0,0,H27/H$12)</f>
        <v>#NAME?</v>
      </c>
      <c r="K27" s="16"/>
      <c r="L27" s="21" t="e">
        <f ca="1">+D27-H27</f>
        <v>#NAME?</v>
      </c>
      <c r="M27" s="16"/>
      <c r="N27" s="23" t="e">
        <f ca="1">IF(H27=0,0,L27/H27)</f>
        <v>#NAME?</v>
      </c>
      <c r="O27" s="28"/>
      <c r="P27" s="21" t="e">
        <f ca="1">+P18-P20+P24</f>
        <v>#NAME?</v>
      </c>
      <c r="Q27" s="15"/>
      <c r="R27" s="23" t="e">
        <f ca="1">IF(P$12=0,0,P27/P$12)</f>
        <v>#NAME?</v>
      </c>
      <c r="S27" s="15"/>
      <c r="T27" s="21" t="e">
        <f ca="1">+T18-T20+T24</f>
        <v>#NAME?</v>
      </c>
      <c r="U27" s="15"/>
      <c r="V27" s="23" t="e">
        <f ca="1">IF(T$12=0,0,T27/T$12)</f>
        <v>#NAME?</v>
      </c>
      <c r="W27" s="16"/>
      <c r="X27" s="21" t="e">
        <f ca="1">+P27-T27</f>
        <v>#NAME?</v>
      </c>
      <c r="Y27" s="16"/>
      <c r="Z27" s="23" t="e">
        <f ca="1">IF(T27=0,0,X27/T27)</f>
        <v>#NAME?</v>
      </c>
    </row>
    <row r="28" spans="1:26" ht="15" customHeight="1" x14ac:dyDescent="0.3">
      <c r="A28" s="10"/>
      <c r="B28" s="11"/>
      <c r="C28" s="10"/>
      <c r="D28" s="4"/>
      <c r="E28" s="4"/>
      <c r="F28" s="9"/>
      <c r="G28" s="4"/>
      <c r="H28" s="4"/>
      <c r="I28" s="4"/>
      <c r="J28" s="9"/>
      <c r="K28" s="4"/>
      <c r="L28" s="4"/>
      <c r="M28" s="4"/>
      <c r="N28" s="9"/>
      <c r="P28" s="4"/>
      <c r="Q28" s="4"/>
      <c r="R28" s="9"/>
      <c r="S28" s="4"/>
      <c r="T28" s="4"/>
      <c r="U28" s="4"/>
      <c r="V28" s="9"/>
      <c r="W28" s="4"/>
      <c r="X28" s="4"/>
      <c r="Y28" s="4"/>
      <c r="Z28" s="9"/>
    </row>
    <row r="29" spans="1:26" s="63" customFormat="1" ht="15" customHeight="1" x14ac:dyDescent="0.3">
      <c r="A29" s="49"/>
      <c r="B29" s="11" t="s">
        <v>293</v>
      </c>
      <c r="C29" s="11"/>
      <c r="D29" s="5" t="e">
        <f ca="1">_xll.ONESTOP.REPORTPLAYER.OSRFUNCTIONS.OSRGET("GL_F_Trans","Value1")</f>
        <v>#NAME?</v>
      </c>
      <c r="E29" s="5"/>
      <c r="F29" s="13" t="e">
        <f ca="1">IF(D$12=0,0,D29/D$12)</f>
        <v>#NAME?</v>
      </c>
      <c r="G29" s="5"/>
      <c r="H29" s="5" t="e">
        <f ca="1">_xll.ONESTOP.REPORTPLAYER.OSRFUNCTIONS.OSRGET("GL_F_Trans","Value1")</f>
        <v>#NAME?</v>
      </c>
      <c r="I29" s="5"/>
      <c r="J29" s="13" t="e">
        <f ca="1">IF(H$12=0,0,H29/H$12)</f>
        <v>#NAME?</v>
      </c>
      <c r="K29" s="5"/>
      <c r="L29" s="5" t="e">
        <f ca="1">+D29-H29</f>
        <v>#NAME?</v>
      </c>
      <c r="M29" s="5"/>
      <c r="N29" s="13" t="e">
        <f ca="1">IF(H29=0,0,L29/H29)</f>
        <v>#NAME?</v>
      </c>
      <c r="O29" s="11"/>
      <c r="P29" s="5" t="e">
        <f ca="1">_xll.ONESTOP.REPORTPLAYER.OSRFUNCTIONS.OSRGET("GL_F_Trans","Value1")</f>
        <v>#NAME?</v>
      </c>
      <c r="Q29" s="5"/>
      <c r="R29" s="13" t="e">
        <f ca="1">IF(P$12=0,0,P29/P$12)</f>
        <v>#NAME?</v>
      </c>
      <c r="S29" s="5"/>
      <c r="T29" s="5" t="e">
        <f ca="1">_xll.ONESTOP.REPORTPLAYER.OSRFUNCTIONS.OSRGET("GL_F_Trans","Value1")</f>
        <v>#NAME?</v>
      </c>
      <c r="U29" s="5"/>
      <c r="V29" s="13" t="e">
        <f ca="1">IF(T$12=0,0,T29/T$12)</f>
        <v>#NAME?</v>
      </c>
      <c r="W29" s="5"/>
      <c r="X29" s="5" t="e">
        <f ca="1">+P29-T29</f>
        <v>#NAME?</v>
      </c>
      <c r="Y29" s="5"/>
      <c r="Z29" s="13" t="e">
        <f ca="1">IF(T29=0,0,X29/T29)</f>
        <v>#NAME?</v>
      </c>
    </row>
    <row r="30" spans="1:26" ht="15" customHeight="1" x14ac:dyDescent="0.3">
      <c r="A30" s="10"/>
      <c r="B30" s="11"/>
      <c r="C30" s="11"/>
      <c r="D30" s="4"/>
      <c r="E30" s="4"/>
      <c r="F30" s="9"/>
      <c r="G30" s="4"/>
      <c r="H30" s="4"/>
      <c r="I30" s="4"/>
      <c r="J30" s="9"/>
      <c r="K30" s="4"/>
      <c r="L30" s="4"/>
      <c r="M30" s="4"/>
      <c r="N30" s="9"/>
      <c r="O30" s="11"/>
      <c r="P30" s="4"/>
      <c r="Q30" s="4"/>
      <c r="R30" s="9"/>
      <c r="S30" s="4"/>
      <c r="T30" s="4"/>
      <c r="U30" s="4"/>
      <c r="V30" s="9"/>
      <c r="W30" s="4"/>
      <c r="X30" s="4"/>
      <c r="Y30" s="4"/>
      <c r="Z30" s="9"/>
    </row>
    <row r="31" spans="1:26" s="63" customFormat="1" ht="15" customHeight="1" x14ac:dyDescent="0.3">
      <c r="A31" s="11"/>
      <c r="B31" s="27" t="s">
        <v>294</v>
      </c>
      <c r="C31" s="27"/>
      <c r="D31" s="34" t="e">
        <f ca="1">+D27-D29</f>
        <v>#NAME?</v>
      </c>
      <c r="E31" s="15"/>
      <c r="F31" s="29" t="e">
        <f ca="1">IF(D$12=0,0,D31/D$12)</f>
        <v>#NAME?</v>
      </c>
      <c r="G31" s="15"/>
      <c r="H31" s="34" t="e">
        <f ca="1">+H27-H29</f>
        <v>#NAME?</v>
      </c>
      <c r="I31" s="15"/>
      <c r="J31" s="29" t="e">
        <f ca="1">IF(H$12=0,0,H31/H$12)</f>
        <v>#NAME?</v>
      </c>
      <c r="K31" s="16"/>
      <c r="L31" s="34" t="e">
        <f ca="1">D31-H31</f>
        <v>#NAME?</v>
      </c>
      <c r="M31" s="16"/>
      <c r="N31" s="29" t="e">
        <f ca="1">IF(H31=0,0,L31/H31)</f>
        <v>#NAME?</v>
      </c>
      <c r="O31" s="28"/>
      <c r="P31" s="34" t="e">
        <f ca="1">+P27-P29</f>
        <v>#NAME?</v>
      </c>
      <c r="Q31" s="15"/>
      <c r="R31" s="29" t="e">
        <f ca="1">IF(P$12=0,0,P31/P$12)</f>
        <v>#NAME?</v>
      </c>
      <c r="S31" s="15"/>
      <c r="T31" s="34" t="e">
        <f ca="1">+T27-T29</f>
        <v>#NAME?</v>
      </c>
      <c r="U31" s="15"/>
      <c r="V31" s="29" t="e">
        <f ca="1">IF(T$12=0,0,T31/T$12)</f>
        <v>#NAME?</v>
      </c>
      <c r="W31" s="16"/>
      <c r="X31" s="34" t="e">
        <f ca="1">P31-T31</f>
        <v>#NAME?</v>
      </c>
      <c r="Y31" s="16"/>
      <c r="Z31" s="29" t="e">
        <f ca="1">IF(T31=0,0,X31/T31)</f>
        <v>#NAME?</v>
      </c>
    </row>
    <row r="32" spans="1:26" ht="15" customHeight="1" x14ac:dyDescent="0.3">
      <c r="A32" s="10"/>
      <c r="B32" s="10"/>
      <c r="C32" s="10"/>
      <c r="D32" s="4"/>
      <c r="E32" s="4"/>
      <c r="F32" s="9"/>
      <c r="G32" s="4"/>
      <c r="H32" s="4"/>
      <c r="I32" s="4"/>
      <c r="J32" s="9"/>
      <c r="K32" s="4"/>
      <c r="L32" s="4"/>
      <c r="M32" s="4"/>
      <c r="N32" s="9"/>
      <c r="P32" s="4"/>
      <c r="Q32" s="4"/>
      <c r="R32" s="9"/>
      <c r="S32" s="4"/>
      <c r="T32" s="4"/>
      <c r="U32" s="4"/>
      <c r="V32" s="9"/>
      <c r="W32" s="4"/>
      <c r="X32" s="4"/>
      <c r="Y32" s="4"/>
      <c r="Z32" s="9"/>
    </row>
    <row r="33" spans="1:26" s="63" customFormat="1" ht="15" customHeight="1" x14ac:dyDescent="0.3">
      <c r="A33" s="49"/>
      <c r="B33" s="11" t="s">
        <v>295</v>
      </c>
      <c r="C33" s="11"/>
      <c r="D33" s="5" t="e">
        <f ca="1">-_xll.ONESTOP.REPORTPLAYER.OSRFUNCTIONS.OSRGET("GL_F_Trans","Value1")</f>
        <v>#NAME?</v>
      </c>
      <c r="E33" s="5"/>
      <c r="F33" s="13" t="e">
        <f ca="1">IF(D$12=0,0,D33/D$12)</f>
        <v>#NAME?</v>
      </c>
      <c r="G33" s="5"/>
      <c r="H33" s="5" t="e">
        <f ca="1">-_xll.ONESTOP.REPORTPLAYER.OSRFUNCTIONS.OSRGET("GL_F_Trans","Value1")</f>
        <v>#NAME?</v>
      </c>
      <c r="I33" s="5"/>
      <c r="J33" s="13" t="e">
        <f ca="1">IF(H$12=0,0,H33/H$12)</f>
        <v>#NAME?</v>
      </c>
      <c r="K33" s="5"/>
      <c r="L33" s="5" t="e">
        <f ca="1">+D33-H33</f>
        <v>#NAME?</v>
      </c>
      <c r="M33" s="5"/>
      <c r="N33" s="13" t="e">
        <f ca="1">IF(H33=0,0,L33/H33)</f>
        <v>#NAME?</v>
      </c>
      <c r="O33" s="11"/>
      <c r="P33" s="5" t="e">
        <f ca="1">-_xll.ONESTOP.REPORTPLAYER.OSRFUNCTIONS.OSRGET("GL_F_Trans","Value1")</f>
        <v>#NAME?</v>
      </c>
      <c r="Q33" s="5"/>
      <c r="R33" s="13" t="e">
        <f ca="1">IF(P$12=0,0,P33/P$12)</f>
        <v>#NAME?</v>
      </c>
      <c r="S33" s="5"/>
      <c r="T33" s="5" t="e">
        <f ca="1">-_xll.ONESTOP.REPORTPLAYER.OSRFUNCTIONS.OSRGET("GL_F_Trans","Value1")</f>
        <v>#NAME?</v>
      </c>
      <c r="U33" s="5"/>
      <c r="V33" s="13" t="e">
        <f ca="1">IF(T$12=0,0,T33/T$12)</f>
        <v>#NAME?</v>
      </c>
      <c r="W33" s="5"/>
      <c r="X33" s="5" t="e">
        <f ca="1">+P33-T33</f>
        <v>#NAME?</v>
      </c>
      <c r="Y33" s="5"/>
      <c r="Z33" s="13" t="e">
        <f ca="1">IF(T33=0,0,X33/T33)</f>
        <v>#NAME?</v>
      </c>
    </row>
    <row r="34" spans="1:26" s="63" customFormat="1" ht="15" customHeight="1" x14ac:dyDescent="0.3">
      <c r="A34" s="49"/>
      <c r="B34" s="11" t="s">
        <v>296</v>
      </c>
      <c r="C34" s="11"/>
      <c r="D34" s="5" t="e">
        <f ca="1">-_xll.ONESTOP.REPORTPLAYER.OSRFUNCTIONS.OSRGET("GL_F_Trans","Value1")</f>
        <v>#NAME?</v>
      </c>
      <c r="E34" s="5"/>
      <c r="F34" s="13" t="e">
        <f ca="1">IF(D$12=0,0,D34/D$12)</f>
        <v>#NAME?</v>
      </c>
      <c r="G34" s="5"/>
      <c r="H34" s="5" t="e">
        <f ca="1">-_xll.ONESTOP.REPORTPLAYER.OSRFUNCTIONS.OSRGET("GL_F_Trans","Value1")</f>
        <v>#NAME?</v>
      </c>
      <c r="I34" s="5"/>
      <c r="J34" s="13" t="e">
        <f ca="1">IF(H$12=0,0,H34/H$12)</f>
        <v>#NAME?</v>
      </c>
      <c r="K34" s="5"/>
      <c r="L34" s="5" t="e">
        <f ca="1">+D34-H34</f>
        <v>#NAME?</v>
      </c>
      <c r="M34" s="5"/>
      <c r="N34" s="13" t="e">
        <f ca="1">IF(H34=0,0,L34/H34)</f>
        <v>#NAME?</v>
      </c>
      <c r="O34" s="11"/>
      <c r="P34" s="5" t="e">
        <f ca="1">-_xll.ONESTOP.REPORTPLAYER.OSRFUNCTIONS.OSRGET("GL_F_Trans","Value1")</f>
        <v>#NAME?</v>
      </c>
      <c r="Q34" s="5"/>
      <c r="R34" s="13" t="e">
        <f ca="1">IF(P$12=0,0,P34/P$12)</f>
        <v>#NAME?</v>
      </c>
      <c r="S34" s="5"/>
      <c r="T34" s="5" t="e">
        <f ca="1">-_xll.ONESTOP.REPORTPLAYER.OSRFUNCTIONS.OSRGET("GL_F_Trans","Value1")</f>
        <v>#NAME?</v>
      </c>
      <c r="U34" s="5"/>
      <c r="V34" s="13" t="e">
        <f ca="1">IF(T$12=0,0,T34/T$12)</f>
        <v>#NAME?</v>
      </c>
      <c r="W34" s="5"/>
      <c r="X34" s="5" t="e">
        <f ca="1">+P34-T34</f>
        <v>#NAME?</v>
      </c>
      <c r="Y34" s="5"/>
      <c r="Z34" s="13" t="e">
        <f ca="1">IF(T34=0,0,X34/T34)</f>
        <v>#NAME?</v>
      </c>
    </row>
    <row r="35" spans="1:26" ht="15" customHeight="1" x14ac:dyDescent="0.3">
      <c r="A35" s="10"/>
      <c r="B35" s="10"/>
      <c r="C35" s="10"/>
      <c r="D35" s="4"/>
      <c r="E35" s="4"/>
      <c r="F35" s="9"/>
      <c r="G35" s="4"/>
      <c r="H35" s="4"/>
      <c r="I35" s="4"/>
      <c r="J35" s="9"/>
      <c r="K35" s="4"/>
      <c r="L35" s="4"/>
      <c r="M35" s="4"/>
      <c r="N35" s="9"/>
      <c r="P35" s="4"/>
      <c r="Q35" s="4"/>
      <c r="R35" s="9"/>
      <c r="S35" s="4"/>
      <c r="T35" s="4"/>
      <c r="U35" s="4"/>
      <c r="V35" s="9"/>
      <c r="W35" s="4"/>
      <c r="X35" s="4"/>
      <c r="Y35" s="4"/>
      <c r="Z35" s="9"/>
    </row>
    <row r="36" spans="1:26" s="63" customFormat="1" ht="15" customHeight="1" x14ac:dyDescent="0.3">
      <c r="A36" s="11"/>
      <c r="B36" s="27" t="s">
        <v>297</v>
      </c>
      <c r="C36" s="27"/>
      <c r="D36" s="32" t="e">
        <f ca="1">SUM(D31:D35)</f>
        <v>#NAME?</v>
      </c>
      <c r="E36" s="15"/>
      <c r="F36" s="31" t="e">
        <f ca="1">IF(D$12=0,0,D36/D$12)</f>
        <v>#NAME?</v>
      </c>
      <c r="G36" s="15"/>
      <c r="H36" s="32" t="e">
        <f ca="1">SUM(H31:H35)</f>
        <v>#NAME?</v>
      </c>
      <c r="I36" s="15"/>
      <c r="J36" s="31" t="e">
        <f ca="1">IF(H$12=0,0,H36/H$12)</f>
        <v>#NAME?</v>
      </c>
      <c r="K36" s="16"/>
      <c r="L36" s="32" t="e">
        <f ca="1">+D36-H36</f>
        <v>#NAME?</v>
      </c>
      <c r="M36" s="16"/>
      <c r="N36" s="31" t="e">
        <f ca="1">IF(H36=0,0,L36/H36)</f>
        <v>#NAME?</v>
      </c>
      <c r="O36" s="28"/>
      <c r="P36" s="32" t="e">
        <f ca="1">SUM(P31:P35)</f>
        <v>#NAME?</v>
      </c>
      <c r="Q36" s="15"/>
      <c r="R36" s="31" t="e">
        <f ca="1">IF(P$12=0,0,P36/P$12)</f>
        <v>#NAME?</v>
      </c>
      <c r="S36" s="15"/>
      <c r="T36" s="32" t="e">
        <f ca="1">SUM(T31:T35)</f>
        <v>#NAME?</v>
      </c>
      <c r="U36" s="15"/>
      <c r="V36" s="31" t="e">
        <f ca="1">IF(T$12=0,0,T36/T$12)</f>
        <v>#NAME?</v>
      </c>
      <c r="W36" s="16"/>
      <c r="X36" s="32" t="e">
        <f ca="1">+P36-T36</f>
        <v>#NAME?</v>
      </c>
      <c r="Y36" s="16"/>
      <c r="Z36" s="31" t="e">
        <f ca="1">IF(T36=0,0,X36/T36)</f>
        <v>#NAME?</v>
      </c>
    </row>
    <row r="37" spans="1:26" ht="15" customHeight="1" x14ac:dyDescent="0.3">
      <c r="A37" s="10"/>
      <c r="C37" s="10"/>
      <c r="D37" s="19"/>
      <c r="E37" s="19"/>
      <c r="G37" s="19"/>
      <c r="H37" s="19"/>
      <c r="I37" s="19"/>
      <c r="J37" s="40"/>
      <c r="K37" s="19"/>
      <c r="L37" s="19"/>
      <c r="M37" s="19"/>
      <c r="P37" s="19"/>
      <c r="Q37" s="19"/>
      <c r="R37" s="40"/>
      <c r="S37" s="19"/>
      <c r="T37" s="19"/>
      <c r="U37" s="19"/>
      <c r="V37" s="40"/>
      <c r="W37" s="19"/>
      <c r="X37" s="19"/>
    </row>
    <row r="38" spans="1:26" ht="15" customHeight="1" x14ac:dyDescent="0.3">
      <c r="A38" s="10"/>
      <c r="B38" s="51" t="e">
        <f ca="1">_xll.ONESTOP.REPORTPLAYER.OSRFUNCTIONS.OSRGET("CurrentDate","Date")</f>
        <v>#NAME?</v>
      </c>
      <c r="D38" s="19"/>
      <c r="E38" s="19"/>
      <c r="G38" s="19"/>
      <c r="H38" s="19"/>
      <c r="I38" s="19"/>
      <c r="J38" s="40"/>
      <c r="K38" s="19"/>
      <c r="L38" s="19"/>
      <c r="M38" s="19"/>
      <c r="P38" s="19"/>
      <c r="Q38" s="19"/>
      <c r="R38" s="40"/>
      <c r="S38" s="19"/>
      <c r="T38" s="19"/>
      <c r="U38" s="19"/>
      <c r="V38" s="40"/>
      <c r="W38" s="19"/>
      <c r="X38" s="19"/>
    </row>
    <row r="39" spans="1:26" ht="15" customHeight="1" x14ac:dyDescent="0.3">
      <c r="A39" s="10"/>
      <c r="B39" s="58" t="e">
        <f ca="1">_xll.ONESTOP.REPORTPLAYER.OSRFUNCTIONS.OSRGET("User","UserId")</f>
        <v>#NAME?</v>
      </c>
      <c r="D39" s="19"/>
      <c r="E39" s="19"/>
      <c r="G39" s="19"/>
      <c r="H39" s="19"/>
      <c r="I39" s="19"/>
      <c r="J39" s="40"/>
      <c r="K39" s="19"/>
      <c r="L39" s="19"/>
      <c r="M39" s="19"/>
      <c r="P39" s="19"/>
      <c r="Q39" s="19"/>
      <c r="R39" s="40"/>
      <c r="S39" s="19"/>
      <c r="T39" s="19"/>
      <c r="U39" s="19"/>
      <c r="V39" s="40"/>
      <c r="W39" s="19"/>
      <c r="X39" s="19"/>
    </row>
    <row r="40" spans="1:26" ht="15" customHeight="1" x14ac:dyDescent="0.3">
      <c r="A40" s="10"/>
      <c r="B40" s="50"/>
      <c r="D40" s="19"/>
      <c r="E40" s="19"/>
      <c r="G40" s="19"/>
      <c r="H40" s="19"/>
      <c r="I40" s="19"/>
      <c r="J40" s="40"/>
      <c r="K40" s="19"/>
      <c r="L40" s="19"/>
      <c r="M40" s="19"/>
      <c r="P40" s="19"/>
      <c r="Q40" s="19"/>
      <c r="R40" s="40"/>
      <c r="S40" s="19"/>
      <c r="T40" s="19"/>
      <c r="U40" s="19"/>
      <c r="V40" s="40"/>
      <c r="W40" s="19"/>
      <c r="X40" s="19"/>
    </row>
    <row r="41" spans="1:26" ht="15" customHeight="1" x14ac:dyDescent="0.3">
      <c r="D41" s="19"/>
      <c r="E41" s="19"/>
      <c r="G41" s="19"/>
      <c r="H41" s="19"/>
      <c r="I41" s="19"/>
      <c r="J41" s="40"/>
      <c r="K41" s="19"/>
      <c r="L41" s="19"/>
      <c r="M41" s="19"/>
      <c r="P41" s="19"/>
      <c r="Q41" s="19"/>
      <c r="R41" s="40"/>
      <c r="S41" s="19"/>
      <c r="T41" s="19"/>
      <c r="U41" s="19"/>
      <c r="V41" s="40"/>
      <c r="W41" s="19"/>
      <c r="X41" s="19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19EB3F-C391-A301-9A66-761DDBA8AA54}">
  <sheetPr>
    <tabColor rgb="FFFFFF00"/>
    <outlinePr summaryBelow="0" summaryRight="0"/>
  </sheetPr>
  <dimension ref="A2:Z41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6" customWidth="1"/>
    <col min="2" max="2" width="33.44140625" style="66" customWidth="1"/>
    <col min="3" max="3" width="1.88671875" style="66" customWidth="1"/>
    <col min="4" max="4" width="15" style="66" customWidth="1"/>
    <col min="5" max="5" width="1.88671875" style="66" customWidth="1" outlineLevel="1"/>
    <col min="6" max="6" width="15" style="67" customWidth="1" outlineLevel="1"/>
    <col min="7" max="7" width="1.88671875" style="66" customWidth="1" outlineLevel="1"/>
    <col min="8" max="8" width="15" style="66" customWidth="1" outlineLevel="1"/>
    <col min="9" max="9" width="1.88671875" style="66" customWidth="1" outlineLevel="1"/>
    <col min="10" max="10" width="15" style="68" customWidth="1" outlineLevel="1"/>
    <col min="11" max="11" width="1.88671875" style="66" customWidth="1" outlineLevel="1"/>
    <col min="12" max="12" width="15" style="66" customWidth="1" outlineLevel="1"/>
    <col min="13" max="13" width="1.88671875" style="66" customWidth="1" outlineLevel="1"/>
    <col min="14" max="14" width="15" style="67" customWidth="1" outlineLevel="1"/>
    <col min="15" max="15" width="1.88671875" style="64" customWidth="1"/>
    <col min="16" max="16" width="15" style="66" customWidth="1"/>
    <col min="17" max="17" width="1.88671875" style="66" customWidth="1" outlineLevel="1"/>
    <col min="18" max="18" width="15" style="68" customWidth="1" outlineLevel="1"/>
    <col min="19" max="19" width="1.88671875" style="66" customWidth="1" outlineLevel="1"/>
    <col min="20" max="20" width="15" style="66" customWidth="1" outlineLevel="1"/>
    <col min="21" max="21" width="1.88671875" style="66" customWidth="1" outlineLevel="1"/>
    <col min="22" max="22" width="15" style="68" customWidth="1" outlineLevel="1"/>
    <col min="23" max="23" width="1.88671875" style="66" customWidth="1" outlineLevel="1"/>
    <col min="24" max="24" width="15" style="66" customWidth="1" outlineLevel="1"/>
    <col min="25" max="25" width="1.88671875" style="66" customWidth="1" outlineLevel="1"/>
    <col min="26" max="26" width="15" style="68" customWidth="1" outlineLevel="1"/>
  </cols>
  <sheetData>
    <row r="2" spans="1:26" ht="15" customHeight="1" x14ac:dyDescent="0.3">
      <c r="D2" s="54" t="s">
        <v>276</v>
      </c>
    </row>
    <row r="3" spans="1:26" ht="15" customHeight="1" x14ac:dyDescent="0.3">
      <c r="D3" s="54" t="s">
        <v>277</v>
      </c>
      <c r="E3" s="18"/>
      <c r="F3" s="44"/>
      <c r="G3" s="18"/>
      <c r="H3" s="18"/>
      <c r="I3" s="18"/>
      <c r="J3" s="38"/>
      <c r="K3" s="18"/>
      <c r="L3" s="18"/>
      <c r="M3" s="18"/>
      <c r="N3" s="44"/>
      <c r="O3" s="53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ht="15" customHeight="1" x14ac:dyDescent="0.3">
      <c r="D4" s="54" t="e">
        <f ca="1">CONCATENATE("Period ",RIGHT(_xll.ONESTOP.REPORTPLAYER.OSRFUNCTIONS.OSRGET("Period","PeriodId"),2),", ",_xll.ONESTOP.REPORTPLAYER.OSRFUNCTIONS.OSRGET("Period","Year"))</f>
        <v>#NAME?</v>
      </c>
      <c r="E4" s="18"/>
      <c r="F4" s="44"/>
      <c r="G4" s="18"/>
      <c r="H4" s="18"/>
      <c r="I4" s="18"/>
      <c r="J4" s="38"/>
      <c r="K4" s="18"/>
      <c r="L4" s="18"/>
      <c r="M4" s="18"/>
      <c r="N4" s="44"/>
      <c r="O4" s="53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ht="15" customHeight="1" x14ac:dyDescent="0.3">
      <c r="A5" s="24"/>
      <c r="D5" s="61" t="e">
        <f ca="1">_xll.ONESTOP.REPORTPLAYER.OSRFUNCTIONS.OSRGET("Period","PeriodEnd")</f>
        <v>#NAME?</v>
      </c>
      <c r="E5" s="18"/>
      <c r="F5" s="44"/>
      <c r="G5" s="18"/>
      <c r="H5" s="18"/>
      <c r="I5" s="18"/>
      <c r="J5" s="38"/>
      <c r="K5" s="18"/>
      <c r="L5" s="18"/>
      <c r="M5" s="18"/>
      <c r="N5" s="44"/>
      <c r="O5" s="53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ht="15" customHeight="1" x14ac:dyDescent="0.3">
      <c r="A6" s="24"/>
      <c r="B6" s="47"/>
      <c r="C6" s="47"/>
      <c r="D6" s="24" t="s">
        <v>307</v>
      </c>
      <c r="E6" s="18"/>
      <c r="F6" s="44"/>
      <c r="G6" s="18"/>
      <c r="H6" s="18"/>
      <c r="I6" s="18"/>
      <c r="J6" s="38"/>
      <c r="K6" s="18"/>
      <c r="L6" s="18"/>
      <c r="M6" s="18"/>
      <c r="N6" s="44"/>
      <c r="O6" s="59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ht="15" customHeight="1" x14ac:dyDescent="0.3">
      <c r="B7" s="52"/>
    </row>
    <row r="8" spans="1:26" ht="15" customHeight="1" x14ac:dyDescent="0.3">
      <c r="B8" s="52"/>
    </row>
    <row r="9" spans="1:26" ht="15" customHeight="1" x14ac:dyDescent="0.3">
      <c r="B9" s="10"/>
      <c r="C9" s="10"/>
      <c r="D9" s="17" t="s">
        <v>279</v>
      </c>
      <c r="E9" s="17"/>
      <c r="F9" s="36"/>
      <c r="G9" s="17"/>
      <c r="H9" s="17"/>
      <c r="I9" s="17"/>
      <c r="J9" s="43"/>
      <c r="K9" s="17"/>
      <c r="L9" s="17"/>
      <c r="M9" s="17"/>
      <c r="N9" s="36"/>
      <c r="P9" s="17" t="s">
        <v>280</v>
      </c>
      <c r="Q9" s="17"/>
      <c r="R9" s="36"/>
      <c r="S9" s="17"/>
      <c r="T9" s="17"/>
      <c r="U9" s="17"/>
      <c r="V9" s="43"/>
      <c r="W9" s="17"/>
      <c r="X9" s="17"/>
      <c r="Y9" s="17"/>
      <c r="Z9" s="36"/>
    </row>
    <row r="10" spans="1:26" ht="15" customHeight="1" x14ac:dyDescent="0.3">
      <c r="A10" s="11"/>
      <c r="B10" s="57"/>
      <c r="C10" s="11"/>
      <c r="D10" s="41" t="s">
        <v>281</v>
      </c>
      <c r="E10" s="33"/>
      <c r="F10" s="37" t="s">
        <v>282</v>
      </c>
      <c r="G10" s="33"/>
      <c r="H10" s="48" t="s">
        <v>283</v>
      </c>
      <c r="I10" s="33"/>
      <c r="J10" s="45" t="s">
        <v>284</v>
      </c>
      <c r="K10" s="11"/>
      <c r="L10" s="41" t="s">
        <v>285</v>
      </c>
      <c r="M10" s="11"/>
      <c r="N10" s="37" t="s">
        <v>286</v>
      </c>
      <c r="O10" s="11"/>
      <c r="P10" s="56" t="s">
        <v>281</v>
      </c>
      <c r="Q10" s="33"/>
      <c r="R10" s="37" t="s">
        <v>282</v>
      </c>
      <c r="S10" s="33"/>
      <c r="T10" s="48" t="s">
        <v>283</v>
      </c>
      <c r="U10" s="33"/>
      <c r="V10" s="45" t="s">
        <v>284</v>
      </c>
      <c r="W10" s="11"/>
      <c r="X10" s="41" t="s">
        <v>285</v>
      </c>
      <c r="Y10" s="11"/>
      <c r="Z10" s="37" t="s">
        <v>286</v>
      </c>
    </row>
    <row r="11" spans="1:26" ht="16.5" customHeight="1" x14ac:dyDescent="0.3">
      <c r="A11" s="10"/>
      <c r="B11" s="55"/>
      <c r="C11" s="10"/>
      <c r="D11" s="10"/>
      <c r="E11" s="10"/>
      <c r="F11" s="9"/>
      <c r="G11" s="10"/>
      <c r="H11" s="10"/>
      <c r="I11" s="10"/>
      <c r="J11" s="46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6"/>
      <c r="W11" s="10"/>
      <c r="X11" s="10"/>
      <c r="Y11" s="10"/>
      <c r="Z11" s="9"/>
    </row>
    <row r="12" spans="1:26" s="63" customFormat="1" ht="15" customHeight="1" collapsed="1" x14ac:dyDescent="0.3">
      <c r="A12" s="11"/>
      <c r="B12" s="28" t="s">
        <v>287</v>
      </c>
      <c r="C12" s="11"/>
      <c r="D12" s="5" t="e">
        <f ca="1">SUM(_xll.ONESTOP.REPORTPLAYER.OSRFUNCTIONS.OSRREF(D13))</f>
        <v>#NAME?</v>
      </c>
      <c r="E12" s="5"/>
      <c r="F12" s="13"/>
      <c r="G12" s="5"/>
      <c r="H12" s="5" t="e">
        <f ca="1">SUM(_xll.ONESTOP.REPORTPLAYER.OSRFUNCTIONS.OSRREF(H13))</f>
        <v>#NAME?</v>
      </c>
      <c r="I12" s="5"/>
      <c r="J12" s="13"/>
      <c r="K12" s="5"/>
      <c r="L12" s="5" t="e">
        <f ca="1">+D12-H12</f>
        <v>#NAME?</v>
      </c>
      <c r="M12" s="5"/>
      <c r="N12" s="13" t="e">
        <f ca="1">IF(H12=0,0,L12/H12)</f>
        <v>#NAME?</v>
      </c>
      <c r="O12" s="11"/>
      <c r="P12" s="5" t="e">
        <f ca="1">SUM(_xll.ONESTOP.REPORTPLAYER.OSRFUNCTIONS.OSRREF(P13))</f>
        <v>#NAME?</v>
      </c>
      <c r="Q12" s="5"/>
      <c r="R12" s="13"/>
      <c r="S12" s="5"/>
      <c r="T12" s="5" t="e">
        <f ca="1">SUM(_xll.ONESTOP.REPORTPLAYER.OSRFUNCTIONS.OSRREF(T13))</f>
        <v>#NAME?</v>
      </c>
      <c r="U12" s="5"/>
      <c r="V12" s="13"/>
      <c r="W12" s="5"/>
      <c r="X12" s="5" t="e">
        <f ca="1">+P12-T12</f>
        <v>#NAME?</v>
      </c>
      <c r="Y12" s="5"/>
      <c r="Z12" s="13" t="e">
        <f ca="1">IF(T12=0,0,X12/T12)</f>
        <v>#NAME?</v>
      </c>
    </row>
    <row r="13" spans="1:26" s="70" customFormat="1" ht="15" hidden="1" customHeight="1" outlineLevel="1" x14ac:dyDescent="0.3">
      <c r="A13" s="42"/>
      <c r="B13" s="12" t="e">
        <f ca="1">CONCATENATE("          ",_xll.ONESTOP.REPORTPLAYER.OSRFUNCTIONS.OSRGET("d_Account","Code")," - ",_xll.ONESTOP.REPORTPLAYER.OSRFUNCTIONS.OSRGET("d_Account","Description"))</f>
        <v>#NAME?</v>
      </c>
      <c r="C13" s="12"/>
      <c r="D13" s="3" t="e">
        <f ca="1">-_xll.ONESTOP.REPORTPLAYER.OSRFUNCTIONS.OSRGET("GL_F_Trans","Value1")</f>
        <v>#NAME?</v>
      </c>
      <c r="E13" s="3"/>
      <c r="F13" s="20"/>
      <c r="G13" s="3"/>
      <c r="H13" s="3" t="e">
        <f ca="1">_xll.ONESTOP.REPORTPLAYER.OSRFUNCTIONS.OSRGET("GL_F_Trans","Value1")</f>
        <v>#NAME?</v>
      </c>
      <c r="I13" s="3"/>
      <c r="J13" s="20"/>
      <c r="K13" s="3"/>
      <c r="L13" s="3" t="e">
        <f ca="1">+D13-H13</f>
        <v>#NAME?</v>
      </c>
      <c r="M13" s="3"/>
      <c r="N13" s="20" t="e">
        <f ca="1">IF(H13=0,0,L13/H13)</f>
        <v>#NAME?</v>
      </c>
      <c r="O13" s="12"/>
      <c r="P13" s="3" t="e">
        <f ca="1">-_xll.ONESTOP.REPORTPLAYER.OSRFUNCTIONS.OSRGET("GL_F_Trans","Value1")</f>
        <v>#NAME?</v>
      </c>
      <c r="Q13" s="3"/>
      <c r="R13" s="20"/>
      <c r="S13" s="3"/>
      <c r="T13" s="3" t="e">
        <f ca="1">_xll.ONESTOP.REPORTPLAYER.OSRFUNCTIONS.OSRGET("GL_F_Trans","Value1")</f>
        <v>#NAME?</v>
      </c>
      <c r="U13" s="3"/>
      <c r="V13" s="20"/>
      <c r="W13" s="3"/>
      <c r="X13" s="3" t="e">
        <f ca="1">+P13-T13</f>
        <v>#NAME?</v>
      </c>
      <c r="Y13" s="3"/>
      <c r="Z13" s="20" t="e">
        <f ca="1">IF(T13=0,0,X13/T13)</f>
        <v>#NAME?</v>
      </c>
    </row>
    <row r="14" spans="1:26" ht="15" customHeight="1" x14ac:dyDescent="0.3">
      <c r="A14" s="10"/>
      <c r="B14" s="11"/>
      <c r="C14" s="10"/>
      <c r="D14" s="4"/>
      <c r="E14" s="4"/>
      <c r="F14" s="9"/>
      <c r="G14" s="4"/>
      <c r="H14" s="4"/>
      <c r="I14" s="4"/>
      <c r="J14" s="9"/>
      <c r="K14" s="4"/>
      <c r="L14" s="4"/>
      <c r="M14" s="4"/>
      <c r="N14" s="9"/>
      <c r="P14" s="4"/>
      <c r="Q14" s="4"/>
      <c r="R14" s="9"/>
      <c r="S14" s="4"/>
      <c r="T14" s="4"/>
      <c r="U14" s="4"/>
      <c r="V14" s="9"/>
      <c r="W14" s="4"/>
      <c r="X14" s="4"/>
      <c r="Y14" s="4"/>
      <c r="Z14" s="9"/>
    </row>
    <row r="15" spans="1:26" s="63" customFormat="1" ht="15" customHeight="1" collapsed="1" x14ac:dyDescent="0.3">
      <c r="A15" s="11"/>
      <c r="B15" s="28" t="s">
        <v>288</v>
      </c>
      <c r="C15" s="11"/>
      <c r="D15" s="5" t="e">
        <f ca="1">SUM(_xll.ONESTOP.REPORTPLAYER.OSRFUNCTIONS.OSRREF(D16))</f>
        <v>#NAME?</v>
      </c>
      <c r="E15" s="5"/>
      <c r="F15" s="13" t="e">
        <f ca="1">IF(D$12=0,0,D15/D$12)</f>
        <v>#NAME?</v>
      </c>
      <c r="G15" s="5"/>
      <c r="H15" s="5" t="e">
        <f ca="1">SUM(_xll.ONESTOP.REPORTPLAYER.OSRFUNCTIONS.OSRREF(H16))</f>
        <v>#NAME?</v>
      </c>
      <c r="I15" s="5"/>
      <c r="J15" s="13" t="e">
        <f ca="1">IF(H$12=0,0,H15/H$12)</f>
        <v>#NAME?</v>
      </c>
      <c r="K15" s="5"/>
      <c r="L15" s="5" t="e">
        <f ca="1">+D15-H15</f>
        <v>#NAME?</v>
      </c>
      <c r="M15" s="5"/>
      <c r="N15" s="13" t="e">
        <f ca="1">IF(H15=0,0,L15/H15)</f>
        <v>#NAME?</v>
      </c>
      <c r="O15" s="11"/>
      <c r="P15" s="5" t="e">
        <f ca="1">SUM(_xll.ONESTOP.REPORTPLAYER.OSRFUNCTIONS.OSRREF(P16))</f>
        <v>#NAME?</v>
      </c>
      <c r="Q15" s="5"/>
      <c r="R15" s="13" t="e">
        <f ca="1">IF(P$12=0,0,P15/P$12)</f>
        <v>#NAME?</v>
      </c>
      <c r="S15" s="5"/>
      <c r="T15" s="5" t="e">
        <f ca="1">SUM(_xll.ONESTOP.REPORTPLAYER.OSRFUNCTIONS.OSRREF(T16))</f>
        <v>#NAME?</v>
      </c>
      <c r="U15" s="5"/>
      <c r="V15" s="13" t="e">
        <f ca="1">IF(T$12=0,0,T15/T$12)</f>
        <v>#NAME?</v>
      </c>
      <c r="W15" s="5"/>
      <c r="X15" s="5" t="e">
        <f ca="1">+P15-T15</f>
        <v>#NAME?</v>
      </c>
      <c r="Y15" s="5"/>
      <c r="Z15" s="13" t="e">
        <f ca="1">IF(T15=0,0,X15/T15)</f>
        <v>#NAME?</v>
      </c>
    </row>
    <row r="16" spans="1:26" s="70" customFormat="1" ht="15" hidden="1" customHeight="1" outlineLevel="1" x14ac:dyDescent="0.3">
      <c r="A16" s="42"/>
      <c r="B16" s="12" t="e">
        <f ca="1">CONCATENATE("          ",_xll.ONESTOP.REPORTPLAYER.OSRFUNCTIONS.OSRGET("d_Account","Code")," - ",_xll.ONESTOP.REPORTPLAYER.OSRFUNCTIONS.OSRGET("d_Account","Description"))</f>
        <v>#NAME?</v>
      </c>
      <c r="C16" s="12"/>
      <c r="D16" s="3" t="e">
        <f ca="1">_xll.ONESTOP.REPORTPLAYER.OSRFUNCTIONS.OSRGET("GL_F_Trans","Value1")</f>
        <v>#NAME?</v>
      </c>
      <c r="E16" s="3"/>
      <c r="F16" s="20" t="e">
        <f ca="1">IF(D$12=0,0,D16/D$12)</f>
        <v>#NAME?</v>
      </c>
      <c r="G16" s="3"/>
      <c r="H16" s="3" t="e">
        <f ca="1">_xll.ONESTOP.REPORTPLAYER.OSRFUNCTIONS.OSRGET("GL_F_Trans","Value1")</f>
        <v>#NAME?</v>
      </c>
      <c r="I16" s="3"/>
      <c r="J16" s="20" t="e">
        <f ca="1">IF(H$12=0,0,H16/H$12)</f>
        <v>#NAME?</v>
      </c>
      <c r="K16" s="3"/>
      <c r="L16" s="3" t="e">
        <f ca="1">+D16-H16</f>
        <v>#NAME?</v>
      </c>
      <c r="M16" s="3"/>
      <c r="N16" s="20" t="e">
        <f ca="1">IF(H16=0,0,L16/H16)</f>
        <v>#NAME?</v>
      </c>
      <c r="O16" s="12"/>
      <c r="P16" s="3" t="e">
        <f ca="1">_xll.ONESTOP.REPORTPLAYER.OSRFUNCTIONS.OSRGET("GL_F_Trans","Value1")</f>
        <v>#NAME?</v>
      </c>
      <c r="Q16" s="3"/>
      <c r="R16" s="20" t="e">
        <f ca="1">IF(P$12=0,0,P16/P$12)</f>
        <v>#NAME?</v>
      </c>
      <c r="S16" s="3"/>
      <c r="T16" s="3" t="e">
        <f ca="1">_xll.ONESTOP.REPORTPLAYER.OSRFUNCTIONS.OSRGET("GL_F_Trans","Value1")</f>
        <v>#NAME?</v>
      </c>
      <c r="U16" s="3"/>
      <c r="V16" s="20" t="e">
        <f ca="1">IF(T$12=0,0,T16/T$12)</f>
        <v>#NAME?</v>
      </c>
      <c r="W16" s="3"/>
      <c r="X16" s="3" t="e">
        <f ca="1">+P16-T16</f>
        <v>#NAME?</v>
      </c>
      <c r="Y16" s="3"/>
      <c r="Z16" s="20" t="e">
        <f ca="1">IF(T16=0,0,X16/T16)</f>
        <v>#NAME?</v>
      </c>
    </row>
    <row r="17" spans="1:26" ht="15" customHeight="1" x14ac:dyDescent="0.3">
      <c r="A17" s="10"/>
      <c r="B17" s="11"/>
      <c r="C17" s="11"/>
      <c r="D17" s="4"/>
      <c r="E17" s="4"/>
      <c r="F17" s="9"/>
      <c r="G17" s="4"/>
      <c r="H17" s="4"/>
      <c r="I17" s="4"/>
      <c r="J17" s="9"/>
      <c r="K17" s="4"/>
      <c r="L17" s="4"/>
      <c r="M17" s="4"/>
      <c r="N17" s="9"/>
      <c r="O17" s="11"/>
      <c r="P17" s="4"/>
      <c r="Q17" s="4"/>
      <c r="R17" s="9"/>
      <c r="S17" s="4"/>
      <c r="T17" s="4"/>
      <c r="U17" s="4"/>
      <c r="V17" s="9"/>
      <c r="W17" s="4"/>
      <c r="X17" s="4"/>
      <c r="Y17" s="4"/>
      <c r="Z17" s="9"/>
    </row>
    <row r="18" spans="1:26" s="63" customFormat="1" ht="15" customHeight="1" x14ac:dyDescent="0.3">
      <c r="A18" s="11"/>
      <c r="B18" s="27" t="s">
        <v>289</v>
      </c>
      <c r="C18" s="27"/>
      <c r="D18" s="21" t="e">
        <f ca="1">D12-D15</f>
        <v>#NAME?</v>
      </c>
      <c r="E18" s="15"/>
      <c r="F18" s="23" t="e">
        <f ca="1">IF(D$12=0,0,D18/D$12)</f>
        <v>#NAME?</v>
      </c>
      <c r="G18" s="15"/>
      <c r="H18" s="21" t="e">
        <f ca="1">H12-H15</f>
        <v>#NAME?</v>
      </c>
      <c r="I18" s="15"/>
      <c r="J18" s="23" t="e">
        <f ca="1">IF(H$12=0,0,H18/H$12)</f>
        <v>#NAME?</v>
      </c>
      <c r="K18" s="16"/>
      <c r="L18" s="21" t="e">
        <f ca="1">+D18-H18</f>
        <v>#NAME?</v>
      </c>
      <c r="M18" s="16"/>
      <c r="N18" s="23" t="e">
        <f ca="1">IF(H18=0,0,L18/H18)</f>
        <v>#NAME?</v>
      </c>
      <c r="O18" s="28"/>
      <c r="P18" s="21" t="e">
        <f ca="1">P12-P15</f>
        <v>#NAME?</v>
      </c>
      <c r="Q18" s="15"/>
      <c r="R18" s="23" t="e">
        <f ca="1">IF(P$12=0,0,P18/P$12)</f>
        <v>#NAME?</v>
      </c>
      <c r="S18" s="15"/>
      <c r="T18" s="21" t="e">
        <f ca="1">T12-T15</f>
        <v>#NAME?</v>
      </c>
      <c r="U18" s="15"/>
      <c r="V18" s="23" t="e">
        <f ca="1">IF(T$12=0,0,T18/T$12)</f>
        <v>#NAME?</v>
      </c>
      <c r="W18" s="16"/>
      <c r="X18" s="21" t="e">
        <f ca="1">+P18-T18</f>
        <v>#NAME?</v>
      </c>
      <c r="Y18" s="16"/>
      <c r="Z18" s="23" t="e">
        <f ca="1">IF(T18=0,0,X18/T18)</f>
        <v>#NAME?</v>
      </c>
    </row>
    <row r="19" spans="1:26" ht="15" customHeight="1" x14ac:dyDescent="0.3">
      <c r="A19" s="10"/>
      <c r="B19" s="11"/>
      <c r="C19" s="10"/>
      <c r="D19" s="2"/>
      <c r="E19" s="2"/>
      <c r="F19" s="6"/>
      <c r="G19" s="2"/>
      <c r="H19" s="2"/>
      <c r="I19" s="2"/>
      <c r="J19" s="6"/>
      <c r="K19" s="2"/>
      <c r="L19" s="2"/>
      <c r="M19" s="2"/>
      <c r="N19" s="6"/>
      <c r="O19" s="35"/>
      <c r="P19" s="2"/>
      <c r="Q19" s="2"/>
      <c r="R19" s="6"/>
      <c r="S19" s="2"/>
      <c r="T19" s="2"/>
      <c r="U19" s="2"/>
      <c r="V19" s="6"/>
      <c r="W19" s="2"/>
      <c r="X19" s="2"/>
      <c r="Y19" s="2"/>
      <c r="Z19" s="6"/>
    </row>
    <row r="20" spans="1:26" s="63" customFormat="1" ht="15" customHeight="1" x14ac:dyDescent="0.3">
      <c r="A20" s="11"/>
      <c r="B20" s="28" t="s">
        <v>290</v>
      </c>
      <c r="C20" s="11"/>
      <c r="D20" s="22" t="e">
        <f ca="1">SUM(_xll.ONESTOP.REPORTPLAYER.OSRFUNCTIONS.OSRREF(D22))</f>
        <v>#NAME?</v>
      </c>
      <c r="E20" s="22"/>
      <c r="F20" s="30" t="e">
        <f ca="1">IF(D$12=0,0,D20/D$12)</f>
        <v>#NAME?</v>
      </c>
      <c r="G20" s="22"/>
      <c r="H20" s="22" t="e">
        <f ca="1">SUM(_xll.ONESTOP.REPORTPLAYER.OSRFUNCTIONS.OSRREF(H22))</f>
        <v>#NAME?</v>
      </c>
      <c r="I20" s="22"/>
      <c r="J20" s="30" t="e">
        <f ca="1">IF(H$12=0,0,H20/H$12)</f>
        <v>#NAME?</v>
      </c>
      <c r="K20" s="5"/>
      <c r="L20" s="22" t="e">
        <f ca="1">+D20-H20</f>
        <v>#NAME?</v>
      </c>
      <c r="M20" s="5"/>
      <c r="N20" s="30" t="e">
        <f ca="1">IF(H20=0,0,L20/H20)</f>
        <v>#NAME?</v>
      </c>
      <c r="O20" s="11"/>
      <c r="P20" s="22" t="e">
        <f ca="1">SUM(_xll.ONESTOP.REPORTPLAYER.OSRFUNCTIONS.OSRREF(P22))</f>
        <v>#NAME?</v>
      </c>
      <c r="Q20" s="22"/>
      <c r="R20" s="30" t="e">
        <f ca="1">IF(P$12=0,0,P20/P$12)</f>
        <v>#NAME?</v>
      </c>
      <c r="S20" s="22"/>
      <c r="T20" s="22" t="e">
        <f ca="1">SUM(_xll.ONESTOP.REPORTPLAYER.OSRFUNCTIONS.OSRREF(T22))</f>
        <v>#NAME?</v>
      </c>
      <c r="U20" s="22"/>
      <c r="V20" s="30" t="e">
        <f ca="1">IF(T$12=0,0,T20/T$12)</f>
        <v>#NAME?</v>
      </c>
      <c r="W20" s="5"/>
      <c r="X20" s="22" t="e">
        <f ca="1">+P20-T20</f>
        <v>#NAME?</v>
      </c>
      <c r="Y20" s="5"/>
      <c r="Z20" s="30" t="e">
        <f ca="1">IF(T20=0,0,X20/T20)</f>
        <v>#NAME?</v>
      </c>
    </row>
    <row r="21" spans="1:26" s="69" customFormat="1" ht="15" customHeight="1" outlineLevel="1" collapsed="1" x14ac:dyDescent="0.3">
      <c r="A21" s="25"/>
      <c r="B21" s="14" t="e">
        <f ca="1">CONCATENATE("     ",_xll.ONESTOP.REPORTPLAYER.OSRFUNCTIONS.OSRGET("d_Account","AccountCategory"))</f>
        <v>#NAME?</v>
      </c>
      <c r="C21" s="14"/>
      <c r="D21" s="2" t="e">
        <f ca="1">SUM(_xll.ONESTOP.REPORTPLAYER.OSRFUNCTIONS.OSRREF(D22))</f>
        <v>#NAME?</v>
      </c>
      <c r="E21" s="2"/>
      <c r="F21" s="6" t="e">
        <f ca="1">IF(D$12=0,0,D21/D$12)</f>
        <v>#NAME?</v>
      </c>
      <c r="G21" s="2"/>
      <c r="H21" s="2" t="e">
        <f ca="1">SUM(_xll.ONESTOP.REPORTPLAYER.OSRFUNCTIONS.OSRREF(H22))</f>
        <v>#NAME?</v>
      </c>
      <c r="I21" s="2"/>
      <c r="J21" s="6" t="e">
        <f ca="1">IF(H$12=0,0,H21/H$12)</f>
        <v>#NAME?</v>
      </c>
      <c r="K21" s="2"/>
      <c r="L21" s="2" t="e">
        <f ca="1">+D21-H21</f>
        <v>#NAME?</v>
      </c>
      <c r="M21" s="2"/>
      <c r="N21" s="6" t="e">
        <f ca="1">IF(H21=0,0,L21/H21)</f>
        <v>#NAME?</v>
      </c>
      <c r="O21" s="14"/>
      <c r="P21" s="2" t="e">
        <f ca="1">SUM(_xll.ONESTOP.REPORTPLAYER.OSRFUNCTIONS.OSRREF(P22))</f>
        <v>#NAME?</v>
      </c>
      <c r="Q21" s="2"/>
      <c r="R21" s="6" t="e">
        <f ca="1">IF(P$12=0,0,P21/P$12)</f>
        <v>#NAME?</v>
      </c>
      <c r="S21" s="2"/>
      <c r="T21" s="2" t="e">
        <f ca="1">SUM(_xll.ONESTOP.REPORTPLAYER.OSRFUNCTIONS.OSRREF(T22))</f>
        <v>#NAME?</v>
      </c>
      <c r="U21" s="2"/>
      <c r="V21" s="6" t="e">
        <f ca="1">IF(T$12=0,0,T21/T$12)</f>
        <v>#NAME?</v>
      </c>
      <c r="W21" s="2"/>
      <c r="X21" s="2" t="e">
        <f ca="1">+P21-T21</f>
        <v>#NAME?</v>
      </c>
      <c r="Y21" s="2"/>
      <c r="Z21" s="6" t="e">
        <f ca="1">IF(T21=0,0,X21/T21)</f>
        <v>#NAME?</v>
      </c>
    </row>
    <row r="22" spans="1:26" s="70" customFormat="1" ht="15" hidden="1" customHeight="1" outlineLevel="2" x14ac:dyDescent="0.3">
      <c r="A22" s="26"/>
      <c r="B22" s="12" t="e">
        <f ca="1">CONCATENATE("          ",_xll.ONESTOP.REPORTPLAYER.OSRFUNCTIONS.OSRGET("d_Account","Code")," - ",_xll.ONESTOP.REPORTPLAYER.OSRFUNCTIONS.OSRGET("d_Account","Description"))</f>
        <v>#NAME?</v>
      </c>
      <c r="C22" s="12"/>
      <c r="D22" s="7" t="e">
        <f ca="1">_xll.ONESTOP.REPORTPLAYER.OSRFUNCTIONS.OSRGET("GL_F_Trans","Value1")</f>
        <v>#NAME?</v>
      </c>
      <c r="E22" s="3"/>
      <c r="F22" s="8" t="e">
        <f ca="1">IF(D$12=0,0,D22/D$12)</f>
        <v>#NAME?</v>
      </c>
      <c r="G22" s="3"/>
      <c r="H22" s="7" t="e">
        <f ca="1">_xll.ONESTOP.REPORTPLAYER.OSRFUNCTIONS.OSRGET("GL_F_Trans","Value1")</f>
        <v>#NAME?</v>
      </c>
      <c r="I22" s="3"/>
      <c r="J22" s="8" t="e">
        <f ca="1">IF(H$12=0,0,H22/H$12)</f>
        <v>#NAME?</v>
      </c>
      <c r="K22" s="3"/>
      <c r="L22" s="7" t="e">
        <f ca="1">+D22-H22</f>
        <v>#NAME?</v>
      </c>
      <c r="M22" s="3"/>
      <c r="N22" s="8" t="e">
        <f ca="1">IF(H22=0,0,L22/H22)</f>
        <v>#NAME?</v>
      </c>
      <c r="O22" s="12"/>
      <c r="P22" s="7" t="e">
        <f ca="1">_xll.ONESTOP.REPORTPLAYER.OSRFUNCTIONS.OSRGET("GL_F_Trans","Value1")</f>
        <v>#NAME?</v>
      </c>
      <c r="Q22" s="3"/>
      <c r="R22" s="8" t="e">
        <f ca="1">IF(P$12=0,0,P22/P$12)</f>
        <v>#NAME?</v>
      </c>
      <c r="S22" s="3"/>
      <c r="T22" s="7" t="e">
        <f ca="1">_xll.ONESTOP.REPORTPLAYER.OSRFUNCTIONS.OSRGET("GL_F_Trans","Value1")</f>
        <v>#NAME?</v>
      </c>
      <c r="U22" s="3"/>
      <c r="V22" s="8" t="e">
        <f ca="1">IF(T$12=0,0,T22/T$12)</f>
        <v>#NAME?</v>
      </c>
      <c r="W22" s="3"/>
      <c r="X22" s="7" t="e">
        <f ca="1">+P22-T22</f>
        <v>#NAME?</v>
      </c>
      <c r="Y22" s="3"/>
      <c r="Z22" s="8" t="e">
        <f ca="1">IF(T22=0,0,X22/T22)</f>
        <v>#NAME?</v>
      </c>
    </row>
    <row r="23" spans="1:26" s="65" customFormat="1" ht="15" customHeight="1" x14ac:dyDescent="0.3">
      <c r="A23" s="35"/>
      <c r="B23" s="35"/>
      <c r="C23" s="35"/>
      <c r="D23" s="2"/>
      <c r="E23" s="2"/>
      <c r="F23" s="6"/>
      <c r="G23" s="2"/>
      <c r="H23" s="2"/>
      <c r="I23" s="2"/>
      <c r="J23" s="6"/>
      <c r="K23" s="2"/>
      <c r="L23" s="2"/>
      <c r="M23" s="2"/>
      <c r="N23" s="6"/>
      <c r="O23" s="35"/>
      <c r="P23" s="2"/>
      <c r="Q23" s="2"/>
      <c r="R23" s="6"/>
      <c r="S23" s="2"/>
      <c r="T23" s="2"/>
      <c r="U23" s="2"/>
      <c r="V23" s="6"/>
      <c r="W23" s="2"/>
      <c r="X23" s="2"/>
      <c r="Y23" s="2"/>
      <c r="Z23" s="6"/>
    </row>
    <row r="24" spans="1:26" s="63" customFormat="1" ht="15" customHeight="1" collapsed="1" x14ac:dyDescent="0.3">
      <c r="A24" s="11"/>
      <c r="B24" s="28" t="s">
        <v>291</v>
      </c>
      <c r="C24" s="11"/>
      <c r="D24" s="5" t="e">
        <f ca="1">SUM(_xll.ONESTOP.REPORTPLAYER.OSRFUNCTIONS.OSRREF(D25))</f>
        <v>#NAME?</v>
      </c>
      <c r="E24" s="5"/>
      <c r="F24" s="13" t="e">
        <f ca="1">IF(D$12=0,0,D24/D$12)</f>
        <v>#NAME?</v>
      </c>
      <c r="G24" s="5"/>
      <c r="H24" s="5" t="e">
        <f ca="1">SUM(_xll.ONESTOP.REPORTPLAYER.OSRFUNCTIONS.OSRREF(H25))</f>
        <v>#NAME?</v>
      </c>
      <c r="I24" s="5"/>
      <c r="J24" s="13" t="e">
        <f ca="1">IF(H$12=0,0,H24/H$12)</f>
        <v>#NAME?</v>
      </c>
      <c r="K24" s="5"/>
      <c r="L24" s="5" t="e">
        <f ca="1">+D24-H24</f>
        <v>#NAME?</v>
      </c>
      <c r="M24" s="5"/>
      <c r="N24" s="13" t="e">
        <f ca="1">IF(H24=0,0,L24/H24)</f>
        <v>#NAME?</v>
      </c>
      <c r="O24" s="11"/>
      <c r="P24" s="5" t="e">
        <f ca="1">SUM(_xll.ONESTOP.REPORTPLAYER.OSRFUNCTIONS.OSRREF(P25))</f>
        <v>#NAME?</v>
      </c>
      <c r="Q24" s="5"/>
      <c r="R24" s="13" t="e">
        <f ca="1">IF(P$12=0,0,P24/P$12)</f>
        <v>#NAME?</v>
      </c>
      <c r="S24" s="5"/>
      <c r="T24" s="5" t="e">
        <f ca="1">SUM(_xll.ONESTOP.REPORTPLAYER.OSRFUNCTIONS.OSRREF(T25))</f>
        <v>#NAME?</v>
      </c>
      <c r="U24" s="5"/>
      <c r="V24" s="13" t="e">
        <f ca="1">IF(T$12=0,0,T24/T$12)</f>
        <v>#NAME?</v>
      </c>
      <c r="W24" s="5"/>
      <c r="X24" s="5" t="e">
        <f ca="1">+P24-T24</f>
        <v>#NAME?</v>
      </c>
      <c r="Y24" s="5"/>
      <c r="Z24" s="13" t="e">
        <f ca="1">IF(T24=0,0,X24/T24)</f>
        <v>#NAME?</v>
      </c>
    </row>
    <row r="25" spans="1:26" s="70" customFormat="1" ht="15" hidden="1" customHeight="1" outlineLevel="1" x14ac:dyDescent="0.3">
      <c r="A25" s="42"/>
      <c r="B25" s="12" t="e">
        <f ca="1">CONCATENATE("          ",_xll.ONESTOP.REPORTPLAYER.OSRFUNCTIONS.OSRGET("d_Account","Code")," - ",_xll.ONESTOP.REPORTPLAYER.OSRFUNCTIONS.OSRGET("d_Account","Description"))</f>
        <v>#NAME?</v>
      </c>
      <c r="C25" s="12"/>
      <c r="D25" s="3" t="e">
        <f ca="1">-_xll.ONESTOP.REPORTPLAYER.OSRFUNCTIONS.OSRGET("GL_F_Trans","Value1")</f>
        <v>#NAME?</v>
      </c>
      <c r="E25" s="3"/>
      <c r="F25" s="20" t="e">
        <f ca="1">IF(D$12=0,0,D25/D$12)</f>
        <v>#NAME?</v>
      </c>
      <c r="G25" s="3"/>
      <c r="H25" s="3" t="e">
        <f ca="1">_xll.ONESTOP.REPORTPLAYER.OSRFUNCTIONS.OSRGET("GL_F_Trans","Value1")</f>
        <v>#NAME?</v>
      </c>
      <c r="I25" s="3"/>
      <c r="J25" s="20" t="e">
        <f ca="1">IF(H$12=0,0,H25/H$12)</f>
        <v>#NAME?</v>
      </c>
      <c r="K25" s="3"/>
      <c r="L25" s="3" t="e">
        <f ca="1">+D25-H25</f>
        <v>#NAME?</v>
      </c>
      <c r="M25" s="3"/>
      <c r="N25" s="20" t="e">
        <f ca="1">IF(H25=0,0,L25/H25)</f>
        <v>#NAME?</v>
      </c>
      <c r="O25" s="12"/>
      <c r="P25" s="3" t="e">
        <f ca="1">-_xll.ONESTOP.REPORTPLAYER.OSRFUNCTIONS.OSRGET("GL_F_Trans","Value1")</f>
        <v>#NAME?</v>
      </c>
      <c r="Q25" s="3"/>
      <c r="R25" s="20" t="e">
        <f ca="1">IF(P$12=0,0,P25/P$12)</f>
        <v>#NAME?</v>
      </c>
      <c r="S25" s="3"/>
      <c r="T25" s="3" t="e">
        <f ca="1">_xll.ONESTOP.REPORTPLAYER.OSRFUNCTIONS.OSRGET("GL_F_Trans","Value1")</f>
        <v>#NAME?</v>
      </c>
      <c r="U25" s="3"/>
      <c r="V25" s="20" t="e">
        <f ca="1">IF(T$12=0,0,T25/T$12)</f>
        <v>#NAME?</v>
      </c>
      <c r="W25" s="3"/>
      <c r="X25" s="3" t="e">
        <f ca="1">+P25-T25</f>
        <v>#NAME?</v>
      </c>
      <c r="Y25" s="3"/>
      <c r="Z25" s="20" t="e">
        <f ca="1">IF(T25=0,0,X25/T25)</f>
        <v>#NAME?</v>
      </c>
    </row>
    <row r="26" spans="1:26" ht="15" customHeight="1" x14ac:dyDescent="0.3">
      <c r="A26" s="10"/>
      <c r="B26" s="11"/>
      <c r="C26" s="11"/>
      <c r="D26" s="4"/>
      <c r="E26" s="4"/>
      <c r="F26" s="9"/>
      <c r="G26" s="4"/>
      <c r="H26" s="4"/>
      <c r="I26" s="4"/>
      <c r="J26" s="9"/>
      <c r="K26" s="4"/>
      <c r="L26" s="4"/>
      <c r="M26" s="4"/>
      <c r="N26" s="9"/>
      <c r="O26" s="11"/>
      <c r="P26" s="4"/>
      <c r="Q26" s="4"/>
      <c r="R26" s="9"/>
      <c r="S26" s="4"/>
      <c r="T26" s="4"/>
      <c r="U26" s="4"/>
      <c r="V26" s="9"/>
      <c r="W26" s="4"/>
      <c r="X26" s="4"/>
      <c r="Y26" s="4"/>
      <c r="Z26" s="9"/>
    </row>
    <row r="27" spans="1:26" s="63" customFormat="1" ht="15" customHeight="1" x14ac:dyDescent="0.3">
      <c r="A27" s="11"/>
      <c r="B27" s="27" t="s">
        <v>292</v>
      </c>
      <c r="C27" s="27"/>
      <c r="D27" s="21" t="e">
        <f ca="1">+D18-D20+D24</f>
        <v>#NAME?</v>
      </c>
      <c r="E27" s="15"/>
      <c r="F27" s="23" t="e">
        <f ca="1">IF(D$12=0,0,D27/D$12)</f>
        <v>#NAME?</v>
      </c>
      <c r="G27" s="15"/>
      <c r="H27" s="21" t="e">
        <f ca="1">+H18-H20+H24</f>
        <v>#NAME?</v>
      </c>
      <c r="I27" s="15"/>
      <c r="J27" s="23" t="e">
        <f ca="1">IF(H$12=0,0,H27/H$12)</f>
        <v>#NAME?</v>
      </c>
      <c r="K27" s="16"/>
      <c r="L27" s="21" t="e">
        <f ca="1">+D27-H27</f>
        <v>#NAME?</v>
      </c>
      <c r="M27" s="16"/>
      <c r="N27" s="23" t="e">
        <f ca="1">IF(H27=0,0,L27/H27)</f>
        <v>#NAME?</v>
      </c>
      <c r="O27" s="28"/>
      <c r="P27" s="21" t="e">
        <f ca="1">+P18-P20+P24</f>
        <v>#NAME?</v>
      </c>
      <c r="Q27" s="15"/>
      <c r="R27" s="23" t="e">
        <f ca="1">IF(P$12=0,0,P27/P$12)</f>
        <v>#NAME?</v>
      </c>
      <c r="S27" s="15"/>
      <c r="T27" s="21" t="e">
        <f ca="1">+T18-T20+T24</f>
        <v>#NAME?</v>
      </c>
      <c r="U27" s="15"/>
      <c r="V27" s="23" t="e">
        <f ca="1">IF(T$12=0,0,T27/T$12)</f>
        <v>#NAME?</v>
      </c>
      <c r="W27" s="16"/>
      <c r="X27" s="21" t="e">
        <f ca="1">+P27-T27</f>
        <v>#NAME?</v>
      </c>
      <c r="Y27" s="16"/>
      <c r="Z27" s="23" t="e">
        <f ca="1">IF(T27=0,0,X27/T27)</f>
        <v>#NAME?</v>
      </c>
    </row>
    <row r="28" spans="1:26" ht="15" customHeight="1" x14ac:dyDescent="0.3">
      <c r="A28" s="10"/>
      <c r="B28" s="11"/>
      <c r="C28" s="10"/>
      <c r="D28" s="4"/>
      <c r="E28" s="4"/>
      <c r="F28" s="9"/>
      <c r="G28" s="4"/>
      <c r="H28" s="4"/>
      <c r="I28" s="4"/>
      <c r="J28" s="9"/>
      <c r="K28" s="4"/>
      <c r="L28" s="4"/>
      <c r="M28" s="4"/>
      <c r="N28" s="9"/>
      <c r="P28" s="4"/>
      <c r="Q28" s="4"/>
      <c r="R28" s="9"/>
      <c r="S28" s="4"/>
      <c r="T28" s="4"/>
      <c r="U28" s="4"/>
      <c r="V28" s="9"/>
      <c r="W28" s="4"/>
      <c r="X28" s="4"/>
      <c r="Y28" s="4"/>
      <c r="Z28" s="9"/>
    </row>
    <row r="29" spans="1:26" s="63" customFormat="1" ht="15" customHeight="1" x14ac:dyDescent="0.3">
      <c r="A29" s="49"/>
      <c r="B29" s="11" t="s">
        <v>293</v>
      </c>
      <c r="C29" s="11"/>
      <c r="D29" s="5" t="e">
        <f ca="1">_xll.ONESTOP.REPORTPLAYER.OSRFUNCTIONS.OSRGET("GL_F_Trans","Value1")</f>
        <v>#NAME?</v>
      </c>
      <c r="E29" s="5"/>
      <c r="F29" s="13" t="e">
        <f ca="1">IF(D$12=0,0,D29/D$12)</f>
        <v>#NAME?</v>
      </c>
      <c r="G29" s="5"/>
      <c r="H29" s="5" t="e">
        <f ca="1">_xll.ONESTOP.REPORTPLAYER.OSRFUNCTIONS.OSRGET("GL_F_Trans","Value1")</f>
        <v>#NAME?</v>
      </c>
      <c r="I29" s="5"/>
      <c r="J29" s="13" t="e">
        <f ca="1">IF(H$12=0,0,H29/H$12)</f>
        <v>#NAME?</v>
      </c>
      <c r="K29" s="5"/>
      <c r="L29" s="5" t="e">
        <f ca="1">+D29-H29</f>
        <v>#NAME?</v>
      </c>
      <c r="M29" s="5"/>
      <c r="N29" s="13" t="e">
        <f ca="1">IF(H29=0,0,L29/H29)</f>
        <v>#NAME?</v>
      </c>
      <c r="O29" s="11"/>
      <c r="P29" s="5" t="e">
        <f ca="1">_xll.ONESTOP.REPORTPLAYER.OSRFUNCTIONS.OSRGET("GL_F_Trans","Value1")</f>
        <v>#NAME?</v>
      </c>
      <c r="Q29" s="5"/>
      <c r="R29" s="13" t="e">
        <f ca="1">IF(P$12=0,0,P29/P$12)</f>
        <v>#NAME?</v>
      </c>
      <c r="S29" s="5"/>
      <c r="T29" s="5" t="e">
        <f ca="1">_xll.ONESTOP.REPORTPLAYER.OSRFUNCTIONS.OSRGET("GL_F_Trans","Value1")</f>
        <v>#NAME?</v>
      </c>
      <c r="U29" s="5"/>
      <c r="V29" s="13" t="e">
        <f ca="1">IF(T$12=0,0,T29/T$12)</f>
        <v>#NAME?</v>
      </c>
      <c r="W29" s="5"/>
      <c r="X29" s="5" t="e">
        <f ca="1">+P29-T29</f>
        <v>#NAME?</v>
      </c>
      <c r="Y29" s="5"/>
      <c r="Z29" s="13" t="e">
        <f ca="1">IF(T29=0,0,X29/T29)</f>
        <v>#NAME?</v>
      </c>
    </row>
    <row r="30" spans="1:26" ht="15" customHeight="1" x14ac:dyDescent="0.3">
      <c r="A30" s="10"/>
      <c r="B30" s="11"/>
      <c r="C30" s="11"/>
      <c r="D30" s="4"/>
      <c r="E30" s="4"/>
      <c r="F30" s="9"/>
      <c r="G30" s="4"/>
      <c r="H30" s="4"/>
      <c r="I30" s="4"/>
      <c r="J30" s="9"/>
      <c r="K30" s="4"/>
      <c r="L30" s="4"/>
      <c r="M30" s="4"/>
      <c r="N30" s="9"/>
      <c r="O30" s="11"/>
      <c r="P30" s="4"/>
      <c r="Q30" s="4"/>
      <c r="R30" s="9"/>
      <c r="S30" s="4"/>
      <c r="T30" s="4"/>
      <c r="U30" s="4"/>
      <c r="V30" s="9"/>
      <c r="W30" s="4"/>
      <c r="X30" s="4"/>
      <c r="Y30" s="4"/>
      <c r="Z30" s="9"/>
    </row>
    <row r="31" spans="1:26" s="63" customFormat="1" ht="15" customHeight="1" x14ac:dyDescent="0.3">
      <c r="A31" s="11"/>
      <c r="B31" s="27" t="s">
        <v>294</v>
      </c>
      <c r="C31" s="27"/>
      <c r="D31" s="34" t="e">
        <f ca="1">+D27-D29</f>
        <v>#NAME?</v>
      </c>
      <c r="E31" s="15"/>
      <c r="F31" s="29" t="e">
        <f ca="1">IF(D$12=0,0,D31/D$12)</f>
        <v>#NAME?</v>
      </c>
      <c r="G31" s="15"/>
      <c r="H31" s="34" t="e">
        <f ca="1">+H27-H29</f>
        <v>#NAME?</v>
      </c>
      <c r="I31" s="15"/>
      <c r="J31" s="29" t="e">
        <f ca="1">IF(H$12=0,0,H31/H$12)</f>
        <v>#NAME?</v>
      </c>
      <c r="K31" s="16"/>
      <c r="L31" s="34" t="e">
        <f ca="1">D31-H31</f>
        <v>#NAME?</v>
      </c>
      <c r="M31" s="16"/>
      <c r="N31" s="29" t="e">
        <f ca="1">IF(H31=0,0,L31/H31)</f>
        <v>#NAME?</v>
      </c>
      <c r="O31" s="28"/>
      <c r="P31" s="34" t="e">
        <f ca="1">+P27-P29</f>
        <v>#NAME?</v>
      </c>
      <c r="Q31" s="15"/>
      <c r="R31" s="29" t="e">
        <f ca="1">IF(P$12=0,0,P31/P$12)</f>
        <v>#NAME?</v>
      </c>
      <c r="S31" s="15"/>
      <c r="T31" s="34" t="e">
        <f ca="1">+T27-T29</f>
        <v>#NAME?</v>
      </c>
      <c r="U31" s="15"/>
      <c r="V31" s="29" t="e">
        <f ca="1">IF(T$12=0,0,T31/T$12)</f>
        <v>#NAME?</v>
      </c>
      <c r="W31" s="16"/>
      <c r="X31" s="34" t="e">
        <f ca="1">P31-T31</f>
        <v>#NAME?</v>
      </c>
      <c r="Y31" s="16"/>
      <c r="Z31" s="29" t="e">
        <f ca="1">IF(T31=0,0,X31/T31)</f>
        <v>#NAME?</v>
      </c>
    </row>
    <row r="32" spans="1:26" ht="15" customHeight="1" x14ac:dyDescent="0.3">
      <c r="A32" s="10"/>
      <c r="B32" s="10"/>
      <c r="C32" s="10"/>
      <c r="D32" s="4"/>
      <c r="E32" s="4"/>
      <c r="F32" s="9"/>
      <c r="G32" s="4"/>
      <c r="H32" s="4"/>
      <c r="I32" s="4"/>
      <c r="J32" s="9"/>
      <c r="K32" s="4"/>
      <c r="L32" s="4"/>
      <c r="M32" s="4"/>
      <c r="N32" s="9"/>
      <c r="P32" s="4"/>
      <c r="Q32" s="4"/>
      <c r="R32" s="9"/>
      <c r="S32" s="4"/>
      <c r="T32" s="4"/>
      <c r="U32" s="4"/>
      <c r="V32" s="9"/>
      <c r="W32" s="4"/>
      <c r="X32" s="4"/>
      <c r="Y32" s="4"/>
      <c r="Z32" s="9"/>
    </row>
    <row r="33" spans="1:26" s="63" customFormat="1" ht="15" customHeight="1" x14ac:dyDescent="0.3">
      <c r="A33" s="49"/>
      <c r="B33" s="11" t="s">
        <v>295</v>
      </c>
      <c r="C33" s="11"/>
      <c r="D33" s="5" t="e">
        <f ca="1">-_xll.ONESTOP.REPORTPLAYER.OSRFUNCTIONS.OSRGET("GL_F_Trans","Value1")</f>
        <v>#NAME?</v>
      </c>
      <c r="E33" s="5"/>
      <c r="F33" s="13" t="e">
        <f ca="1">IF(D$12=0,0,D33/D$12)</f>
        <v>#NAME?</v>
      </c>
      <c r="G33" s="5"/>
      <c r="H33" s="5" t="e">
        <f ca="1">-_xll.ONESTOP.REPORTPLAYER.OSRFUNCTIONS.OSRGET("GL_F_Trans","Value1")</f>
        <v>#NAME?</v>
      </c>
      <c r="I33" s="5"/>
      <c r="J33" s="13" t="e">
        <f ca="1">IF(H$12=0,0,H33/H$12)</f>
        <v>#NAME?</v>
      </c>
      <c r="K33" s="5"/>
      <c r="L33" s="5" t="e">
        <f ca="1">+D33-H33</f>
        <v>#NAME?</v>
      </c>
      <c r="M33" s="5"/>
      <c r="N33" s="13" t="e">
        <f ca="1">IF(H33=0,0,L33/H33)</f>
        <v>#NAME?</v>
      </c>
      <c r="O33" s="11"/>
      <c r="P33" s="5" t="e">
        <f ca="1">-_xll.ONESTOP.REPORTPLAYER.OSRFUNCTIONS.OSRGET("GL_F_Trans","Value1")</f>
        <v>#NAME?</v>
      </c>
      <c r="Q33" s="5"/>
      <c r="R33" s="13" t="e">
        <f ca="1">IF(P$12=0,0,P33/P$12)</f>
        <v>#NAME?</v>
      </c>
      <c r="S33" s="5"/>
      <c r="T33" s="5" t="e">
        <f ca="1">-_xll.ONESTOP.REPORTPLAYER.OSRFUNCTIONS.OSRGET("GL_F_Trans","Value1")</f>
        <v>#NAME?</v>
      </c>
      <c r="U33" s="5"/>
      <c r="V33" s="13" t="e">
        <f ca="1">IF(T$12=0,0,T33/T$12)</f>
        <v>#NAME?</v>
      </c>
      <c r="W33" s="5"/>
      <c r="X33" s="5" t="e">
        <f ca="1">+P33-T33</f>
        <v>#NAME?</v>
      </c>
      <c r="Y33" s="5"/>
      <c r="Z33" s="13" t="e">
        <f ca="1">IF(T33=0,0,X33/T33)</f>
        <v>#NAME?</v>
      </c>
    </row>
    <row r="34" spans="1:26" s="63" customFormat="1" ht="15" customHeight="1" x14ac:dyDescent="0.3">
      <c r="A34" s="49"/>
      <c r="B34" s="11" t="s">
        <v>296</v>
      </c>
      <c r="C34" s="11"/>
      <c r="D34" s="5" t="e">
        <f ca="1">-_xll.ONESTOP.REPORTPLAYER.OSRFUNCTIONS.OSRGET("GL_F_Trans","Value1")</f>
        <v>#NAME?</v>
      </c>
      <c r="E34" s="5"/>
      <c r="F34" s="13" t="e">
        <f ca="1">IF(D$12=0,0,D34/D$12)</f>
        <v>#NAME?</v>
      </c>
      <c r="G34" s="5"/>
      <c r="H34" s="5" t="e">
        <f ca="1">-_xll.ONESTOP.REPORTPLAYER.OSRFUNCTIONS.OSRGET("GL_F_Trans","Value1")</f>
        <v>#NAME?</v>
      </c>
      <c r="I34" s="5"/>
      <c r="J34" s="13" t="e">
        <f ca="1">IF(H$12=0,0,H34/H$12)</f>
        <v>#NAME?</v>
      </c>
      <c r="K34" s="5"/>
      <c r="L34" s="5" t="e">
        <f ca="1">+D34-H34</f>
        <v>#NAME?</v>
      </c>
      <c r="M34" s="5"/>
      <c r="N34" s="13" t="e">
        <f ca="1">IF(H34=0,0,L34/H34)</f>
        <v>#NAME?</v>
      </c>
      <c r="O34" s="11"/>
      <c r="P34" s="5" t="e">
        <f ca="1">-_xll.ONESTOP.REPORTPLAYER.OSRFUNCTIONS.OSRGET("GL_F_Trans","Value1")</f>
        <v>#NAME?</v>
      </c>
      <c r="Q34" s="5"/>
      <c r="R34" s="13" t="e">
        <f ca="1">IF(P$12=0,0,P34/P$12)</f>
        <v>#NAME?</v>
      </c>
      <c r="S34" s="5"/>
      <c r="T34" s="5" t="e">
        <f ca="1">-_xll.ONESTOP.REPORTPLAYER.OSRFUNCTIONS.OSRGET("GL_F_Trans","Value1")</f>
        <v>#NAME?</v>
      </c>
      <c r="U34" s="5"/>
      <c r="V34" s="13" t="e">
        <f ca="1">IF(T$12=0,0,T34/T$12)</f>
        <v>#NAME?</v>
      </c>
      <c r="W34" s="5"/>
      <c r="X34" s="5" t="e">
        <f ca="1">+P34-T34</f>
        <v>#NAME?</v>
      </c>
      <c r="Y34" s="5"/>
      <c r="Z34" s="13" t="e">
        <f ca="1">IF(T34=0,0,X34/T34)</f>
        <v>#NAME?</v>
      </c>
    </row>
    <row r="35" spans="1:26" ht="15" customHeight="1" x14ac:dyDescent="0.3">
      <c r="A35" s="10"/>
      <c r="B35" s="10"/>
      <c r="C35" s="10"/>
      <c r="D35" s="4"/>
      <c r="E35" s="4"/>
      <c r="F35" s="9"/>
      <c r="G35" s="4"/>
      <c r="H35" s="4"/>
      <c r="I35" s="4"/>
      <c r="J35" s="9"/>
      <c r="K35" s="4"/>
      <c r="L35" s="4"/>
      <c r="M35" s="4"/>
      <c r="N35" s="9"/>
      <c r="P35" s="4"/>
      <c r="Q35" s="4"/>
      <c r="R35" s="9"/>
      <c r="S35" s="4"/>
      <c r="T35" s="4"/>
      <c r="U35" s="4"/>
      <c r="V35" s="9"/>
      <c r="W35" s="4"/>
      <c r="X35" s="4"/>
      <c r="Y35" s="4"/>
      <c r="Z35" s="9"/>
    </row>
    <row r="36" spans="1:26" s="63" customFormat="1" ht="15" customHeight="1" x14ac:dyDescent="0.3">
      <c r="A36" s="11"/>
      <c r="B36" s="27" t="s">
        <v>297</v>
      </c>
      <c r="C36" s="27"/>
      <c r="D36" s="32" t="e">
        <f ca="1">SUM(D31:D35)</f>
        <v>#NAME?</v>
      </c>
      <c r="E36" s="15"/>
      <c r="F36" s="31" t="e">
        <f ca="1">IF(D$12=0,0,D36/D$12)</f>
        <v>#NAME?</v>
      </c>
      <c r="G36" s="15"/>
      <c r="H36" s="32" t="e">
        <f ca="1">SUM(H31:H35)</f>
        <v>#NAME?</v>
      </c>
      <c r="I36" s="15"/>
      <c r="J36" s="31" t="e">
        <f ca="1">IF(H$12=0,0,H36/H$12)</f>
        <v>#NAME?</v>
      </c>
      <c r="K36" s="16"/>
      <c r="L36" s="32" t="e">
        <f ca="1">+D36-H36</f>
        <v>#NAME?</v>
      </c>
      <c r="M36" s="16"/>
      <c r="N36" s="31" t="e">
        <f ca="1">IF(H36=0,0,L36/H36)</f>
        <v>#NAME?</v>
      </c>
      <c r="O36" s="28"/>
      <c r="P36" s="32" t="e">
        <f ca="1">SUM(P31:P35)</f>
        <v>#NAME?</v>
      </c>
      <c r="Q36" s="15"/>
      <c r="R36" s="31" t="e">
        <f ca="1">IF(P$12=0,0,P36/P$12)</f>
        <v>#NAME?</v>
      </c>
      <c r="S36" s="15"/>
      <c r="T36" s="32" t="e">
        <f ca="1">SUM(T31:T35)</f>
        <v>#NAME?</v>
      </c>
      <c r="U36" s="15"/>
      <c r="V36" s="31" t="e">
        <f ca="1">IF(T$12=0,0,T36/T$12)</f>
        <v>#NAME?</v>
      </c>
      <c r="W36" s="16"/>
      <c r="X36" s="32" t="e">
        <f ca="1">+P36-T36</f>
        <v>#NAME?</v>
      </c>
      <c r="Y36" s="16"/>
      <c r="Z36" s="31" t="e">
        <f ca="1">IF(T36=0,0,X36/T36)</f>
        <v>#NAME?</v>
      </c>
    </row>
    <row r="37" spans="1:26" ht="15" customHeight="1" x14ac:dyDescent="0.3">
      <c r="A37" s="10"/>
      <c r="C37" s="10"/>
      <c r="D37" s="19"/>
      <c r="E37" s="19"/>
      <c r="G37" s="19"/>
      <c r="H37" s="19"/>
      <c r="I37" s="19"/>
      <c r="J37" s="40"/>
      <c r="K37" s="19"/>
      <c r="L37" s="19"/>
      <c r="M37" s="19"/>
      <c r="P37" s="19"/>
      <c r="Q37" s="19"/>
      <c r="R37" s="40"/>
      <c r="S37" s="19"/>
      <c r="T37" s="19"/>
      <c r="U37" s="19"/>
      <c r="V37" s="40"/>
      <c r="W37" s="19"/>
      <c r="X37" s="19"/>
    </row>
    <row r="38" spans="1:26" ht="15" customHeight="1" x14ac:dyDescent="0.3">
      <c r="A38" s="10"/>
      <c r="B38" s="51" t="e">
        <f ca="1">_xll.ONESTOP.REPORTPLAYER.OSRFUNCTIONS.OSRGET("CurrentDate","Date")</f>
        <v>#NAME?</v>
      </c>
      <c r="D38" s="19"/>
      <c r="E38" s="19"/>
      <c r="G38" s="19"/>
      <c r="H38" s="19"/>
      <c r="I38" s="19"/>
      <c r="J38" s="40"/>
      <c r="K38" s="19"/>
      <c r="L38" s="19"/>
      <c r="M38" s="19"/>
      <c r="P38" s="19"/>
      <c r="Q38" s="19"/>
      <c r="R38" s="40"/>
      <c r="S38" s="19"/>
      <c r="T38" s="19"/>
      <c r="U38" s="19"/>
      <c r="V38" s="40"/>
      <c r="W38" s="19"/>
      <c r="X38" s="19"/>
    </row>
    <row r="39" spans="1:26" ht="15" customHeight="1" x14ac:dyDescent="0.3">
      <c r="A39" s="10"/>
      <c r="B39" s="58" t="e">
        <f ca="1">_xll.ONESTOP.REPORTPLAYER.OSRFUNCTIONS.OSRGET("User","UserId")</f>
        <v>#NAME?</v>
      </c>
      <c r="D39" s="19"/>
      <c r="E39" s="19"/>
      <c r="G39" s="19"/>
      <c r="H39" s="19"/>
      <c r="I39" s="19"/>
      <c r="J39" s="40"/>
      <c r="K39" s="19"/>
      <c r="L39" s="19"/>
      <c r="M39" s="19"/>
      <c r="P39" s="19"/>
      <c r="Q39" s="19"/>
      <c r="R39" s="40"/>
      <c r="S39" s="19"/>
      <c r="T39" s="19"/>
      <c r="U39" s="19"/>
      <c r="V39" s="40"/>
      <c r="W39" s="19"/>
      <c r="X39" s="19"/>
    </row>
    <row r="40" spans="1:26" ht="15" customHeight="1" x14ac:dyDescent="0.3">
      <c r="A40" s="10"/>
      <c r="B40" s="50"/>
      <c r="D40" s="19"/>
      <c r="E40" s="19"/>
      <c r="G40" s="19"/>
      <c r="H40" s="19"/>
      <c r="I40" s="19"/>
      <c r="J40" s="40"/>
      <c r="K40" s="19"/>
      <c r="L40" s="19"/>
      <c r="M40" s="19"/>
      <c r="P40" s="19"/>
      <c r="Q40" s="19"/>
      <c r="R40" s="40"/>
      <c r="S40" s="19"/>
      <c r="T40" s="19"/>
      <c r="U40" s="19"/>
      <c r="V40" s="40"/>
      <c r="W40" s="19"/>
      <c r="X40" s="19"/>
    </row>
    <row r="41" spans="1:26" ht="15" customHeight="1" x14ac:dyDescent="0.3">
      <c r="D41" s="19"/>
      <c r="E41" s="19"/>
      <c r="G41" s="19"/>
      <c r="H41" s="19"/>
      <c r="I41" s="19"/>
      <c r="J41" s="40"/>
      <c r="K41" s="19"/>
      <c r="L41" s="19"/>
      <c r="M41" s="19"/>
      <c r="P41" s="19"/>
      <c r="Q41" s="19"/>
      <c r="R41" s="40"/>
      <c r="S41" s="19"/>
      <c r="T41" s="19"/>
      <c r="U41" s="19"/>
      <c r="V41" s="40"/>
      <c r="W41" s="19"/>
      <c r="X41" s="19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97918A-A82E-C23F-70F3-D5DB48073BBB}">
  <sheetPr>
    <tabColor rgb="FFFFFF00"/>
    <outlinePr summaryBelow="0" summaryRight="0"/>
  </sheetPr>
  <dimension ref="A2:Z41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6" customWidth="1"/>
    <col min="2" max="2" width="33.44140625" style="66" customWidth="1"/>
    <col min="3" max="3" width="1.88671875" style="66" customWidth="1"/>
    <col min="4" max="4" width="15" style="66" customWidth="1"/>
    <col min="5" max="5" width="1.88671875" style="66" customWidth="1" outlineLevel="1"/>
    <col min="6" max="6" width="15" style="67" customWidth="1" outlineLevel="1"/>
    <col min="7" max="7" width="1.88671875" style="66" customWidth="1" outlineLevel="1"/>
    <col min="8" max="8" width="15" style="66" customWidth="1" outlineLevel="1"/>
    <col min="9" max="9" width="1.88671875" style="66" customWidth="1" outlineLevel="1"/>
    <col min="10" max="10" width="15" style="68" customWidth="1" outlineLevel="1"/>
    <col min="11" max="11" width="1.88671875" style="66" customWidth="1" outlineLevel="1"/>
    <col min="12" max="12" width="15" style="66" customWidth="1" outlineLevel="1"/>
    <col min="13" max="13" width="1.88671875" style="66" customWidth="1" outlineLevel="1"/>
    <col min="14" max="14" width="15" style="67" customWidth="1" outlineLevel="1"/>
    <col min="15" max="15" width="1.88671875" style="64" customWidth="1"/>
    <col min="16" max="16" width="15" style="66" customWidth="1"/>
    <col min="17" max="17" width="1.88671875" style="66" customWidth="1" outlineLevel="1"/>
    <col min="18" max="18" width="15" style="68" customWidth="1" outlineLevel="1"/>
    <col min="19" max="19" width="1.88671875" style="66" customWidth="1" outlineLevel="1"/>
    <col min="20" max="20" width="15" style="66" customWidth="1" outlineLevel="1"/>
    <col min="21" max="21" width="1.88671875" style="66" customWidth="1" outlineLevel="1"/>
    <col min="22" max="22" width="15" style="68" customWidth="1" outlineLevel="1"/>
    <col min="23" max="23" width="1.88671875" style="66" customWidth="1" outlineLevel="1"/>
    <col min="24" max="24" width="15" style="66" customWidth="1" outlineLevel="1"/>
    <col min="25" max="25" width="1.88671875" style="66" customWidth="1" outlineLevel="1"/>
    <col min="26" max="26" width="15" style="68" customWidth="1" outlineLevel="1"/>
  </cols>
  <sheetData>
    <row r="2" spans="1:26" ht="15" customHeight="1" x14ac:dyDescent="0.3">
      <c r="D2" s="54" t="s">
        <v>276</v>
      </c>
    </row>
    <row r="3" spans="1:26" ht="15" customHeight="1" x14ac:dyDescent="0.3">
      <c r="D3" s="54" t="s">
        <v>277</v>
      </c>
      <c r="E3" s="18"/>
      <c r="F3" s="44"/>
      <c r="G3" s="18"/>
      <c r="H3" s="18"/>
      <c r="I3" s="18"/>
      <c r="J3" s="38"/>
      <c r="K3" s="18"/>
      <c r="L3" s="18"/>
      <c r="M3" s="18"/>
      <c r="N3" s="44"/>
      <c r="O3" s="53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ht="15" customHeight="1" x14ac:dyDescent="0.3">
      <c r="D4" s="54" t="e">
        <f ca="1">CONCATENATE("Period ",RIGHT(_xll.ONESTOP.REPORTPLAYER.OSRFUNCTIONS.OSRGET("Period","PeriodId"),2),", ",_xll.ONESTOP.REPORTPLAYER.OSRFUNCTIONS.OSRGET("Period","Year"))</f>
        <v>#NAME?</v>
      </c>
      <c r="E4" s="18"/>
      <c r="F4" s="44"/>
      <c r="G4" s="18"/>
      <c r="H4" s="18"/>
      <c r="I4" s="18"/>
      <c r="J4" s="38"/>
      <c r="K4" s="18"/>
      <c r="L4" s="18"/>
      <c r="M4" s="18"/>
      <c r="N4" s="44"/>
      <c r="O4" s="53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ht="15" customHeight="1" x14ac:dyDescent="0.3">
      <c r="A5" s="24"/>
      <c r="D5" s="61" t="e">
        <f ca="1">_xll.ONESTOP.REPORTPLAYER.OSRFUNCTIONS.OSRGET("Period","PeriodEnd")</f>
        <v>#NAME?</v>
      </c>
      <c r="E5" s="18"/>
      <c r="F5" s="44"/>
      <c r="G5" s="18"/>
      <c r="H5" s="18"/>
      <c r="I5" s="18"/>
      <c r="J5" s="38"/>
      <c r="K5" s="18"/>
      <c r="L5" s="18"/>
      <c r="M5" s="18"/>
      <c r="N5" s="44"/>
      <c r="O5" s="53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ht="15" customHeight="1" x14ac:dyDescent="0.3">
      <c r="A6" s="24"/>
      <c r="B6" s="47"/>
      <c r="C6" s="47"/>
      <c r="D6" s="24" t="s">
        <v>308</v>
      </c>
      <c r="E6" s="18"/>
      <c r="F6" s="44"/>
      <c r="G6" s="18"/>
      <c r="H6" s="18"/>
      <c r="I6" s="18"/>
      <c r="J6" s="38"/>
      <c r="K6" s="18"/>
      <c r="L6" s="18"/>
      <c r="M6" s="18"/>
      <c r="N6" s="44"/>
      <c r="O6" s="59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ht="15" customHeight="1" x14ac:dyDescent="0.3">
      <c r="B7" s="52"/>
    </row>
    <row r="8" spans="1:26" ht="15" customHeight="1" x14ac:dyDescent="0.3">
      <c r="B8" s="52"/>
    </row>
    <row r="9" spans="1:26" ht="15" customHeight="1" x14ac:dyDescent="0.3">
      <c r="B9" s="10"/>
      <c r="C9" s="10"/>
      <c r="D9" s="17" t="s">
        <v>279</v>
      </c>
      <c r="E9" s="17"/>
      <c r="F9" s="36"/>
      <c r="G9" s="17"/>
      <c r="H9" s="17"/>
      <c r="I9" s="17"/>
      <c r="J9" s="43"/>
      <c r="K9" s="17"/>
      <c r="L9" s="17"/>
      <c r="M9" s="17"/>
      <c r="N9" s="36"/>
      <c r="P9" s="17" t="s">
        <v>280</v>
      </c>
      <c r="Q9" s="17"/>
      <c r="R9" s="36"/>
      <c r="S9" s="17"/>
      <c r="T9" s="17"/>
      <c r="U9" s="17"/>
      <c r="V9" s="43"/>
      <c r="W9" s="17"/>
      <c r="X9" s="17"/>
      <c r="Y9" s="17"/>
      <c r="Z9" s="36"/>
    </row>
    <row r="10" spans="1:26" ht="15" customHeight="1" x14ac:dyDescent="0.3">
      <c r="A10" s="11"/>
      <c r="B10" s="57"/>
      <c r="C10" s="11"/>
      <c r="D10" s="41" t="s">
        <v>281</v>
      </c>
      <c r="E10" s="33"/>
      <c r="F10" s="37" t="s">
        <v>282</v>
      </c>
      <c r="G10" s="33"/>
      <c r="H10" s="48" t="s">
        <v>283</v>
      </c>
      <c r="I10" s="33"/>
      <c r="J10" s="45" t="s">
        <v>284</v>
      </c>
      <c r="K10" s="11"/>
      <c r="L10" s="41" t="s">
        <v>285</v>
      </c>
      <c r="M10" s="11"/>
      <c r="N10" s="37" t="s">
        <v>286</v>
      </c>
      <c r="O10" s="11"/>
      <c r="P10" s="56" t="s">
        <v>281</v>
      </c>
      <c r="Q10" s="33"/>
      <c r="R10" s="37" t="s">
        <v>282</v>
      </c>
      <c r="S10" s="33"/>
      <c r="T10" s="48" t="s">
        <v>283</v>
      </c>
      <c r="U10" s="33"/>
      <c r="V10" s="45" t="s">
        <v>284</v>
      </c>
      <c r="W10" s="11"/>
      <c r="X10" s="41" t="s">
        <v>285</v>
      </c>
      <c r="Y10" s="11"/>
      <c r="Z10" s="37" t="s">
        <v>286</v>
      </c>
    </row>
    <row r="11" spans="1:26" ht="16.5" customHeight="1" x14ac:dyDescent="0.3">
      <c r="A11" s="10"/>
      <c r="B11" s="55"/>
      <c r="C11" s="10"/>
      <c r="D11" s="10"/>
      <c r="E11" s="10"/>
      <c r="F11" s="9"/>
      <c r="G11" s="10"/>
      <c r="H11" s="10"/>
      <c r="I11" s="10"/>
      <c r="J11" s="46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6"/>
      <c r="W11" s="10"/>
      <c r="X11" s="10"/>
      <c r="Y11" s="10"/>
      <c r="Z11" s="9"/>
    </row>
    <row r="12" spans="1:26" s="63" customFormat="1" ht="15" customHeight="1" collapsed="1" x14ac:dyDescent="0.3">
      <c r="A12" s="11"/>
      <c r="B12" s="28" t="s">
        <v>287</v>
      </c>
      <c r="C12" s="11"/>
      <c r="D12" s="5" t="e">
        <f ca="1">SUM(_xll.ONESTOP.REPORTPLAYER.OSRFUNCTIONS.OSRREF(D13))</f>
        <v>#NAME?</v>
      </c>
      <c r="E12" s="5"/>
      <c r="F12" s="13"/>
      <c r="G12" s="5"/>
      <c r="H12" s="5" t="e">
        <f ca="1">SUM(_xll.ONESTOP.REPORTPLAYER.OSRFUNCTIONS.OSRREF(H13))</f>
        <v>#NAME?</v>
      </c>
      <c r="I12" s="5"/>
      <c r="J12" s="13"/>
      <c r="K12" s="5"/>
      <c r="L12" s="5" t="e">
        <f ca="1">+D12-H12</f>
        <v>#NAME?</v>
      </c>
      <c r="M12" s="5"/>
      <c r="N12" s="13" t="e">
        <f ca="1">IF(H12=0,0,L12/H12)</f>
        <v>#NAME?</v>
      </c>
      <c r="O12" s="11"/>
      <c r="P12" s="5" t="e">
        <f ca="1">SUM(_xll.ONESTOP.REPORTPLAYER.OSRFUNCTIONS.OSRREF(P13))</f>
        <v>#NAME?</v>
      </c>
      <c r="Q12" s="5"/>
      <c r="R12" s="13"/>
      <c r="S12" s="5"/>
      <c r="T12" s="5" t="e">
        <f ca="1">SUM(_xll.ONESTOP.REPORTPLAYER.OSRFUNCTIONS.OSRREF(T13))</f>
        <v>#NAME?</v>
      </c>
      <c r="U12" s="5"/>
      <c r="V12" s="13"/>
      <c r="W12" s="5"/>
      <c r="X12" s="5" t="e">
        <f ca="1">+P12-T12</f>
        <v>#NAME?</v>
      </c>
      <c r="Y12" s="5"/>
      <c r="Z12" s="13" t="e">
        <f ca="1">IF(T12=0,0,X12/T12)</f>
        <v>#NAME?</v>
      </c>
    </row>
    <row r="13" spans="1:26" s="70" customFormat="1" ht="15" hidden="1" customHeight="1" outlineLevel="1" x14ac:dyDescent="0.3">
      <c r="A13" s="42"/>
      <c r="B13" s="12" t="e">
        <f ca="1">CONCATENATE("          ",_xll.ONESTOP.REPORTPLAYER.OSRFUNCTIONS.OSRGET("d_Account","Code")," - ",_xll.ONESTOP.REPORTPLAYER.OSRFUNCTIONS.OSRGET("d_Account","Description"))</f>
        <v>#NAME?</v>
      </c>
      <c r="C13" s="12"/>
      <c r="D13" s="3" t="e">
        <f ca="1">-_xll.ONESTOP.REPORTPLAYER.OSRFUNCTIONS.OSRGET("GL_F_Trans","Value1")</f>
        <v>#NAME?</v>
      </c>
      <c r="E13" s="3"/>
      <c r="F13" s="20"/>
      <c r="G13" s="3"/>
      <c r="H13" s="3" t="e">
        <f ca="1">_xll.ONESTOP.REPORTPLAYER.OSRFUNCTIONS.OSRGET("GL_F_Trans","Value1")</f>
        <v>#NAME?</v>
      </c>
      <c r="I13" s="3"/>
      <c r="J13" s="20"/>
      <c r="K13" s="3"/>
      <c r="L13" s="3" t="e">
        <f ca="1">+D13-H13</f>
        <v>#NAME?</v>
      </c>
      <c r="M13" s="3"/>
      <c r="N13" s="20" t="e">
        <f ca="1">IF(H13=0,0,L13/H13)</f>
        <v>#NAME?</v>
      </c>
      <c r="O13" s="12"/>
      <c r="P13" s="3" t="e">
        <f ca="1">-_xll.ONESTOP.REPORTPLAYER.OSRFUNCTIONS.OSRGET("GL_F_Trans","Value1")</f>
        <v>#NAME?</v>
      </c>
      <c r="Q13" s="3"/>
      <c r="R13" s="20"/>
      <c r="S13" s="3"/>
      <c r="T13" s="3" t="e">
        <f ca="1">_xll.ONESTOP.REPORTPLAYER.OSRFUNCTIONS.OSRGET("GL_F_Trans","Value1")</f>
        <v>#NAME?</v>
      </c>
      <c r="U13" s="3"/>
      <c r="V13" s="20"/>
      <c r="W13" s="3"/>
      <c r="X13" s="3" t="e">
        <f ca="1">+P13-T13</f>
        <v>#NAME?</v>
      </c>
      <c r="Y13" s="3"/>
      <c r="Z13" s="20" t="e">
        <f ca="1">IF(T13=0,0,X13/T13)</f>
        <v>#NAME?</v>
      </c>
    </row>
    <row r="14" spans="1:26" ht="15" customHeight="1" x14ac:dyDescent="0.3">
      <c r="A14" s="10"/>
      <c r="B14" s="11"/>
      <c r="C14" s="10"/>
      <c r="D14" s="4"/>
      <c r="E14" s="4"/>
      <c r="F14" s="9"/>
      <c r="G14" s="4"/>
      <c r="H14" s="4"/>
      <c r="I14" s="4"/>
      <c r="J14" s="9"/>
      <c r="K14" s="4"/>
      <c r="L14" s="4"/>
      <c r="M14" s="4"/>
      <c r="N14" s="9"/>
      <c r="P14" s="4"/>
      <c r="Q14" s="4"/>
      <c r="R14" s="9"/>
      <c r="S14" s="4"/>
      <c r="T14" s="4"/>
      <c r="U14" s="4"/>
      <c r="V14" s="9"/>
      <c r="W14" s="4"/>
      <c r="X14" s="4"/>
      <c r="Y14" s="4"/>
      <c r="Z14" s="9"/>
    </row>
    <row r="15" spans="1:26" s="63" customFormat="1" ht="15" customHeight="1" collapsed="1" x14ac:dyDescent="0.3">
      <c r="A15" s="11"/>
      <c r="B15" s="28" t="s">
        <v>288</v>
      </c>
      <c r="C15" s="11"/>
      <c r="D15" s="5" t="e">
        <f ca="1">SUM(_xll.ONESTOP.REPORTPLAYER.OSRFUNCTIONS.OSRREF(D16))</f>
        <v>#NAME?</v>
      </c>
      <c r="E15" s="5"/>
      <c r="F15" s="13" t="e">
        <f ca="1">IF(D$12=0,0,D15/D$12)</f>
        <v>#NAME?</v>
      </c>
      <c r="G15" s="5"/>
      <c r="H15" s="5" t="e">
        <f ca="1">SUM(_xll.ONESTOP.REPORTPLAYER.OSRFUNCTIONS.OSRREF(H16))</f>
        <v>#NAME?</v>
      </c>
      <c r="I15" s="5"/>
      <c r="J15" s="13" t="e">
        <f ca="1">IF(H$12=0,0,H15/H$12)</f>
        <v>#NAME?</v>
      </c>
      <c r="K15" s="5"/>
      <c r="L15" s="5" t="e">
        <f ca="1">+D15-H15</f>
        <v>#NAME?</v>
      </c>
      <c r="M15" s="5"/>
      <c r="N15" s="13" t="e">
        <f ca="1">IF(H15=0,0,L15/H15)</f>
        <v>#NAME?</v>
      </c>
      <c r="O15" s="11"/>
      <c r="P15" s="5" t="e">
        <f ca="1">SUM(_xll.ONESTOP.REPORTPLAYER.OSRFUNCTIONS.OSRREF(P16))</f>
        <v>#NAME?</v>
      </c>
      <c r="Q15" s="5"/>
      <c r="R15" s="13" t="e">
        <f ca="1">IF(P$12=0,0,P15/P$12)</f>
        <v>#NAME?</v>
      </c>
      <c r="S15" s="5"/>
      <c r="T15" s="5" t="e">
        <f ca="1">SUM(_xll.ONESTOP.REPORTPLAYER.OSRFUNCTIONS.OSRREF(T16))</f>
        <v>#NAME?</v>
      </c>
      <c r="U15" s="5"/>
      <c r="V15" s="13" t="e">
        <f ca="1">IF(T$12=0,0,T15/T$12)</f>
        <v>#NAME?</v>
      </c>
      <c r="W15" s="5"/>
      <c r="X15" s="5" t="e">
        <f ca="1">+P15-T15</f>
        <v>#NAME?</v>
      </c>
      <c r="Y15" s="5"/>
      <c r="Z15" s="13" t="e">
        <f ca="1">IF(T15=0,0,X15/T15)</f>
        <v>#NAME?</v>
      </c>
    </row>
    <row r="16" spans="1:26" s="70" customFormat="1" ht="15" hidden="1" customHeight="1" outlineLevel="1" x14ac:dyDescent="0.3">
      <c r="A16" s="42"/>
      <c r="B16" s="12" t="e">
        <f ca="1">CONCATENATE("          ",_xll.ONESTOP.REPORTPLAYER.OSRFUNCTIONS.OSRGET("d_Account","Code")," - ",_xll.ONESTOP.REPORTPLAYER.OSRFUNCTIONS.OSRGET("d_Account","Description"))</f>
        <v>#NAME?</v>
      </c>
      <c r="C16" s="12"/>
      <c r="D16" s="3" t="e">
        <f ca="1">_xll.ONESTOP.REPORTPLAYER.OSRFUNCTIONS.OSRGET("GL_F_Trans","Value1")</f>
        <v>#NAME?</v>
      </c>
      <c r="E16" s="3"/>
      <c r="F16" s="20" t="e">
        <f ca="1">IF(D$12=0,0,D16/D$12)</f>
        <v>#NAME?</v>
      </c>
      <c r="G16" s="3"/>
      <c r="H16" s="3" t="e">
        <f ca="1">_xll.ONESTOP.REPORTPLAYER.OSRFUNCTIONS.OSRGET("GL_F_Trans","Value1")</f>
        <v>#NAME?</v>
      </c>
      <c r="I16" s="3"/>
      <c r="J16" s="20" t="e">
        <f ca="1">IF(H$12=0,0,H16/H$12)</f>
        <v>#NAME?</v>
      </c>
      <c r="K16" s="3"/>
      <c r="L16" s="3" t="e">
        <f ca="1">+D16-H16</f>
        <v>#NAME?</v>
      </c>
      <c r="M16" s="3"/>
      <c r="N16" s="20" t="e">
        <f ca="1">IF(H16=0,0,L16/H16)</f>
        <v>#NAME?</v>
      </c>
      <c r="O16" s="12"/>
      <c r="P16" s="3" t="e">
        <f ca="1">_xll.ONESTOP.REPORTPLAYER.OSRFUNCTIONS.OSRGET("GL_F_Trans","Value1")</f>
        <v>#NAME?</v>
      </c>
      <c r="Q16" s="3"/>
      <c r="R16" s="20" t="e">
        <f ca="1">IF(P$12=0,0,P16/P$12)</f>
        <v>#NAME?</v>
      </c>
      <c r="S16" s="3"/>
      <c r="T16" s="3" t="e">
        <f ca="1">_xll.ONESTOP.REPORTPLAYER.OSRFUNCTIONS.OSRGET("GL_F_Trans","Value1")</f>
        <v>#NAME?</v>
      </c>
      <c r="U16" s="3"/>
      <c r="V16" s="20" t="e">
        <f ca="1">IF(T$12=0,0,T16/T$12)</f>
        <v>#NAME?</v>
      </c>
      <c r="W16" s="3"/>
      <c r="X16" s="3" t="e">
        <f ca="1">+P16-T16</f>
        <v>#NAME?</v>
      </c>
      <c r="Y16" s="3"/>
      <c r="Z16" s="20" t="e">
        <f ca="1">IF(T16=0,0,X16/T16)</f>
        <v>#NAME?</v>
      </c>
    </row>
    <row r="17" spans="1:26" ht="15" customHeight="1" x14ac:dyDescent="0.3">
      <c r="A17" s="10"/>
      <c r="B17" s="11"/>
      <c r="C17" s="11"/>
      <c r="D17" s="4"/>
      <c r="E17" s="4"/>
      <c r="F17" s="9"/>
      <c r="G17" s="4"/>
      <c r="H17" s="4"/>
      <c r="I17" s="4"/>
      <c r="J17" s="9"/>
      <c r="K17" s="4"/>
      <c r="L17" s="4"/>
      <c r="M17" s="4"/>
      <c r="N17" s="9"/>
      <c r="O17" s="11"/>
      <c r="P17" s="4"/>
      <c r="Q17" s="4"/>
      <c r="R17" s="9"/>
      <c r="S17" s="4"/>
      <c r="T17" s="4"/>
      <c r="U17" s="4"/>
      <c r="V17" s="9"/>
      <c r="W17" s="4"/>
      <c r="X17" s="4"/>
      <c r="Y17" s="4"/>
      <c r="Z17" s="9"/>
    </row>
    <row r="18" spans="1:26" s="63" customFormat="1" ht="15" customHeight="1" x14ac:dyDescent="0.3">
      <c r="A18" s="11"/>
      <c r="B18" s="27" t="s">
        <v>289</v>
      </c>
      <c r="C18" s="27"/>
      <c r="D18" s="21" t="e">
        <f ca="1">D12-D15</f>
        <v>#NAME?</v>
      </c>
      <c r="E18" s="15"/>
      <c r="F18" s="23" t="e">
        <f ca="1">IF(D$12=0,0,D18/D$12)</f>
        <v>#NAME?</v>
      </c>
      <c r="G18" s="15"/>
      <c r="H18" s="21" t="e">
        <f ca="1">H12-H15</f>
        <v>#NAME?</v>
      </c>
      <c r="I18" s="15"/>
      <c r="J18" s="23" t="e">
        <f ca="1">IF(H$12=0,0,H18/H$12)</f>
        <v>#NAME?</v>
      </c>
      <c r="K18" s="16"/>
      <c r="L18" s="21" t="e">
        <f ca="1">+D18-H18</f>
        <v>#NAME?</v>
      </c>
      <c r="M18" s="16"/>
      <c r="N18" s="23" t="e">
        <f ca="1">IF(H18=0,0,L18/H18)</f>
        <v>#NAME?</v>
      </c>
      <c r="O18" s="28"/>
      <c r="P18" s="21" t="e">
        <f ca="1">P12-P15</f>
        <v>#NAME?</v>
      </c>
      <c r="Q18" s="15"/>
      <c r="R18" s="23" t="e">
        <f ca="1">IF(P$12=0,0,P18/P$12)</f>
        <v>#NAME?</v>
      </c>
      <c r="S18" s="15"/>
      <c r="T18" s="21" t="e">
        <f ca="1">T12-T15</f>
        <v>#NAME?</v>
      </c>
      <c r="U18" s="15"/>
      <c r="V18" s="23" t="e">
        <f ca="1">IF(T$12=0,0,T18/T$12)</f>
        <v>#NAME?</v>
      </c>
      <c r="W18" s="16"/>
      <c r="X18" s="21" t="e">
        <f ca="1">+P18-T18</f>
        <v>#NAME?</v>
      </c>
      <c r="Y18" s="16"/>
      <c r="Z18" s="23" t="e">
        <f ca="1">IF(T18=0,0,X18/T18)</f>
        <v>#NAME?</v>
      </c>
    </row>
    <row r="19" spans="1:26" ht="15" customHeight="1" x14ac:dyDescent="0.3">
      <c r="A19" s="10"/>
      <c r="B19" s="11"/>
      <c r="C19" s="10"/>
      <c r="D19" s="2"/>
      <c r="E19" s="2"/>
      <c r="F19" s="6"/>
      <c r="G19" s="2"/>
      <c r="H19" s="2"/>
      <c r="I19" s="2"/>
      <c r="J19" s="6"/>
      <c r="K19" s="2"/>
      <c r="L19" s="2"/>
      <c r="M19" s="2"/>
      <c r="N19" s="6"/>
      <c r="O19" s="35"/>
      <c r="P19" s="2"/>
      <c r="Q19" s="2"/>
      <c r="R19" s="6"/>
      <c r="S19" s="2"/>
      <c r="T19" s="2"/>
      <c r="U19" s="2"/>
      <c r="V19" s="6"/>
      <c r="W19" s="2"/>
      <c r="X19" s="2"/>
      <c r="Y19" s="2"/>
      <c r="Z19" s="6"/>
    </row>
    <row r="20" spans="1:26" s="63" customFormat="1" ht="15" customHeight="1" x14ac:dyDescent="0.3">
      <c r="A20" s="11"/>
      <c r="B20" s="28" t="s">
        <v>290</v>
      </c>
      <c r="C20" s="11"/>
      <c r="D20" s="22" t="e">
        <f ca="1">SUM(_xll.ONESTOP.REPORTPLAYER.OSRFUNCTIONS.OSRREF(D22))</f>
        <v>#NAME?</v>
      </c>
      <c r="E20" s="22"/>
      <c r="F20" s="30" t="e">
        <f ca="1">IF(D$12=0,0,D20/D$12)</f>
        <v>#NAME?</v>
      </c>
      <c r="G20" s="22"/>
      <c r="H20" s="22" t="e">
        <f ca="1">SUM(_xll.ONESTOP.REPORTPLAYER.OSRFUNCTIONS.OSRREF(H22))</f>
        <v>#NAME?</v>
      </c>
      <c r="I20" s="22"/>
      <c r="J20" s="30" t="e">
        <f ca="1">IF(H$12=0,0,H20/H$12)</f>
        <v>#NAME?</v>
      </c>
      <c r="K20" s="5"/>
      <c r="L20" s="22" t="e">
        <f ca="1">+D20-H20</f>
        <v>#NAME?</v>
      </c>
      <c r="M20" s="5"/>
      <c r="N20" s="30" t="e">
        <f ca="1">IF(H20=0,0,L20/H20)</f>
        <v>#NAME?</v>
      </c>
      <c r="O20" s="11"/>
      <c r="P20" s="22" t="e">
        <f ca="1">SUM(_xll.ONESTOP.REPORTPLAYER.OSRFUNCTIONS.OSRREF(P22))</f>
        <v>#NAME?</v>
      </c>
      <c r="Q20" s="22"/>
      <c r="R20" s="30" t="e">
        <f ca="1">IF(P$12=0,0,P20/P$12)</f>
        <v>#NAME?</v>
      </c>
      <c r="S20" s="22"/>
      <c r="T20" s="22" t="e">
        <f ca="1">SUM(_xll.ONESTOP.REPORTPLAYER.OSRFUNCTIONS.OSRREF(T22))</f>
        <v>#NAME?</v>
      </c>
      <c r="U20" s="22"/>
      <c r="V20" s="30" t="e">
        <f ca="1">IF(T$12=0,0,T20/T$12)</f>
        <v>#NAME?</v>
      </c>
      <c r="W20" s="5"/>
      <c r="X20" s="22" t="e">
        <f ca="1">+P20-T20</f>
        <v>#NAME?</v>
      </c>
      <c r="Y20" s="5"/>
      <c r="Z20" s="30" t="e">
        <f ca="1">IF(T20=0,0,X20/T20)</f>
        <v>#NAME?</v>
      </c>
    </row>
    <row r="21" spans="1:26" s="69" customFormat="1" ht="15" customHeight="1" outlineLevel="1" collapsed="1" x14ac:dyDescent="0.3">
      <c r="A21" s="25"/>
      <c r="B21" s="14" t="e">
        <f ca="1">CONCATENATE("     ",_xll.ONESTOP.REPORTPLAYER.OSRFUNCTIONS.OSRGET("d_Account","AccountCategory"))</f>
        <v>#NAME?</v>
      </c>
      <c r="C21" s="14"/>
      <c r="D21" s="2" t="e">
        <f ca="1">SUM(_xll.ONESTOP.REPORTPLAYER.OSRFUNCTIONS.OSRREF(D22))</f>
        <v>#NAME?</v>
      </c>
      <c r="E21" s="2"/>
      <c r="F21" s="6" t="e">
        <f ca="1">IF(D$12=0,0,D21/D$12)</f>
        <v>#NAME?</v>
      </c>
      <c r="G21" s="2"/>
      <c r="H21" s="2" t="e">
        <f ca="1">SUM(_xll.ONESTOP.REPORTPLAYER.OSRFUNCTIONS.OSRREF(H22))</f>
        <v>#NAME?</v>
      </c>
      <c r="I21" s="2"/>
      <c r="J21" s="6" t="e">
        <f ca="1">IF(H$12=0,0,H21/H$12)</f>
        <v>#NAME?</v>
      </c>
      <c r="K21" s="2"/>
      <c r="L21" s="2" t="e">
        <f ca="1">+D21-H21</f>
        <v>#NAME?</v>
      </c>
      <c r="M21" s="2"/>
      <c r="N21" s="6" t="e">
        <f ca="1">IF(H21=0,0,L21/H21)</f>
        <v>#NAME?</v>
      </c>
      <c r="O21" s="14"/>
      <c r="P21" s="2" t="e">
        <f ca="1">SUM(_xll.ONESTOP.REPORTPLAYER.OSRFUNCTIONS.OSRREF(P22))</f>
        <v>#NAME?</v>
      </c>
      <c r="Q21" s="2"/>
      <c r="R21" s="6" t="e">
        <f ca="1">IF(P$12=0,0,P21/P$12)</f>
        <v>#NAME?</v>
      </c>
      <c r="S21" s="2"/>
      <c r="T21" s="2" t="e">
        <f ca="1">SUM(_xll.ONESTOP.REPORTPLAYER.OSRFUNCTIONS.OSRREF(T22))</f>
        <v>#NAME?</v>
      </c>
      <c r="U21" s="2"/>
      <c r="V21" s="6" t="e">
        <f ca="1">IF(T$12=0,0,T21/T$12)</f>
        <v>#NAME?</v>
      </c>
      <c r="W21" s="2"/>
      <c r="X21" s="2" t="e">
        <f ca="1">+P21-T21</f>
        <v>#NAME?</v>
      </c>
      <c r="Y21" s="2"/>
      <c r="Z21" s="6" t="e">
        <f ca="1">IF(T21=0,0,X21/T21)</f>
        <v>#NAME?</v>
      </c>
    </row>
    <row r="22" spans="1:26" s="70" customFormat="1" ht="15" hidden="1" customHeight="1" outlineLevel="2" x14ac:dyDescent="0.3">
      <c r="A22" s="26"/>
      <c r="B22" s="12" t="e">
        <f ca="1">CONCATENATE("          ",_xll.ONESTOP.REPORTPLAYER.OSRFUNCTIONS.OSRGET("d_Account","Code")," - ",_xll.ONESTOP.REPORTPLAYER.OSRFUNCTIONS.OSRGET("d_Account","Description"))</f>
        <v>#NAME?</v>
      </c>
      <c r="C22" s="12"/>
      <c r="D22" s="7" t="e">
        <f ca="1">_xll.ONESTOP.REPORTPLAYER.OSRFUNCTIONS.OSRGET("GL_F_Trans","Value1")</f>
        <v>#NAME?</v>
      </c>
      <c r="E22" s="3"/>
      <c r="F22" s="8" t="e">
        <f ca="1">IF(D$12=0,0,D22/D$12)</f>
        <v>#NAME?</v>
      </c>
      <c r="G22" s="3"/>
      <c r="H22" s="7" t="e">
        <f ca="1">_xll.ONESTOP.REPORTPLAYER.OSRFUNCTIONS.OSRGET("GL_F_Trans","Value1")</f>
        <v>#NAME?</v>
      </c>
      <c r="I22" s="3"/>
      <c r="J22" s="8" t="e">
        <f ca="1">IF(H$12=0,0,H22/H$12)</f>
        <v>#NAME?</v>
      </c>
      <c r="K22" s="3"/>
      <c r="L22" s="7" t="e">
        <f ca="1">+D22-H22</f>
        <v>#NAME?</v>
      </c>
      <c r="M22" s="3"/>
      <c r="N22" s="8" t="e">
        <f ca="1">IF(H22=0,0,L22/H22)</f>
        <v>#NAME?</v>
      </c>
      <c r="O22" s="12"/>
      <c r="P22" s="7" t="e">
        <f ca="1">_xll.ONESTOP.REPORTPLAYER.OSRFUNCTIONS.OSRGET("GL_F_Trans","Value1")</f>
        <v>#NAME?</v>
      </c>
      <c r="Q22" s="3"/>
      <c r="R22" s="8" t="e">
        <f ca="1">IF(P$12=0,0,P22/P$12)</f>
        <v>#NAME?</v>
      </c>
      <c r="S22" s="3"/>
      <c r="T22" s="7" t="e">
        <f ca="1">_xll.ONESTOP.REPORTPLAYER.OSRFUNCTIONS.OSRGET("GL_F_Trans","Value1")</f>
        <v>#NAME?</v>
      </c>
      <c r="U22" s="3"/>
      <c r="V22" s="8" t="e">
        <f ca="1">IF(T$12=0,0,T22/T$12)</f>
        <v>#NAME?</v>
      </c>
      <c r="W22" s="3"/>
      <c r="X22" s="7" t="e">
        <f ca="1">+P22-T22</f>
        <v>#NAME?</v>
      </c>
      <c r="Y22" s="3"/>
      <c r="Z22" s="8" t="e">
        <f ca="1">IF(T22=0,0,X22/T22)</f>
        <v>#NAME?</v>
      </c>
    </row>
    <row r="23" spans="1:26" s="65" customFormat="1" ht="15" customHeight="1" x14ac:dyDescent="0.3">
      <c r="A23" s="35"/>
      <c r="B23" s="35"/>
      <c r="C23" s="35"/>
      <c r="D23" s="2"/>
      <c r="E23" s="2"/>
      <c r="F23" s="6"/>
      <c r="G23" s="2"/>
      <c r="H23" s="2"/>
      <c r="I23" s="2"/>
      <c r="J23" s="6"/>
      <c r="K23" s="2"/>
      <c r="L23" s="2"/>
      <c r="M23" s="2"/>
      <c r="N23" s="6"/>
      <c r="O23" s="35"/>
      <c r="P23" s="2"/>
      <c r="Q23" s="2"/>
      <c r="R23" s="6"/>
      <c r="S23" s="2"/>
      <c r="T23" s="2"/>
      <c r="U23" s="2"/>
      <c r="V23" s="6"/>
      <c r="W23" s="2"/>
      <c r="X23" s="2"/>
      <c r="Y23" s="2"/>
      <c r="Z23" s="6"/>
    </row>
    <row r="24" spans="1:26" s="63" customFormat="1" ht="15" customHeight="1" collapsed="1" x14ac:dyDescent="0.3">
      <c r="A24" s="11"/>
      <c r="B24" s="28" t="s">
        <v>291</v>
      </c>
      <c r="C24" s="11"/>
      <c r="D24" s="5" t="e">
        <f ca="1">SUM(_xll.ONESTOP.REPORTPLAYER.OSRFUNCTIONS.OSRREF(D25))</f>
        <v>#NAME?</v>
      </c>
      <c r="E24" s="5"/>
      <c r="F24" s="13" t="e">
        <f ca="1">IF(D$12=0,0,D24/D$12)</f>
        <v>#NAME?</v>
      </c>
      <c r="G24" s="5"/>
      <c r="H24" s="5" t="e">
        <f ca="1">SUM(_xll.ONESTOP.REPORTPLAYER.OSRFUNCTIONS.OSRREF(H25))</f>
        <v>#NAME?</v>
      </c>
      <c r="I24" s="5"/>
      <c r="J24" s="13" t="e">
        <f ca="1">IF(H$12=0,0,H24/H$12)</f>
        <v>#NAME?</v>
      </c>
      <c r="K24" s="5"/>
      <c r="L24" s="5" t="e">
        <f ca="1">+D24-H24</f>
        <v>#NAME?</v>
      </c>
      <c r="M24" s="5"/>
      <c r="N24" s="13" t="e">
        <f ca="1">IF(H24=0,0,L24/H24)</f>
        <v>#NAME?</v>
      </c>
      <c r="O24" s="11"/>
      <c r="P24" s="5" t="e">
        <f ca="1">SUM(_xll.ONESTOP.REPORTPLAYER.OSRFUNCTIONS.OSRREF(P25))</f>
        <v>#NAME?</v>
      </c>
      <c r="Q24" s="5"/>
      <c r="R24" s="13" t="e">
        <f ca="1">IF(P$12=0,0,P24/P$12)</f>
        <v>#NAME?</v>
      </c>
      <c r="S24" s="5"/>
      <c r="T24" s="5" t="e">
        <f ca="1">SUM(_xll.ONESTOP.REPORTPLAYER.OSRFUNCTIONS.OSRREF(T25))</f>
        <v>#NAME?</v>
      </c>
      <c r="U24" s="5"/>
      <c r="V24" s="13" t="e">
        <f ca="1">IF(T$12=0,0,T24/T$12)</f>
        <v>#NAME?</v>
      </c>
      <c r="W24" s="5"/>
      <c r="X24" s="5" t="e">
        <f ca="1">+P24-T24</f>
        <v>#NAME?</v>
      </c>
      <c r="Y24" s="5"/>
      <c r="Z24" s="13" t="e">
        <f ca="1">IF(T24=0,0,X24/T24)</f>
        <v>#NAME?</v>
      </c>
    </row>
    <row r="25" spans="1:26" s="70" customFormat="1" ht="15" hidden="1" customHeight="1" outlineLevel="1" x14ac:dyDescent="0.3">
      <c r="A25" s="42"/>
      <c r="B25" s="12" t="e">
        <f ca="1">CONCATENATE("          ",_xll.ONESTOP.REPORTPLAYER.OSRFUNCTIONS.OSRGET("d_Account","Code")," - ",_xll.ONESTOP.REPORTPLAYER.OSRFUNCTIONS.OSRGET("d_Account","Description"))</f>
        <v>#NAME?</v>
      </c>
      <c r="C25" s="12"/>
      <c r="D25" s="3" t="e">
        <f ca="1">-_xll.ONESTOP.REPORTPLAYER.OSRFUNCTIONS.OSRGET("GL_F_Trans","Value1")</f>
        <v>#NAME?</v>
      </c>
      <c r="E25" s="3"/>
      <c r="F25" s="20" t="e">
        <f ca="1">IF(D$12=0,0,D25/D$12)</f>
        <v>#NAME?</v>
      </c>
      <c r="G25" s="3"/>
      <c r="H25" s="3" t="e">
        <f ca="1">_xll.ONESTOP.REPORTPLAYER.OSRFUNCTIONS.OSRGET("GL_F_Trans","Value1")</f>
        <v>#NAME?</v>
      </c>
      <c r="I25" s="3"/>
      <c r="J25" s="20" t="e">
        <f ca="1">IF(H$12=0,0,H25/H$12)</f>
        <v>#NAME?</v>
      </c>
      <c r="K25" s="3"/>
      <c r="L25" s="3" t="e">
        <f ca="1">+D25-H25</f>
        <v>#NAME?</v>
      </c>
      <c r="M25" s="3"/>
      <c r="N25" s="20" t="e">
        <f ca="1">IF(H25=0,0,L25/H25)</f>
        <v>#NAME?</v>
      </c>
      <c r="O25" s="12"/>
      <c r="P25" s="3" t="e">
        <f ca="1">-_xll.ONESTOP.REPORTPLAYER.OSRFUNCTIONS.OSRGET("GL_F_Trans","Value1")</f>
        <v>#NAME?</v>
      </c>
      <c r="Q25" s="3"/>
      <c r="R25" s="20" t="e">
        <f ca="1">IF(P$12=0,0,P25/P$12)</f>
        <v>#NAME?</v>
      </c>
      <c r="S25" s="3"/>
      <c r="T25" s="3" t="e">
        <f ca="1">_xll.ONESTOP.REPORTPLAYER.OSRFUNCTIONS.OSRGET("GL_F_Trans","Value1")</f>
        <v>#NAME?</v>
      </c>
      <c r="U25" s="3"/>
      <c r="V25" s="20" t="e">
        <f ca="1">IF(T$12=0,0,T25/T$12)</f>
        <v>#NAME?</v>
      </c>
      <c r="W25" s="3"/>
      <c r="X25" s="3" t="e">
        <f ca="1">+P25-T25</f>
        <v>#NAME?</v>
      </c>
      <c r="Y25" s="3"/>
      <c r="Z25" s="20" t="e">
        <f ca="1">IF(T25=0,0,X25/T25)</f>
        <v>#NAME?</v>
      </c>
    </row>
    <row r="26" spans="1:26" ht="15" customHeight="1" x14ac:dyDescent="0.3">
      <c r="A26" s="10"/>
      <c r="B26" s="11"/>
      <c r="C26" s="11"/>
      <c r="D26" s="4"/>
      <c r="E26" s="4"/>
      <c r="F26" s="9"/>
      <c r="G26" s="4"/>
      <c r="H26" s="4"/>
      <c r="I26" s="4"/>
      <c r="J26" s="9"/>
      <c r="K26" s="4"/>
      <c r="L26" s="4"/>
      <c r="M26" s="4"/>
      <c r="N26" s="9"/>
      <c r="O26" s="11"/>
      <c r="P26" s="4"/>
      <c r="Q26" s="4"/>
      <c r="R26" s="9"/>
      <c r="S26" s="4"/>
      <c r="T26" s="4"/>
      <c r="U26" s="4"/>
      <c r="V26" s="9"/>
      <c r="W26" s="4"/>
      <c r="X26" s="4"/>
      <c r="Y26" s="4"/>
      <c r="Z26" s="9"/>
    </row>
    <row r="27" spans="1:26" s="63" customFormat="1" ht="15" customHeight="1" x14ac:dyDescent="0.3">
      <c r="A27" s="11"/>
      <c r="B27" s="27" t="s">
        <v>292</v>
      </c>
      <c r="C27" s="27"/>
      <c r="D27" s="21" t="e">
        <f ca="1">+D18-D20+D24</f>
        <v>#NAME?</v>
      </c>
      <c r="E27" s="15"/>
      <c r="F27" s="23" t="e">
        <f ca="1">IF(D$12=0,0,D27/D$12)</f>
        <v>#NAME?</v>
      </c>
      <c r="G27" s="15"/>
      <c r="H27" s="21" t="e">
        <f ca="1">+H18-H20+H24</f>
        <v>#NAME?</v>
      </c>
      <c r="I27" s="15"/>
      <c r="J27" s="23" t="e">
        <f ca="1">IF(H$12=0,0,H27/H$12)</f>
        <v>#NAME?</v>
      </c>
      <c r="K27" s="16"/>
      <c r="L27" s="21" t="e">
        <f ca="1">+D27-H27</f>
        <v>#NAME?</v>
      </c>
      <c r="M27" s="16"/>
      <c r="N27" s="23" t="e">
        <f ca="1">IF(H27=0,0,L27/H27)</f>
        <v>#NAME?</v>
      </c>
      <c r="O27" s="28"/>
      <c r="P27" s="21" t="e">
        <f ca="1">+P18-P20+P24</f>
        <v>#NAME?</v>
      </c>
      <c r="Q27" s="15"/>
      <c r="R27" s="23" t="e">
        <f ca="1">IF(P$12=0,0,P27/P$12)</f>
        <v>#NAME?</v>
      </c>
      <c r="S27" s="15"/>
      <c r="T27" s="21" t="e">
        <f ca="1">+T18-T20+T24</f>
        <v>#NAME?</v>
      </c>
      <c r="U27" s="15"/>
      <c r="V27" s="23" t="e">
        <f ca="1">IF(T$12=0,0,T27/T$12)</f>
        <v>#NAME?</v>
      </c>
      <c r="W27" s="16"/>
      <c r="X27" s="21" t="e">
        <f ca="1">+P27-T27</f>
        <v>#NAME?</v>
      </c>
      <c r="Y27" s="16"/>
      <c r="Z27" s="23" t="e">
        <f ca="1">IF(T27=0,0,X27/T27)</f>
        <v>#NAME?</v>
      </c>
    </row>
    <row r="28" spans="1:26" ht="15" customHeight="1" x14ac:dyDescent="0.3">
      <c r="A28" s="10"/>
      <c r="B28" s="11"/>
      <c r="C28" s="10"/>
      <c r="D28" s="4"/>
      <c r="E28" s="4"/>
      <c r="F28" s="9"/>
      <c r="G28" s="4"/>
      <c r="H28" s="4"/>
      <c r="I28" s="4"/>
      <c r="J28" s="9"/>
      <c r="K28" s="4"/>
      <c r="L28" s="4"/>
      <c r="M28" s="4"/>
      <c r="N28" s="9"/>
      <c r="P28" s="4"/>
      <c r="Q28" s="4"/>
      <c r="R28" s="9"/>
      <c r="S28" s="4"/>
      <c r="T28" s="4"/>
      <c r="U28" s="4"/>
      <c r="V28" s="9"/>
      <c r="W28" s="4"/>
      <c r="X28" s="4"/>
      <c r="Y28" s="4"/>
      <c r="Z28" s="9"/>
    </row>
    <row r="29" spans="1:26" s="63" customFormat="1" ht="15" customHeight="1" x14ac:dyDescent="0.3">
      <c r="A29" s="49"/>
      <c r="B29" s="11" t="s">
        <v>293</v>
      </c>
      <c r="C29" s="11"/>
      <c r="D29" s="5" t="e">
        <f ca="1">_xll.ONESTOP.REPORTPLAYER.OSRFUNCTIONS.OSRGET("GL_F_Trans","Value1")</f>
        <v>#NAME?</v>
      </c>
      <c r="E29" s="5"/>
      <c r="F29" s="13" t="e">
        <f ca="1">IF(D$12=0,0,D29/D$12)</f>
        <v>#NAME?</v>
      </c>
      <c r="G29" s="5"/>
      <c r="H29" s="5" t="e">
        <f ca="1">_xll.ONESTOP.REPORTPLAYER.OSRFUNCTIONS.OSRGET("GL_F_Trans","Value1")</f>
        <v>#NAME?</v>
      </c>
      <c r="I29" s="5"/>
      <c r="J29" s="13" t="e">
        <f ca="1">IF(H$12=0,0,H29/H$12)</f>
        <v>#NAME?</v>
      </c>
      <c r="K29" s="5"/>
      <c r="L29" s="5" t="e">
        <f ca="1">+D29-H29</f>
        <v>#NAME?</v>
      </c>
      <c r="M29" s="5"/>
      <c r="N29" s="13" t="e">
        <f ca="1">IF(H29=0,0,L29/H29)</f>
        <v>#NAME?</v>
      </c>
      <c r="O29" s="11"/>
      <c r="P29" s="5" t="e">
        <f ca="1">_xll.ONESTOP.REPORTPLAYER.OSRFUNCTIONS.OSRGET("GL_F_Trans","Value1")</f>
        <v>#NAME?</v>
      </c>
      <c r="Q29" s="5"/>
      <c r="R29" s="13" t="e">
        <f ca="1">IF(P$12=0,0,P29/P$12)</f>
        <v>#NAME?</v>
      </c>
      <c r="S29" s="5"/>
      <c r="T29" s="5" t="e">
        <f ca="1">_xll.ONESTOP.REPORTPLAYER.OSRFUNCTIONS.OSRGET("GL_F_Trans","Value1")</f>
        <v>#NAME?</v>
      </c>
      <c r="U29" s="5"/>
      <c r="V29" s="13" t="e">
        <f ca="1">IF(T$12=0,0,T29/T$12)</f>
        <v>#NAME?</v>
      </c>
      <c r="W29" s="5"/>
      <c r="X29" s="5" t="e">
        <f ca="1">+P29-T29</f>
        <v>#NAME?</v>
      </c>
      <c r="Y29" s="5"/>
      <c r="Z29" s="13" t="e">
        <f ca="1">IF(T29=0,0,X29/T29)</f>
        <v>#NAME?</v>
      </c>
    </row>
    <row r="30" spans="1:26" ht="15" customHeight="1" x14ac:dyDescent="0.3">
      <c r="A30" s="10"/>
      <c r="B30" s="11"/>
      <c r="C30" s="11"/>
      <c r="D30" s="4"/>
      <c r="E30" s="4"/>
      <c r="F30" s="9"/>
      <c r="G30" s="4"/>
      <c r="H30" s="4"/>
      <c r="I30" s="4"/>
      <c r="J30" s="9"/>
      <c r="K30" s="4"/>
      <c r="L30" s="4"/>
      <c r="M30" s="4"/>
      <c r="N30" s="9"/>
      <c r="O30" s="11"/>
      <c r="P30" s="4"/>
      <c r="Q30" s="4"/>
      <c r="R30" s="9"/>
      <c r="S30" s="4"/>
      <c r="T30" s="4"/>
      <c r="U30" s="4"/>
      <c r="V30" s="9"/>
      <c r="W30" s="4"/>
      <c r="X30" s="4"/>
      <c r="Y30" s="4"/>
      <c r="Z30" s="9"/>
    </row>
    <row r="31" spans="1:26" s="63" customFormat="1" ht="15" customHeight="1" x14ac:dyDescent="0.3">
      <c r="A31" s="11"/>
      <c r="B31" s="27" t="s">
        <v>294</v>
      </c>
      <c r="C31" s="27"/>
      <c r="D31" s="34" t="e">
        <f ca="1">+D27-D29</f>
        <v>#NAME?</v>
      </c>
      <c r="E31" s="15"/>
      <c r="F31" s="29" t="e">
        <f ca="1">IF(D$12=0,0,D31/D$12)</f>
        <v>#NAME?</v>
      </c>
      <c r="G31" s="15"/>
      <c r="H31" s="34" t="e">
        <f ca="1">+H27-H29</f>
        <v>#NAME?</v>
      </c>
      <c r="I31" s="15"/>
      <c r="J31" s="29" t="e">
        <f ca="1">IF(H$12=0,0,H31/H$12)</f>
        <v>#NAME?</v>
      </c>
      <c r="K31" s="16"/>
      <c r="L31" s="34" t="e">
        <f ca="1">D31-H31</f>
        <v>#NAME?</v>
      </c>
      <c r="M31" s="16"/>
      <c r="N31" s="29" t="e">
        <f ca="1">IF(H31=0,0,L31/H31)</f>
        <v>#NAME?</v>
      </c>
      <c r="O31" s="28"/>
      <c r="P31" s="34" t="e">
        <f ca="1">+P27-P29</f>
        <v>#NAME?</v>
      </c>
      <c r="Q31" s="15"/>
      <c r="R31" s="29" t="e">
        <f ca="1">IF(P$12=0,0,P31/P$12)</f>
        <v>#NAME?</v>
      </c>
      <c r="S31" s="15"/>
      <c r="T31" s="34" t="e">
        <f ca="1">+T27-T29</f>
        <v>#NAME?</v>
      </c>
      <c r="U31" s="15"/>
      <c r="V31" s="29" t="e">
        <f ca="1">IF(T$12=0,0,T31/T$12)</f>
        <v>#NAME?</v>
      </c>
      <c r="W31" s="16"/>
      <c r="X31" s="34" t="e">
        <f ca="1">P31-T31</f>
        <v>#NAME?</v>
      </c>
      <c r="Y31" s="16"/>
      <c r="Z31" s="29" t="e">
        <f ca="1">IF(T31=0,0,X31/T31)</f>
        <v>#NAME?</v>
      </c>
    </row>
    <row r="32" spans="1:26" ht="15" customHeight="1" x14ac:dyDescent="0.3">
      <c r="A32" s="10"/>
      <c r="B32" s="10"/>
      <c r="C32" s="10"/>
      <c r="D32" s="4"/>
      <c r="E32" s="4"/>
      <c r="F32" s="9"/>
      <c r="G32" s="4"/>
      <c r="H32" s="4"/>
      <c r="I32" s="4"/>
      <c r="J32" s="9"/>
      <c r="K32" s="4"/>
      <c r="L32" s="4"/>
      <c r="M32" s="4"/>
      <c r="N32" s="9"/>
      <c r="P32" s="4"/>
      <c r="Q32" s="4"/>
      <c r="R32" s="9"/>
      <c r="S32" s="4"/>
      <c r="T32" s="4"/>
      <c r="U32" s="4"/>
      <c r="V32" s="9"/>
      <c r="W32" s="4"/>
      <c r="X32" s="4"/>
      <c r="Y32" s="4"/>
      <c r="Z32" s="9"/>
    </row>
    <row r="33" spans="1:26" s="63" customFormat="1" ht="15" customHeight="1" x14ac:dyDescent="0.3">
      <c r="A33" s="49"/>
      <c r="B33" s="11" t="s">
        <v>295</v>
      </c>
      <c r="C33" s="11"/>
      <c r="D33" s="5" t="e">
        <f ca="1">-_xll.ONESTOP.REPORTPLAYER.OSRFUNCTIONS.OSRGET("GL_F_Trans","Value1")</f>
        <v>#NAME?</v>
      </c>
      <c r="E33" s="5"/>
      <c r="F33" s="13" t="e">
        <f ca="1">IF(D$12=0,0,D33/D$12)</f>
        <v>#NAME?</v>
      </c>
      <c r="G33" s="5"/>
      <c r="H33" s="5" t="e">
        <f ca="1">-_xll.ONESTOP.REPORTPLAYER.OSRFUNCTIONS.OSRGET("GL_F_Trans","Value1")</f>
        <v>#NAME?</v>
      </c>
      <c r="I33" s="5"/>
      <c r="J33" s="13" t="e">
        <f ca="1">IF(H$12=0,0,H33/H$12)</f>
        <v>#NAME?</v>
      </c>
      <c r="K33" s="5"/>
      <c r="L33" s="5" t="e">
        <f ca="1">+D33-H33</f>
        <v>#NAME?</v>
      </c>
      <c r="M33" s="5"/>
      <c r="N33" s="13" t="e">
        <f ca="1">IF(H33=0,0,L33/H33)</f>
        <v>#NAME?</v>
      </c>
      <c r="O33" s="11"/>
      <c r="P33" s="5" t="e">
        <f ca="1">-_xll.ONESTOP.REPORTPLAYER.OSRFUNCTIONS.OSRGET("GL_F_Trans","Value1")</f>
        <v>#NAME?</v>
      </c>
      <c r="Q33" s="5"/>
      <c r="R33" s="13" t="e">
        <f ca="1">IF(P$12=0,0,P33/P$12)</f>
        <v>#NAME?</v>
      </c>
      <c r="S33" s="5"/>
      <c r="T33" s="5" t="e">
        <f ca="1">-_xll.ONESTOP.REPORTPLAYER.OSRFUNCTIONS.OSRGET("GL_F_Trans","Value1")</f>
        <v>#NAME?</v>
      </c>
      <c r="U33" s="5"/>
      <c r="V33" s="13" t="e">
        <f ca="1">IF(T$12=0,0,T33/T$12)</f>
        <v>#NAME?</v>
      </c>
      <c r="W33" s="5"/>
      <c r="X33" s="5" t="e">
        <f ca="1">+P33-T33</f>
        <v>#NAME?</v>
      </c>
      <c r="Y33" s="5"/>
      <c r="Z33" s="13" t="e">
        <f ca="1">IF(T33=0,0,X33/T33)</f>
        <v>#NAME?</v>
      </c>
    </row>
    <row r="34" spans="1:26" s="63" customFormat="1" ht="15" customHeight="1" x14ac:dyDescent="0.3">
      <c r="A34" s="49"/>
      <c r="B34" s="11" t="s">
        <v>296</v>
      </c>
      <c r="C34" s="11"/>
      <c r="D34" s="5" t="e">
        <f ca="1">-_xll.ONESTOP.REPORTPLAYER.OSRFUNCTIONS.OSRGET("GL_F_Trans","Value1")</f>
        <v>#NAME?</v>
      </c>
      <c r="E34" s="5"/>
      <c r="F34" s="13" t="e">
        <f ca="1">IF(D$12=0,0,D34/D$12)</f>
        <v>#NAME?</v>
      </c>
      <c r="G34" s="5"/>
      <c r="H34" s="5" t="e">
        <f ca="1">-_xll.ONESTOP.REPORTPLAYER.OSRFUNCTIONS.OSRGET("GL_F_Trans","Value1")</f>
        <v>#NAME?</v>
      </c>
      <c r="I34" s="5"/>
      <c r="J34" s="13" t="e">
        <f ca="1">IF(H$12=0,0,H34/H$12)</f>
        <v>#NAME?</v>
      </c>
      <c r="K34" s="5"/>
      <c r="L34" s="5" t="e">
        <f ca="1">+D34-H34</f>
        <v>#NAME?</v>
      </c>
      <c r="M34" s="5"/>
      <c r="N34" s="13" t="e">
        <f ca="1">IF(H34=0,0,L34/H34)</f>
        <v>#NAME?</v>
      </c>
      <c r="O34" s="11"/>
      <c r="P34" s="5" t="e">
        <f ca="1">-_xll.ONESTOP.REPORTPLAYER.OSRFUNCTIONS.OSRGET("GL_F_Trans","Value1")</f>
        <v>#NAME?</v>
      </c>
      <c r="Q34" s="5"/>
      <c r="R34" s="13" t="e">
        <f ca="1">IF(P$12=0,0,P34/P$12)</f>
        <v>#NAME?</v>
      </c>
      <c r="S34" s="5"/>
      <c r="T34" s="5" t="e">
        <f ca="1">-_xll.ONESTOP.REPORTPLAYER.OSRFUNCTIONS.OSRGET("GL_F_Trans","Value1")</f>
        <v>#NAME?</v>
      </c>
      <c r="U34" s="5"/>
      <c r="V34" s="13" t="e">
        <f ca="1">IF(T$12=0,0,T34/T$12)</f>
        <v>#NAME?</v>
      </c>
      <c r="W34" s="5"/>
      <c r="X34" s="5" t="e">
        <f ca="1">+P34-T34</f>
        <v>#NAME?</v>
      </c>
      <c r="Y34" s="5"/>
      <c r="Z34" s="13" t="e">
        <f ca="1">IF(T34=0,0,X34/T34)</f>
        <v>#NAME?</v>
      </c>
    </row>
    <row r="35" spans="1:26" ht="15" customHeight="1" x14ac:dyDescent="0.3">
      <c r="A35" s="10"/>
      <c r="B35" s="10"/>
      <c r="C35" s="10"/>
      <c r="D35" s="4"/>
      <c r="E35" s="4"/>
      <c r="F35" s="9"/>
      <c r="G35" s="4"/>
      <c r="H35" s="4"/>
      <c r="I35" s="4"/>
      <c r="J35" s="9"/>
      <c r="K35" s="4"/>
      <c r="L35" s="4"/>
      <c r="M35" s="4"/>
      <c r="N35" s="9"/>
      <c r="P35" s="4"/>
      <c r="Q35" s="4"/>
      <c r="R35" s="9"/>
      <c r="S35" s="4"/>
      <c r="T35" s="4"/>
      <c r="U35" s="4"/>
      <c r="V35" s="9"/>
      <c r="W35" s="4"/>
      <c r="X35" s="4"/>
      <c r="Y35" s="4"/>
      <c r="Z35" s="9"/>
    </row>
    <row r="36" spans="1:26" s="63" customFormat="1" ht="15" customHeight="1" x14ac:dyDescent="0.3">
      <c r="A36" s="11"/>
      <c r="B36" s="27" t="s">
        <v>297</v>
      </c>
      <c r="C36" s="27"/>
      <c r="D36" s="32" t="e">
        <f ca="1">SUM(D31:D35)</f>
        <v>#NAME?</v>
      </c>
      <c r="E36" s="15"/>
      <c r="F36" s="31" t="e">
        <f ca="1">IF(D$12=0,0,D36/D$12)</f>
        <v>#NAME?</v>
      </c>
      <c r="G36" s="15"/>
      <c r="H36" s="32" t="e">
        <f ca="1">SUM(H31:H35)</f>
        <v>#NAME?</v>
      </c>
      <c r="I36" s="15"/>
      <c r="J36" s="31" t="e">
        <f ca="1">IF(H$12=0,0,H36/H$12)</f>
        <v>#NAME?</v>
      </c>
      <c r="K36" s="16"/>
      <c r="L36" s="32" t="e">
        <f ca="1">+D36-H36</f>
        <v>#NAME?</v>
      </c>
      <c r="M36" s="16"/>
      <c r="N36" s="31" t="e">
        <f ca="1">IF(H36=0,0,L36/H36)</f>
        <v>#NAME?</v>
      </c>
      <c r="O36" s="28"/>
      <c r="P36" s="32" t="e">
        <f ca="1">SUM(P31:P35)</f>
        <v>#NAME?</v>
      </c>
      <c r="Q36" s="15"/>
      <c r="R36" s="31" t="e">
        <f ca="1">IF(P$12=0,0,P36/P$12)</f>
        <v>#NAME?</v>
      </c>
      <c r="S36" s="15"/>
      <c r="T36" s="32" t="e">
        <f ca="1">SUM(T31:T35)</f>
        <v>#NAME?</v>
      </c>
      <c r="U36" s="15"/>
      <c r="V36" s="31" t="e">
        <f ca="1">IF(T$12=0,0,T36/T$12)</f>
        <v>#NAME?</v>
      </c>
      <c r="W36" s="16"/>
      <c r="X36" s="32" t="e">
        <f ca="1">+P36-T36</f>
        <v>#NAME?</v>
      </c>
      <c r="Y36" s="16"/>
      <c r="Z36" s="31" t="e">
        <f ca="1">IF(T36=0,0,X36/T36)</f>
        <v>#NAME?</v>
      </c>
    </row>
    <row r="37" spans="1:26" ht="15" customHeight="1" x14ac:dyDescent="0.3">
      <c r="A37" s="10"/>
      <c r="C37" s="10"/>
      <c r="D37" s="19"/>
      <c r="E37" s="19"/>
      <c r="G37" s="19"/>
      <c r="H37" s="19"/>
      <c r="I37" s="19"/>
      <c r="J37" s="40"/>
      <c r="K37" s="19"/>
      <c r="L37" s="19"/>
      <c r="M37" s="19"/>
      <c r="P37" s="19"/>
      <c r="Q37" s="19"/>
      <c r="R37" s="40"/>
      <c r="S37" s="19"/>
      <c r="T37" s="19"/>
      <c r="U37" s="19"/>
      <c r="V37" s="40"/>
      <c r="W37" s="19"/>
      <c r="X37" s="19"/>
    </row>
    <row r="38" spans="1:26" ht="15" customHeight="1" x14ac:dyDescent="0.3">
      <c r="A38" s="10"/>
      <c r="B38" s="51" t="e">
        <f ca="1">_xll.ONESTOP.REPORTPLAYER.OSRFUNCTIONS.OSRGET("CurrentDate","Date")</f>
        <v>#NAME?</v>
      </c>
      <c r="D38" s="19"/>
      <c r="E38" s="19"/>
      <c r="G38" s="19"/>
      <c r="H38" s="19"/>
      <c r="I38" s="19"/>
      <c r="J38" s="40"/>
      <c r="K38" s="19"/>
      <c r="L38" s="19"/>
      <c r="M38" s="19"/>
      <c r="P38" s="19"/>
      <c r="Q38" s="19"/>
      <c r="R38" s="40"/>
      <c r="S38" s="19"/>
      <c r="T38" s="19"/>
      <c r="U38" s="19"/>
      <c r="V38" s="40"/>
      <c r="W38" s="19"/>
      <c r="X38" s="19"/>
    </row>
    <row r="39" spans="1:26" ht="15" customHeight="1" x14ac:dyDescent="0.3">
      <c r="A39" s="10"/>
      <c r="B39" s="58" t="e">
        <f ca="1">_xll.ONESTOP.REPORTPLAYER.OSRFUNCTIONS.OSRGET("User","UserId")</f>
        <v>#NAME?</v>
      </c>
      <c r="D39" s="19"/>
      <c r="E39" s="19"/>
      <c r="G39" s="19"/>
      <c r="H39" s="19"/>
      <c r="I39" s="19"/>
      <c r="J39" s="40"/>
      <c r="K39" s="19"/>
      <c r="L39" s="19"/>
      <c r="M39" s="19"/>
      <c r="P39" s="19"/>
      <c r="Q39" s="19"/>
      <c r="R39" s="40"/>
      <c r="S39" s="19"/>
      <c r="T39" s="19"/>
      <c r="U39" s="19"/>
      <c r="V39" s="40"/>
      <c r="W39" s="19"/>
      <c r="X39" s="19"/>
    </row>
    <row r="40" spans="1:26" ht="15" customHeight="1" x14ac:dyDescent="0.3">
      <c r="A40" s="10"/>
      <c r="B40" s="50"/>
      <c r="D40" s="19"/>
      <c r="E40" s="19"/>
      <c r="G40" s="19"/>
      <c r="H40" s="19"/>
      <c r="I40" s="19"/>
      <c r="J40" s="40"/>
      <c r="K40" s="19"/>
      <c r="L40" s="19"/>
      <c r="M40" s="19"/>
      <c r="P40" s="19"/>
      <c r="Q40" s="19"/>
      <c r="R40" s="40"/>
      <c r="S40" s="19"/>
      <c r="T40" s="19"/>
      <c r="U40" s="19"/>
      <c r="V40" s="40"/>
      <c r="W40" s="19"/>
      <c r="X40" s="19"/>
    </row>
    <row r="41" spans="1:26" ht="15" customHeight="1" x14ac:dyDescent="0.3">
      <c r="D41" s="19"/>
      <c r="E41" s="19"/>
      <c r="G41" s="19"/>
      <c r="H41" s="19"/>
      <c r="I41" s="19"/>
      <c r="J41" s="40"/>
      <c r="K41" s="19"/>
      <c r="L41" s="19"/>
      <c r="M41" s="19"/>
      <c r="P41" s="19"/>
      <c r="Q41" s="19"/>
      <c r="R41" s="40"/>
      <c r="S41" s="19"/>
      <c r="T41" s="19"/>
      <c r="U41" s="19"/>
      <c r="V41" s="40"/>
      <c r="W41" s="19"/>
      <c r="X41" s="19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F8DA42-7161-BCCA-9F99-E6A1ED588678}">
  <sheetPr>
    <tabColor rgb="FFFFFF00"/>
    <outlinePr summaryBelow="0" summaryRight="0"/>
  </sheetPr>
  <dimension ref="A2:Z41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6" customWidth="1"/>
    <col min="2" max="2" width="33.44140625" style="66" customWidth="1"/>
    <col min="3" max="3" width="1.88671875" style="66" customWidth="1"/>
    <col min="4" max="4" width="15" style="66" customWidth="1"/>
    <col min="5" max="5" width="1.88671875" style="66" customWidth="1" outlineLevel="1"/>
    <col min="6" max="6" width="15" style="67" customWidth="1" outlineLevel="1"/>
    <col min="7" max="7" width="1.88671875" style="66" customWidth="1" outlineLevel="1"/>
    <col min="8" max="8" width="15" style="66" customWidth="1" outlineLevel="1"/>
    <col min="9" max="9" width="1.88671875" style="66" customWidth="1" outlineLevel="1"/>
    <col min="10" max="10" width="15" style="68" customWidth="1" outlineLevel="1"/>
    <col min="11" max="11" width="1.88671875" style="66" customWidth="1" outlineLevel="1"/>
    <col min="12" max="12" width="15" style="66" customWidth="1" outlineLevel="1"/>
    <col min="13" max="13" width="1.88671875" style="66" customWidth="1" outlineLevel="1"/>
    <col min="14" max="14" width="15" style="67" customWidth="1" outlineLevel="1"/>
    <col min="15" max="15" width="1.88671875" style="64" customWidth="1"/>
    <col min="16" max="16" width="15" style="66" customWidth="1"/>
    <col min="17" max="17" width="1.88671875" style="66" customWidth="1" outlineLevel="1"/>
    <col min="18" max="18" width="15" style="68" customWidth="1" outlineLevel="1"/>
    <col min="19" max="19" width="1.88671875" style="66" customWidth="1" outlineLevel="1"/>
    <col min="20" max="20" width="15" style="66" customWidth="1" outlineLevel="1"/>
    <col min="21" max="21" width="1.88671875" style="66" customWidth="1" outlineLevel="1"/>
    <col min="22" max="22" width="15" style="68" customWidth="1" outlineLevel="1"/>
    <col min="23" max="23" width="1.88671875" style="66" customWidth="1" outlineLevel="1"/>
    <col min="24" max="24" width="15" style="66" customWidth="1" outlineLevel="1"/>
    <col min="25" max="25" width="1.88671875" style="66" customWidth="1" outlineLevel="1"/>
    <col min="26" max="26" width="15" style="68" customWidth="1" outlineLevel="1"/>
  </cols>
  <sheetData>
    <row r="2" spans="1:26" ht="15" customHeight="1" x14ac:dyDescent="0.3">
      <c r="D2" s="54" t="s">
        <v>276</v>
      </c>
    </row>
    <row r="3" spans="1:26" ht="15" customHeight="1" x14ac:dyDescent="0.3">
      <c r="D3" s="54" t="s">
        <v>277</v>
      </c>
      <c r="E3" s="18"/>
      <c r="F3" s="44"/>
      <c r="G3" s="18"/>
      <c r="H3" s="18"/>
      <c r="I3" s="18"/>
      <c r="J3" s="38"/>
      <c r="K3" s="18"/>
      <c r="L3" s="18"/>
      <c r="M3" s="18"/>
      <c r="N3" s="44"/>
      <c r="O3" s="53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ht="15" customHeight="1" x14ac:dyDescent="0.3">
      <c r="D4" s="54" t="e">
        <f ca="1">CONCATENATE("Period ",RIGHT(_xll.ONESTOP.REPORTPLAYER.OSRFUNCTIONS.OSRGET("Period","PeriodId"),2),", ",_xll.ONESTOP.REPORTPLAYER.OSRFUNCTIONS.OSRGET("Period","Year"))</f>
        <v>#NAME?</v>
      </c>
      <c r="E4" s="18"/>
      <c r="F4" s="44"/>
      <c r="G4" s="18"/>
      <c r="H4" s="18"/>
      <c r="I4" s="18"/>
      <c r="J4" s="38"/>
      <c r="K4" s="18"/>
      <c r="L4" s="18"/>
      <c r="M4" s="18"/>
      <c r="N4" s="44"/>
      <c r="O4" s="53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ht="15" customHeight="1" x14ac:dyDescent="0.3">
      <c r="A5" s="24"/>
      <c r="D5" s="61" t="e">
        <f ca="1">_xll.ONESTOP.REPORTPLAYER.OSRFUNCTIONS.OSRGET("Period","PeriodEnd")</f>
        <v>#NAME?</v>
      </c>
      <c r="E5" s="18"/>
      <c r="F5" s="44"/>
      <c r="G5" s="18"/>
      <c r="H5" s="18"/>
      <c r="I5" s="18"/>
      <c r="J5" s="38"/>
      <c r="K5" s="18"/>
      <c r="L5" s="18"/>
      <c r="M5" s="18"/>
      <c r="N5" s="44"/>
      <c r="O5" s="53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ht="15" customHeight="1" x14ac:dyDescent="0.3">
      <c r="A6" s="24"/>
      <c r="B6" s="47"/>
      <c r="C6" s="47"/>
      <c r="D6" s="24" t="s">
        <v>308</v>
      </c>
      <c r="E6" s="18"/>
      <c r="F6" s="44"/>
      <c r="G6" s="18"/>
      <c r="H6" s="18"/>
      <c r="I6" s="18"/>
      <c r="J6" s="38"/>
      <c r="K6" s="18"/>
      <c r="L6" s="18"/>
      <c r="M6" s="18"/>
      <c r="N6" s="44"/>
      <c r="O6" s="59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ht="15" customHeight="1" x14ac:dyDescent="0.3">
      <c r="B7" s="52"/>
    </row>
    <row r="8" spans="1:26" ht="15" customHeight="1" x14ac:dyDescent="0.3">
      <c r="B8" s="52"/>
    </row>
    <row r="9" spans="1:26" ht="15" customHeight="1" x14ac:dyDescent="0.3">
      <c r="B9" s="10"/>
      <c r="C9" s="10"/>
      <c r="D9" s="17" t="s">
        <v>279</v>
      </c>
      <c r="E9" s="17"/>
      <c r="F9" s="36"/>
      <c r="G9" s="17"/>
      <c r="H9" s="17"/>
      <c r="I9" s="17"/>
      <c r="J9" s="43"/>
      <c r="K9" s="17"/>
      <c r="L9" s="17"/>
      <c r="M9" s="17"/>
      <c r="N9" s="36"/>
      <c r="P9" s="17" t="s">
        <v>280</v>
      </c>
      <c r="Q9" s="17"/>
      <c r="R9" s="36"/>
      <c r="S9" s="17"/>
      <c r="T9" s="17"/>
      <c r="U9" s="17"/>
      <c r="V9" s="43"/>
      <c r="W9" s="17"/>
      <c r="X9" s="17"/>
      <c r="Y9" s="17"/>
      <c r="Z9" s="36"/>
    </row>
    <row r="10" spans="1:26" ht="15" customHeight="1" x14ac:dyDescent="0.3">
      <c r="A10" s="11"/>
      <c r="B10" s="57"/>
      <c r="C10" s="11"/>
      <c r="D10" s="41" t="s">
        <v>281</v>
      </c>
      <c r="E10" s="33"/>
      <c r="F10" s="37" t="s">
        <v>282</v>
      </c>
      <c r="G10" s="33"/>
      <c r="H10" s="48" t="s">
        <v>283</v>
      </c>
      <c r="I10" s="33"/>
      <c r="J10" s="45" t="s">
        <v>284</v>
      </c>
      <c r="K10" s="11"/>
      <c r="L10" s="41" t="s">
        <v>285</v>
      </c>
      <c r="M10" s="11"/>
      <c r="N10" s="37" t="s">
        <v>286</v>
      </c>
      <c r="O10" s="11"/>
      <c r="P10" s="56" t="s">
        <v>281</v>
      </c>
      <c r="Q10" s="33"/>
      <c r="R10" s="37" t="s">
        <v>282</v>
      </c>
      <c r="S10" s="33"/>
      <c r="T10" s="48" t="s">
        <v>283</v>
      </c>
      <c r="U10" s="33"/>
      <c r="V10" s="45" t="s">
        <v>284</v>
      </c>
      <c r="W10" s="11"/>
      <c r="X10" s="41" t="s">
        <v>285</v>
      </c>
      <c r="Y10" s="11"/>
      <c r="Z10" s="37" t="s">
        <v>286</v>
      </c>
    </row>
    <row r="11" spans="1:26" ht="16.5" customHeight="1" x14ac:dyDescent="0.3">
      <c r="A11" s="10"/>
      <c r="B11" s="55"/>
      <c r="C11" s="10"/>
      <c r="D11" s="10"/>
      <c r="E11" s="10"/>
      <c r="F11" s="9"/>
      <c r="G11" s="10"/>
      <c r="H11" s="10"/>
      <c r="I11" s="10"/>
      <c r="J11" s="46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6"/>
      <c r="W11" s="10"/>
      <c r="X11" s="10"/>
      <c r="Y11" s="10"/>
      <c r="Z11" s="9"/>
    </row>
    <row r="12" spans="1:26" s="63" customFormat="1" ht="15" customHeight="1" collapsed="1" x14ac:dyDescent="0.3">
      <c r="A12" s="11"/>
      <c r="B12" s="28" t="s">
        <v>287</v>
      </c>
      <c r="C12" s="11"/>
      <c r="D12" s="5" t="e">
        <f ca="1">SUM(_xll.ONESTOP.REPORTPLAYER.OSRFUNCTIONS.OSRREF(D13))</f>
        <v>#NAME?</v>
      </c>
      <c r="E12" s="5"/>
      <c r="F12" s="13"/>
      <c r="G12" s="5"/>
      <c r="H12" s="5" t="e">
        <f ca="1">SUM(_xll.ONESTOP.REPORTPLAYER.OSRFUNCTIONS.OSRREF(H13))</f>
        <v>#NAME?</v>
      </c>
      <c r="I12" s="5"/>
      <c r="J12" s="13"/>
      <c r="K12" s="5"/>
      <c r="L12" s="5" t="e">
        <f ca="1">+D12-H12</f>
        <v>#NAME?</v>
      </c>
      <c r="M12" s="5"/>
      <c r="N12" s="13" t="e">
        <f ca="1">IF(H12=0,0,L12/H12)</f>
        <v>#NAME?</v>
      </c>
      <c r="O12" s="11"/>
      <c r="P12" s="5" t="e">
        <f ca="1">SUM(_xll.ONESTOP.REPORTPLAYER.OSRFUNCTIONS.OSRREF(P13))</f>
        <v>#NAME?</v>
      </c>
      <c r="Q12" s="5"/>
      <c r="R12" s="13"/>
      <c r="S12" s="5"/>
      <c r="T12" s="5" t="e">
        <f ca="1">SUM(_xll.ONESTOP.REPORTPLAYER.OSRFUNCTIONS.OSRREF(T13))</f>
        <v>#NAME?</v>
      </c>
      <c r="U12" s="5"/>
      <c r="V12" s="13"/>
      <c r="W12" s="5"/>
      <c r="X12" s="5" t="e">
        <f ca="1">+P12-T12</f>
        <v>#NAME?</v>
      </c>
      <c r="Y12" s="5"/>
      <c r="Z12" s="13" t="e">
        <f ca="1">IF(T12=0,0,X12/T12)</f>
        <v>#NAME?</v>
      </c>
    </row>
    <row r="13" spans="1:26" s="70" customFormat="1" ht="15" hidden="1" customHeight="1" outlineLevel="1" x14ac:dyDescent="0.3">
      <c r="A13" s="42"/>
      <c r="B13" s="12" t="e">
        <f ca="1">CONCATENATE("          ",_xll.ONESTOP.REPORTPLAYER.OSRFUNCTIONS.OSRGET("d_Account","Code")," - ",_xll.ONESTOP.REPORTPLAYER.OSRFUNCTIONS.OSRGET("d_Account","Description"))</f>
        <v>#NAME?</v>
      </c>
      <c r="C13" s="12"/>
      <c r="D13" s="3" t="e">
        <f ca="1">-_xll.ONESTOP.REPORTPLAYER.OSRFUNCTIONS.OSRGET("GL_F_Trans","Value1")</f>
        <v>#NAME?</v>
      </c>
      <c r="E13" s="3"/>
      <c r="F13" s="20"/>
      <c r="G13" s="3"/>
      <c r="H13" s="3" t="e">
        <f ca="1">_xll.ONESTOP.REPORTPLAYER.OSRFUNCTIONS.OSRGET("GL_F_Trans","Value1")</f>
        <v>#NAME?</v>
      </c>
      <c r="I13" s="3"/>
      <c r="J13" s="20"/>
      <c r="K13" s="3"/>
      <c r="L13" s="3" t="e">
        <f ca="1">+D13-H13</f>
        <v>#NAME?</v>
      </c>
      <c r="M13" s="3"/>
      <c r="N13" s="20" t="e">
        <f ca="1">IF(H13=0,0,L13/H13)</f>
        <v>#NAME?</v>
      </c>
      <c r="O13" s="12"/>
      <c r="P13" s="3" t="e">
        <f ca="1">-_xll.ONESTOP.REPORTPLAYER.OSRFUNCTIONS.OSRGET("GL_F_Trans","Value1")</f>
        <v>#NAME?</v>
      </c>
      <c r="Q13" s="3"/>
      <c r="R13" s="20"/>
      <c r="S13" s="3"/>
      <c r="T13" s="3" t="e">
        <f ca="1">_xll.ONESTOP.REPORTPLAYER.OSRFUNCTIONS.OSRGET("GL_F_Trans","Value1")</f>
        <v>#NAME?</v>
      </c>
      <c r="U13" s="3"/>
      <c r="V13" s="20"/>
      <c r="W13" s="3"/>
      <c r="X13" s="3" t="e">
        <f ca="1">+P13-T13</f>
        <v>#NAME?</v>
      </c>
      <c r="Y13" s="3"/>
      <c r="Z13" s="20" t="e">
        <f ca="1">IF(T13=0,0,X13/T13)</f>
        <v>#NAME?</v>
      </c>
    </row>
    <row r="14" spans="1:26" ht="15" customHeight="1" x14ac:dyDescent="0.3">
      <c r="A14" s="10"/>
      <c r="B14" s="11"/>
      <c r="C14" s="10"/>
      <c r="D14" s="4"/>
      <c r="E14" s="4"/>
      <c r="F14" s="9"/>
      <c r="G14" s="4"/>
      <c r="H14" s="4"/>
      <c r="I14" s="4"/>
      <c r="J14" s="9"/>
      <c r="K14" s="4"/>
      <c r="L14" s="4"/>
      <c r="M14" s="4"/>
      <c r="N14" s="9"/>
      <c r="P14" s="4"/>
      <c r="Q14" s="4"/>
      <c r="R14" s="9"/>
      <c r="S14" s="4"/>
      <c r="T14" s="4"/>
      <c r="U14" s="4"/>
      <c r="V14" s="9"/>
      <c r="W14" s="4"/>
      <c r="X14" s="4"/>
      <c r="Y14" s="4"/>
      <c r="Z14" s="9"/>
    </row>
    <row r="15" spans="1:26" s="63" customFormat="1" ht="15" customHeight="1" collapsed="1" x14ac:dyDescent="0.3">
      <c r="A15" s="11"/>
      <c r="B15" s="28" t="s">
        <v>288</v>
      </c>
      <c r="C15" s="11"/>
      <c r="D15" s="5" t="e">
        <f ca="1">SUM(_xll.ONESTOP.REPORTPLAYER.OSRFUNCTIONS.OSRREF(D16))</f>
        <v>#NAME?</v>
      </c>
      <c r="E15" s="5"/>
      <c r="F15" s="13" t="e">
        <f ca="1">IF(D$12=0,0,D15/D$12)</f>
        <v>#NAME?</v>
      </c>
      <c r="G15" s="5"/>
      <c r="H15" s="5" t="e">
        <f ca="1">SUM(_xll.ONESTOP.REPORTPLAYER.OSRFUNCTIONS.OSRREF(H16))</f>
        <v>#NAME?</v>
      </c>
      <c r="I15" s="5"/>
      <c r="J15" s="13" t="e">
        <f ca="1">IF(H$12=0,0,H15/H$12)</f>
        <v>#NAME?</v>
      </c>
      <c r="K15" s="5"/>
      <c r="L15" s="5" t="e">
        <f ca="1">+D15-H15</f>
        <v>#NAME?</v>
      </c>
      <c r="M15" s="5"/>
      <c r="N15" s="13" t="e">
        <f ca="1">IF(H15=0,0,L15/H15)</f>
        <v>#NAME?</v>
      </c>
      <c r="O15" s="11"/>
      <c r="P15" s="5" t="e">
        <f ca="1">SUM(_xll.ONESTOP.REPORTPLAYER.OSRFUNCTIONS.OSRREF(P16))</f>
        <v>#NAME?</v>
      </c>
      <c r="Q15" s="5"/>
      <c r="R15" s="13" t="e">
        <f ca="1">IF(P$12=0,0,P15/P$12)</f>
        <v>#NAME?</v>
      </c>
      <c r="S15" s="5"/>
      <c r="T15" s="5" t="e">
        <f ca="1">SUM(_xll.ONESTOP.REPORTPLAYER.OSRFUNCTIONS.OSRREF(T16))</f>
        <v>#NAME?</v>
      </c>
      <c r="U15" s="5"/>
      <c r="V15" s="13" t="e">
        <f ca="1">IF(T$12=0,0,T15/T$12)</f>
        <v>#NAME?</v>
      </c>
      <c r="W15" s="5"/>
      <c r="X15" s="5" t="e">
        <f ca="1">+P15-T15</f>
        <v>#NAME?</v>
      </c>
      <c r="Y15" s="5"/>
      <c r="Z15" s="13" t="e">
        <f ca="1">IF(T15=0,0,X15/T15)</f>
        <v>#NAME?</v>
      </c>
    </row>
    <row r="16" spans="1:26" s="70" customFormat="1" ht="15" hidden="1" customHeight="1" outlineLevel="1" x14ac:dyDescent="0.3">
      <c r="A16" s="42"/>
      <c r="B16" s="12" t="e">
        <f ca="1">CONCATENATE("          ",_xll.ONESTOP.REPORTPLAYER.OSRFUNCTIONS.OSRGET("d_Account","Code")," - ",_xll.ONESTOP.REPORTPLAYER.OSRFUNCTIONS.OSRGET("d_Account","Description"))</f>
        <v>#NAME?</v>
      </c>
      <c r="C16" s="12"/>
      <c r="D16" s="3" t="e">
        <f ca="1">_xll.ONESTOP.REPORTPLAYER.OSRFUNCTIONS.OSRGET("GL_F_Trans","Value1")</f>
        <v>#NAME?</v>
      </c>
      <c r="E16" s="3"/>
      <c r="F16" s="20" t="e">
        <f ca="1">IF(D$12=0,0,D16/D$12)</f>
        <v>#NAME?</v>
      </c>
      <c r="G16" s="3"/>
      <c r="H16" s="3" t="e">
        <f ca="1">_xll.ONESTOP.REPORTPLAYER.OSRFUNCTIONS.OSRGET("GL_F_Trans","Value1")</f>
        <v>#NAME?</v>
      </c>
      <c r="I16" s="3"/>
      <c r="J16" s="20" t="e">
        <f ca="1">IF(H$12=0,0,H16/H$12)</f>
        <v>#NAME?</v>
      </c>
      <c r="K16" s="3"/>
      <c r="L16" s="3" t="e">
        <f ca="1">+D16-H16</f>
        <v>#NAME?</v>
      </c>
      <c r="M16" s="3"/>
      <c r="N16" s="20" t="e">
        <f ca="1">IF(H16=0,0,L16/H16)</f>
        <v>#NAME?</v>
      </c>
      <c r="O16" s="12"/>
      <c r="P16" s="3" t="e">
        <f ca="1">_xll.ONESTOP.REPORTPLAYER.OSRFUNCTIONS.OSRGET("GL_F_Trans","Value1")</f>
        <v>#NAME?</v>
      </c>
      <c r="Q16" s="3"/>
      <c r="R16" s="20" t="e">
        <f ca="1">IF(P$12=0,0,P16/P$12)</f>
        <v>#NAME?</v>
      </c>
      <c r="S16" s="3"/>
      <c r="T16" s="3" t="e">
        <f ca="1">_xll.ONESTOP.REPORTPLAYER.OSRFUNCTIONS.OSRGET("GL_F_Trans","Value1")</f>
        <v>#NAME?</v>
      </c>
      <c r="U16" s="3"/>
      <c r="V16" s="20" t="e">
        <f ca="1">IF(T$12=0,0,T16/T$12)</f>
        <v>#NAME?</v>
      </c>
      <c r="W16" s="3"/>
      <c r="X16" s="3" t="e">
        <f ca="1">+P16-T16</f>
        <v>#NAME?</v>
      </c>
      <c r="Y16" s="3"/>
      <c r="Z16" s="20" t="e">
        <f ca="1">IF(T16=0,0,X16/T16)</f>
        <v>#NAME?</v>
      </c>
    </row>
    <row r="17" spans="1:26" ht="15" customHeight="1" x14ac:dyDescent="0.3">
      <c r="A17" s="10"/>
      <c r="B17" s="11"/>
      <c r="C17" s="11"/>
      <c r="D17" s="4"/>
      <c r="E17" s="4"/>
      <c r="F17" s="9"/>
      <c r="G17" s="4"/>
      <c r="H17" s="4"/>
      <c r="I17" s="4"/>
      <c r="J17" s="9"/>
      <c r="K17" s="4"/>
      <c r="L17" s="4"/>
      <c r="M17" s="4"/>
      <c r="N17" s="9"/>
      <c r="O17" s="11"/>
      <c r="P17" s="4"/>
      <c r="Q17" s="4"/>
      <c r="R17" s="9"/>
      <c r="S17" s="4"/>
      <c r="T17" s="4"/>
      <c r="U17" s="4"/>
      <c r="V17" s="9"/>
      <c r="W17" s="4"/>
      <c r="X17" s="4"/>
      <c r="Y17" s="4"/>
      <c r="Z17" s="9"/>
    </row>
    <row r="18" spans="1:26" s="63" customFormat="1" ht="15" customHeight="1" x14ac:dyDescent="0.3">
      <c r="A18" s="11"/>
      <c r="B18" s="27" t="s">
        <v>289</v>
      </c>
      <c r="C18" s="27"/>
      <c r="D18" s="21" t="e">
        <f ca="1">D12-D15</f>
        <v>#NAME?</v>
      </c>
      <c r="E18" s="15"/>
      <c r="F18" s="23" t="e">
        <f ca="1">IF(D$12=0,0,D18/D$12)</f>
        <v>#NAME?</v>
      </c>
      <c r="G18" s="15"/>
      <c r="H18" s="21" t="e">
        <f ca="1">H12-H15</f>
        <v>#NAME?</v>
      </c>
      <c r="I18" s="15"/>
      <c r="J18" s="23" t="e">
        <f ca="1">IF(H$12=0,0,H18/H$12)</f>
        <v>#NAME?</v>
      </c>
      <c r="K18" s="16"/>
      <c r="L18" s="21" t="e">
        <f ca="1">+D18-H18</f>
        <v>#NAME?</v>
      </c>
      <c r="M18" s="16"/>
      <c r="N18" s="23" t="e">
        <f ca="1">IF(H18=0,0,L18/H18)</f>
        <v>#NAME?</v>
      </c>
      <c r="O18" s="28"/>
      <c r="P18" s="21" t="e">
        <f ca="1">P12-P15</f>
        <v>#NAME?</v>
      </c>
      <c r="Q18" s="15"/>
      <c r="R18" s="23" t="e">
        <f ca="1">IF(P$12=0,0,P18/P$12)</f>
        <v>#NAME?</v>
      </c>
      <c r="S18" s="15"/>
      <c r="T18" s="21" t="e">
        <f ca="1">T12-T15</f>
        <v>#NAME?</v>
      </c>
      <c r="U18" s="15"/>
      <c r="V18" s="23" t="e">
        <f ca="1">IF(T$12=0,0,T18/T$12)</f>
        <v>#NAME?</v>
      </c>
      <c r="W18" s="16"/>
      <c r="X18" s="21" t="e">
        <f ca="1">+P18-T18</f>
        <v>#NAME?</v>
      </c>
      <c r="Y18" s="16"/>
      <c r="Z18" s="23" t="e">
        <f ca="1">IF(T18=0,0,X18/T18)</f>
        <v>#NAME?</v>
      </c>
    </row>
    <row r="19" spans="1:26" ht="15" customHeight="1" x14ac:dyDescent="0.3">
      <c r="A19" s="10"/>
      <c r="B19" s="11"/>
      <c r="C19" s="10"/>
      <c r="D19" s="2"/>
      <c r="E19" s="2"/>
      <c r="F19" s="6"/>
      <c r="G19" s="2"/>
      <c r="H19" s="2"/>
      <c r="I19" s="2"/>
      <c r="J19" s="6"/>
      <c r="K19" s="2"/>
      <c r="L19" s="2"/>
      <c r="M19" s="2"/>
      <c r="N19" s="6"/>
      <c r="O19" s="35"/>
      <c r="P19" s="2"/>
      <c r="Q19" s="2"/>
      <c r="R19" s="6"/>
      <c r="S19" s="2"/>
      <c r="T19" s="2"/>
      <c r="U19" s="2"/>
      <c r="V19" s="6"/>
      <c r="W19" s="2"/>
      <c r="X19" s="2"/>
      <c r="Y19" s="2"/>
      <c r="Z19" s="6"/>
    </row>
    <row r="20" spans="1:26" s="63" customFormat="1" ht="15" customHeight="1" x14ac:dyDescent="0.3">
      <c r="A20" s="11"/>
      <c r="B20" s="28" t="s">
        <v>290</v>
      </c>
      <c r="C20" s="11"/>
      <c r="D20" s="22" t="e">
        <f ca="1">SUM(_xll.ONESTOP.REPORTPLAYER.OSRFUNCTIONS.OSRREF(D22))</f>
        <v>#NAME?</v>
      </c>
      <c r="E20" s="22"/>
      <c r="F20" s="30" t="e">
        <f ca="1">IF(D$12=0,0,D20/D$12)</f>
        <v>#NAME?</v>
      </c>
      <c r="G20" s="22"/>
      <c r="H20" s="22" t="e">
        <f ca="1">SUM(_xll.ONESTOP.REPORTPLAYER.OSRFUNCTIONS.OSRREF(H22))</f>
        <v>#NAME?</v>
      </c>
      <c r="I20" s="22"/>
      <c r="J20" s="30" t="e">
        <f ca="1">IF(H$12=0,0,H20/H$12)</f>
        <v>#NAME?</v>
      </c>
      <c r="K20" s="5"/>
      <c r="L20" s="22" t="e">
        <f ca="1">+D20-H20</f>
        <v>#NAME?</v>
      </c>
      <c r="M20" s="5"/>
      <c r="N20" s="30" t="e">
        <f ca="1">IF(H20=0,0,L20/H20)</f>
        <v>#NAME?</v>
      </c>
      <c r="O20" s="11"/>
      <c r="P20" s="22" t="e">
        <f ca="1">SUM(_xll.ONESTOP.REPORTPLAYER.OSRFUNCTIONS.OSRREF(P22))</f>
        <v>#NAME?</v>
      </c>
      <c r="Q20" s="22"/>
      <c r="R20" s="30" t="e">
        <f ca="1">IF(P$12=0,0,P20/P$12)</f>
        <v>#NAME?</v>
      </c>
      <c r="S20" s="22"/>
      <c r="T20" s="22" t="e">
        <f ca="1">SUM(_xll.ONESTOP.REPORTPLAYER.OSRFUNCTIONS.OSRREF(T22))</f>
        <v>#NAME?</v>
      </c>
      <c r="U20" s="22"/>
      <c r="V20" s="30" t="e">
        <f ca="1">IF(T$12=0,0,T20/T$12)</f>
        <v>#NAME?</v>
      </c>
      <c r="W20" s="5"/>
      <c r="X20" s="22" t="e">
        <f ca="1">+P20-T20</f>
        <v>#NAME?</v>
      </c>
      <c r="Y20" s="5"/>
      <c r="Z20" s="30" t="e">
        <f ca="1">IF(T20=0,0,X20/T20)</f>
        <v>#NAME?</v>
      </c>
    </row>
    <row r="21" spans="1:26" s="69" customFormat="1" ht="15" customHeight="1" outlineLevel="1" collapsed="1" x14ac:dyDescent="0.3">
      <c r="A21" s="25"/>
      <c r="B21" s="14" t="e">
        <f ca="1">CONCATENATE("     ",_xll.ONESTOP.REPORTPLAYER.OSRFUNCTIONS.OSRGET("d_Account","AccountCategory"))</f>
        <v>#NAME?</v>
      </c>
      <c r="C21" s="14"/>
      <c r="D21" s="2" t="e">
        <f ca="1">SUM(_xll.ONESTOP.REPORTPLAYER.OSRFUNCTIONS.OSRREF(D22))</f>
        <v>#NAME?</v>
      </c>
      <c r="E21" s="2"/>
      <c r="F21" s="6" t="e">
        <f ca="1">IF(D$12=0,0,D21/D$12)</f>
        <v>#NAME?</v>
      </c>
      <c r="G21" s="2"/>
      <c r="H21" s="2" t="e">
        <f ca="1">SUM(_xll.ONESTOP.REPORTPLAYER.OSRFUNCTIONS.OSRREF(H22))</f>
        <v>#NAME?</v>
      </c>
      <c r="I21" s="2"/>
      <c r="J21" s="6" t="e">
        <f ca="1">IF(H$12=0,0,H21/H$12)</f>
        <v>#NAME?</v>
      </c>
      <c r="K21" s="2"/>
      <c r="L21" s="2" t="e">
        <f ca="1">+D21-H21</f>
        <v>#NAME?</v>
      </c>
      <c r="M21" s="2"/>
      <c r="N21" s="6" t="e">
        <f ca="1">IF(H21=0,0,L21/H21)</f>
        <v>#NAME?</v>
      </c>
      <c r="O21" s="14"/>
      <c r="P21" s="2" t="e">
        <f ca="1">SUM(_xll.ONESTOP.REPORTPLAYER.OSRFUNCTIONS.OSRREF(P22))</f>
        <v>#NAME?</v>
      </c>
      <c r="Q21" s="2"/>
      <c r="R21" s="6" t="e">
        <f ca="1">IF(P$12=0,0,P21/P$12)</f>
        <v>#NAME?</v>
      </c>
      <c r="S21" s="2"/>
      <c r="T21" s="2" t="e">
        <f ca="1">SUM(_xll.ONESTOP.REPORTPLAYER.OSRFUNCTIONS.OSRREF(T22))</f>
        <v>#NAME?</v>
      </c>
      <c r="U21" s="2"/>
      <c r="V21" s="6" t="e">
        <f ca="1">IF(T$12=0,0,T21/T$12)</f>
        <v>#NAME?</v>
      </c>
      <c r="W21" s="2"/>
      <c r="X21" s="2" t="e">
        <f ca="1">+P21-T21</f>
        <v>#NAME?</v>
      </c>
      <c r="Y21" s="2"/>
      <c r="Z21" s="6" t="e">
        <f ca="1">IF(T21=0,0,X21/T21)</f>
        <v>#NAME?</v>
      </c>
    </row>
    <row r="22" spans="1:26" s="70" customFormat="1" ht="15" hidden="1" customHeight="1" outlineLevel="2" x14ac:dyDescent="0.3">
      <c r="A22" s="26"/>
      <c r="B22" s="12" t="e">
        <f ca="1">CONCATENATE("          ",_xll.ONESTOP.REPORTPLAYER.OSRFUNCTIONS.OSRGET("d_Account","Code")," - ",_xll.ONESTOP.REPORTPLAYER.OSRFUNCTIONS.OSRGET("d_Account","Description"))</f>
        <v>#NAME?</v>
      </c>
      <c r="C22" s="12"/>
      <c r="D22" s="7" t="e">
        <f ca="1">_xll.ONESTOP.REPORTPLAYER.OSRFUNCTIONS.OSRGET("GL_F_Trans","Value1")</f>
        <v>#NAME?</v>
      </c>
      <c r="E22" s="3"/>
      <c r="F22" s="8" t="e">
        <f ca="1">IF(D$12=0,0,D22/D$12)</f>
        <v>#NAME?</v>
      </c>
      <c r="G22" s="3"/>
      <c r="H22" s="7" t="e">
        <f ca="1">_xll.ONESTOP.REPORTPLAYER.OSRFUNCTIONS.OSRGET("GL_F_Trans","Value1")</f>
        <v>#NAME?</v>
      </c>
      <c r="I22" s="3"/>
      <c r="J22" s="8" t="e">
        <f ca="1">IF(H$12=0,0,H22/H$12)</f>
        <v>#NAME?</v>
      </c>
      <c r="K22" s="3"/>
      <c r="L22" s="7" t="e">
        <f ca="1">+D22-H22</f>
        <v>#NAME?</v>
      </c>
      <c r="M22" s="3"/>
      <c r="N22" s="8" t="e">
        <f ca="1">IF(H22=0,0,L22/H22)</f>
        <v>#NAME?</v>
      </c>
      <c r="O22" s="12"/>
      <c r="P22" s="7" t="e">
        <f ca="1">_xll.ONESTOP.REPORTPLAYER.OSRFUNCTIONS.OSRGET("GL_F_Trans","Value1")</f>
        <v>#NAME?</v>
      </c>
      <c r="Q22" s="3"/>
      <c r="R22" s="8" t="e">
        <f ca="1">IF(P$12=0,0,P22/P$12)</f>
        <v>#NAME?</v>
      </c>
      <c r="S22" s="3"/>
      <c r="T22" s="7" t="e">
        <f ca="1">_xll.ONESTOP.REPORTPLAYER.OSRFUNCTIONS.OSRGET("GL_F_Trans","Value1")</f>
        <v>#NAME?</v>
      </c>
      <c r="U22" s="3"/>
      <c r="V22" s="8" t="e">
        <f ca="1">IF(T$12=0,0,T22/T$12)</f>
        <v>#NAME?</v>
      </c>
      <c r="W22" s="3"/>
      <c r="X22" s="7" t="e">
        <f ca="1">+P22-T22</f>
        <v>#NAME?</v>
      </c>
      <c r="Y22" s="3"/>
      <c r="Z22" s="8" t="e">
        <f ca="1">IF(T22=0,0,X22/T22)</f>
        <v>#NAME?</v>
      </c>
    </row>
    <row r="23" spans="1:26" s="65" customFormat="1" ht="15" customHeight="1" x14ac:dyDescent="0.3">
      <c r="A23" s="35"/>
      <c r="B23" s="35"/>
      <c r="C23" s="35"/>
      <c r="D23" s="2"/>
      <c r="E23" s="2"/>
      <c r="F23" s="6"/>
      <c r="G23" s="2"/>
      <c r="H23" s="2"/>
      <c r="I23" s="2"/>
      <c r="J23" s="6"/>
      <c r="K23" s="2"/>
      <c r="L23" s="2"/>
      <c r="M23" s="2"/>
      <c r="N23" s="6"/>
      <c r="O23" s="35"/>
      <c r="P23" s="2"/>
      <c r="Q23" s="2"/>
      <c r="R23" s="6"/>
      <c r="S23" s="2"/>
      <c r="T23" s="2"/>
      <c r="U23" s="2"/>
      <c r="V23" s="6"/>
      <c r="W23" s="2"/>
      <c r="X23" s="2"/>
      <c r="Y23" s="2"/>
      <c r="Z23" s="6"/>
    </row>
    <row r="24" spans="1:26" s="63" customFormat="1" ht="15" customHeight="1" collapsed="1" x14ac:dyDescent="0.3">
      <c r="A24" s="11"/>
      <c r="B24" s="28" t="s">
        <v>291</v>
      </c>
      <c r="C24" s="11"/>
      <c r="D24" s="5" t="e">
        <f ca="1">SUM(_xll.ONESTOP.REPORTPLAYER.OSRFUNCTIONS.OSRREF(D25))</f>
        <v>#NAME?</v>
      </c>
      <c r="E24" s="5"/>
      <c r="F24" s="13" t="e">
        <f ca="1">IF(D$12=0,0,D24/D$12)</f>
        <v>#NAME?</v>
      </c>
      <c r="G24" s="5"/>
      <c r="H24" s="5" t="e">
        <f ca="1">SUM(_xll.ONESTOP.REPORTPLAYER.OSRFUNCTIONS.OSRREF(H25))</f>
        <v>#NAME?</v>
      </c>
      <c r="I24" s="5"/>
      <c r="J24" s="13" t="e">
        <f ca="1">IF(H$12=0,0,H24/H$12)</f>
        <v>#NAME?</v>
      </c>
      <c r="K24" s="5"/>
      <c r="L24" s="5" t="e">
        <f ca="1">+D24-H24</f>
        <v>#NAME?</v>
      </c>
      <c r="M24" s="5"/>
      <c r="N24" s="13" t="e">
        <f ca="1">IF(H24=0,0,L24/H24)</f>
        <v>#NAME?</v>
      </c>
      <c r="O24" s="11"/>
      <c r="P24" s="5" t="e">
        <f ca="1">SUM(_xll.ONESTOP.REPORTPLAYER.OSRFUNCTIONS.OSRREF(P25))</f>
        <v>#NAME?</v>
      </c>
      <c r="Q24" s="5"/>
      <c r="R24" s="13" t="e">
        <f ca="1">IF(P$12=0,0,P24/P$12)</f>
        <v>#NAME?</v>
      </c>
      <c r="S24" s="5"/>
      <c r="T24" s="5" t="e">
        <f ca="1">SUM(_xll.ONESTOP.REPORTPLAYER.OSRFUNCTIONS.OSRREF(T25))</f>
        <v>#NAME?</v>
      </c>
      <c r="U24" s="5"/>
      <c r="V24" s="13" t="e">
        <f ca="1">IF(T$12=0,0,T24/T$12)</f>
        <v>#NAME?</v>
      </c>
      <c r="W24" s="5"/>
      <c r="X24" s="5" t="e">
        <f ca="1">+P24-T24</f>
        <v>#NAME?</v>
      </c>
      <c r="Y24" s="5"/>
      <c r="Z24" s="13" t="e">
        <f ca="1">IF(T24=0,0,X24/T24)</f>
        <v>#NAME?</v>
      </c>
    </row>
    <row r="25" spans="1:26" s="70" customFormat="1" ht="15" hidden="1" customHeight="1" outlineLevel="1" x14ac:dyDescent="0.3">
      <c r="A25" s="42"/>
      <c r="B25" s="12" t="e">
        <f ca="1">CONCATENATE("          ",_xll.ONESTOP.REPORTPLAYER.OSRFUNCTIONS.OSRGET("d_Account","Code")," - ",_xll.ONESTOP.REPORTPLAYER.OSRFUNCTIONS.OSRGET("d_Account","Description"))</f>
        <v>#NAME?</v>
      </c>
      <c r="C25" s="12"/>
      <c r="D25" s="3" t="e">
        <f ca="1">-_xll.ONESTOP.REPORTPLAYER.OSRFUNCTIONS.OSRGET("GL_F_Trans","Value1")</f>
        <v>#NAME?</v>
      </c>
      <c r="E25" s="3"/>
      <c r="F25" s="20" t="e">
        <f ca="1">IF(D$12=0,0,D25/D$12)</f>
        <v>#NAME?</v>
      </c>
      <c r="G25" s="3"/>
      <c r="H25" s="3" t="e">
        <f ca="1">_xll.ONESTOP.REPORTPLAYER.OSRFUNCTIONS.OSRGET("GL_F_Trans","Value1")</f>
        <v>#NAME?</v>
      </c>
      <c r="I25" s="3"/>
      <c r="J25" s="20" t="e">
        <f ca="1">IF(H$12=0,0,H25/H$12)</f>
        <v>#NAME?</v>
      </c>
      <c r="K25" s="3"/>
      <c r="L25" s="3" t="e">
        <f ca="1">+D25-H25</f>
        <v>#NAME?</v>
      </c>
      <c r="M25" s="3"/>
      <c r="N25" s="20" t="e">
        <f ca="1">IF(H25=0,0,L25/H25)</f>
        <v>#NAME?</v>
      </c>
      <c r="O25" s="12"/>
      <c r="P25" s="3" t="e">
        <f ca="1">-_xll.ONESTOP.REPORTPLAYER.OSRFUNCTIONS.OSRGET("GL_F_Trans","Value1")</f>
        <v>#NAME?</v>
      </c>
      <c r="Q25" s="3"/>
      <c r="R25" s="20" t="e">
        <f ca="1">IF(P$12=0,0,P25/P$12)</f>
        <v>#NAME?</v>
      </c>
      <c r="S25" s="3"/>
      <c r="T25" s="3" t="e">
        <f ca="1">_xll.ONESTOP.REPORTPLAYER.OSRFUNCTIONS.OSRGET("GL_F_Trans","Value1")</f>
        <v>#NAME?</v>
      </c>
      <c r="U25" s="3"/>
      <c r="V25" s="20" t="e">
        <f ca="1">IF(T$12=0,0,T25/T$12)</f>
        <v>#NAME?</v>
      </c>
      <c r="W25" s="3"/>
      <c r="X25" s="3" t="e">
        <f ca="1">+P25-T25</f>
        <v>#NAME?</v>
      </c>
      <c r="Y25" s="3"/>
      <c r="Z25" s="20" t="e">
        <f ca="1">IF(T25=0,0,X25/T25)</f>
        <v>#NAME?</v>
      </c>
    </row>
    <row r="26" spans="1:26" ht="15" customHeight="1" x14ac:dyDescent="0.3">
      <c r="A26" s="10"/>
      <c r="B26" s="11"/>
      <c r="C26" s="11"/>
      <c r="D26" s="4"/>
      <c r="E26" s="4"/>
      <c r="F26" s="9"/>
      <c r="G26" s="4"/>
      <c r="H26" s="4"/>
      <c r="I26" s="4"/>
      <c r="J26" s="9"/>
      <c r="K26" s="4"/>
      <c r="L26" s="4"/>
      <c r="M26" s="4"/>
      <c r="N26" s="9"/>
      <c r="O26" s="11"/>
      <c r="P26" s="4"/>
      <c r="Q26" s="4"/>
      <c r="R26" s="9"/>
      <c r="S26" s="4"/>
      <c r="T26" s="4"/>
      <c r="U26" s="4"/>
      <c r="V26" s="9"/>
      <c r="W26" s="4"/>
      <c r="X26" s="4"/>
      <c r="Y26" s="4"/>
      <c r="Z26" s="9"/>
    </row>
    <row r="27" spans="1:26" s="63" customFormat="1" ht="15" customHeight="1" x14ac:dyDescent="0.3">
      <c r="A27" s="11"/>
      <c r="B27" s="27" t="s">
        <v>292</v>
      </c>
      <c r="C27" s="27"/>
      <c r="D27" s="21" t="e">
        <f ca="1">+D18-D20+D24</f>
        <v>#NAME?</v>
      </c>
      <c r="E27" s="15"/>
      <c r="F27" s="23" t="e">
        <f ca="1">IF(D$12=0,0,D27/D$12)</f>
        <v>#NAME?</v>
      </c>
      <c r="G27" s="15"/>
      <c r="H27" s="21" t="e">
        <f ca="1">+H18-H20+H24</f>
        <v>#NAME?</v>
      </c>
      <c r="I27" s="15"/>
      <c r="J27" s="23" t="e">
        <f ca="1">IF(H$12=0,0,H27/H$12)</f>
        <v>#NAME?</v>
      </c>
      <c r="K27" s="16"/>
      <c r="L27" s="21" t="e">
        <f ca="1">+D27-H27</f>
        <v>#NAME?</v>
      </c>
      <c r="M27" s="16"/>
      <c r="N27" s="23" t="e">
        <f ca="1">IF(H27=0,0,L27/H27)</f>
        <v>#NAME?</v>
      </c>
      <c r="O27" s="28"/>
      <c r="P27" s="21" t="e">
        <f ca="1">+P18-P20+P24</f>
        <v>#NAME?</v>
      </c>
      <c r="Q27" s="15"/>
      <c r="R27" s="23" t="e">
        <f ca="1">IF(P$12=0,0,P27/P$12)</f>
        <v>#NAME?</v>
      </c>
      <c r="S27" s="15"/>
      <c r="T27" s="21" t="e">
        <f ca="1">+T18-T20+T24</f>
        <v>#NAME?</v>
      </c>
      <c r="U27" s="15"/>
      <c r="V27" s="23" t="e">
        <f ca="1">IF(T$12=0,0,T27/T$12)</f>
        <v>#NAME?</v>
      </c>
      <c r="W27" s="16"/>
      <c r="X27" s="21" t="e">
        <f ca="1">+P27-T27</f>
        <v>#NAME?</v>
      </c>
      <c r="Y27" s="16"/>
      <c r="Z27" s="23" t="e">
        <f ca="1">IF(T27=0,0,X27/T27)</f>
        <v>#NAME?</v>
      </c>
    </row>
    <row r="28" spans="1:26" ht="15" customHeight="1" x14ac:dyDescent="0.3">
      <c r="A28" s="10"/>
      <c r="B28" s="11"/>
      <c r="C28" s="10"/>
      <c r="D28" s="4"/>
      <c r="E28" s="4"/>
      <c r="F28" s="9"/>
      <c r="G28" s="4"/>
      <c r="H28" s="4"/>
      <c r="I28" s="4"/>
      <c r="J28" s="9"/>
      <c r="K28" s="4"/>
      <c r="L28" s="4"/>
      <c r="M28" s="4"/>
      <c r="N28" s="9"/>
      <c r="P28" s="4"/>
      <c r="Q28" s="4"/>
      <c r="R28" s="9"/>
      <c r="S28" s="4"/>
      <c r="T28" s="4"/>
      <c r="U28" s="4"/>
      <c r="V28" s="9"/>
      <c r="W28" s="4"/>
      <c r="X28" s="4"/>
      <c r="Y28" s="4"/>
      <c r="Z28" s="9"/>
    </row>
    <row r="29" spans="1:26" s="63" customFormat="1" ht="15" customHeight="1" x14ac:dyDescent="0.3">
      <c r="A29" s="49"/>
      <c r="B29" s="11" t="s">
        <v>293</v>
      </c>
      <c r="C29" s="11"/>
      <c r="D29" s="5" t="e">
        <f ca="1">_xll.ONESTOP.REPORTPLAYER.OSRFUNCTIONS.OSRGET("GL_F_Trans","Value1")</f>
        <v>#NAME?</v>
      </c>
      <c r="E29" s="5"/>
      <c r="F29" s="13" t="e">
        <f ca="1">IF(D$12=0,0,D29/D$12)</f>
        <v>#NAME?</v>
      </c>
      <c r="G29" s="5"/>
      <c r="H29" s="5" t="e">
        <f ca="1">_xll.ONESTOP.REPORTPLAYER.OSRFUNCTIONS.OSRGET("GL_F_Trans","Value1")</f>
        <v>#NAME?</v>
      </c>
      <c r="I29" s="5"/>
      <c r="J29" s="13" t="e">
        <f ca="1">IF(H$12=0,0,H29/H$12)</f>
        <v>#NAME?</v>
      </c>
      <c r="K29" s="5"/>
      <c r="L29" s="5" t="e">
        <f ca="1">+D29-H29</f>
        <v>#NAME?</v>
      </c>
      <c r="M29" s="5"/>
      <c r="N29" s="13" t="e">
        <f ca="1">IF(H29=0,0,L29/H29)</f>
        <v>#NAME?</v>
      </c>
      <c r="O29" s="11"/>
      <c r="P29" s="5" t="e">
        <f ca="1">_xll.ONESTOP.REPORTPLAYER.OSRFUNCTIONS.OSRGET("GL_F_Trans","Value1")</f>
        <v>#NAME?</v>
      </c>
      <c r="Q29" s="5"/>
      <c r="R29" s="13" t="e">
        <f ca="1">IF(P$12=0,0,P29/P$12)</f>
        <v>#NAME?</v>
      </c>
      <c r="S29" s="5"/>
      <c r="T29" s="5" t="e">
        <f ca="1">_xll.ONESTOP.REPORTPLAYER.OSRFUNCTIONS.OSRGET("GL_F_Trans","Value1")</f>
        <v>#NAME?</v>
      </c>
      <c r="U29" s="5"/>
      <c r="V29" s="13" t="e">
        <f ca="1">IF(T$12=0,0,T29/T$12)</f>
        <v>#NAME?</v>
      </c>
      <c r="W29" s="5"/>
      <c r="X29" s="5" t="e">
        <f ca="1">+P29-T29</f>
        <v>#NAME?</v>
      </c>
      <c r="Y29" s="5"/>
      <c r="Z29" s="13" t="e">
        <f ca="1">IF(T29=0,0,X29/T29)</f>
        <v>#NAME?</v>
      </c>
    </row>
    <row r="30" spans="1:26" ht="15" customHeight="1" x14ac:dyDescent="0.3">
      <c r="A30" s="10"/>
      <c r="B30" s="11"/>
      <c r="C30" s="11"/>
      <c r="D30" s="4"/>
      <c r="E30" s="4"/>
      <c r="F30" s="9"/>
      <c r="G30" s="4"/>
      <c r="H30" s="4"/>
      <c r="I30" s="4"/>
      <c r="J30" s="9"/>
      <c r="K30" s="4"/>
      <c r="L30" s="4"/>
      <c r="M30" s="4"/>
      <c r="N30" s="9"/>
      <c r="O30" s="11"/>
      <c r="P30" s="4"/>
      <c r="Q30" s="4"/>
      <c r="R30" s="9"/>
      <c r="S30" s="4"/>
      <c r="T30" s="4"/>
      <c r="U30" s="4"/>
      <c r="V30" s="9"/>
      <c r="W30" s="4"/>
      <c r="X30" s="4"/>
      <c r="Y30" s="4"/>
      <c r="Z30" s="9"/>
    </row>
    <row r="31" spans="1:26" s="63" customFormat="1" ht="15" customHeight="1" x14ac:dyDescent="0.3">
      <c r="A31" s="11"/>
      <c r="B31" s="27" t="s">
        <v>294</v>
      </c>
      <c r="C31" s="27"/>
      <c r="D31" s="34" t="e">
        <f ca="1">+D27-D29</f>
        <v>#NAME?</v>
      </c>
      <c r="E31" s="15"/>
      <c r="F31" s="29" t="e">
        <f ca="1">IF(D$12=0,0,D31/D$12)</f>
        <v>#NAME?</v>
      </c>
      <c r="G31" s="15"/>
      <c r="H31" s="34" t="e">
        <f ca="1">+H27-H29</f>
        <v>#NAME?</v>
      </c>
      <c r="I31" s="15"/>
      <c r="J31" s="29" t="e">
        <f ca="1">IF(H$12=0,0,H31/H$12)</f>
        <v>#NAME?</v>
      </c>
      <c r="K31" s="16"/>
      <c r="L31" s="34" t="e">
        <f ca="1">D31-H31</f>
        <v>#NAME?</v>
      </c>
      <c r="M31" s="16"/>
      <c r="N31" s="29" t="e">
        <f ca="1">IF(H31=0,0,L31/H31)</f>
        <v>#NAME?</v>
      </c>
      <c r="O31" s="28"/>
      <c r="P31" s="34" t="e">
        <f ca="1">+P27-P29</f>
        <v>#NAME?</v>
      </c>
      <c r="Q31" s="15"/>
      <c r="R31" s="29" t="e">
        <f ca="1">IF(P$12=0,0,P31/P$12)</f>
        <v>#NAME?</v>
      </c>
      <c r="S31" s="15"/>
      <c r="T31" s="34" t="e">
        <f ca="1">+T27-T29</f>
        <v>#NAME?</v>
      </c>
      <c r="U31" s="15"/>
      <c r="V31" s="29" t="e">
        <f ca="1">IF(T$12=0,0,T31/T$12)</f>
        <v>#NAME?</v>
      </c>
      <c r="W31" s="16"/>
      <c r="X31" s="34" t="e">
        <f ca="1">P31-T31</f>
        <v>#NAME?</v>
      </c>
      <c r="Y31" s="16"/>
      <c r="Z31" s="29" t="e">
        <f ca="1">IF(T31=0,0,X31/T31)</f>
        <v>#NAME?</v>
      </c>
    </row>
    <row r="32" spans="1:26" ht="15" customHeight="1" x14ac:dyDescent="0.3">
      <c r="A32" s="10"/>
      <c r="B32" s="10"/>
      <c r="C32" s="10"/>
      <c r="D32" s="4"/>
      <c r="E32" s="4"/>
      <c r="F32" s="9"/>
      <c r="G32" s="4"/>
      <c r="H32" s="4"/>
      <c r="I32" s="4"/>
      <c r="J32" s="9"/>
      <c r="K32" s="4"/>
      <c r="L32" s="4"/>
      <c r="M32" s="4"/>
      <c r="N32" s="9"/>
      <c r="P32" s="4"/>
      <c r="Q32" s="4"/>
      <c r="R32" s="9"/>
      <c r="S32" s="4"/>
      <c r="T32" s="4"/>
      <c r="U32" s="4"/>
      <c r="V32" s="9"/>
      <c r="W32" s="4"/>
      <c r="X32" s="4"/>
      <c r="Y32" s="4"/>
      <c r="Z32" s="9"/>
    </row>
    <row r="33" spans="1:26" s="63" customFormat="1" ht="15" customHeight="1" x14ac:dyDescent="0.3">
      <c r="A33" s="49"/>
      <c r="B33" s="11" t="s">
        <v>295</v>
      </c>
      <c r="C33" s="11"/>
      <c r="D33" s="5" t="e">
        <f ca="1">-_xll.ONESTOP.REPORTPLAYER.OSRFUNCTIONS.OSRGET("GL_F_Trans","Value1")</f>
        <v>#NAME?</v>
      </c>
      <c r="E33" s="5"/>
      <c r="F33" s="13" t="e">
        <f ca="1">IF(D$12=0,0,D33/D$12)</f>
        <v>#NAME?</v>
      </c>
      <c r="G33" s="5"/>
      <c r="H33" s="5" t="e">
        <f ca="1">-_xll.ONESTOP.REPORTPLAYER.OSRFUNCTIONS.OSRGET("GL_F_Trans","Value1")</f>
        <v>#NAME?</v>
      </c>
      <c r="I33" s="5"/>
      <c r="J33" s="13" t="e">
        <f ca="1">IF(H$12=0,0,H33/H$12)</f>
        <v>#NAME?</v>
      </c>
      <c r="K33" s="5"/>
      <c r="L33" s="5" t="e">
        <f ca="1">+D33-H33</f>
        <v>#NAME?</v>
      </c>
      <c r="M33" s="5"/>
      <c r="N33" s="13" t="e">
        <f ca="1">IF(H33=0,0,L33/H33)</f>
        <v>#NAME?</v>
      </c>
      <c r="O33" s="11"/>
      <c r="P33" s="5" t="e">
        <f ca="1">-_xll.ONESTOP.REPORTPLAYER.OSRFUNCTIONS.OSRGET("GL_F_Trans","Value1")</f>
        <v>#NAME?</v>
      </c>
      <c r="Q33" s="5"/>
      <c r="R33" s="13" t="e">
        <f ca="1">IF(P$12=0,0,P33/P$12)</f>
        <v>#NAME?</v>
      </c>
      <c r="S33" s="5"/>
      <c r="T33" s="5" t="e">
        <f ca="1">-_xll.ONESTOP.REPORTPLAYER.OSRFUNCTIONS.OSRGET("GL_F_Trans","Value1")</f>
        <v>#NAME?</v>
      </c>
      <c r="U33" s="5"/>
      <c r="V33" s="13" t="e">
        <f ca="1">IF(T$12=0,0,T33/T$12)</f>
        <v>#NAME?</v>
      </c>
      <c r="W33" s="5"/>
      <c r="X33" s="5" t="e">
        <f ca="1">+P33-T33</f>
        <v>#NAME?</v>
      </c>
      <c r="Y33" s="5"/>
      <c r="Z33" s="13" t="e">
        <f ca="1">IF(T33=0,0,X33/T33)</f>
        <v>#NAME?</v>
      </c>
    </row>
    <row r="34" spans="1:26" s="63" customFormat="1" ht="15" customHeight="1" x14ac:dyDescent="0.3">
      <c r="A34" s="49"/>
      <c r="B34" s="11" t="s">
        <v>296</v>
      </c>
      <c r="C34" s="11"/>
      <c r="D34" s="5" t="e">
        <f ca="1">-_xll.ONESTOP.REPORTPLAYER.OSRFUNCTIONS.OSRGET("GL_F_Trans","Value1")</f>
        <v>#NAME?</v>
      </c>
      <c r="E34" s="5"/>
      <c r="F34" s="13" t="e">
        <f ca="1">IF(D$12=0,0,D34/D$12)</f>
        <v>#NAME?</v>
      </c>
      <c r="G34" s="5"/>
      <c r="H34" s="5" t="e">
        <f ca="1">-_xll.ONESTOP.REPORTPLAYER.OSRFUNCTIONS.OSRGET("GL_F_Trans","Value1")</f>
        <v>#NAME?</v>
      </c>
      <c r="I34" s="5"/>
      <c r="J34" s="13" t="e">
        <f ca="1">IF(H$12=0,0,H34/H$12)</f>
        <v>#NAME?</v>
      </c>
      <c r="K34" s="5"/>
      <c r="L34" s="5" t="e">
        <f ca="1">+D34-H34</f>
        <v>#NAME?</v>
      </c>
      <c r="M34" s="5"/>
      <c r="N34" s="13" t="e">
        <f ca="1">IF(H34=0,0,L34/H34)</f>
        <v>#NAME?</v>
      </c>
      <c r="O34" s="11"/>
      <c r="P34" s="5" t="e">
        <f ca="1">-_xll.ONESTOP.REPORTPLAYER.OSRFUNCTIONS.OSRGET("GL_F_Trans","Value1")</f>
        <v>#NAME?</v>
      </c>
      <c r="Q34" s="5"/>
      <c r="R34" s="13" t="e">
        <f ca="1">IF(P$12=0,0,P34/P$12)</f>
        <v>#NAME?</v>
      </c>
      <c r="S34" s="5"/>
      <c r="T34" s="5" t="e">
        <f ca="1">-_xll.ONESTOP.REPORTPLAYER.OSRFUNCTIONS.OSRGET("GL_F_Trans","Value1")</f>
        <v>#NAME?</v>
      </c>
      <c r="U34" s="5"/>
      <c r="V34" s="13" t="e">
        <f ca="1">IF(T$12=0,0,T34/T$12)</f>
        <v>#NAME?</v>
      </c>
      <c r="W34" s="5"/>
      <c r="X34" s="5" t="e">
        <f ca="1">+P34-T34</f>
        <v>#NAME?</v>
      </c>
      <c r="Y34" s="5"/>
      <c r="Z34" s="13" t="e">
        <f ca="1">IF(T34=0,0,X34/T34)</f>
        <v>#NAME?</v>
      </c>
    </row>
    <row r="35" spans="1:26" ht="15" customHeight="1" x14ac:dyDescent="0.3">
      <c r="A35" s="10"/>
      <c r="B35" s="10"/>
      <c r="C35" s="10"/>
      <c r="D35" s="4"/>
      <c r="E35" s="4"/>
      <c r="F35" s="9"/>
      <c r="G35" s="4"/>
      <c r="H35" s="4"/>
      <c r="I35" s="4"/>
      <c r="J35" s="9"/>
      <c r="K35" s="4"/>
      <c r="L35" s="4"/>
      <c r="M35" s="4"/>
      <c r="N35" s="9"/>
      <c r="P35" s="4"/>
      <c r="Q35" s="4"/>
      <c r="R35" s="9"/>
      <c r="S35" s="4"/>
      <c r="T35" s="4"/>
      <c r="U35" s="4"/>
      <c r="V35" s="9"/>
      <c r="W35" s="4"/>
      <c r="X35" s="4"/>
      <c r="Y35" s="4"/>
      <c r="Z35" s="9"/>
    </row>
    <row r="36" spans="1:26" s="63" customFormat="1" ht="15" customHeight="1" x14ac:dyDescent="0.3">
      <c r="A36" s="11"/>
      <c r="B36" s="27" t="s">
        <v>297</v>
      </c>
      <c r="C36" s="27"/>
      <c r="D36" s="32" t="e">
        <f ca="1">SUM(D31:D35)</f>
        <v>#NAME?</v>
      </c>
      <c r="E36" s="15"/>
      <c r="F36" s="31" t="e">
        <f ca="1">IF(D$12=0,0,D36/D$12)</f>
        <v>#NAME?</v>
      </c>
      <c r="G36" s="15"/>
      <c r="H36" s="32" t="e">
        <f ca="1">SUM(H31:H35)</f>
        <v>#NAME?</v>
      </c>
      <c r="I36" s="15"/>
      <c r="J36" s="31" t="e">
        <f ca="1">IF(H$12=0,0,H36/H$12)</f>
        <v>#NAME?</v>
      </c>
      <c r="K36" s="16"/>
      <c r="L36" s="32" t="e">
        <f ca="1">+D36-H36</f>
        <v>#NAME?</v>
      </c>
      <c r="M36" s="16"/>
      <c r="N36" s="31" t="e">
        <f ca="1">IF(H36=0,0,L36/H36)</f>
        <v>#NAME?</v>
      </c>
      <c r="O36" s="28"/>
      <c r="P36" s="32" t="e">
        <f ca="1">SUM(P31:P35)</f>
        <v>#NAME?</v>
      </c>
      <c r="Q36" s="15"/>
      <c r="R36" s="31" t="e">
        <f ca="1">IF(P$12=0,0,P36/P$12)</f>
        <v>#NAME?</v>
      </c>
      <c r="S36" s="15"/>
      <c r="T36" s="32" t="e">
        <f ca="1">SUM(T31:T35)</f>
        <v>#NAME?</v>
      </c>
      <c r="U36" s="15"/>
      <c r="V36" s="31" t="e">
        <f ca="1">IF(T$12=0,0,T36/T$12)</f>
        <v>#NAME?</v>
      </c>
      <c r="W36" s="16"/>
      <c r="X36" s="32" t="e">
        <f ca="1">+P36-T36</f>
        <v>#NAME?</v>
      </c>
      <c r="Y36" s="16"/>
      <c r="Z36" s="31" t="e">
        <f ca="1">IF(T36=0,0,X36/T36)</f>
        <v>#NAME?</v>
      </c>
    </row>
    <row r="37" spans="1:26" ht="15" customHeight="1" x14ac:dyDescent="0.3">
      <c r="A37" s="10"/>
      <c r="C37" s="10"/>
      <c r="D37" s="19"/>
      <c r="E37" s="19"/>
      <c r="G37" s="19"/>
      <c r="H37" s="19"/>
      <c r="I37" s="19"/>
      <c r="J37" s="40"/>
      <c r="K37" s="19"/>
      <c r="L37" s="19"/>
      <c r="M37" s="19"/>
      <c r="P37" s="19"/>
      <c r="Q37" s="19"/>
      <c r="R37" s="40"/>
      <c r="S37" s="19"/>
      <c r="T37" s="19"/>
      <c r="U37" s="19"/>
      <c r="V37" s="40"/>
      <c r="W37" s="19"/>
      <c r="X37" s="19"/>
    </row>
    <row r="38" spans="1:26" ht="15" customHeight="1" x14ac:dyDescent="0.3">
      <c r="A38" s="10"/>
      <c r="B38" s="51" t="e">
        <f ca="1">_xll.ONESTOP.REPORTPLAYER.OSRFUNCTIONS.OSRGET("CurrentDate","Date")</f>
        <v>#NAME?</v>
      </c>
      <c r="D38" s="19"/>
      <c r="E38" s="19"/>
      <c r="G38" s="19"/>
      <c r="H38" s="19"/>
      <c r="I38" s="19"/>
      <c r="J38" s="40"/>
      <c r="K38" s="19"/>
      <c r="L38" s="19"/>
      <c r="M38" s="19"/>
      <c r="P38" s="19"/>
      <c r="Q38" s="19"/>
      <c r="R38" s="40"/>
      <c r="S38" s="19"/>
      <c r="T38" s="19"/>
      <c r="U38" s="19"/>
      <c r="V38" s="40"/>
      <c r="W38" s="19"/>
      <c r="X38" s="19"/>
    </row>
    <row r="39" spans="1:26" ht="15" customHeight="1" x14ac:dyDescent="0.3">
      <c r="A39" s="10"/>
      <c r="B39" s="58" t="e">
        <f ca="1">_xll.ONESTOP.REPORTPLAYER.OSRFUNCTIONS.OSRGET("User","UserId")</f>
        <v>#NAME?</v>
      </c>
      <c r="D39" s="19"/>
      <c r="E39" s="19"/>
      <c r="G39" s="19"/>
      <c r="H39" s="19"/>
      <c r="I39" s="19"/>
      <c r="J39" s="40"/>
      <c r="K39" s="19"/>
      <c r="L39" s="19"/>
      <c r="M39" s="19"/>
      <c r="P39" s="19"/>
      <c r="Q39" s="19"/>
      <c r="R39" s="40"/>
      <c r="S39" s="19"/>
      <c r="T39" s="19"/>
      <c r="U39" s="19"/>
      <c r="V39" s="40"/>
      <c r="W39" s="19"/>
      <c r="X39" s="19"/>
    </row>
    <row r="40" spans="1:26" ht="15" customHeight="1" x14ac:dyDescent="0.3">
      <c r="A40" s="10"/>
      <c r="B40" s="50"/>
      <c r="D40" s="19"/>
      <c r="E40" s="19"/>
      <c r="G40" s="19"/>
      <c r="H40" s="19"/>
      <c r="I40" s="19"/>
      <c r="J40" s="40"/>
      <c r="K40" s="19"/>
      <c r="L40" s="19"/>
      <c r="M40" s="19"/>
      <c r="P40" s="19"/>
      <c r="Q40" s="19"/>
      <c r="R40" s="40"/>
      <c r="S40" s="19"/>
      <c r="T40" s="19"/>
      <c r="U40" s="19"/>
      <c r="V40" s="40"/>
      <c r="W40" s="19"/>
      <c r="X40" s="19"/>
    </row>
    <row r="41" spans="1:26" ht="15" customHeight="1" x14ac:dyDescent="0.3">
      <c r="D41" s="19"/>
      <c r="E41" s="19"/>
      <c r="G41" s="19"/>
      <c r="H41" s="19"/>
      <c r="I41" s="19"/>
      <c r="J41" s="40"/>
      <c r="K41" s="19"/>
      <c r="L41" s="19"/>
      <c r="M41" s="19"/>
      <c r="P41" s="19"/>
      <c r="Q41" s="19"/>
      <c r="R41" s="40"/>
      <c r="S41" s="19"/>
      <c r="T41" s="19"/>
      <c r="U41" s="19"/>
      <c r="V41" s="40"/>
      <c r="W41" s="19"/>
      <c r="X41" s="19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7963AE-B05D-1DC5-A74F-3CA50DC9265F}">
  <sheetPr>
    <tabColor rgb="FFFFFF00"/>
    <outlinePr summaryBelow="0" summaryRight="0"/>
  </sheetPr>
  <dimension ref="A2:Z41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6" customWidth="1"/>
    <col min="2" max="2" width="33.44140625" style="66" customWidth="1"/>
    <col min="3" max="3" width="1.88671875" style="66" customWidth="1"/>
    <col min="4" max="4" width="15" style="66" customWidth="1"/>
    <col min="5" max="5" width="1.88671875" style="66" customWidth="1" outlineLevel="1"/>
    <col min="6" max="6" width="15" style="67" customWidth="1" outlineLevel="1"/>
    <col min="7" max="7" width="1.88671875" style="66" customWidth="1" outlineLevel="1"/>
    <col min="8" max="8" width="15" style="66" customWidth="1" outlineLevel="1"/>
    <col min="9" max="9" width="1.88671875" style="66" customWidth="1" outlineLevel="1"/>
    <col min="10" max="10" width="15" style="68" customWidth="1" outlineLevel="1"/>
    <col min="11" max="11" width="1.88671875" style="66" customWidth="1" outlineLevel="1"/>
    <col min="12" max="12" width="15" style="66" customWidth="1" outlineLevel="1"/>
    <col min="13" max="13" width="1.88671875" style="66" customWidth="1" outlineLevel="1"/>
    <col min="14" max="14" width="15" style="67" customWidth="1" outlineLevel="1"/>
    <col min="15" max="15" width="1.88671875" style="64" customWidth="1"/>
    <col min="16" max="16" width="15" style="66" customWidth="1"/>
    <col min="17" max="17" width="1.88671875" style="66" customWidth="1" outlineLevel="1"/>
    <col min="18" max="18" width="15" style="68" customWidth="1" outlineLevel="1"/>
    <col min="19" max="19" width="1.88671875" style="66" customWidth="1" outlineLevel="1"/>
    <col min="20" max="20" width="15" style="66" customWidth="1" outlineLevel="1"/>
    <col min="21" max="21" width="1.88671875" style="66" customWidth="1" outlineLevel="1"/>
    <col min="22" max="22" width="15" style="68" customWidth="1" outlineLevel="1"/>
    <col min="23" max="23" width="1.88671875" style="66" customWidth="1" outlineLevel="1"/>
    <col min="24" max="24" width="15" style="66" customWidth="1" outlineLevel="1"/>
    <col min="25" max="25" width="1.88671875" style="66" customWidth="1" outlineLevel="1"/>
    <col min="26" max="26" width="15" style="68" customWidth="1" outlineLevel="1"/>
  </cols>
  <sheetData>
    <row r="2" spans="1:26" ht="15" customHeight="1" x14ac:dyDescent="0.3">
      <c r="D2" s="54" t="s">
        <v>276</v>
      </c>
    </row>
    <row r="3" spans="1:26" ht="15" customHeight="1" x14ac:dyDescent="0.3">
      <c r="D3" s="54" t="s">
        <v>277</v>
      </c>
      <c r="E3" s="18"/>
      <c r="F3" s="44"/>
      <c r="G3" s="18"/>
      <c r="H3" s="18"/>
      <c r="I3" s="18"/>
      <c r="J3" s="38"/>
      <c r="K3" s="18"/>
      <c r="L3" s="18"/>
      <c r="M3" s="18"/>
      <c r="N3" s="44"/>
      <c r="O3" s="53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ht="15" customHeight="1" x14ac:dyDescent="0.3">
      <c r="D4" s="54" t="e">
        <f ca="1">CONCATENATE("Period ",RIGHT(_xll.ONESTOP.REPORTPLAYER.OSRFUNCTIONS.OSRGET("Period","PeriodId"),2),", ",_xll.ONESTOP.REPORTPLAYER.OSRFUNCTIONS.OSRGET("Period","Year"))</f>
        <v>#NAME?</v>
      </c>
      <c r="E4" s="18"/>
      <c r="F4" s="44"/>
      <c r="G4" s="18"/>
      <c r="H4" s="18"/>
      <c r="I4" s="18"/>
      <c r="J4" s="38"/>
      <c r="K4" s="18"/>
      <c r="L4" s="18"/>
      <c r="M4" s="18"/>
      <c r="N4" s="44"/>
      <c r="O4" s="53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ht="15" customHeight="1" x14ac:dyDescent="0.3">
      <c r="A5" s="24"/>
      <c r="D5" s="61" t="e">
        <f ca="1">_xll.ONESTOP.REPORTPLAYER.OSRFUNCTIONS.OSRGET("Period","PeriodEnd")</f>
        <v>#NAME?</v>
      </c>
      <c r="E5" s="18"/>
      <c r="F5" s="44"/>
      <c r="G5" s="18"/>
      <c r="H5" s="18"/>
      <c r="I5" s="18"/>
      <c r="J5" s="38"/>
      <c r="K5" s="18"/>
      <c r="L5" s="18"/>
      <c r="M5" s="18"/>
      <c r="N5" s="44"/>
      <c r="O5" s="53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ht="15" customHeight="1" x14ac:dyDescent="0.3">
      <c r="A6" s="24"/>
      <c r="B6" s="47"/>
      <c r="C6" s="47"/>
      <c r="D6" s="24" t="s">
        <v>309</v>
      </c>
      <c r="E6" s="18"/>
      <c r="F6" s="44"/>
      <c r="G6" s="18"/>
      <c r="H6" s="18"/>
      <c r="I6" s="18"/>
      <c r="J6" s="38"/>
      <c r="K6" s="18"/>
      <c r="L6" s="18"/>
      <c r="M6" s="18"/>
      <c r="N6" s="44"/>
      <c r="O6" s="59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ht="15" customHeight="1" x14ac:dyDescent="0.3">
      <c r="B7" s="52"/>
    </row>
    <row r="8" spans="1:26" ht="15" customHeight="1" x14ac:dyDescent="0.3">
      <c r="B8" s="52"/>
    </row>
    <row r="9" spans="1:26" ht="15" customHeight="1" x14ac:dyDescent="0.3">
      <c r="B9" s="10"/>
      <c r="C9" s="10"/>
      <c r="D9" s="17" t="s">
        <v>279</v>
      </c>
      <c r="E9" s="17"/>
      <c r="F9" s="36"/>
      <c r="G9" s="17"/>
      <c r="H9" s="17"/>
      <c r="I9" s="17"/>
      <c r="J9" s="43"/>
      <c r="K9" s="17"/>
      <c r="L9" s="17"/>
      <c r="M9" s="17"/>
      <c r="N9" s="36"/>
      <c r="P9" s="17" t="s">
        <v>280</v>
      </c>
      <c r="Q9" s="17"/>
      <c r="R9" s="36"/>
      <c r="S9" s="17"/>
      <c r="T9" s="17"/>
      <c r="U9" s="17"/>
      <c r="V9" s="43"/>
      <c r="W9" s="17"/>
      <c r="X9" s="17"/>
      <c r="Y9" s="17"/>
      <c r="Z9" s="36"/>
    </row>
    <row r="10" spans="1:26" ht="15" customHeight="1" x14ac:dyDescent="0.3">
      <c r="A10" s="11"/>
      <c r="B10" s="57"/>
      <c r="C10" s="11"/>
      <c r="D10" s="41" t="s">
        <v>281</v>
      </c>
      <c r="E10" s="33"/>
      <c r="F10" s="37" t="s">
        <v>282</v>
      </c>
      <c r="G10" s="33"/>
      <c r="H10" s="48" t="s">
        <v>283</v>
      </c>
      <c r="I10" s="33"/>
      <c r="J10" s="45" t="s">
        <v>284</v>
      </c>
      <c r="K10" s="11"/>
      <c r="L10" s="41" t="s">
        <v>285</v>
      </c>
      <c r="M10" s="11"/>
      <c r="N10" s="37" t="s">
        <v>286</v>
      </c>
      <c r="O10" s="11"/>
      <c r="P10" s="56" t="s">
        <v>281</v>
      </c>
      <c r="Q10" s="33"/>
      <c r="R10" s="37" t="s">
        <v>282</v>
      </c>
      <c r="S10" s="33"/>
      <c r="T10" s="48" t="s">
        <v>283</v>
      </c>
      <c r="U10" s="33"/>
      <c r="V10" s="45" t="s">
        <v>284</v>
      </c>
      <c r="W10" s="11"/>
      <c r="X10" s="41" t="s">
        <v>285</v>
      </c>
      <c r="Y10" s="11"/>
      <c r="Z10" s="37" t="s">
        <v>286</v>
      </c>
    </row>
    <row r="11" spans="1:26" ht="16.5" customHeight="1" x14ac:dyDescent="0.3">
      <c r="A11" s="10"/>
      <c r="B11" s="55"/>
      <c r="C11" s="10"/>
      <c r="D11" s="10"/>
      <c r="E11" s="10"/>
      <c r="F11" s="9"/>
      <c r="G11" s="10"/>
      <c r="H11" s="10"/>
      <c r="I11" s="10"/>
      <c r="J11" s="46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6"/>
      <c r="W11" s="10"/>
      <c r="X11" s="10"/>
      <c r="Y11" s="10"/>
      <c r="Z11" s="9"/>
    </row>
    <row r="12" spans="1:26" s="63" customFormat="1" ht="15" customHeight="1" collapsed="1" x14ac:dyDescent="0.3">
      <c r="A12" s="11"/>
      <c r="B12" s="28" t="s">
        <v>287</v>
      </c>
      <c r="C12" s="11"/>
      <c r="D12" s="5" t="e">
        <f ca="1">SUM(_xll.ONESTOP.REPORTPLAYER.OSRFUNCTIONS.OSRREF(D13))</f>
        <v>#NAME?</v>
      </c>
      <c r="E12" s="5"/>
      <c r="F12" s="13"/>
      <c r="G12" s="5"/>
      <c r="H12" s="5" t="e">
        <f ca="1">SUM(_xll.ONESTOP.REPORTPLAYER.OSRFUNCTIONS.OSRREF(H13))</f>
        <v>#NAME?</v>
      </c>
      <c r="I12" s="5"/>
      <c r="J12" s="13"/>
      <c r="K12" s="5"/>
      <c r="L12" s="5" t="e">
        <f ca="1">+D12-H12</f>
        <v>#NAME?</v>
      </c>
      <c r="M12" s="5"/>
      <c r="N12" s="13" t="e">
        <f ca="1">IF(H12=0,0,L12/H12)</f>
        <v>#NAME?</v>
      </c>
      <c r="O12" s="11"/>
      <c r="P12" s="5" t="e">
        <f ca="1">SUM(_xll.ONESTOP.REPORTPLAYER.OSRFUNCTIONS.OSRREF(P13))</f>
        <v>#NAME?</v>
      </c>
      <c r="Q12" s="5"/>
      <c r="R12" s="13"/>
      <c r="S12" s="5"/>
      <c r="T12" s="5" t="e">
        <f ca="1">SUM(_xll.ONESTOP.REPORTPLAYER.OSRFUNCTIONS.OSRREF(T13))</f>
        <v>#NAME?</v>
      </c>
      <c r="U12" s="5"/>
      <c r="V12" s="13"/>
      <c r="W12" s="5"/>
      <c r="X12" s="5" t="e">
        <f ca="1">+P12-T12</f>
        <v>#NAME?</v>
      </c>
      <c r="Y12" s="5"/>
      <c r="Z12" s="13" t="e">
        <f ca="1">IF(T12=0,0,X12/T12)</f>
        <v>#NAME?</v>
      </c>
    </row>
    <row r="13" spans="1:26" s="70" customFormat="1" ht="15" hidden="1" customHeight="1" outlineLevel="1" x14ac:dyDescent="0.3">
      <c r="A13" s="42"/>
      <c r="B13" s="12" t="e">
        <f ca="1">CONCATENATE("          ",_xll.ONESTOP.REPORTPLAYER.OSRFUNCTIONS.OSRGET("d_Account","Code")," - ",_xll.ONESTOP.REPORTPLAYER.OSRFUNCTIONS.OSRGET("d_Account","Description"))</f>
        <v>#NAME?</v>
      </c>
      <c r="C13" s="12"/>
      <c r="D13" s="3" t="e">
        <f ca="1">-_xll.ONESTOP.REPORTPLAYER.OSRFUNCTIONS.OSRGET("GL_F_Trans","Value1")</f>
        <v>#NAME?</v>
      </c>
      <c r="E13" s="3"/>
      <c r="F13" s="20"/>
      <c r="G13" s="3"/>
      <c r="H13" s="3" t="e">
        <f ca="1">_xll.ONESTOP.REPORTPLAYER.OSRFUNCTIONS.OSRGET("GL_F_Trans","Value1")</f>
        <v>#NAME?</v>
      </c>
      <c r="I13" s="3"/>
      <c r="J13" s="20"/>
      <c r="K13" s="3"/>
      <c r="L13" s="3" t="e">
        <f ca="1">+D13-H13</f>
        <v>#NAME?</v>
      </c>
      <c r="M13" s="3"/>
      <c r="N13" s="20" t="e">
        <f ca="1">IF(H13=0,0,L13/H13)</f>
        <v>#NAME?</v>
      </c>
      <c r="O13" s="12"/>
      <c r="P13" s="3" t="e">
        <f ca="1">-_xll.ONESTOP.REPORTPLAYER.OSRFUNCTIONS.OSRGET("GL_F_Trans","Value1")</f>
        <v>#NAME?</v>
      </c>
      <c r="Q13" s="3"/>
      <c r="R13" s="20"/>
      <c r="S13" s="3"/>
      <c r="T13" s="3" t="e">
        <f ca="1">_xll.ONESTOP.REPORTPLAYER.OSRFUNCTIONS.OSRGET("GL_F_Trans","Value1")</f>
        <v>#NAME?</v>
      </c>
      <c r="U13" s="3"/>
      <c r="V13" s="20"/>
      <c r="W13" s="3"/>
      <c r="X13" s="3" t="e">
        <f ca="1">+P13-T13</f>
        <v>#NAME?</v>
      </c>
      <c r="Y13" s="3"/>
      <c r="Z13" s="20" t="e">
        <f ca="1">IF(T13=0,0,X13/T13)</f>
        <v>#NAME?</v>
      </c>
    </row>
    <row r="14" spans="1:26" ht="15" customHeight="1" x14ac:dyDescent="0.3">
      <c r="A14" s="10"/>
      <c r="B14" s="11"/>
      <c r="C14" s="10"/>
      <c r="D14" s="4"/>
      <c r="E14" s="4"/>
      <c r="F14" s="9"/>
      <c r="G14" s="4"/>
      <c r="H14" s="4"/>
      <c r="I14" s="4"/>
      <c r="J14" s="9"/>
      <c r="K14" s="4"/>
      <c r="L14" s="4"/>
      <c r="M14" s="4"/>
      <c r="N14" s="9"/>
      <c r="P14" s="4"/>
      <c r="Q14" s="4"/>
      <c r="R14" s="9"/>
      <c r="S14" s="4"/>
      <c r="T14" s="4"/>
      <c r="U14" s="4"/>
      <c r="V14" s="9"/>
      <c r="W14" s="4"/>
      <c r="X14" s="4"/>
      <c r="Y14" s="4"/>
      <c r="Z14" s="9"/>
    </row>
    <row r="15" spans="1:26" s="63" customFormat="1" ht="15" customHeight="1" collapsed="1" x14ac:dyDescent="0.3">
      <c r="A15" s="11"/>
      <c r="B15" s="28" t="s">
        <v>288</v>
      </c>
      <c r="C15" s="11"/>
      <c r="D15" s="5" t="e">
        <f ca="1">SUM(_xll.ONESTOP.REPORTPLAYER.OSRFUNCTIONS.OSRREF(D16))</f>
        <v>#NAME?</v>
      </c>
      <c r="E15" s="5"/>
      <c r="F15" s="13" t="e">
        <f ca="1">IF(D$12=0,0,D15/D$12)</f>
        <v>#NAME?</v>
      </c>
      <c r="G15" s="5"/>
      <c r="H15" s="5" t="e">
        <f ca="1">SUM(_xll.ONESTOP.REPORTPLAYER.OSRFUNCTIONS.OSRREF(H16))</f>
        <v>#NAME?</v>
      </c>
      <c r="I15" s="5"/>
      <c r="J15" s="13" t="e">
        <f ca="1">IF(H$12=0,0,H15/H$12)</f>
        <v>#NAME?</v>
      </c>
      <c r="K15" s="5"/>
      <c r="L15" s="5" t="e">
        <f ca="1">+D15-H15</f>
        <v>#NAME?</v>
      </c>
      <c r="M15" s="5"/>
      <c r="N15" s="13" t="e">
        <f ca="1">IF(H15=0,0,L15/H15)</f>
        <v>#NAME?</v>
      </c>
      <c r="O15" s="11"/>
      <c r="P15" s="5" t="e">
        <f ca="1">SUM(_xll.ONESTOP.REPORTPLAYER.OSRFUNCTIONS.OSRREF(P16))</f>
        <v>#NAME?</v>
      </c>
      <c r="Q15" s="5"/>
      <c r="R15" s="13" t="e">
        <f ca="1">IF(P$12=0,0,P15/P$12)</f>
        <v>#NAME?</v>
      </c>
      <c r="S15" s="5"/>
      <c r="T15" s="5" t="e">
        <f ca="1">SUM(_xll.ONESTOP.REPORTPLAYER.OSRFUNCTIONS.OSRREF(T16))</f>
        <v>#NAME?</v>
      </c>
      <c r="U15" s="5"/>
      <c r="V15" s="13" t="e">
        <f ca="1">IF(T$12=0,0,T15/T$12)</f>
        <v>#NAME?</v>
      </c>
      <c r="W15" s="5"/>
      <c r="X15" s="5" t="e">
        <f ca="1">+P15-T15</f>
        <v>#NAME?</v>
      </c>
      <c r="Y15" s="5"/>
      <c r="Z15" s="13" t="e">
        <f ca="1">IF(T15=0,0,X15/T15)</f>
        <v>#NAME?</v>
      </c>
    </row>
    <row r="16" spans="1:26" s="70" customFormat="1" ht="15" hidden="1" customHeight="1" outlineLevel="1" x14ac:dyDescent="0.3">
      <c r="A16" s="42"/>
      <c r="B16" s="12" t="e">
        <f ca="1">CONCATENATE("          ",_xll.ONESTOP.REPORTPLAYER.OSRFUNCTIONS.OSRGET("d_Account","Code")," - ",_xll.ONESTOP.REPORTPLAYER.OSRFUNCTIONS.OSRGET("d_Account","Description"))</f>
        <v>#NAME?</v>
      </c>
      <c r="C16" s="12"/>
      <c r="D16" s="3" t="e">
        <f ca="1">_xll.ONESTOP.REPORTPLAYER.OSRFUNCTIONS.OSRGET("GL_F_Trans","Value1")</f>
        <v>#NAME?</v>
      </c>
      <c r="E16" s="3"/>
      <c r="F16" s="20" t="e">
        <f ca="1">IF(D$12=0,0,D16/D$12)</f>
        <v>#NAME?</v>
      </c>
      <c r="G16" s="3"/>
      <c r="H16" s="3" t="e">
        <f ca="1">_xll.ONESTOP.REPORTPLAYER.OSRFUNCTIONS.OSRGET("GL_F_Trans","Value1")</f>
        <v>#NAME?</v>
      </c>
      <c r="I16" s="3"/>
      <c r="J16" s="20" t="e">
        <f ca="1">IF(H$12=0,0,H16/H$12)</f>
        <v>#NAME?</v>
      </c>
      <c r="K16" s="3"/>
      <c r="L16" s="3" t="e">
        <f ca="1">+D16-H16</f>
        <v>#NAME?</v>
      </c>
      <c r="M16" s="3"/>
      <c r="N16" s="20" t="e">
        <f ca="1">IF(H16=0,0,L16/H16)</f>
        <v>#NAME?</v>
      </c>
      <c r="O16" s="12"/>
      <c r="P16" s="3" t="e">
        <f ca="1">_xll.ONESTOP.REPORTPLAYER.OSRFUNCTIONS.OSRGET("GL_F_Trans","Value1")</f>
        <v>#NAME?</v>
      </c>
      <c r="Q16" s="3"/>
      <c r="R16" s="20" t="e">
        <f ca="1">IF(P$12=0,0,P16/P$12)</f>
        <v>#NAME?</v>
      </c>
      <c r="S16" s="3"/>
      <c r="T16" s="3" t="e">
        <f ca="1">_xll.ONESTOP.REPORTPLAYER.OSRFUNCTIONS.OSRGET("GL_F_Trans","Value1")</f>
        <v>#NAME?</v>
      </c>
      <c r="U16" s="3"/>
      <c r="V16" s="20" t="e">
        <f ca="1">IF(T$12=0,0,T16/T$12)</f>
        <v>#NAME?</v>
      </c>
      <c r="W16" s="3"/>
      <c r="X16" s="3" t="e">
        <f ca="1">+P16-T16</f>
        <v>#NAME?</v>
      </c>
      <c r="Y16" s="3"/>
      <c r="Z16" s="20" t="e">
        <f ca="1">IF(T16=0,0,X16/T16)</f>
        <v>#NAME?</v>
      </c>
    </row>
    <row r="17" spans="1:26" ht="15" customHeight="1" x14ac:dyDescent="0.3">
      <c r="A17" s="10"/>
      <c r="B17" s="11"/>
      <c r="C17" s="11"/>
      <c r="D17" s="4"/>
      <c r="E17" s="4"/>
      <c r="F17" s="9"/>
      <c r="G17" s="4"/>
      <c r="H17" s="4"/>
      <c r="I17" s="4"/>
      <c r="J17" s="9"/>
      <c r="K17" s="4"/>
      <c r="L17" s="4"/>
      <c r="M17" s="4"/>
      <c r="N17" s="9"/>
      <c r="O17" s="11"/>
      <c r="P17" s="4"/>
      <c r="Q17" s="4"/>
      <c r="R17" s="9"/>
      <c r="S17" s="4"/>
      <c r="T17" s="4"/>
      <c r="U17" s="4"/>
      <c r="V17" s="9"/>
      <c r="W17" s="4"/>
      <c r="X17" s="4"/>
      <c r="Y17" s="4"/>
      <c r="Z17" s="9"/>
    </row>
    <row r="18" spans="1:26" s="63" customFormat="1" ht="15" customHeight="1" x14ac:dyDescent="0.3">
      <c r="A18" s="11"/>
      <c r="B18" s="27" t="s">
        <v>289</v>
      </c>
      <c r="C18" s="27"/>
      <c r="D18" s="21" t="e">
        <f ca="1">D12-D15</f>
        <v>#NAME?</v>
      </c>
      <c r="E18" s="15"/>
      <c r="F18" s="23" t="e">
        <f ca="1">IF(D$12=0,0,D18/D$12)</f>
        <v>#NAME?</v>
      </c>
      <c r="G18" s="15"/>
      <c r="H18" s="21" t="e">
        <f ca="1">H12-H15</f>
        <v>#NAME?</v>
      </c>
      <c r="I18" s="15"/>
      <c r="J18" s="23" t="e">
        <f ca="1">IF(H$12=0,0,H18/H$12)</f>
        <v>#NAME?</v>
      </c>
      <c r="K18" s="16"/>
      <c r="L18" s="21" t="e">
        <f ca="1">+D18-H18</f>
        <v>#NAME?</v>
      </c>
      <c r="M18" s="16"/>
      <c r="N18" s="23" t="e">
        <f ca="1">IF(H18=0,0,L18/H18)</f>
        <v>#NAME?</v>
      </c>
      <c r="O18" s="28"/>
      <c r="P18" s="21" t="e">
        <f ca="1">P12-P15</f>
        <v>#NAME?</v>
      </c>
      <c r="Q18" s="15"/>
      <c r="R18" s="23" t="e">
        <f ca="1">IF(P$12=0,0,P18/P$12)</f>
        <v>#NAME?</v>
      </c>
      <c r="S18" s="15"/>
      <c r="T18" s="21" t="e">
        <f ca="1">T12-T15</f>
        <v>#NAME?</v>
      </c>
      <c r="U18" s="15"/>
      <c r="V18" s="23" t="e">
        <f ca="1">IF(T$12=0,0,T18/T$12)</f>
        <v>#NAME?</v>
      </c>
      <c r="W18" s="16"/>
      <c r="X18" s="21" t="e">
        <f ca="1">+P18-T18</f>
        <v>#NAME?</v>
      </c>
      <c r="Y18" s="16"/>
      <c r="Z18" s="23" t="e">
        <f ca="1">IF(T18=0,0,X18/T18)</f>
        <v>#NAME?</v>
      </c>
    </row>
    <row r="19" spans="1:26" ht="15" customHeight="1" x14ac:dyDescent="0.3">
      <c r="A19" s="10"/>
      <c r="B19" s="11"/>
      <c r="C19" s="10"/>
      <c r="D19" s="2"/>
      <c r="E19" s="2"/>
      <c r="F19" s="6"/>
      <c r="G19" s="2"/>
      <c r="H19" s="2"/>
      <c r="I19" s="2"/>
      <c r="J19" s="6"/>
      <c r="K19" s="2"/>
      <c r="L19" s="2"/>
      <c r="M19" s="2"/>
      <c r="N19" s="6"/>
      <c r="O19" s="35"/>
      <c r="P19" s="2"/>
      <c r="Q19" s="2"/>
      <c r="R19" s="6"/>
      <c r="S19" s="2"/>
      <c r="T19" s="2"/>
      <c r="U19" s="2"/>
      <c r="V19" s="6"/>
      <c r="W19" s="2"/>
      <c r="X19" s="2"/>
      <c r="Y19" s="2"/>
      <c r="Z19" s="6"/>
    </row>
    <row r="20" spans="1:26" s="63" customFormat="1" ht="15" customHeight="1" x14ac:dyDescent="0.3">
      <c r="A20" s="11"/>
      <c r="B20" s="28" t="s">
        <v>290</v>
      </c>
      <c r="C20" s="11"/>
      <c r="D20" s="22" t="e">
        <f ca="1">SUM(_xll.ONESTOP.REPORTPLAYER.OSRFUNCTIONS.OSRREF(D22))</f>
        <v>#NAME?</v>
      </c>
      <c r="E20" s="22"/>
      <c r="F20" s="30" t="e">
        <f ca="1">IF(D$12=0,0,D20/D$12)</f>
        <v>#NAME?</v>
      </c>
      <c r="G20" s="22"/>
      <c r="H20" s="22" t="e">
        <f ca="1">SUM(_xll.ONESTOP.REPORTPLAYER.OSRFUNCTIONS.OSRREF(H22))</f>
        <v>#NAME?</v>
      </c>
      <c r="I20" s="22"/>
      <c r="J20" s="30" t="e">
        <f ca="1">IF(H$12=0,0,H20/H$12)</f>
        <v>#NAME?</v>
      </c>
      <c r="K20" s="5"/>
      <c r="L20" s="22" t="e">
        <f ca="1">+D20-H20</f>
        <v>#NAME?</v>
      </c>
      <c r="M20" s="5"/>
      <c r="N20" s="30" t="e">
        <f ca="1">IF(H20=0,0,L20/H20)</f>
        <v>#NAME?</v>
      </c>
      <c r="O20" s="11"/>
      <c r="P20" s="22" t="e">
        <f ca="1">SUM(_xll.ONESTOP.REPORTPLAYER.OSRFUNCTIONS.OSRREF(P22))</f>
        <v>#NAME?</v>
      </c>
      <c r="Q20" s="22"/>
      <c r="R20" s="30" t="e">
        <f ca="1">IF(P$12=0,0,P20/P$12)</f>
        <v>#NAME?</v>
      </c>
      <c r="S20" s="22"/>
      <c r="T20" s="22" t="e">
        <f ca="1">SUM(_xll.ONESTOP.REPORTPLAYER.OSRFUNCTIONS.OSRREF(T22))</f>
        <v>#NAME?</v>
      </c>
      <c r="U20" s="22"/>
      <c r="V20" s="30" t="e">
        <f ca="1">IF(T$12=0,0,T20/T$12)</f>
        <v>#NAME?</v>
      </c>
      <c r="W20" s="5"/>
      <c r="X20" s="22" t="e">
        <f ca="1">+P20-T20</f>
        <v>#NAME?</v>
      </c>
      <c r="Y20" s="5"/>
      <c r="Z20" s="30" t="e">
        <f ca="1">IF(T20=0,0,X20/T20)</f>
        <v>#NAME?</v>
      </c>
    </row>
    <row r="21" spans="1:26" s="69" customFormat="1" ht="15" customHeight="1" outlineLevel="1" collapsed="1" x14ac:dyDescent="0.3">
      <c r="A21" s="25"/>
      <c r="B21" s="14" t="e">
        <f ca="1">CONCATENATE("     ",_xll.ONESTOP.REPORTPLAYER.OSRFUNCTIONS.OSRGET("d_Account","AccountCategory"))</f>
        <v>#NAME?</v>
      </c>
      <c r="C21" s="14"/>
      <c r="D21" s="2" t="e">
        <f ca="1">SUM(_xll.ONESTOP.REPORTPLAYER.OSRFUNCTIONS.OSRREF(D22))</f>
        <v>#NAME?</v>
      </c>
      <c r="E21" s="2"/>
      <c r="F21" s="6" t="e">
        <f ca="1">IF(D$12=0,0,D21/D$12)</f>
        <v>#NAME?</v>
      </c>
      <c r="G21" s="2"/>
      <c r="H21" s="2" t="e">
        <f ca="1">SUM(_xll.ONESTOP.REPORTPLAYER.OSRFUNCTIONS.OSRREF(H22))</f>
        <v>#NAME?</v>
      </c>
      <c r="I21" s="2"/>
      <c r="J21" s="6" t="e">
        <f ca="1">IF(H$12=0,0,H21/H$12)</f>
        <v>#NAME?</v>
      </c>
      <c r="K21" s="2"/>
      <c r="L21" s="2" t="e">
        <f ca="1">+D21-H21</f>
        <v>#NAME?</v>
      </c>
      <c r="M21" s="2"/>
      <c r="N21" s="6" t="e">
        <f ca="1">IF(H21=0,0,L21/H21)</f>
        <v>#NAME?</v>
      </c>
      <c r="O21" s="14"/>
      <c r="P21" s="2" t="e">
        <f ca="1">SUM(_xll.ONESTOP.REPORTPLAYER.OSRFUNCTIONS.OSRREF(P22))</f>
        <v>#NAME?</v>
      </c>
      <c r="Q21" s="2"/>
      <c r="R21" s="6" t="e">
        <f ca="1">IF(P$12=0,0,P21/P$12)</f>
        <v>#NAME?</v>
      </c>
      <c r="S21" s="2"/>
      <c r="T21" s="2" t="e">
        <f ca="1">SUM(_xll.ONESTOP.REPORTPLAYER.OSRFUNCTIONS.OSRREF(T22))</f>
        <v>#NAME?</v>
      </c>
      <c r="U21" s="2"/>
      <c r="V21" s="6" t="e">
        <f ca="1">IF(T$12=0,0,T21/T$12)</f>
        <v>#NAME?</v>
      </c>
      <c r="W21" s="2"/>
      <c r="X21" s="2" t="e">
        <f ca="1">+P21-T21</f>
        <v>#NAME?</v>
      </c>
      <c r="Y21" s="2"/>
      <c r="Z21" s="6" t="e">
        <f ca="1">IF(T21=0,0,X21/T21)</f>
        <v>#NAME?</v>
      </c>
    </row>
    <row r="22" spans="1:26" s="70" customFormat="1" ht="15" hidden="1" customHeight="1" outlineLevel="2" x14ac:dyDescent="0.3">
      <c r="A22" s="26"/>
      <c r="B22" s="12" t="e">
        <f ca="1">CONCATENATE("          ",_xll.ONESTOP.REPORTPLAYER.OSRFUNCTIONS.OSRGET("d_Account","Code")," - ",_xll.ONESTOP.REPORTPLAYER.OSRFUNCTIONS.OSRGET("d_Account","Description"))</f>
        <v>#NAME?</v>
      </c>
      <c r="C22" s="12"/>
      <c r="D22" s="7" t="e">
        <f ca="1">_xll.ONESTOP.REPORTPLAYER.OSRFUNCTIONS.OSRGET("GL_F_Trans","Value1")</f>
        <v>#NAME?</v>
      </c>
      <c r="E22" s="3"/>
      <c r="F22" s="8" t="e">
        <f ca="1">IF(D$12=0,0,D22/D$12)</f>
        <v>#NAME?</v>
      </c>
      <c r="G22" s="3"/>
      <c r="H22" s="7" t="e">
        <f ca="1">_xll.ONESTOP.REPORTPLAYER.OSRFUNCTIONS.OSRGET("GL_F_Trans","Value1")</f>
        <v>#NAME?</v>
      </c>
      <c r="I22" s="3"/>
      <c r="J22" s="8" t="e">
        <f ca="1">IF(H$12=0,0,H22/H$12)</f>
        <v>#NAME?</v>
      </c>
      <c r="K22" s="3"/>
      <c r="L22" s="7" t="e">
        <f ca="1">+D22-H22</f>
        <v>#NAME?</v>
      </c>
      <c r="M22" s="3"/>
      <c r="N22" s="8" t="e">
        <f ca="1">IF(H22=0,0,L22/H22)</f>
        <v>#NAME?</v>
      </c>
      <c r="O22" s="12"/>
      <c r="P22" s="7" t="e">
        <f ca="1">_xll.ONESTOP.REPORTPLAYER.OSRFUNCTIONS.OSRGET("GL_F_Trans","Value1")</f>
        <v>#NAME?</v>
      </c>
      <c r="Q22" s="3"/>
      <c r="R22" s="8" t="e">
        <f ca="1">IF(P$12=0,0,P22/P$12)</f>
        <v>#NAME?</v>
      </c>
      <c r="S22" s="3"/>
      <c r="T22" s="7" t="e">
        <f ca="1">_xll.ONESTOP.REPORTPLAYER.OSRFUNCTIONS.OSRGET("GL_F_Trans","Value1")</f>
        <v>#NAME?</v>
      </c>
      <c r="U22" s="3"/>
      <c r="V22" s="8" t="e">
        <f ca="1">IF(T$12=0,0,T22/T$12)</f>
        <v>#NAME?</v>
      </c>
      <c r="W22" s="3"/>
      <c r="X22" s="7" t="e">
        <f ca="1">+P22-T22</f>
        <v>#NAME?</v>
      </c>
      <c r="Y22" s="3"/>
      <c r="Z22" s="8" t="e">
        <f ca="1">IF(T22=0,0,X22/T22)</f>
        <v>#NAME?</v>
      </c>
    </row>
    <row r="23" spans="1:26" s="65" customFormat="1" ht="15" customHeight="1" x14ac:dyDescent="0.3">
      <c r="A23" s="35"/>
      <c r="B23" s="35"/>
      <c r="C23" s="35"/>
      <c r="D23" s="2"/>
      <c r="E23" s="2"/>
      <c r="F23" s="6"/>
      <c r="G23" s="2"/>
      <c r="H23" s="2"/>
      <c r="I23" s="2"/>
      <c r="J23" s="6"/>
      <c r="K23" s="2"/>
      <c r="L23" s="2"/>
      <c r="M23" s="2"/>
      <c r="N23" s="6"/>
      <c r="O23" s="35"/>
      <c r="P23" s="2"/>
      <c r="Q23" s="2"/>
      <c r="R23" s="6"/>
      <c r="S23" s="2"/>
      <c r="T23" s="2"/>
      <c r="U23" s="2"/>
      <c r="V23" s="6"/>
      <c r="W23" s="2"/>
      <c r="X23" s="2"/>
      <c r="Y23" s="2"/>
      <c r="Z23" s="6"/>
    </row>
    <row r="24" spans="1:26" s="63" customFormat="1" ht="15" customHeight="1" collapsed="1" x14ac:dyDescent="0.3">
      <c r="A24" s="11"/>
      <c r="B24" s="28" t="s">
        <v>291</v>
      </c>
      <c r="C24" s="11"/>
      <c r="D24" s="5" t="e">
        <f ca="1">SUM(_xll.ONESTOP.REPORTPLAYER.OSRFUNCTIONS.OSRREF(D25))</f>
        <v>#NAME?</v>
      </c>
      <c r="E24" s="5"/>
      <c r="F24" s="13" t="e">
        <f ca="1">IF(D$12=0,0,D24/D$12)</f>
        <v>#NAME?</v>
      </c>
      <c r="G24" s="5"/>
      <c r="H24" s="5" t="e">
        <f ca="1">SUM(_xll.ONESTOP.REPORTPLAYER.OSRFUNCTIONS.OSRREF(H25))</f>
        <v>#NAME?</v>
      </c>
      <c r="I24" s="5"/>
      <c r="J24" s="13" t="e">
        <f ca="1">IF(H$12=0,0,H24/H$12)</f>
        <v>#NAME?</v>
      </c>
      <c r="K24" s="5"/>
      <c r="L24" s="5" t="e">
        <f ca="1">+D24-H24</f>
        <v>#NAME?</v>
      </c>
      <c r="M24" s="5"/>
      <c r="N24" s="13" t="e">
        <f ca="1">IF(H24=0,0,L24/H24)</f>
        <v>#NAME?</v>
      </c>
      <c r="O24" s="11"/>
      <c r="P24" s="5" t="e">
        <f ca="1">SUM(_xll.ONESTOP.REPORTPLAYER.OSRFUNCTIONS.OSRREF(P25))</f>
        <v>#NAME?</v>
      </c>
      <c r="Q24" s="5"/>
      <c r="R24" s="13" t="e">
        <f ca="1">IF(P$12=0,0,P24/P$12)</f>
        <v>#NAME?</v>
      </c>
      <c r="S24" s="5"/>
      <c r="T24" s="5" t="e">
        <f ca="1">SUM(_xll.ONESTOP.REPORTPLAYER.OSRFUNCTIONS.OSRREF(T25))</f>
        <v>#NAME?</v>
      </c>
      <c r="U24" s="5"/>
      <c r="V24" s="13" t="e">
        <f ca="1">IF(T$12=0,0,T24/T$12)</f>
        <v>#NAME?</v>
      </c>
      <c r="W24" s="5"/>
      <c r="X24" s="5" t="e">
        <f ca="1">+P24-T24</f>
        <v>#NAME?</v>
      </c>
      <c r="Y24" s="5"/>
      <c r="Z24" s="13" t="e">
        <f ca="1">IF(T24=0,0,X24/T24)</f>
        <v>#NAME?</v>
      </c>
    </row>
    <row r="25" spans="1:26" s="70" customFormat="1" ht="15" hidden="1" customHeight="1" outlineLevel="1" x14ac:dyDescent="0.3">
      <c r="A25" s="42"/>
      <c r="B25" s="12" t="e">
        <f ca="1">CONCATENATE("          ",_xll.ONESTOP.REPORTPLAYER.OSRFUNCTIONS.OSRGET("d_Account","Code")," - ",_xll.ONESTOP.REPORTPLAYER.OSRFUNCTIONS.OSRGET("d_Account","Description"))</f>
        <v>#NAME?</v>
      </c>
      <c r="C25" s="12"/>
      <c r="D25" s="3" t="e">
        <f ca="1">-_xll.ONESTOP.REPORTPLAYER.OSRFUNCTIONS.OSRGET("GL_F_Trans","Value1")</f>
        <v>#NAME?</v>
      </c>
      <c r="E25" s="3"/>
      <c r="F25" s="20" t="e">
        <f ca="1">IF(D$12=0,0,D25/D$12)</f>
        <v>#NAME?</v>
      </c>
      <c r="G25" s="3"/>
      <c r="H25" s="3" t="e">
        <f ca="1">_xll.ONESTOP.REPORTPLAYER.OSRFUNCTIONS.OSRGET("GL_F_Trans","Value1")</f>
        <v>#NAME?</v>
      </c>
      <c r="I25" s="3"/>
      <c r="J25" s="20" t="e">
        <f ca="1">IF(H$12=0,0,H25/H$12)</f>
        <v>#NAME?</v>
      </c>
      <c r="K25" s="3"/>
      <c r="L25" s="3" t="e">
        <f ca="1">+D25-H25</f>
        <v>#NAME?</v>
      </c>
      <c r="M25" s="3"/>
      <c r="N25" s="20" t="e">
        <f ca="1">IF(H25=0,0,L25/H25)</f>
        <v>#NAME?</v>
      </c>
      <c r="O25" s="12"/>
      <c r="P25" s="3" t="e">
        <f ca="1">-_xll.ONESTOP.REPORTPLAYER.OSRFUNCTIONS.OSRGET("GL_F_Trans","Value1")</f>
        <v>#NAME?</v>
      </c>
      <c r="Q25" s="3"/>
      <c r="R25" s="20" t="e">
        <f ca="1">IF(P$12=0,0,P25/P$12)</f>
        <v>#NAME?</v>
      </c>
      <c r="S25" s="3"/>
      <c r="T25" s="3" t="e">
        <f ca="1">_xll.ONESTOP.REPORTPLAYER.OSRFUNCTIONS.OSRGET("GL_F_Trans","Value1")</f>
        <v>#NAME?</v>
      </c>
      <c r="U25" s="3"/>
      <c r="V25" s="20" t="e">
        <f ca="1">IF(T$12=0,0,T25/T$12)</f>
        <v>#NAME?</v>
      </c>
      <c r="W25" s="3"/>
      <c r="X25" s="3" t="e">
        <f ca="1">+P25-T25</f>
        <v>#NAME?</v>
      </c>
      <c r="Y25" s="3"/>
      <c r="Z25" s="20" t="e">
        <f ca="1">IF(T25=0,0,X25/T25)</f>
        <v>#NAME?</v>
      </c>
    </row>
    <row r="26" spans="1:26" ht="15" customHeight="1" x14ac:dyDescent="0.3">
      <c r="A26" s="10"/>
      <c r="B26" s="11"/>
      <c r="C26" s="11"/>
      <c r="D26" s="4"/>
      <c r="E26" s="4"/>
      <c r="F26" s="9"/>
      <c r="G26" s="4"/>
      <c r="H26" s="4"/>
      <c r="I26" s="4"/>
      <c r="J26" s="9"/>
      <c r="K26" s="4"/>
      <c r="L26" s="4"/>
      <c r="M26" s="4"/>
      <c r="N26" s="9"/>
      <c r="O26" s="11"/>
      <c r="P26" s="4"/>
      <c r="Q26" s="4"/>
      <c r="R26" s="9"/>
      <c r="S26" s="4"/>
      <c r="T26" s="4"/>
      <c r="U26" s="4"/>
      <c r="V26" s="9"/>
      <c r="W26" s="4"/>
      <c r="X26" s="4"/>
      <c r="Y26" s="4"/>
      <c r="Z26" s="9"/>
    </row>
    <row r="27" spans="1:26" s="63" customFormat="1" ht="15" customHeight="1" x14ac:dyDescent="0.3">
      <c r="A27" s="11"/>
      <c r="B27" s="27" t="s">
        <v>292</v>
      </c>
      <c r="C27" s="27"/>
      <c r="D27" s="21" t="e">
        <f ca="1">+D18-D20+D24</f>
        <v>#NAME?</v>
      </c>
      <c r="E27" s="15"/>
      <c r="F27" s="23" t="e">
        <f ca="1">IF(D$12=0,0,D27/D$12)</f>
        <v>#NAME?</v>
      </c>
      <c r="G27" s="15"/>
      <c r="H27" s="21" t="e">
        <f ca="1">+H18-H20+H24</f>
        <v>#NAME?</v>
      </c>
      <c r="I27" s="15"/>
      <c r="J27" s="23" t="e">
        <f ca="1">IF(H$12=0,0,H27/H$12)</f>
        <v>#NAME?</v>
      </c>
      <c r="K27" s="16"/>
      <c r="L27" s="21" t="e">
        <f ca="1">+D27-H27</f>
        <v>#NAME?</v>
      </c>
      <c r="M27" s="16"/>
      <c r="N27" s="23" t="e">
        <f ca="1">IF(H27=0,0,L27/H27)</f>
        <v>#NAME?</v>
      </c>
      <c r="O27" s="28"/>
      <c r="P27" s="21" t="e">
        <f ca="1">+P18-P20+P24</f>
        <v>#NAME?</v>
      </c>
      <c r="Q27" s="15"/>
      <c r="R27" s="23" t="e">
        <f ca="1">IF(P$12=0,0,P27/P$12)</f>
        <v>#NAME?</v>
      </c>
      <c r="S27" s="15"/>
      <c r="T27" s="21" t="e">
        <f ca="1">+T18-T20+T24</f>
        <v>#NAME?</v>
      </c>
      <c r="U27" s="15"/>
      <c r="V27" s="23" t="e">
        <f ca="1">IF(T$12=0,0,T27/T$12)</f>
        <v>#NAME?</v>
      </c>
      <c r="W27" s="16"/>
      <c r="X27" s="21" t="e">
        <f ca="1">+P27-T27</f>
        <v>#NAME?</v>
      </c>
      <c r="Y27" s="16"/>
      <c r="Z27" s="23" t="e">
        <f ca="1">IF(T27=0,0,X27/T27)</f>
        <v>#NAME?</v>
      </c>
    </row>
    <row r="28" spans="1:26" ht="15" customHeight="1" x14ac:dyDescent="0.3">
      <c r="A28" s="10"/>
      <c r="B28" s="11"/>
      <c r="C28" s="10"/>
      <c r="D28" s="4"/>
      <c r="E28" s="4"/>
      <c r="F28" s="9"/>
      <c r="G28" s="4"/>
      <c r="H28" s="4"/>
      <c r="I28" s="4"/>
      <c r="J28" s="9"/>
      <c r="K28" s="4"/>
      <c r="L28" s="4"/>
      <c r="M28" s="4"/>
      <c r="N28" s="9"/>
      <c r="P28" s="4"/>
      <c r="Q28" s="4"/>
      <c r="R28" s="9"/>
      <c r="S28" s="4"/>
      <c r="T28" s="4"/>
      <c r="U28" s="4"/>
      <c r="V28" s="9"/>
      <c r="W28" s="4"/>
      <c r="X28" s="4"/>
      <c r="Y28" s="4"/>
      <c r="Z28" s="9"/>
    </row>
    <row r="29" spans="1:26" s="63" customFormat="1" ht="15" customHeight="1" x14ac:dyDescent="0.3">
      <c r="A29" s="49"/>
      <c r="B29" s="11" t="s">
        <v>293</v>
      </c>
      <c r="C29" s="11"/>
      <c r="D29" s="5" t="e">
        <f ca="1">_xll.ONESTOP.REPORTPLAYER.OSRFUNCTIONS.OSRGET("GL_F_Trans","Value1")</f>
        <v>#NAME?</v>
      </c>
      <c r="E29" s="5"/>
      <c r="F29" s="13" t="e">
        <f ca="1">IF(D$12=0,0,D29/D$12)</f>
        <v>#NAME?</v>
      </c>
      <c r="G29" s="5"/>
      <c r="H29" s="5" t="e">
        <f ca="1">_xll.ONESTOP.REPORTPLAYER.OSRFUNCTIONS.OSRGET("GL_F_Trans","Value1")</f>
        <v>#NAME?</v>
      </c>
      <c r="I29" s="5"/>
      <c r="J29" s="13" t="e">
        <f ca="1">IF(H$12=0,0,H29/H$12)</f>
        <v>#NAME?</v>
      </c>
      <c r="K29" s="5"/>
      <c r="L29" s="5" t="e">
        <f ca="1">+D29-H29</f>
        <v>#NAME?</v>
      </c>
      <c r="M29" s="5"/>
      <c r="N29" s="13" t="e">
        <f ca="1">IF(H29=0,0,L29/H29)</f>
        <v>#NAME?</v>
      </c>
      <c r="O29" s="11"/>
      <c r="P29" s="5" t="e">
        <f ca="1">_xll.ONESTOP.REPORTPLAYER.OSRFUNCTIONS.OSRGET("GL_F_Trans","Value1")</f>
        <v>#NAME?</v>
      </c>
      <c r="Q29" s="5"/>
      <c r="R29" s="13" t="e">
        <f ca="1">IF(P$12=0,0,P29/P$12)</f>
        <v>#NAME?</v>
      </c>
      <c r="S29" s="5"/>
      <c r="T29" s="5" t="e">
        <f ca="1">_xll.ONESTOP.REPORTPLAYER.OSRFUNCTIONS.OSRGET("GL_F_Trans","Value1")</f>
        <v>#NAME?</v>
      </c>
      <c r="U29" s="5"/>
      <c r="V29" s="13" t="e">
        <f ca="1">IF(T$12=0,0,T29/T$12)</f>
        <v>#NAME?</v>
      </c>
      <c r="W29" s="5"/>
      <c r="X29" s="5" t="e">
        <f ca="1">+P29-T29</f>
        <v>#NAME?</v>
      </c>
      <c r="Y29" s="5"/>
      <c r="Z29" s="13" t="e">
        <f ca="1">IF(T29=0,0,X29/T29)</f>
        <v>#NAME?</v>
      </c>
    </row>
    <row r="30" spans="1:26" ht="15" customHeight="1" x14ac:dyDescent="0.3">
      <c r="A30" s="10"/>
      <c r="B30" s="11"/>
      <c r="C30" s="11"/>
      <c r="D30" s="4"/>
      <c r="E30" s="4"/>
      <c r="F30" s="9"/>
      <c r="G30" s="4"/>
      <c r="H30" s="4"/>
      <c r="I30" s="4"/>
      <c r="J30" s="9"/>
      <c r="K30" s="4"/>
      <c r="L30" s="4"/>
      <c r="M30" s="4"/>
      <c r="N30" s="9"/>
      <c r="O30" s="11"/>
      <c r="P30" s="4"/>
      <c r="Q30" s="4"/>
      <c r="R30" s="9"/>
      <c r="S30" s="4"/>
      <c r="T30" s="4"/>
      <c r="U30" s="4"/>
      <c r="V30" s="9"/>
      <c r="W30" s="4"/>
      <c r="X30" s="4"/>
      <c r="Y30" s="4"/>
      <c r="Z30" s="9"/>
    </row>
    <row r="31" spans="1:26" s="63" customFormat="1" ht="15" customHeight="1" x14ac:dyDescent="0.3">
      <c r="A31" s="11"/>
      <c r="B31" s="27" t="s">
        <v>294</v>
      </c>
      <c r="C31" s="27"/>
      <c r="D31" s="34" t="e">
        <f ca="1">+D27-D29</f>
        <v>#NAME?</v>
      </c>
      <c r="E31" s="15"/>
      <c r="F31" s="29" t="e">
        <f ca="1">IF(D$12=0,0,D31/D$12)</f>
        <v>#NAME?</v>
      </c>
      <c r="G31" s="15"/>
      <c r="H31" s="34" t="e">
        <f ca="1">+H27-H29</f>
        <v>#NAME?</v>
      </c>
      <c r="I31" s="15"/>
      <c r="J31" s="29" t="e">
        <f ca="1">IF(H$12=0,0,H31/H$12)</f>
        <v>#NAME?</v>
      </c>
      <c r="K31" s="16"/>
      <c r="L31" s="34" t="e">
        <f ca="1">D31-H31</f>
        <v>#NAME?</v>
      </c>
      <c r="M31" s="16"/>
      <c r="N31" s="29" t="e">
        <f ca="1">IF(H31=0,0,L31/H31)</f>
        <v>#NAME?</v>
      </c>
      <c r="O31" s="28"/>
      <c r="P31" s="34" t="e">
        <f ca="1">+P27-P29</f>
        <v>#NAME?</v>
      </c>
      <c r="Q31" s="15"/>
      <c r="R31" s="29" t="e">
        <f ca="1">IF(P$12=0,0,P31/P$12)</f>
        <v>#NAME?</v>
      </c>
      <c r="S31" s="15"/>
      <c r="T31" s="34" t="e">
        <f ca="1">+T27-T29</f>
        <v>#NAME?</v>
      </c>
      <c r="U31" s="15"/>
      <c r="V31" s="29" t="e">
        <f ca="1">IF(T$12=0,0,T31/T$12)</f>
        <v>#NAME?</v>
      </c>
      <c r="W31" s="16"/>
      <c r="X31" s="34" t="e">
        <f ca="1">P31-T31</f>
        <v>#NAME?</v>
      </c>
      <c r="Y31" s="16"/>
      <c r="Z31" s="29" t="e">
        <f ca="1">IF(T31=0,0,X31/T31)</f>
        <v>#NAME?</v>
      </c>
    </row>
    <row r="32" spans="1:26" ht="15" customHeight="1" x14ac:dyDescent="0.3">
      <c r="A32" s="10"/>
      <c r="B32" s="10"/>
      <c r="C32" s="10"/>
      <c r="D32" s="4"/>
      <c r="E32" s="4"/>
      <c r="F32" s="9"/>
      <c r="G32" s="4"/>
      <c r="H32" s="4"/>
      <c r="I32" s="4"/>
      <c r="J32" s="9"/>
      <c r="K32" s="4"/>
      <c r="L32" s="4"/>
      <c r="M32" s="4"/>
      <c r="N32" s="9"/>
      <c r="P32" s="4"/>
      <c r="Q32" s="4"/>
      <c r="R32" s="9"/>
      <c r="S32" s="4"/>
      <c r="T32" s="4"/>
      <c r="U32" s="4"/>
      <c r="V32" s="9"/>
      <c r="W32" s="4"/>
      <c r="X32" s="4"/>
      <c r="Y32" s="4"/>
      <c r="Z32" s="9"/>
    </row>
    <row r="33" spans="1:26" s="63" customFormat="1" ht="15" customHeight="1" x14ac:dyDescent="0.3">
      <c r="A33" s="49"/>
      <c r="B33" s="11" t="s">
        <v>295</v>
      </c>
      <c r="C33" s="11"/>
      <c r="D33" s="5" t="e">
        <f ca="1">-_xll.ONESTOP.REPORTPLAYER.OSRFUNCTIONS.OSRGET("GL_F_Trans","Value1")</f>
        <v>#NAME?</v>
      </c>
      <c r="E33" s="5"/>
      <c r="F33" s="13" t="e">
        <f ca="1">IF(D$12=0,0,D33/D$12)</f>
        <v>#NAME?</v>
      </c>
      <c r="G33" s="5"/>
      <c r="H33" s="5" t="e">
        <f ca="1">-_xll.ONESTOP.REPORTPLAYER.OSRFUNCTIONS.OSRGET("GL_F_Trans","Value1")</f>
        <v>#NAME?</v>
      </c>
      <c r="I33" s="5"/>
      <c r="J33" s="13" t="e">
        <f ca="1">IF(H$12=0,0,H33/H$12)</f>
        <v>#NAME?</v>
      </c>
      <c r="K33" s="5"/>
      <c r="L33" s="5" t="e">
        <f ca="1">+D33-H33</f>
        <v>#NAME?</v>
      </c>
      <c r="M33" s="5"/>
      <c r="N33" s="13" t="e">
        <f ca="1">IF(H33=0,0,L33/H33)</f>
        <v>#NAME?</v>
      </c>
      <c r="O33" s="11"/>
      <c r="P33" s="5" t="e">
        <f ca="1">-_xll.ONESTOP.REPORTPLAYER.OSRFUNCTIONS.OSRGET("GL_F_Trans","Value1")</f>
        <v>#NAME?</v>
      </c>
      <c r="Q33" s="5"/>
      <c r="R33" s="13" t="e">
        <f ca="1">IF(P$12=0,0,P33/P$12)</f>
        <v>#NAME?</v>
      </c>
      <c r="S33" s="5"/>
      <c r="T33" s="5" t="e">
        <f ca="1">-_xll.ONESTOP.REPORTPLAYER.OSRFUNCTIONS.OSRGET("GL_F_Trans","Value1")</f>
        <v>#NAME?</v>
      </c>
      <c r="U33" s="5"/>
      <c r="V33" s="13" t="e">
        <f ca="1">IF(T$12=0,0,T33/T$12)</f>
        <v>#NAME?</v>
      </c>
      <c r="W33" s="5"/>
      <c r="X33" s="5" t="e">
        <f ca="1">+P33-T33</f>
        <v>#NAME?</v>
      </c>
      <c r="Y33" s="5"/>
      <c r="Z33" s="13" t="e">
        <f ca="1">IF(T33=0,0,X33/T33)</f>
        <v>#NAME?</v>
      </c>
    </row>
    <row r="34" spans="1:26" s="63" customFormat="1" ht="15" customHeight="1" x14ac:dyDescent="0.3">
      <c r="A34" s="49"/>
      <c r="B34" s="11" t="s">
        <v>296</v>
      </c>
      <c r="C34" s="11"/>
      <c r="D34" s="5" t="e">
        <f ca="1">-_xll.ONESTOP.REPORTPLAYER.OSRFUNCTIONS.OSRGET("GL_F_Trans","Value1")</f>
        <v>#NAME?</v>
      </c>
      <c r="E34" s="5"/>
      <c r="F34" s="13" t="e">
        <f ca="1">IF(D$12=0,0,D34/D$12)</f>
        <v>#NAME?</v>
      </c>
      <c r="G34" s="5"/>
      <c r="H34" s="5" t="e">
        <f ca="1">-_xll.ONESTOP.REPORTPLAYER.OSRFUNCTIONS.OSRGET("GL_F_Trans","Value1")</f>
        <v>#NAME?</v>
      </c>
      <c r="I34" s="5"/>
      <c r="J34" s="13" t="e">
        <f ca="1">IF(H$12=0,0,H34/H$12)</f>
        <v>#NAME?</v>
      </c>
      <c r="K34" s="5"/>
      <c r="L34" s="5" t="e">
        <f ca="1">+D34-H34</f>
        <v>#NAME?</v>
      </c>
      <c r="M34" s="5"/>
      <c r="N34" s="13" t="e">
        <f ca="1">IF(H34=0,0,L34/H34)</f>
        <v>#NAME?</v>
      </c>
      <c r="O34" s="11"/>
      <c r="P34" s="5" t="e">
        <f ca="1">-_xll.ONESTOP.REPORTPLAYER.OSRFUNCTIONS.OSRGET("GL_F_Trans","Value1")</f>
        <v>#NAME?</v>
      </c>
      <c r="Q34" s="5"/>
      <c r="R34" s="13" t="e">
        <f ca="1">IF(P$12=0,0,P34/P$12)</f>
        <v>#NAME?</v>
      </c>
      <c r="S34" s="5"/>
      <c r="T34" s="5" t="e">
        <f ca="1">-_xll.ONESTOP.REPORTPLAYER.OSRFUNCTIONS.OSRGET("GL_F_Trans","Value1")</f>
        <v>#NAME?</v>
      </c>
      <c r="U34" s="5"/>
      <c r="V34" s="13" t="e">
        <f ca="1">IF(T$12=0,0,T34/T$12)</f>
        <v>#NAME?</v>
      </c>
      <c r="W34" s="5"/>
      <c r="X34" s="5" t="e">
        <f ca="1">+P34-T34</f>
        <v>#NAME?</v>
      </c>
      <c r="Y34" s="5"/>
      <c r="Z34" s="13" t="e">
        <f ca="1">IF(T34=0,0,X34/T34)</f>
        <v>#NAME?</v>
      </c>
    </row>
    <row r="35" spans="1:26" ht="15" customHeight="1" x14ac:dyDescent="0.3">
      <c r="A35" s="10"/>
      <c r="B35" s="10"/>
      <c r="C35" s="10"/>
      <c r="D35" s="4"/>
      <c r="E35" s="4"/>
      <c r="F35" s="9"/>
      <c r="G35" s="4"/>
      <c r="H35" s="4"/>
      <c r="I35" s="4"/>
      <c r="J35" s="9"/>
      <c r="K35" s="4"/>
      <c r="L35" s="4"/>
      <c r="M35" s="4"/>
      <c r="N35" s="9"/>
      <c r="P35" s="4"/>
      <c r="Q35" s="4"/>
      <c r="R35" s="9"/>
      <c r="S35" s="4"/>
      <c r="T35" s="4"/>
      <c r="U35" s="4"/>
      <c r="V35" s="9"/>
      <c r="W35" s="4"/>
      <c r="X35" s="4"/>
      <c r="Y35" s="4"/>
      <c r="Z35" s="9"/>
    </row>
    <row r="36" spans="1:26" s="63" customFormat="1" ht="15" customHeight="1" x14ac:dyDescent="0.3">
      <c r="A36" s="11"/>
      <c r="B36" s="27" t="s">
        <v>297</v>
      </c>
      <c r="C36" s="27"/>
      <c r="D36" s="32" t="e">
        <f ca="1">SUM(D31:D35)</f>
        <v>#NAME?</v>
      </c>
      <c r="E36" s="15"/>
      <c r="F36" s="31" t="e">
        <f ca="1">IF(D$12=0,0,D36/D$12)</f>
        <v>#NAME?</v>
      </c>
      <c r="G36" s="15"/>
      <c r="H36" s="32" t="e">
        <f ca="1">SUM(H31:H35)</f>
        <v>#NAME?</v>
      </c>
      <c r="I36" s="15"/>
      <c r="J36" s="31" t="e">
        <f ca="1">IF(H$12=0,0,H36/H$12)</f>
        <v>#NAME?</v>
      </c>
      <c r="K36" s="16"/>
      <c r="L36" s="32" t="e">
        <f ca="1">+D36-H36</f>
        <v>#NAME?</v>
      </c>
      <c r="M36" s="16"/>
      <c r="N36" s="31" t="e">
        <f ca="1">IF(H36=0,0,L36/H36)</f>
        <v>#NAME?</v>
      </c>
      <c r="O36" s="28"/>
      <c r="P36" s="32" t="e">
        <f ca="1">SUM(P31:P35)</f>
        <v>#NAME?</v>
      </c>
      <c r="Q36" s="15"/>
      <c r="R36" s="31" t="e">
        <f ca="1">IF(P$12=0,0,P36/P$12)</f>
        <v>#NAME?</v>
      </c>
      <c r="S36" s="15"/>
      <c r="T36" s="32" t="e">
        <f ca="1">SUM(T31:T35)</f>
        <v>#NAME?</v>
      </c>
      <c r="U36" s="15"/>
      <c r="V36" s="31" t="e">
        <f ca="1">IF(T$12=0,0,T36/T$12)</f>
        <v>#NAME?</v>
      </c>
      <c r="W36" s="16"/>
      <c r="X36" s="32" t="e">
        <f ca="1">+P36-T36</f>
        <v>#NAME?</v>
      </c>
      <c r="Y36" s="16"/>
      <c r="Z36" s="31" t="e">
        <f ca="1">IF(T36=0,0,X36/T36)</f>
        <v>#NAME?</v>
      </c>
    </row>
    <row r="37" spans="1:26" ht="15" customHeight="1" x14ac:dyDescent="0.3">
      <c r="A37" s="10"/>
      <c r="C37" s="10"/>
      <c r="D37" s="19"/>
      <c r="E37" s="19"/>
      <c r="G37" s="19"/>
      <c r="H37" s="19"/>
      <c r="I37" s="19"/>
      <c r="J37" s="40"/>
      <c r="K37" s="19"/>
      <c r="L37" s="19"/>
      <c r="M37" s="19"/>
      <c r="P37" s="19"/>
      <c r="Q37" s="19"/>
      <c r="R37" s="40"/>
      <c r="S37" s="19"/>
      <c r="T37" s="19"/>
      <c r="U37" s="19"/>
      <c r="V37" s="40"/>
      <c r="W37" s="19"/>
      <c r="X37" s="19"/>
    </row>
    <row r="38" spans="1:26" ht="15" customHeight="1" x14ac:dyDescent="0.3">
      <c r="A38" s="10"/>
      <c r="B38" s="51" t="e">
        <f ca="1">_xll.ONESTOP.REPORTPLAYER.OSRFUNCTIONS.OSRGET("CurrentDate","Date")</f>
        <v>#NAME?</v>
      </c>
      <c r="D38" s="19"/>
      <c r="E38" s="19"/>
      <c r="G38" s="19"/>
      <c r="H38" s="19"/>
      <c r="I38" s="19"/>
      <c r="J38" s="40"/>
      <c r="K38" s="19"/>
      <c r="L38" s="19"/>
      <c r="M38" s="19"/>
      <c r="P38" s="19"/>
      <c r="Q38" s="19"/>
      <c r="R38" s="40"/>
      <c r="S38" s="19"/>
      <c r="T38" s="19"/>
      <c r="U38" s="19"/>
      <c r="V38" s="40"/>
      <c r="W38" s="19"/>
      <c r="X38" s="19"/>
    </row>
    <row r="39" spans="1:26" ht="15" customHeight="1" x14ac:dyDescent="0.3">
      <c r="A39" s="10"/>
      <c r="B39" s="58" t="e">
        <f ca="1">_xll.ONESTOP.REPORTPLAYER.OSRFUNCTIONS.OSRGET("User","UserId")</f>
        <v>#NAME?</v>
      </c>
      <c r="D39" s="19"/>
      <c r="E39" s="19"/>
      <c r="G39" s="19"/>
      <c r="H39" s="19"/>
      <c r="I39" s="19"/>
      <c r="J39" s="40"/>
      <c r="K39" s="19"/>
      <c r="L39" s="19"/>
      <c r="M39" s="19"/>
      <c r="P39" s="19"/>
      <c r="Q39" s="19"/>
      <c r="R39" s="40"/>
      <c r="S39" s="19"/>
      <c r="T39" s="19"/>
      <c r="U39" s="19"/>
      <c r="V39" s="40"/>
      <c r="W39" s="19"/>
      <c r="X39" s="19"/>
    </row>
    <row r="40" spans="1:26" ht="15" customHeight="1" x14ac:dyDescent="0.3">
      <c r="A40" s="10"/>
      <c r="B40" s="50"/>
      <c r="D40" s="19"/>
      <c r="E40" s="19"/>
      <c r="G40" s="19"/>
      <c r="H40" s="19"/>
      <c r="I40" s="19"/>
      <c r="J40" s="40"/>
      <c r="K40" s="19"/>
      <c r="L40" s="19"/>
      <c r="M40" s="19"/>
      <c r="P40" s="19"/>
      <c r="Q40" s="19"/>
      <c r="R40" s="40"/>
      <c r="S40" s="19"/>
      <c r="T40" s="19"/>
      <c r="U40" s="19"/>
      <c r="V40" s="40"/>
      <c r="W40" s="19"/>
      <c r="X40" s="19"/>
    </row>
    <row r="41" spans="1:26" ht="15" customHeight="1" x14ac:dyDescent="0.3">
      <c r="D41" s="19"/>
      <c r="E41" s="19"/>
      <c r="G41" s="19"/>
      <c r="H41" s="19"/>
      <c r="I41" s="19"/>
      <c r="J41" s="40"/>
      <c r="K41" s="19"/>
      <c r="L41" s="19"/>
      <c r="M41" s="19"/>
      <c r="P41" s="19"/>
      <c r="Q41" s="19"/>
      <c r="R41" s="40"/>
      <c r="S41" s="19"/>
      <c r="T41" s="19"/>
      <c r="U41" s="19"/>
      <c r="V41" s="40"/>
      <c r="W41" s="19"/>
      <c r="X41" s="19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B17BBA-C2D4-F03F-6B7F-E3E4F129DB79}">
  <sheetPr>
    <tabColor rgb="FFFFC000"/>
    <outlinePr summaryBelow="0" summaryRight="0"/>
  </sheetPr>
  <dimension ref="A2:Z41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6" customWidth="1"/>
    <col min="2" max="2" width="33.44140625" style="66" customWidth="1"/>
    <col min="3" max="3" width="1.88671875" style="66" customWidth="1"/>
    <col min="4" max="4" width="15" style="66" customWidth="1"/>
    <col min="5" max="5" width="1.88671875" style="66" customWidth="1" outlineLevel="1"/>
    <col min="6" max="6" width="15" style="67" customWidth="1" outlineLevel="1"/>
    <col min="7" max="7" width="1.88671875" style="66" customWidth="1" outlineLevel="1"/>
    <col min="8" max="8" width="15" style="66" customWidth="1" outlineLevel="1"/>
    <col min="9" max="9" width="1.88671875" style="66" customWidth="1" outlineLevel="1"/>
    <col min="10" max="10" width="15" style="68" customWidth="1" outlineLevel="1"/>
    <col min="11" max="11" width="1.88671875" style="66" customWidth="1" outlineLevel="1"/>
    <col min="12" max="12" width="15" style="66" customWidth="1" outlineLevel="1"/>
    <col min="13" max="13" width="1.88671875" style="66" customWidth="1" outlineLevel="1"/>
    <col min="14" max="14" width="15" style="67" customWidth="1" outlineLevel="1"/>
    <col min="15" max="15" width="1.88671875" style="64" customWidth="1"/>
    <col min="16" max="16" width="15" style="66" customWidth="1"/>
    <col min="17" max="17" width="1.88671875" style="66" customWidth="1" outlineLevel="1"/>
    <col min="18" max="18" width="15" style="68" customWidth="1" outlineLevel="1"/>
    <col min="19" max="19" width="1.88671875" style="66" customWidth="1" outlineLevel="1"/>
    <col min="20" max="20" width="15" style="66" customWidth="1" outlineLevel="1"/>
    <col min="21" max="21" width="1.88671875" style="66" customWidth="1" outlineLevel="1"/>
    <col min="22" max="22" width="15" style="68" customWidth="1" outlineLevel="1"/>
    <col min="23" max="23" width="1.88671875" style="66" customWidth="1" outlineLevel="1"/>
    <col min="24" max="24" width="15" style="66" customWidth="1" outlineLevel="1"/>
    <col min="25" max="25" width="1.88671875" style="66" customWidth="1" outlineLevel="1"/>
    <col min="26" max="26" width="15" style="68" customWidth="1" outlineLevel="1"/>
  </cols>
  <sheetData>
    <row r="2" spans="1:26" ht="15" customHeight="1" x14ac:dyDescent="0.3">
      <c r="D2" s="54" t="s">
        <v>276</v>
      </c>
    </row>
    <row r="3" spans="1:26" ht="15" customHeight="1" x14ac:dyDescent="0.3">
      <c r="D3" s="54" t="s">
        <v>277</v>
      </c>
      <c r="E3" s="18"/>
      <c r="F3" s="44"/>
      <c r="G3" s="18"/>
      <c r="H3" s="18"/>
      <c r="I3" s="18"/>
      <c r="J3" s="38"/>
      <c r="K3" s="18"/>
      <c r="L3" s="18"/>
      <c r="M3" s="18"/>
      <c r="N3" s="44"/>
      <c r="O3" s="53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ht="15" customHeight="1" x14ac:dyDescent="0.3">
      <c r="D4" s="54" t="e">
        <f ca="1">CONCATENATE("Period ",RIGHT(_xll.ONESTOP.REPORTPLAYER.OSRFUNCTIONS.OSRGET("Period","PeriodId"),2),", ",_xll.ONESTOP.REPORTPLAYER.OSRFUNCTIONS.OSRGET("Period","Year"))</f>
        <v>#NAME?</v>
      </c>
      <c r="E4" s="18"/>
      <c r="F4" s="44"/>
      <c r="G4" s="18"/>
      <c r="H4" s="18"/>
      <c r="I4" s="18"/>
      <c r="J4" s="38"/>
      <c r="K4" s="18"/>
      <c r="L4" s="18"/>
      <c r="M4" s="18"/>
      <c r="N4" s="44"/>
      <c r="O4" s="53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ht="15" customHeight="1" x14ac:dyDescent="0.3">
      <c r="A5" s="24"/>
      <c r="D5" s="61" t="e">
        <f ca="1">_xll.ONESTOP.REPORTPLAYER.OSRFUNCTIONS.OSRGET("Period","PeriodEnd")</f>
        <v>#NAME?</v>
      </c>
      <c r="E5" s="18"/>
      <c r="F5" s="44"/>
      <c r="G5" s="18"/>
      <c r="H5" s="18"/>
      <c r="I5" s="18"/>
      <c r="J5" s="38"/>
      <c r="K5" s="18"/>
      <c r="L5" s="18"/>
      <c r="M5" s="18"/>
      <c r="N5" s="44"/>
      <c r="O5" s="53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ht="15" customHeight="1" x14ac:dyDescent="0.3">
      <c r="A6" s="24"/>
      <c r="B6" s="47"/>
      <c r="C6" s="47"/>
      <c r="D6" s="24" t="s">
        <v>310</v>
      </c>
      <c r="E6" s="18"/>
      <c r="F6" s="44"/>
      <c r="G6" s="18"/>
      <c r="H6" s="18"/>
      <c r="I6" s="18"/>
      <c r="J6" s="38"/>
      <c r="K6" s="18"/>
      <c r="L6" s="18"/>
      <c r="M6" s="18"/>
      <c r="N6" s="44"/>
      <c r="O6" s="59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ht="15" customHeight="1" x14ac:dyDescent="0.3">
      <c r="B7" s="52"/>
    </row>
    <row r="8" spans="1:26" ht="15" customHeight="1" x14ac:dyDescent="0.3">
      <c r="B8" s="52"/>
    </row>
    <row r="9" spans="1:26" ht="15" customHeight="1" x14ac:dyDescent="0.3">
      <c r="B9" s="10"/>
      <c r="C9" s="10"/>
      <c r="D9" s="17" t="s">
        <v>279</v>
      </c>
      <c r="E9" s="17"/>
      <c r="F9" s="36"/>
      <c r="G9" s="17"/>
      <c r="H9" s="17"/>
      <c r="I9" s="17"/>
      <c r="J9" s="43"/>
      <c r="K9" s="17"/>
      <c r="L9" s="17"/>
      <c r="M9" s="17"/>
      <c r="N9" s="36"/>
      <c r="P9" s="17" t="s">
        <v>280</v>
      </c>
      <c r="Q9" s="17"/>
      <c r="R9" s="36"/>
      <c r="S9" s="17"/>
      <c r="T9" s="17"/>
      <c r="U9" s="17"/>
      <c r="V9" s="43"/>
      <c r="W9" s="17"/>
      <c r="X9" s="17"/>
      <c r="Y9" s="17"/>
      <c r="Z9" s="36"/>
    </row>
    <row r="10" spans="1:26" ht="15" customHeight="1" x14ac:dyDescent="0.3">
      <c r="A10" s="11"/>
      <c r="B10" s="57"/>
      <c r="C10" s="11"/>
      <c r="D10" s="41" t="s">
        <v>281</v>
      </c>
      <c r="E10" s="33"/>
      <c r="F10" s="37" t="s">
        <v>282</v>
      </c>
      <c r="G10" s="33"/>
      <c r="H10" s="48" t="s">
        <v>283</v>
      </c>
      <c r="I10" s="33"/>
      <c r="J10" s="45" t="s">
        <v>284</v>
      </c>
      <c r="K10" s="11"/>
      <c r="L10" s="41" t="s">
        <v>285</v>
      </c>
      <c r="M10" s="11"/>
      <c r="N10" s="37" t="s">
        <v>286</v>
      </c>
      <c r="O10" s="11"/>
      <c r="P10" s="56" t="s">
        <v>281</v>
      </c>
      <c r="Q10" s="33"/>
      <c r="R10" s="37" t="s">
        <v>282</v>
      </c>
      <c r="S10" s="33"/>
      <c r="T10" s="48" t="s">
        <v>283</v>
      </c>
      <c r="U10" s="33"/>
      <c r="V10" s="45" t="s">
        <v>284</v>
      </c>
      <c r="W10" s="11"/>
      <c r="X10" s="41" t="s">
        <v>285</v>
      </c>
      <c r="Y10" s="11"/>
      <c r="Z10" s="37" t="s">
        <v>286</v>
      </c>
    </row>
    <row r="11" spans="1:26" ht="16.5" customHeight="1" x14ac:dyDescent="0.3">
      <c r="A11" s="10"/>
      <c r="B11" s="55"/>
      <c r="C11" s="10"/>
      <c r="D11" s="10"/>
      <c r="E11" s="10"/>
      <c r="F11" s="9"/>
      <c r="G11" s="10"/>
      <c r="H11" s="10"/>
      <c r="I11" s="10"/>
      <c r="J11" s="46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6"/>
      <c r="W11" s="10"/>
      <c r="X11" s="10"/>
      <c r="Y11" s="10"/>
      <c r="Z11" s="9"/>
    </row>
    <row r="12" spans="1:26" s="63" customFormat="1" ht="15" customHeight="1" collapsed="1" x14ac:dyDescent="0.3">
      <c r="A12" s="11"/>
      <c r="B12" s="28" t="s">
        <v>287</v>
      </c>
      <c r="C12" s="11"/>
      <c r="D12" s="5" t="e">
        <f ca="1">SUM(_xll.ONESTOP.REPORTPLAYER.OSRFUNCTIONS.OSRREF(D13))</f>
        <v>#NAME?</v>
      </c>
      <c r="E12" s="5"/>
      <c r="F12" s="13"/>
      <c r="G12" s="5"/>
      <c r="H12" s="5" t="e">
        <f ca="1">SUM(_xll.ONESTOP.REPORTPLAYER.OSRFUNCTIONS.OSRREF(H13))</f>
        <v>#NAME?</v>
      </c>
      <c r="I12" s="5"/>
      <c r="J12" s="13"/>
      <c r="K12" s="5"/>
      <c r="L12" s="5" t="e">
        <f ca="1">+D12-H12</f>
        <v>#NAME?</v>
      </c>
      <c r="M12" s="5"/>
      <c r="N12" s="13" t="e">
        <f ca="1">IF(H12=0,0,L12/H12)</f>
        <v>#NAME?</v>
      </c>
      <c r="O12" s="11"/>
      <c r="P12" s="5" t="e">
        <f ca="1">SUM(_xll.ONESTOP.REPORTPLAYER.OSRFUNCTIONS.OSRREF(P13))</f>
        <v>#NAME?</v>
      </c>
      <c r="Q12" s="5"/>
      <c r="R12" s="13"/>
      <c r="S12" s="5"/>
      <c r="T12" s="5" t="e">
        <f ca="1">SUM(_xll.ONESTOP.REPORTPLAYER.OSRFUNCTIONS.OSRREF(T13))</f>
        <v>#NAME?</v>
      </c>
      <c r="U12" s="5"/>
      <c r="V12" s="13"/>
      <c r="W12" s="5"/>
      <c r="X12" s="5" t="e">
        <f ca="1">+P12-T12</f>
        <v>#NAME?</v>
      </c>
      <c r="Y12" s="5"/>
      <c r="Z12" s="13" t="e">
        <f ca="1">IF(T12=0,0,X12/T12)</f>
        <v>#NAME?</v>
      </c>
    </row>
    <row r="13" spans="1:26" s="70" customFormat="1" ht="15" hidden="1" customHeight="1" outlineLevel="1" x14ac:dyDescent="0.3">
      <c r="A13" s="42"/>
      <c r="B13" s="12" t="e">
        <f ca="1">CONCATENATE("          ",_xll.ONESTOP.REPORTPLAYER.OSRFUNCTIONS.OSRGET("d_Account","Code")," - ",_xll.ONESTOP.REPORTPLAYER.OSRFUNCTIONS.OSRGET("d_Account","Description"))</f>
        <v>#NAME?</v>
      </c>
      <c r="C13" s="12"/>
      <c r="D13" s="3" t="e">
        <f ca="1">-_xll.ONESTOP.REPORTPLAYER.OSRFUNCTIONS.OSRGET("GL_F_Trans","Value1")</f>
        <v>#NAME?</v>
      </c>
      <c r="E13" s="3"/>
      <c r="F13" s="20"/>
      <c r="G13" s="3"/>
      <c r="H13" s="3" t="e">
        <f ca="1">_xll.ONESTOP.REPORTPLAYER.OSRFUNCTIONS.OSRGET("GL_F_Trans","Value1")</f>
        <v>#NAME?</v>
      </c>
      <c r="I13" s="3"/>
      <c r="J13" s="20"/>
      <c r="K13" s="3"/>
      <c r="L13" s="3" t="e">
        <f ca="1">+D13-H13</f>
        <v>#NAME?</v>
      </c>
      <c r="M13" s="3"/>
      <c r="N13" s="20" t="e">
        <f ca="1">IF(H13=0,0,L13/H13)</f>
        <v>#NAME?</v>
      </c>
      <c r="O13" s="12"/>
      <c r="P13" s="3" t="e">
        <f ca="1">-_xll.ONESTOP.REPORTPLAYER.OSRFUNCTIONS.OSRGET("GL_F_Trans","Value1")</f>
        <v>#NAME?</v>
      </c>
      <c r="Q13" s="3"/>
      <c r="R13" s="20"/>
      <c r="S13" s="3"/>
      <c r="T13" s="3" t="e">
        <f ca="1">_xll.ONESTOP.REPORTPLAYER.OSRFUNCTIONS.OSRGET("GL_F_Trans","Value1")</f>
        <v>#NAME?</v>
      </c>
      <c r="U13" s="3"/>
      <c r="V13" s="20"/>
      <c r="W13" s="3"/>
      <c r="X13" s="3" t="e">
        <f ca="1">+P13-T13</f>
        <v>#NAME?</v>
      </c>
      <c r="Y13" s="3"/>
      <c r="Z13" s="20" t="e">
        <f ca="1">IF(T13=0,0,X13/T13)</f>
        <v>#NAME?</v>
      </c>
    </row>
    <row r="14" spans="1:26" ht="15" customHeight="1" x14ac:dyDescent="0.3">
      <c r="A14" s="10"/>
      <c r="B14" s="11"/>
      <c r="C14" s="10"/>
      <c r="D14" s="4"/>
      <c r="E14" s="4"/>
      <c r="F14" s="9"/>
      <c r="G14" s="4"/>
      <c r="H14" s="4"/>
      <c r="I14" s="4"/>
      <c r="J14" s="9"/>
      <c r="K14" s="4"/>
      <c r="L14" s="4"/>
      <c r="M14" s="4"/>
      <c r="N14" s="9"/>
      <c r="P14" s="4"/>
      <c r="Q14" s="4"/>
      <c r="R14" s="9"/>
      <c r="S14" s="4"/>
      <c r="T14" s="4"/>
      <c r="U14" s="4"/>
      <c r="V14" s="9"/>
      <c r="W14" s="4"/>
      <c r="X14" s="4"/>
      <c r="Y14" s="4"/>
      <c r="Z14" s="9"/>
    </row>
    <row r="15" spans="1:26" s="63" customFormat="1" ht="15" customHeight="1" collapsed="1" x14ac:dyDescent="0.3">
      <c r="A15" s="11"/>
      <c r="B15" s="28" t="s">
        <v>288</v>
      </c>
      <c r="C15" s="11"/>
      <c r="D15" s="5" t="e">
        <f ca="1">SUM(_xll.ONESTOP.REPORTPLAYER.OSRFUNCTIONS.OSRREF(D16))</f>
        <v>#NAME?</v>
      </c>
      <c r="E15" s="5"/>
      <c r="F15" s="13" t="e">
        <f ca="1">IF(D$12=0,0,D15/D$12)</f>
        <v>#NAME?</v>
      </c>
      <c r="G15" s="5"/>
      <c r="H15" s="5" t="e">
        <f ca="1">SUM(_xll.ONESTOP.REPORTPLAYER.OSRFUNCTIONS.OSRREF(H16))</f>
        <v>#NAME?</v>
      </c>
      <c r="I15" s="5"/>
      <c r="J15" s="13" t="e">
        <f ca="1">IF(H$12=0,0,H15/H$12)</f>
        <v>#NAME?</v>
      </c>
      <c r="K15" s="5"/>
      <c r="L15" s="5" t="e">
        <f ca="1">+D15-H15</f>
        <v>#NAME?</v>
      </c>
      <c r="M15" s="5"/>
      <c r="N15" s="13" t="e">
        <f ca="1">IF(H15=0,0,L15/H15)</f>
        <v>#NAME?</v>
      </c>
      <c r="O15" s="11"/>
      <c r="P15" s="5" t="e">
        <f ca="1">SUM(_xll.ONESTOP.REPORTPLAYER.OSRFUNCTIONS.OSRREF(P16))</f>
        <v>#NAME?</v>
      </c>
      <c r="Q15" s="5"/>
      <c r="R15" s="13" t="e">
        <f ca="1">IF(P$12=0,0,P15/P$12)</f>
        <v>#NAME?</v>
      </c>
      <c r="S15" s="5"/>
      <c r="T15" s="5" t="e">
        <f ca="1">SUM(_xll.ONESTOP.REPORTPLAYER.OSRFUNCTIONS.OSRREF(T16))</f>
        <v>#NAME?</v>
      </c>
      <c r="U15" s="5"/>
      <c r="V15" s="13" t="e">
        <f ca="1">IF(T$12=0,0,T15/T$12)</f>
        <v>#NAME?</v>
      </c>
      <c r="W15" s="5"/>
      <c r="X15" s="5" t="e">
        <f ca="1">+P15-T15</f>
        <v>#NAME?</v>
      </c>
      <c r="Y15" s="5"/>
      <c r="Z15" s="13" t="e">
        <f ca="1">IF(T15=0,0,X15/T15)</f>
        <v>#NAME?</v>
      </c>
    </row>
    <row r="16" spans="1:26" s="70" customFormat="1" ht="15" hidden="1" customHeight="1" outlineLevel="1" x14ac:dyDescent="0.3">
      <c r="A16" s="42"/>
      <c r="B16" s="12" t="e">
        <f ca="1">CONCATENATE("          ",_xll.ONESTOP.REPORTPLAYER.OSRFUNCTIONS.OSRGET("d_Account","Code")," - ",_xll.ONESTOP.REPORTPLAYER.OSRFUNCTIONS.OSRGET("d_Account","Description"))</f>
        <v>#NAME?</v>
      </c>
      <c r="C16" s="12"/>
      <c r="D16" s="3" t="e">
        <f ca="1">_xll.ONESTOP.REPORTPLAYER.OSRFUNCTIONS.OSRGET("GL_F_Trans","Value1")</f>
        <v>#NAME?</v>
      </c>
      <c r="E16" s="3"/>
      <c r="F16" s="20" t="e">
        <f ca="1">IF(D$12=0,0,D16/D$12)</f>
        <v>#NAME?</v>
      </c>
      <c r="G16" s="3"/>
      <c r="H16" s="3" t="e">
        <f ca="1">_xll.ONESTOP.REPORTPLAYER.OSRFUNCTIONS.OSRGET("GL_F_Trans","Value1")</f>
        <v>#NAME?</v>
      </c>
      <c r="I16" s="3"/>
      <c r="J16" s="20" t="e">
        <f ca="1">IF(H$12=0,0,H16/H$12)</f>
        <v>#NAME?</v>
      </c>
      <c r="K16" s="3"/>
      <c r="L16" s="3" t="e">
        <f ca="1">+D16-H16</f>
        <v>#NAME?</v>
      </c>
      <c r="M16" s="3"/>
      <c r="N16" s="20" t="e">
        <f ca="1">IF(H16=0,0,L16/H16)</f>
        <v>#NAME?</v>
      </c>
      <c r="O16" s="12"/>
      <c r="P16" s="3" t="e">
        <f ca="1">_xll.ONESTOP.REPORTPLAYER.OSRFUNCTIONS.OSRGET("GL_F_Trans","Value1")</f>
        <v>#NAME?</v>
      </c>
      <c r="Q16" s="3"/>
      <c r="R16" s="20" t="e">
        <f ca="1">IF(P$12=0,0,P16/P$12)</f>
        <v>#NAME?</v>
      </c>
      <c r="S16" s="3"/>
      <c r="T16" s="3" t="e">
        <f ca="1">_xll.ONESTOP.REPORTPLAYER.OSRFUNCTIONS.OSRGET("GL_F_Trans","Value1")</f>
        <v>#NAME?</v>
      </c>
      <c r="U16" s="3"/>
      <c r="V16" s="20" t="e">
        <f ca="1">IF(T$12=0,0,T16/T$12)</f>
        <v>#NAME?</v>
      </c>
      <c r="W16" s="3"/>
      <c r="X16" s="3" t="e">
        <f ca="1">+P16-T16</f>
        <v>#NAME?</v>
      </c>
      <c r="Y16" s="3"/>
      <c r="Z16" s="20" t="e">
        <f ca="1">IF(T16=0,0,X16/T16)</f>
        <v>#NAME?</v>
      </c>
    </row>
    <row r="17" spans="1:26" ht="15" customHeight="1" x14ac:dyDescent="0.3">
      <c r="A17" s="10"/>
      <c r="B17" s="11"/>
      <c r="C17" s="11"/>
      <c r="D17" s="4"/>
      <c r="E17" s="4"/>
      <c r="F17" s="9"/>
      <c r="G17" s="4"/>
      <c r="H17" s="4"/>
      <c r="I17" s="4"/>
      <c r="J17" s="9"/>
      <c r="K17" s="4"/>
      <c r="L17" s="4"/>
      <c r="M17" s="4"/>
      <c r="N17" s="9"/>
      <c r="O17" s="11"/>
      <c r="P17" s="4"/>
      <c r="Q17" s="4"/>
      <c r="R17" s="9"/>
      <c r="S17" s="4"/>
      <c r="T17" s="4"/>
      <c r="U17" s="4"/>
      <c r="V17" s="9"/>
      <c r="W17" s="4"/>
      <c r="X17" s="4"/>
      <c r="Y17" s="4"/>
      <c r="Z17" s="9"/>
    </row>
    <row r="18" spans="1:26" s="63" customFormat="1" ht="15" customHeight="1" x14ac:dyDescent="0.3">
      <c r="A18" s="11"/>
      <c r="B18" s="27" t="s">
        <v>289</v>
      </c>
      <c r="C18" s="27"/>
      <c r="D18" s="21" t="e">
        <f ca="1">D12-D15</f>
        <v>#NAME?</v>
      </c>
      <c r="E18" s="15"/>
      <c r="F18" s="23" t="e">
        <f ca="1">IF(D$12=0,0,D18/D$12)</f>
        <v>#NAME?</v>
      </c>
      <c r="G18" s="15"/>
      <c r="H18" s="21" t="e">
        <f ca="1">H12-H15</f>
        <v>#NAME?</v>
      </c>
      <c r="I18" s="15"/>
      <c r="J18" s="23" t="e">
        <f ca="1">IF(H$12=0,0,H18/H$12)</f>
        <v>#NAME?</v>
      </c>
      <c r="K18" s="16"/>
      <c r="L18" s="21" t="e">
        <f ca="1">+D18-H18</f>
        <v>#NAME?</v>
      </c>
      <c r="M18" s="16"/>
      <c r="N18" s="23" t="e">
        <f ca="1">IF(H18=0,0,L18/H18)</f>
        <v>#NAME?</v>
      </c>
      <c r="O18" s="28"/>
      <c r="P18" s="21" t="e">
        <f ca="1">P12-P15</f>
        <v>#NAME?</v>
      </c>
      <c r="Q18" s="15"/>
      <c r="R18" s="23" t="e">
        <f ca="1">IF(P$12=0,0,P18/P$12)</f>
        <v>#NAME?</v>
      </c>
      <c r="S18" s="15"/>
      <c r="T18" s="21" t="e">
        <f ca="1">T12-T15</f>
        <v>#NAME?</v>
      </c>
      <c r="U18" s="15"/>
      <c r="V18" s="23" t="e">
        <f ca="1">IF(T$12=0,0,T18/T$12)</f>
        <v>#NAME?</v>
      </c>
      <c r="W18" s="16"/>
      <c r="X18" s="21" t="e">
        <f ca="1">+P18-T18</f>
        <v>#NAME?</v>
      </c>
      <c r="Y18" s="16"/>
      <c r="Z18" s="23" t="e">
        <f ca="1">IF(T18=0,0,X18/T18)</f>
        <v>#NAME?</v>
      </c>
    </row>
    <row r="19" spans="1:26" ht="15" customHeight="1" x14ac:dyDescent="0.3">
      <c r="A19" s="10"/>
      <c r="B19" s="11"/>
      <c r="C19" s="10"/>
      <c r="D19" s="2"/>
      <c r="E19" s="2"/>
      <c r="F19" s="6"/>
      <c r="G19" s="2"/>
      <c r="H19" s="2"/>
      <c r="I19" s="2"/>
      <c r="J19" s="6"/>
      <c r="K19" s="2"/>
      <c r="L19" s="2"/>
      <c r="M19" s="2"/>
      <c r="N19" s="6"/>
      <c r="O19" s="35"/>
      <c r="P19" s="2"/>
      <c r="Q19" s="2"/>
      <c r="R19" s="6"/>
      <c r="S19" s="2"/>
      <c r="T19" s="2"/>
      <c r="U19" s="2"/>
      <c r="V19" s="6"/>
      <c r="W19" s="2"/>
      <c r="X19" s="2"/>
      <c r="Y19" s="2"/>
      <c r="Z19" s="6"/>
    </row>
    <row r="20" spans="1:26" s="63" customFormat="1" ht="15" customHeight="1" x14ac:dyDescent="0.3">
      <c r="A20" s="11"/>
      <c r="B20" s="28" t="s">
        <v>290</v>
      </c>
      <c r="C20" s="11"/>
      <c r="D20" s="22" t="e">
        <f ca="1">SUM(_xll.ONESTOP.REPORTPLAYER.OSRFUNCTIONS.OSRREF(D22))</f>
        <v>#NAME?</v>
      </c>
      <c r="E20" s="22"/>
      <c r="F20" s="30" t="e">
        <f ca="1">IF(D$12=0,0,D20/D$12)</f>
        <v>#NAME?</v>
      </c>
      <c r="G20" s="22"/>
      <c r="H20" s="22" t="e">
        <f ca="1">SUM(_xll.ONESTOP.REPORTPLAYER.OSRFUNCTIONS.OSRREF(H22))</f>
        <v>#NAME?</v>
      </c>
      <c r="I20" s="22"/>
      <c r="J20" s="30" t="e">
        <f ca="1">IF(H$12=0,0,H20/H$12)</f>
        <v>#NAME?</v>
      </c>
      <c r="K20" s="5"/>
      <c r="L20" s="22" t="e">
        <f ca="1">+D20-H20</f>
        <v>#NAME?</v>
      </c>
      <c r="M20" s="5"/>
      <c r="N20" s="30" t="e">
        <f ca="1">IF(H20=0,0,L20/H20)</f>
        <v>#NAME?</v>
      </c>
      <c r="O20" s="11"/>
      <c r="P20" s="22" t="e">
        <f ca="1">SUM(_xll.ONESTOP.REPORTPLAYER.OSRFUNCTIONS.OSRREF(P22))</f>
        <v>#NAME?</v>
      </c>
      <c r="Q20" s="22"/>
      <c r="R20" s="30" t="e">
        <f ca="1">IF(P$12=0,0,P20/P$12)</f>
        <v>#NAME?</v>
      </c>
      <c r="S20" s="22"/>
      <c r="T20" s="22" t="e">
        <f ca="1">SUM(_xll.ONESTOP.REPORTPLAYER.OSRFUNCTIONS.OSRREF(T22))</f>
        <v>#NAME?</v>
      </c>
      <c r="U20" s="22"/>
      <c r="V20" s="30" t="e">
        <f ca="1">IF(T$12=0,0,T20/T$12)</f>
        <v>#NAME?</v>
      </c>
      <c r="W20" s="5"/>
      <c r="X20" s="22" t="e">
        <f ca="1">+P20-T20</f>
        <v>#NAME?</v>
      </c>
      <c r="Y20" s="5"/>
      <c r="Z20" s="30" t="e">
        <f ca="1">IF(T20=0,0,X20/T20)</f>
        <v>#NAME?</v>
      </c>
    </row>
    <row r="21" spans="1:26" s="69" customFormat="1" ht="15" customHeight="1" outlineLevel="1" collapsed="1" x14ac:dyDescent="0.3">
      <c r="A21" s="25"/>
      <c r="B21" s="14" t="e">
        <f ca="1">CONCATENATE("     ",_xll.ONESTOP.REPORTPLAYER.OSRFUNCTIONS.OSRGET("d_Account","AccountCategory"))</f>
        <v>#NAME?</v>
      </c>
      <c r="C21" s="14"/>
      <c r="D21" s="2" t="e">
        <f ca="1">SUM(_xll.ONESTOP.REPORTPLAYER.OSRFUNCTIONS.OSRREF(D22))</f>
        <v>#NAME?</v>
      </c>
      <c r="E21" s="2"/>
      <c r="F21" s="6" t="e">
        <f ca="1">IF(D$12=0,0,D21/D$12)</f>
        <v>#NAME?</v>
      </c>
      <c r="G21" s="2"/>
      <c r="H21" s="2" t="e">
        <f ca="1">SUM(_xll.ONESTOP.REPORTPLAYER.OSRFUNCTIONS.OSRREF(H22))</f>
        <v>#NAME?</v>
      </c>
      <c r="I21" s="2"/>
      <c r="J21" s="6" t="e">
        <f ca="1">IF(H$12=0,0,H21/H$12)</f>
        <v>#NAME?</v>
      </c>
      <c r="K21" s="2"/>
      <c r="L21" s="2" t="e">
        <f ca="1">+D21-H21</f>
        <v>#NAME?</v>
      </c>
      <c r="M21" s="2"/>
      <c r="N21" s="6" t="e">
        <f ca="1">IF(H21=0,0,L21/H21)</f>
        <v>#NAME?</v>
      </c>
      <c r="O21" s="14"/>
      <c r="P21" s="2" t="e">
        <f ca="1">SUM(_xll.ONESTOP.REPORTPLAYER.OSRFUNCTIONS.OSRREF(P22))</f>
        <v>#NAME?</v>
      </c>
      <c r="Q21" s="2"/>
      <c r="R21" s="6" t="e">
        <f ca="1">IF(P$12=0,0,P21/P$12)</f>
        <v>#NAME?</v>
      </c>
      <c r="S21" s="2"/>
      <c r="T21" s="2" t="e">
        <f ca="1">SUM(_xll.ONESTOP.REPORTPLAYER.OSRFUNCTIONS.OSRREF(T22))</f>
        <v>#NAME?</v>
      </c>
      <c r="U21" s="2"/>
      <c r="V21" s="6" t="e">
        <f ca="1">IF(T$12=0,0,T21/T$12)</f>
        <v>#NAME?</v>
      </c>
      <c r="W21" s="2"/>
      <c r="X21" s="2" t="e">
        <f ca="1">+P21-T21</f>
        <v>#NAME?</v>
      </c>
      <c r="Y21" s="2"/>
      <c r="Z21" s="6" t="e">
        <f ca="1">IF(T21=0,0,X21/T21)</f>
        <v>#NAME?</v>
      </c>
    </row>
    <row r="22" spans="1:26" s="70" customFormat="1" ht="15" hidden="1" customHeight="1" outlineLevel="2" x14ac:dyDescent="0.3">
      <c r="A22" s="26"/>
      <c r="B22" s="12" t="e">
        <f ca="1">CONCATENATE("          ",_xll.ONESTOP.REPORTPLAYER.OSRFUNCTIONS.OSRGET("d_Account","Code")," - ",_xll.ONESTOP.REPORTPLAYER.OSRFUNCTIONS.OSRGET("d_Account","Description"))</f>
        <v>#NAME?</v>
      </c>
      <c r="C22" s="12"/>
      <c r="D22" s="7" t="e">
        <f ca="1">_xll.ONESTOP.REPORTPLAYER.OSRFUNCTIONS.OSRGET("GL_F_Trans","Value1")</f>
        <v>#NAME?</v>
      </c>
      <c r="E22" s="3"/>
      <c r="F22" s="8" t="e">
        <f ca="1">IF(D$12=0,0,D22/D$12)</f>
        <v>#NAME?</v>
      </c>
      <c r="G22" s="3"/>
      <c r="H22" s="7" t="e">
        <f ca="1">_xll.ONESTOP.REPORTPLAYER.OSRFUNCTIONS.OSRGET("GL_F_Trans","Value1")</f>
        <v>#NAME?</v>
      </c>
      <c r="I22" s="3"/>
      <c r="J22" s="8" t="e">
        <f ca="1">IF(H$12=0,0,H22/H$12)</f>
        <v>#NAME?</v>
      </c>
      <c r="K22" s="3"/>
      <c r="L22" s="7" t="e">
        <f ca="1">+D22-H22</f>
        <v>#NAME?</v>
      </c>
      <c r="M22" s="3"/>
      <c r="N22" s="8" t="e">
        <f ca="1">IF(H22=0,0,L22/H22)</f>
        <v>#NAME?</v>
      </c>
      <c r="O22" s="12"/>
      <c r="P22" s="7" t="e">
        <f ca="1">_xll.ONESTOP.REPORTPLAYER.OSRFUNCTIONS.OSRGET("GL_F_Trans","Value1")</f>
        <v>#NAME?</v>
      </c>
      <c r="Q22" s="3"/>
      <c r="R22" s="8" t="e">
        <f ca="1">IF(P$12=0,0,P22/P$12)</f>
        <v>#NAME?</v>
      </c>
      <c r="S22" s="3"/>
      <c r="T22" s="7" t="e">
        <f ca="1">_xll.ONESTOP.REPORTPLAYER.OSRFUNCTIONS.OSRGET("GL_F_Trans","Value1")</f>
        <v>#NAME?</v>
      </c>
      <c r="U22" s="3"/>
      <c r="V22" s="8" t="e">
        <f ca="1">IF(T$12=0,0,T22/T$12)</f>
        <v>#NAME?</v>
      </c>
      <c r="W22" s="3"/>
      <c r="X22" s="7" t="e">
        <f ca="1">+P22-T22</f>
        <v>#NAME?</v>
      </c>
      <c r="Y22" s="3"/>
      <c r="Z22" s="8" t="e">
        <f ca="1">IF(T22=0,0,X22/T22)</f>
        <v>#NAME?</v>
      </c>
    </row>
    <row r="23" spans="1:26" s="65" customFormat="1" ht="15" customHeight="1" x14ac:dyDescent="0.3">
      <c r="A23" s="35"/>
      <c r="B23" s="35"/>
      <c r="C23" s="35"/>
      <c r="D23" s="2"/>
      <c r="E23" s="2"/>
      <c r="F23" s="6"/>
      <c r="G23" s="2"/>
      <c r="H23" s="2"/>
      <c r="I23" s="2"/>
      <c r="J23" s="6"/>
      <c r="K23" s="2"/>
      <c r="L23" s="2"/>
      <c r="M23" s="2"/>
      <c r="N23" s="6"/>
      <c r="O23" s="35"/>
      <c r="P23" s="2"/>
      <c r="Q23" s="2"/>
      <c r="R23" s="6"/>
      <c r="S23" s="2"/>
      <c r="T23" s="2"/>
      <c r="U23" s="2"/>
      <c r="V23" s="6"/>
      <c r="W23" s="2"/>
      <c r="X23" s="2"/>
      <c r="Y23" s="2"/>
      <c r="Z23" s="6"/>
    </row>
    <row r="24" spans="1:26" s="63" customFormat="1" ht="15" customHeight="1" collapsed="1" x14ac:dyDescent="0.3">
      <c r="A24" s="11"/>
      <c r="B24" s="28" t="s">
        <v>291</v>
      </c>
      <c r="C24" s="11"/>
      <c r="D24" s="5" t="e">
        <f ca="1">SUM(_xll.ONESTOP.REPORTPLAYER.OSRFUNCTIONS.OSRREF(D25))</f>
        <v>#NAME?</v>
      </c>
      <c r="E24" s="5"/>
      <c r="F24" s="13" t="e">
        <f ca="1">IF(D$12=0,0,D24/D$12)</f>
        <v>#NAME?</v>
      </c>
      <c r="G24" s="5"/>
      <c r="H24" s="5" t="e">
        <f ca="1">SUM(_xll.ONESTOP.REPORTPLAYER.OSRFUNCTIONS.OSRREF(H25))</f>
        <v>#NAME?</v>
      </c>
      <c r="I24" s="5"/>
      <c r="J24" s="13" t="e">
        <f ca="1">IF(H$12=0,0,H24/H$12)</f>
        <v>#NAME?</v>
      </c>
      <c r="K24" s="5"/>
      <c r="L24" s="5" t="e">
        <f ca="1">+D24-H24</f>
        <v>#NAME?</v>
      </c>
      <c r="M24" s="5"/>
      <c r="N24" s="13" t="e">
        <f ca="1">IF(H24=0,0,L24/H24)</f>
        <v>#NAME?</v>
      </c>
      <c r="O24" s="11"/>
      <c r="P24" s="5" t="e">
        <f ca="1">SUM(_xll.ONESTOP.REPORTPLAYER.OSRFUNCTIONS.OSRREF(P25))</f>
        <v>#NAME?</v>
      </c>
      <c r="Q24" s="5"/>
      <c r="R24" s="13" t="e">
        <f ca="1">IF(P$12=0,0,P24/P$12)</f>
        <v>#NAME?</v>
      </c>
      <c r="S24" s="5"/>
      <c r="T24" s="5" t="e">
        <f ca="1">SUM(_xll.ONESTOP.REPORTPLAYER.OSRFUNCTIONS.OSRREF(T25))</f>
        <v>#NAME?</v>
      </c>
      <c r="U24" s="5"/>
      <c r="V24" s="13" t="e">
        <f ca="1">IF(T$12=0,0,T24/T$12)</f>
        <v>#NAME?</v>
      </c>
      <c r="W24" s="5"/>
      <c r="X24" s="5" t="e">
        <f ca="1">+P24-T24</f>
        <v>#NAME?</v>
      </c>
      <c r="Y24" s="5"/>
      <c r="Z24" s="13" t="e">
        <f ca="1">IF(T24=0,0,X24/T24)</f>
        <v>#NAME?</v>
      </c>
    </row>
    <row r="25" spans="1:26" s="70" customFormat="1" ht="15" hidden="1" customHeight="1" outlineLevel="1" x14ac:dyDescent="0.3">
      <c r="A25" s="42"/>
      <c r="B25" s="12" t="e">
        <f ca="1">CONCATENATE("          ",_xll.ONESTOP.REPORTPLAYER.OSRFUNCTIONS.OSRGET("d_Account","Code")," - ",_xll.ONESTOP.REPORTPLAYER.OSRFUNCTIONS.OSRGET("d_Account","Description"))</f>
        <v>#NAME?</v>
      </c>
      <c r="C25" s="12"/>
      <c r="D25" s="3" t="e">
        <f ca="1">-_xll.ONESTOP.REPORTPLAYER.OSRFUNCTIONS.OSRGET("GL_F_Trans","Value1")</f>
        <v>#NAME?</v>
      </c>
      <c r="E25" s="3"/>
      <c r="F25" s="20" t="e">
        <f ca="1">IF(D$12=0,0,D25/D$12)</f>
        <v>#NAME?</v>
      </c>
      <c r="G25" s="3"/>
      <c r="H25" s="3" t="e">
        <f ca="1">_xll.ONESTOP.REPORTPLAYER.OSRFUNCTIONS.OSRGET("GL_F_Trans","Value1")</f>
        <v>#NAME?</v>
      </c>
      <c r="I25" s="3"/>
      <c r="J25" s="20" t="e">
        <f ca="1">IF(H$12=0,0,H25/H$12)</f>
        <v>#NAME?</v>
      </c>
      <c r="K25" s="3"/>
      <c r="L25" s="3" t="e">
        <f ca="1">+D25-H25</f>
        <v>#NAME?</v>
      </c>
      <c r="M25" s="3"/>
      <c r="N25" s="20" t="e">
        <f ca="1">IF(H25=0,0,L25/H25)</f>
        <v>#NAME?</v>
      </c>
      <c r="O25" s="12"/>
      <c r="P25" s="3" t="e">
        <f ca="1">-_xll.ONESTOP.REPORTPLAYER.OSRFUNCTIONS.OSRGET("GL_F_Trans","Value1")</f>
        <v>#NAME?</v>
      </c>
      <c r="Q25" s="3"/>
      <c r="R25" s="20" t="e">
        <f ca="1">IF(P$12=0,0,P25/P$12)</f>
        <v>#NAME?</v>
      </c>
      <c r="S25" s="3"/>
      <c r="T25" s="3" t="e">
        <f ca="1">_xll.ONESTOP.REPORTPLAYER.OSRFUNCTIONS.OSRGET("GL_F_Trans","Value1")</f>
        <v>#NAME?</v>
      </c>
      <c r="U25" s="3"/>
      <c r="V25" s="20" t="e">
        <f ca="1">IF(T$12=0,0,T25/T$12)</f>
        <v>#NAME?</v>
      </c>
      <c r="W25" s="3"/>
      <c r="X25" s="3" t="e">
        <f ca="1">+P25-T25</f>
        <v>#NAME?</v>
      </c>
      <c r="Y25" s="3"/>
      <c r="Z25" s="20" t="e">
        <f ca="1">IF(T25=0,0,X25/T25)</f>
        <v>#NAME?</v>
      </c>
    </row>
    <row r="26" spans="1:26" ht="15" customHeight="1" x14ac:dyDescent="0.3">
      <c r="A26" s="10"/>
      <c r="B26" s="11"/>
      <c r="C26" s="11"/>
      <c r="D26" s="4"/>
      <c r="E26" s="4"/>
      <c r="F26" s="9"/>
      <c r="G26" s="4"/>
      <c r="H26" s="4"/>
      <c r="I26" s="4"/>
      <c r="J26" s="9"/>
      <c r="K26" s="4"/>
      <c r="L26" s="4"/>
      <c r="M26" s="4"/>
      <c r="N26" s="9"/>
      <c r="O26" s="11"/>
      <c r="P26" s="4"/>
      <c r="Q26" s="4"/>
      <c r="R26" s="9"/>
      <c r="S26" s="4"/>
      <c r="T26" s="4"/>
      <c r="U26" s="4"/>
      <c r="V26" s="9"/>
      <c r="W26" s="4"/>
      <c r="X26" s="4"/>
      <c r="Y26" s="4"/>
      <c r="Z26" s="9"/>
    </row>
    <row r="27" spans="1:26" s="63" customFormat="1" ht="15" customHeight="1" x14ac:dyDescent="0.3">
      <c r="A27" s="11"/>
      <c r="B27" s="27" t="s">
        <v>292</v>
      </c>
      <c r="C27" s="27"/>
      <c r="D27" s="21" t="e">
        <f ca="1">+D18-D20+D24</f>
        <v>#NAME?</v>
      </c>
      <c r="E27" s="15"/>
      <c r="F27" s="23" t="e">
        <f ca="1">IF(D$12=0,0,D27/D$12)</f>
        <v>#NAME?</v>
      </c>
      <c r="G27" s="15"/>
      <c r="H27" s="21" t="e">
        <f ca="1">+H18-H20+H24</f>
        <v>#NAME?</v>
      </c>
      <c r="I27" s="15"/>
      <c r="J27" s="23" t="e">
        <f ca="1">IF(H$12=0,0,H27/H$12)</f>
        <v>#NAME?</v>
      </c>
      <c r="K27" s="16"/>
      <c r="L27" s="21" t="e">
        <f ca="1">+D27-H27</f>
        <v>#NAME?</v>
      </c>
      <c r="M27" s="16"/>
      <c r="N27" s="23" t="e">
        <f ca="1">IF(H27=0,0,L27/H27)</f>
        <v>#NAME?</v>
      </c>
      <c r="O27" s="28"/>
      <c r="P27" s="21" t="e">
        <f ca="1">+P18-P20+P24</f>
        <v>#NAME?</v>
      </c>
      <c r="Q27" s="15"/>
      <c r="R27" s="23" t="e">
        <f ca="1">IF(P$12=0,0,P27/P$12)</f>
        <v>#NAME?</v>
      </c>
      <c r="S27" s="15"/>
      <c r="T27" s="21" t="e">
        <f ca="1">+T18-T20+T24</f>
        <v>#NAME?</v>
      </c>
      <c r="U27" s="15"/>
      <c r="V27" s="23" t="e">
        <f ca="1">IF(T$12=0,0,T27/T$12)</f>
        <v>#NAME?</v>
      </c>
      <c r="W27" s="16"/>
      <c r="X27" s="21" t="e">
        <f ca="1">+P27-T27</f>
        <v>#NAME?</v>
      </c>
      <c r="Y27" s="16"/>
      <c r="Z27" s="23" t="e">
        <f ca="1">IF(T27=0,0,X27/T27)</f>
        <v>#NAME?</v>
      </c>
    </row>
    <row r="28" spans="1:26" ht="15" customHeight="1" x14ac:dyDescent="0.3">
      <c r="A28" s="10"/>
      <c r="B28" s="11"/>
      <c r="C28" s="10"/>
      <c r="D28" s="4"/>
      <c r="E28" s="4"/>
      <c r="F28" s="9"/>
      <c r="G28" s="4"/>
      <c r="H28" s="4"/>
      <c r="I28" s="4"/>
      <c r="J28" s="9"/>
      <c r="K28" s="4"/>
      <c r="L28" s="4"/>
      <c r="M28" s="4"/>
      <c r="N28" s="9"/>
      <c r="P28" s="4"/>
      <c r="Q28" s="4"/>
      <c r="R28" s="9"/>
      <c r="S28" s="4"/>
      <c r="T28" s="4"/>
      <c r="U28" s="4"/>
      <c r="V28" s="9"/>
      <c r="W28" s="4"/>
      <c r="X28" s="4"/>
      <c r="Y28" s="4"/>
      <c r="Z28" s="9"/>
    </row>
    <row r="29" spans="1:26" s="63" customFormat="1" ht="15" customHeight="1" x14ac:dyDescent="0.3">
      <c r="A29" s="49"/>
      <c r="B29" s="11" t="s">
        <v>293</v>
      </c>
      <c r="C29" s="11"/>
      <c r="D29" s="5" t="e">
        <f ca="1">_xll.ONESTOP.REPORTPLAYER.OSRFUNCTIONS.OSRGET("GL_F_Trans","Value1")</f>
        <v>#NAME?</v>
      </c>
      <c r="E29" s="5"/>
      <c r="F29" s="13" t="e">
        <f ca="1">IF(D$12=0,0,D29/D$12)</f>
        <v>#NAME?</v>
      </c>
      <c r="G29" s="5"/>
      <c r="H29" s="5" t="e">
        <f ca="1">_xll.ONESTOP.REPORTPLAYER.OSRFUNCTIONS.OSRGET("GL_F_Trans","Value1")</f>
        <v>#NAME?</v>
      </c>
      <c r="I29" s="5"/>
      <c r="J29" s="13" t="e">
        <f ca="1">IF(H$12=0,0,H29/H$12)</f>
        <v>#NAME?</v>
      </c>
      <c r="K29" s="5"/>
      <c r="L29" s="5" t="e">
        <f ca="1">+D29-H29</f>
        <v>#NAME?</v>
      </c>
      <c r="M29" s="5"/>
      <c r="N29" s="13" t="e">
        <f ca="1">IF(H29=0,0,L29/H29)</f>
        <v>#NAME?</v>
      </c>
      <c r="O29" s="11"/>
      <c r="P29" s="5" t="e">
        <f ca="1">_xll.ONESTOP.REPORTPLAYER.OSRFUNCTIONS.OSRGET("GL_F_Trans","Value1")</f>
        <v>#NAME?</v>
      </c>
      <c r="Q29" s="5"/>
      <c r="R29" s="13" t="e">
        <f ca="1">IF(P$12=0,0,P29/P$12)</f>
        <v>#NAME?</v>
      </c>
      <c r="S29" s="5"/>
      <c r="T29" s="5" t="e">
        <f ca="1">_xll.ONESTOP.REPORTPLAYER.OSRFUNCTIONS.OSRGET("GL_F_Trans","Value1")</f>
        <v>#NAME?</v>
      </c>
      <c r="U29" s="5"/>
      <c r="V29" s="13" t="e">
        <f ca="1">IF(T$12=0,0,T29/T$12)</f>
        <v>#NAME?</v>
      </c>
      <c r="W29" s="5"/>
      <c r="X29" s="5" t="e">
        <f ca="1">+P29-T29</f>
        <v>#NAME?</v>
      </c>
      <c r="Y29" s="5"/>
      <c r="Z29" s="13" t="e">
        <f ca="1">IF(T29=0,0,X29/T29)</f>
        <v>#NAME?</v>
      </c>
    </row>
    <row r="30" spans="1:26" ht="15" customHeight="1" x14ac:dyDescent="0.3">
      <c r="A30" s="10"/>
      <c r="B30" s="11"/>
      <c r="C30" s="11"/>
      <c r="D30" s="4"/>
      <c r="E30" s="4"/>
      <c r="F30" s="9"/>
      <c r="G30" s="4"/>
      <c r="H30" s="4"/>
      <c r="I30" s="4"/>
      <c r="J30" s="9"/>
      <c r="K30" s="4"/>
      <c r="L30" s="4"/>
      <c r="M30" s="4"/>
      <c r="N30" s="9"/>
      <c r="O30" s="11"/>
      <c r="P30" s="4"/>
      <c r="Q30" s="4"/>
      <c r="R30" s="9"/>
      <c r="S30" s="4"/>
      <c r="T30" s="4"/>
      <c r="U30" s="4"/>
      <c r="V30" s="9"/>
      <c r="W30" s="4"/>
      <c r="X30" s="4"/>
      <c r="Y30" s="4"/>
      <c r="Z30" s="9"/>
    </row>
    <row r="31" spans="1:26" s="63" customFormat="1" ht="15" customHeight="1" x14ac:dyDescent="0.3">
      <c r="A31" s="11"/>
      <c r="B31" s="27" t="s">
        <v>294</v>
      </c>
      <c r="C31" s="27"/>
      <c r="D31" s="34" t="e">
        <f ca="1">+D27-D29</f>
        <v>#NAME?</v>
      </c>
      <c r="E31" s="15"/>
      <c r="F31" s="29" t="e">
        <f ca="1">IF(D$12=0,0,D31/D$12)</f>
        <v>#NAME?</v>
      </c>
      <c r="G31" s="15"/>
      <c r="H31" s="34" t="e">
        <f ca="1">+H27-H29</f>
        <v>#NAME?</v>
      </c>
      <c r="I31" s="15"/>
      <c r="J31" s="29" t="e">
        <f ca="1">IF(H$12=0,0,H31/H$12)</f>
        <v>#NAME?</v>
      </c>
      <c r="K31" s="16"/>
      <c r="L31" s="34" t="e">
        <f ca="1">D31-H31</f>
        <v>#NAME?</v>
      </c>
      <c r="M31" s="16"/>
      <c r="N31" s="29" t="e">
        <f ca="1">IF(H31=0,0,L31/H31)</f>
        <v>#NAME?</v>
      </c>
      <c r="O31" s="28"/>
      <c r="P31" s="34" t="e">
        <f ca="1">+P27-P29</f>
        <v>#NAME?</v>
      </c>
      <c r="Q31" s="15"/>
      <c r="R31" s="29" t="e">
        <f ca="1">IF(P$12=0,0,P31/P$12)</f>
        <v>#NAME?</v>
      </c>
      <c r="S31" s="15"/>
      <c r="T31" s="34" t="e">
        <f ca="1">+T27-T29</f>
        <v>#NAME?</v>
      </c>
      <c r="U31" s="15"/>
      <c r="V31" s="29" t="e">
        <f ca="1">IF(T$12=0,0,T31/T$12)</f>
        <v>#NAME?</v>
      </c>
      <c r="W31" s="16"/>
      <c r="X31" s="34" t="e">
        <f ca="1">P31-T31</f>
        <v>#NAME?</v>
      </c>
      <c r="Y31" s="16"/>
      <c r="Z31" s="29" t="e">
        <f ca="1">IF(T31=0,0,X31/T31)</f>
        <v>#NAME?</v>
      </c>
    </row>
    <row r="32" spans="1:26" ht="15" customHeight="1" x14ac:dyDescent="0.3">
      <c r="A32" s="10"/>
      <c r="B32" s="10"/>
      <c r="C32" s="10"/>
      <c r="D32" s="4"/>
      <c r="E32" s="4"/>
      <c r="F32" s="9"/>
      <c r="G32" s="4"/>
      <c r="H32" s="4"/>
      <c r="I32" s="4"/>
      <c r="J32" s="9"/>
      <c r="K32" s="4"/>
      <c r="L32" s="4"/>
      <c r="M32" s="4"/>
      <c r="N32" s="9"/>
      <c r="P32" s="4"/>
      <c r="Q32" s="4"/>
      <c r="R32" s="9"/>
      <c r="S32" s="4"/>
      <c r="T32" s="4"/>
      <c r="U32" s="4"/>
      <c r="V32" s="9"/>
      <c r="W32" s="4"/>
      <c r="X32" s="4"/>
      <c r="Y32" s="4"/>
      <c r="Z32" s="9"/>
    </row>
    <row r="33" spans="1:26" s="63" customFormat="1" ht="15" customHeight="1" x14ac:dyDescent="0.3">
      <c r="A33" s="49"/>
      <c r="B33" s="11" t="s">
        <v>295</v>
      </c>
      <c r="C33" s="11"/>
      <c r="D33" s="5" t="e">
        <f ca="1">-_xll.ONESTOP.REPORTPLAYER.OSRFUNCTIONS.OSRGET("GL_F_Trans","Value1")</f>
        <v>#NAME?</v>
      </c>
      <c r="E33" s="5"/>
      <c r="F33" s="13" t="e">
        <f ca="1">IF(D$12=0,0,D33/D$12)</f>
        <v>#NAME?</v>
      </c>
      <c r="G33" s="5"/>
      <c r="H33" s="5" t="e">
        <f ca="1">-_xll.ONESTOP.REPORTPLAYER.OSRFUNCTIONS.OSRGET("GL_F_Trans","Value1")</f>
        <v>#NAME?</v>
      </c>
      <c r="I33" s="5"/>
      <c r="J33" s="13" t="e">
        <f ca="1">IF(H$12=0,0,H33/H$12)</f>
        <v>#NAME?</v>
      </c>
      <c r="K33" s="5"/>
      <c r="L33" s="5" t="e">
        <f ca="1">+D33-H33</f>
        <v>#NAME?</v>
      </c>
      <c r="M33" s="5"/>
      <c r="N33" s="13" t="e">
        <f ca="1">IF(H33=0,0,L33/H33)</f>
        <v>#NAME?</v>
      </c>
      <c r="O33" s="11"/>
      <c r="P33" s="5" t="e">
        <f ca="1">-_xll.ONESTOP.REPORTPLAYER.OSRFUNCTIONS.OSRGET("GL_F_Trans","Value1")</f>
        <v>#NAME?</v>
      </c>
      <c r="Q33" s="5"/>
      <c r="R33" s="13" t="e">
        <f ca="1">IF(P$12=0,0,P33/P$12)</f>
        <v>#NAME?</v>
      </c>
      <c r="S33" s="5"/>
      <c r="T33" s="5" t="e">
        <f ca="1">-_xll.ONESTOP.REPORTPLAYER.OSRFUNCTIONS.OSRGET("GL_F_Trans","Value1")</f>
        <v>#NAME?</v>
      </c>
      <c r="U33" s="5"/>
      <c r="V33" s="13" t="e">
        <f ca="1">IF(T$12=0,0,T33/T$12)</f>
        <v>#NAME?</v>
      </c>
      <c r="W33" s="5"/>
      <c r="X33" s="5" t="e">
        <f ca="1">+P33-T33</f>
        <v>#NAME?</v>
      </c>
      <c r="Y33" s="5"/>
      <c r="Z33" s="13" t="e">
        <f ca="1">IF(T33=0,0,X33/T33)</f>
        <v>#NAME?</v>
      </c>
    </row>
    <row r="34" spans="1:26" s="63" customFormat="1" ht="15" customHeight="1" x14ac:dyDescent="0.3">
      <c r="A34" s="49"/>
      <c r="B34" s="11" t="s">
        <v>296</v>
      </c>
      <c r="C34" s="11"/>
      <c r="D34" s="5" t="e">
        <f ca="1">-_xll.ONESTOP.REPORTPLAYER.OSRFUNCTIONS.OSRGET("GL_F_Trans","Value1")</f>
        <v>#NAME?</v>
      </c>
      <c r="E34" s="5"/>
      <c r="F34" s="13" t="e">
        <f ca="1">IF(D$12=0,0,D34/D$12)</f>
        <v>#NAME?</v>
      </c>
      <c r="G34" s="5"/>
      <c r="H34" s="5" t="e">
        <f ca="1">-_xll.ONESTOP.REPORTPLAYER.OSRFUNCTIONS.OSRGET("GL_F_Trans","Value1")</f>
        <v>#NAME?</v>
      </c>
      <c r="I34" s="5"/>
      <c r="J34" s="13" t="e">
        <f ca="1">IF(H$12=0,0,H34/H$12)</f>
        <v>#NAME?</v>
      </c>
      <c r="K34" s="5"/>
      <c r="L34" s="5" t="e">
        <f ca="1">+D34-H34</f>
        <v>#NAME?</v>
      </c>
      <c r="M34" s="5"/>
      <c r="N34" s="13" t="e">
        <f ca="1">IF(H34=0,0,L34/H34)</f>
        <v>#NAME?</v>
      </c>
      <c r="O34" s="11"/>
      <c r="P34" s="5" t="e">
        <f ca="1">-_xll.ONESTOP.REPORTPLAYER.OSRFUNCTIONS.OSRGET("GL_F_Trans","Value1")</f>
        <v>#NAME?</v>
      </c>
      <c r="Q34" s="5"/>
      <c r="R34" s="13" t="e">
        <f ca="1">IF(P$12=0,0,P34/P$12)</f>
        <v>#NAME?</v>
      </c>
      <c r="S34" s="5"/>
      <c r="T34" s="5" t="e">
        <f ca="1">-_xll.ONESTOP.REPORTPLAYER.OSRFUNCTIONS.OSRGET("GL_F_Trans","Value1")</f>
        <v>#NAME?</v>
      </c>
      <c r="U34" s="5"/>
      <c r="V34" s="13" t="e">
        <f ca="1">IF(T$12=0,0,T34/T$12)</f>
        <v>#NAME?</v>
      </c>
      <c r="W34" s="5"/>
      <c r="X34" s="5" t="e">
        <f ca="1">+P34-T34</f>
        <v>#NAME?</v>
      </c>
      <c r="Y34" s="5"/>
      <c r="Z34" s="13" t="e">
        <f ca="1">IF(T34=0,0,X34/T34)</f>
        <v>#NAME?</v>
      </c>
    </row>
    <row r="35" spans="1:26" ht="15" customHeight="1" x14ac:dyDescent="0.3">
      <c r="A35" s="10"/>
      <c r="B35" s="10"/>
      <c r="C35" s="10"/>
      <c r="D35" s="4"/>
      <c r="E35" s="4"/>
      <c r="F35" s="9"/>
      <c r="G35" s="4"/>
      <c r="H35" s="4"/>
      <c r="I35" s="4"/>
      <c r="J35" s="9"/>
      <c r="K35" s="4"/>
      <c r="L35" s="4"/>
      <c r="M35" s="4"/>
      <c r="N35" s="9"/>
      <c r="P35" s="4"/>
      <c r="Q35" s="4"/>
      <c r="R35" s="9"/>
      <c r="S35" s="4"/>
      <c r="T35" s="4"/>
      <c r="U35" s="4"/>
      <c r="V35" s="9"/>
      <c r="W35" s="4"/>
      <c r="X35" s="4"/>
      <c r="Y35" s="4"/>
      <c r="Z35" s="9"/>
    </row>
    <row r="36" spans="1:26" s="63" customFormat="1" ht="15" customHeight="1" x14ac:dyDescent="0.3">
      <c r="A36" s="11"/>
      <c r="B36" s="27" t="s">
        <v>297</v>
      </c>
      <c r="C36" s="27"/>
      <c r="D36" s="32" t="e">
        <f ca="1">SUM(D31:D35)</f>
        <v>#NAME?</v>
      </c>
      <c r="E36" s="15"/>
      <c r="F36" s="31" t="e">
        <f ca="1">IF(D$12=0,0,D36/D$12)</f>
        <v>#NAME?</v>
      </c>
      <c r="G36" s="15"/>
      <c r="H36" s="32" t="e">
        <f ca="1">SUM(H31:H35)</f>
        <v>#NAME?</v>
      </c>
      <c r="I36" s="15"/>
      <c r="J36" s="31" t="e">
        <f ca="1">IF(H$12=0,0,H36/H$12)</f>
        <v>#NAME?</v>
      </c>
      <c r="K36" s="16"/>
      <c r="L36" s="32" t="e">
        <f ca="1">+D36-H36</f>
        <v>#NAME?</v>
      </c>
      <c r="M36" s="16"/>
      <c r="N36" s="31" t="e">
        <f ca="1">IF(H36=0,0,L36/H36)</f>
        <v>#NAME?</v>
      </c>
      <c r="O36" s="28"/>
      <c r="P36" s="32" t="e">
        <f ca="1">SUM(P31:P35)</f>
        <v>#NAME?</v>
      </c>
      <c r="Q36" s="15"/>
      <c r="R36" s="31" t="e">
        <f ca="1">IF(P$12=0,0,P36/P$12)</f>
        <v>#NAME?</v>
      </c>
      <c r="S36" s="15"/>
      <c r="T36" s="32" t="e">
        <f ca="1">SUM(T31:T35)</f>
        <v>#NAME?</v>
      </c>
      <c r="U36" s="15"/>
      <c r="V36" s="31" t="e">
        <f ca="1">IF(T$12=0,0,T36/T$12)</f>
        <v>#NAME?</v>
      </c>
      <c r="W36" s="16"/>
      <c r="X36" s="32" t="e">
        <f ca="1">+P36-T36</f>
        <v>#NAME?</v>
      </c>
      <c r="Y36" s="16"/>
      <c r="Z36" s="31" t="e">
        <f ca="1">IF(T36=0,0,X36/T36)</f>
        <v>#NAME?</v>
      </c>
    </row>
    <row r="37" spans="1:26" ht="15" customHeight="1" x14ac:dyDescent="0.3">
      <c r="A37" s="10"/>
      <c r="C37" s="10"/>
      <c r="D37" s="19"/>
      <c r="E37" s="19"/>
      <c r="G37" s="19"/>
      <c r="H37" s="19"/>
      <c r="I37" s="19"/>
      <c r="J37" s="40"/>
      <c r="K37" s="19"/>
      <c r="L37" s="19"/>
      <c r="M37" s="19"/>
      <c r="P37" s="19"/>
      <c r="Q37" s="19"/>
      <c r="R37" s="40"/>
      <c r="S37" s="19"/>
      <c r="T37" s="19"/>
      <c r="U37" s="19"/>
      <c r="V37" s="40"/>
      <c r="W37" s="19"/>
      <c r="X37" s="19"/>
    </row>
    <row r="38" spans="1:26" ht="15" customHeight="1" x14ac:dyDescent="0.3">
      <c r="A38" s="10"/>
      <c r="B38" s="51" t="e">
        <f ca="1">_xll.ONESTOP.REPORTPLAYER.OSRFUNCTIONS.OSRGET("CurrentDate","Date")</f>
        <v>#NAME?</v>
      </c>
      <c r="D38" s="19"/>
      <c r="E38" s="19"/>
      <c r="G38" s="19"/>
      <c r="H38" s="19"/>
      <c r="I38" s="19"/>
      <c r="J38" s="40"/>
      <c r="K38" s="19"/>
      <c r="L38" s="19"/>
      <c r="M38" s="19"/>
      <c r="P38" s="19"/>
      <c r="Q38" s="19"/>
      <c r="R38" s="40"/>
      <c r="S38" s="19"/>
      <c r="T38" s="19"/>
      <c r="U38" s="19"/>
      <c r="V38" s="40"/>
      <c r="W38" s="19"/>
      <c r="X38" s="19"/>
    </row>
    <row r="39" spans="1:26" ht="15" customHeight="1" x14ac:dyDescent="0.3">
      <c r="A39" s="10"/>
      <c r="B39" s="58" t="e">
        <f ca="1">_xll.ONESTOP.REPORTPLAYER.OSRFUNCTIONS.OSRGET("User","UserId")</f>
        <v>#NAME?</v>
      </c>
      <c r="D39" s="19"/>
      <c r="E39" s="19"/>
      <c r="G39" s="19"/>
      <c r="H39" s="19"/>
      <c r="I39" s="19"/>
      <c r="J39" s="40"/>
      <c r="K39" s="19"/>
      <c r="L39" s="19"/>
      <c r="M39" s="19"/>
      <c r="P39" s="19"/>
      <c r="Q39" s="19"/>
      <c r="R39" s="40"/>
      <c r="S39" s="19"/>
      <c r="T39" s="19"/>
      <c r="U39" s="19"/>
      <c r="V39" s="40"/>
      <c r="W39" s="19"/>
      <c r="X39" s="19"/>
    </row>
    <row r="40" spans="1:26" ht="15" customHeight="1" x14ac:dyDescent="0.3">
      <c r="A40" s="10"/>
      <c r="B40" s="50"/>
      <c r="D40" s="19"/>
      <c r="E40" s="19"/>
      <c r="G40" s="19"/>
      <c r="H40" s="19"/>
      <c r="I40" s="19"/>
      <c r="J40" s="40"/>
      <c r="K40" s="19"/>
      <c r="L40" s="19"/>
      <c r="M40" s="19"/>
      <c r="P40" s="19"/>
      <c r="Q40" s="19"/>
      <c r="R40" s="40"/>
      <c r="S40" s="19"/>
      <c r="T40" s="19"/>
      <c r="U40" s="19"/>
      <c r="V40" s="40"/>
      <c r="W40" s="19"/>
      <c r="X40" s="19"/>
    </row>
    <row r="41" spans="1:26" ht="15" customHeight="1" x14ac:dyDescent="0.3">
      <c r="D41" s="19"/>
      <c r="E41" s="19"/>
      <c r="G41" s="19"/>
      <c r="H41" s="19"/>
      <c r="I41" s="19"/>
      <c r="J41" s="40"/>
      <c r="K41" s="19"/>
      <c r="L41" s="19"/>
      <c r="M41" s="19"/>
      <c r="P41" s="19"/>
      <c r="Q41" s="19"/>
      <c r="R41" s="40"/>
      <c r="S41" s="19"/>
      <c r="T41" s="19"/>
      <c r="U41" s="19"/>
      <c r="V41" s="40"/>
      <c r="W41" s="19"/>
      <c r="X41" s="19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67114D-3334-EF93-D2D4-034D28A1D742}">
  <sheetPr>
    <tabColor rgb="FFFFC000"/>
    <outlinePr summaryBelow="0" summaryRight="0"/>
  </sheetPr>
  <dimension ref="A2:Z41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6" customWidth="1"/>
    <col min="2" max="2" width="33.44140625" style="66" customWidth="1"/>
    <col min="3" max="3" width="1.88671875" style="66" customWidth="1"/>
    <col min="4" max="4" width="15" style="66" customWidth="1"/>
    <col min="5" max="5" width="1.88671875" style="66" customWidth="1" outlineLevel="1"/>
    <col min="6" max="6" width="15" style="67" customWidth="1" outlineLevel="1"/>
    <col min="7" max="7" width="1.88671875" style="66" customWidth="1" outlineLevel="1"/>
    <col min="8" max="8" width="15" style="66" customWidth="1" outlineLevel="1"/>
    <col min="9" max="9" width="1.88671875" style="66" customWidth="1" outlineLevel="1"/>
    <col min="10" max="10" width="15" style="68" customWidth="1" outlineLevel="1"/>
    <col min="11" max="11" width="1.88671875" style="66" customWidth="1" outlineLevel="1"/>
    <col min="12" max="12" width="15" style="66" customWidth="1" outlineLevel="1"/>
    <col min="13" max="13" width="1.88671875" style="66" customWidth="1" outlineLevel="1"/>
    <col min="14" max="14" width="15" style="67" customWidth="1" outlineLevel="1"/>
    <col min="15" max="15" width="1.88671875" style="64" customWidth="1"/>
    <col min="16" max="16" width="15" style="66" customWidth="1"/>
    <col min="17" max="17" width="1.88671875" style="66" customWidth="1" outlineLevel="1"/>
    <col min="18" max="18" width="15" style="68" customWidth="1" outlineLevel="1"/>
    <col min="19" max="19" width="1.88671875" style="66" customWidth="1" outlineLevel="1"/>
    <col min="20" max="20" width="15" style="66" customWidth="1" outlineLevel="1"/>
    <col min="21" max="21" width="1.88671875" style="66" customWidth="1" outlineLevel="1"/>
    <col min="22" max="22" width="15" style="68" customWidth="1" outlineLevel="1"/>
    <col min="23" max="23" width="1.88671875" style="66" customWidth="1" outlineLevel="1"/>
    <col min="24" max="24" width="15" style="66" customWidth="1" outlineLevel="1"/>
    <col min="25" max="25" width="1.88671875" style="66" customWidth="1" outlineLevel="1"/>
    <col min="26" max="26" width="15" style="68" customWidth="1" outlineLevel="1"/>
  </cols>
  <sheetData>
    <row r="2" spans="1:26" ht="15" customHeight="1" x14ac:dyDescent="0.3">
      <c r="D2" s="54" t="s">
        <v>276</v>
      </c>
    </row>
    <row r="3" spans="1:26" ht="15" customHeight="1" x14ac:dyDescent="0.3">
      <c r="D3" s="54" t="s">
        <v>277</v>
      </c>
      <c r="E3" s="18"/>
      <c r="F3" s="44"/>
      <c r="G3" s="18"/>
      <c r="H3" s="18"/>
      <c r="I3" s="18"/>
      <c r="J3" s="38"/>
      <c r="K3" s="18"/>
      <c r="L3" s="18"/>
      <c r="M3" s="18"/>
      <c r="N3" s="44"/>
      <c r="O3" s="53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ht="15" customHeight="1" x14ac:dyDescent="0.3">
      <c r="D4" s="54" t="e">
        <f ca="1">CONCATENATE("Period ",RIGHT(_xll.ONESTOP.REPORTPLAYER.OSRFUNCTIONS.OSRGET("Period","PeriodId"),2),", ",_xll.ONESTOP.REPORTPLAYER.OSRFUNCTIONS.OSRGET("Period","Year"))</f>
        <v>#NAME?</v>
      </c>
      <c r="E4" s="18"/>
      <c r="F4" s="44"/>
      <c r="G4" s="18"/>
      <c r="H4" s="18"/>
      <c r="I4" s="18"/>
      <c r="J4" s="38"/>
      <c r="K4" s="18"/>
      <c r="L4" s="18"/>
      <c r="M4" s="18"/>
      <c r="N4" s="44"/>
      <c r="O4" s="53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ht="15" customHeight="1" x14ac:dyDescent="0.3">
      <c r="A5" s="24"/>
      <c r="D5" s="61" t="e">
        <f ca="1">_xll.ONESTOP.REPORTPLAYER.OSRFUNCTIONS.OSRGET("Period","PeriodEnd")</f>
        <v>#NAME?</v>
      </c>
      <c r="E5" s="18"/>
      <c r="F5" s="44"/>
      <c r="G5" s="18"/>
      <c r="H5" s="18"/>
      <c r="I5" s="18"/>
      <c r="J5" s="38"/>
      <c r="K5" s="18"/>
      <c r="L5" s="18"/>
      <c r="M5" s="18"/>
      <c r="N5" s="44"/>
      <c r="O5" s="53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ht="15" customHeight="1" x14ac:dyDescent="0.3">
      <c r="A6" s="24"/>
      <c r="B6" s="47"/>
      <c r="C6" s="47"/>
      <c r="D6" s="24" t="s">
        <v>310</v>
      </c>
      <c r="E6" s="18"/>
      <c r="F6" s="44"/>
      <c r="G6" s="18"/>
      <c r="H6" s="18"/>
      <c r="I6" s="18"/>
      <c r="J6" s="38"/>
      <c r="K6" s="18"/>
      <c r="L6" s="18"/>
      <c r="M6" s="18"/>
      <c r="N6" s="44"/>
      <c r="O6" s="59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ht="15" customHeight="1" x14ac:dyDescent="0.3">
      <c r="B7" s="52"/>
    </row>
    <row r="8" spans="1:26" ht="15" customHeight="1" x14ac:dyDescent="0.3">
      <c r="B8" s="52"/>
    </row>
    <row r="9" spans="1:26" ht="15" customHeight="1" x14ac:dyDescent="0.3">
      <c r="B9" s="10"/>
      <c r="C9" s="10"/>
      <c r="D9" s="17" t="s">
        <v>279</v>
      </c>
      <c r="E9" s="17"/>
      <c r="F9" s="36"/>
      <c r="G9" s="17"/>
      <c r="H9" s="17"/>
      <c r="I9" s="17"/>
      <c r="J9" s="43"/>
      <c r="K9" s="17"/>
      <c r="L9" s="17"/>
      <c r="M9" s="17"/>
      <c r="N9" s="36"/>
      <c r="P9" s="17" t="s">
        <v>280</v>
      </c>
      <c r="Q9" s="17"/>
      <c r="R9" s="36"/>
      <c r="S9" s="17"/>
      <c r="T9" s="17"/>
      <c r="U9" s="17"/>
      <c r="V9" s="43"/>
      <c r="W9" s="17"/>
      <c r="X9" s="17"/>
      <c r="Y9" s="17"/>
      <c r="Z9" s="36"/>
    </row>
    <row r="10" spans="1:26" ht="15" customHeight="1" x14ac:dyDescent="0.3">
      <c r="A10" s="11"/>
      <c r="B10" s="57"/>
      <c r="C10" s="11"/>
      <c r="D10" s="41" t="s">
        <v>281</v>
      </c>
      <c r="E10" s="33"/>
      <c r="F10" s="37" t="s">
        <v>282</v>
      </c>
      <c r="G10" s="33"/>
      <c r="H10" s="48" t="s">
        <v>283</v>
      </c>
      <c r="I10" s="33"/>
      <c r="J10" s="45" t="s">
        <v>284</v>
      </c>
      <c r="K10" s="11"/>
      <c r="L10" s="41" t="s">
        <v>285</v>
      </c>
      <c r="M10" s="11"/>
      <c r="N10" s="37" t="s">
        <v>286</v>
      </c>
      <c r="O10" s="11"/>
      <c r="P10" s="56" t="s">
        <v>281</v>
      </c>
      <c r="Q10" s="33"/>
      <c r="R10" s="37" t="s">
        <v>282</v>
      </c>
      <c r="S10" s="33"/>
      <c r="T10" s="48" t="s">
        <v>283</v>
      </c>
      <c r="U10" s="33"/>
      <c r="V10" s="45" t="s">
        <v>284</v>
      </c>
      <c r="W10" s="11"/>
      <c r="X10" s="41" t="s">
        <v>285</v>
      </c>
      <c r="Y10" s="11"/>
      <c r="Z10" s="37" t="s">
        <v>286</v>
      </c>
    </row>
    <row r="11" spans="1:26" ht="16.5" customHeight="1" x14ac:dyDescent="0.3">
      <c r="A11" s="10"/>
      <c r="B11" s="55"/>
      <c r="C11" s="10"/>
      <c r="D11" s="10"/>
      <c r="E11" s="10"/>
      <c r="F11" s="9"/>
      <c r="G11" s="10"/>
      <c r="H11" s="10"/>
      <c r="I11" s="10"/>
      <c r="J11" s="46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6"/>
      <c r="W11" s="10"/>
      <c r="X11" s="10"/>
      <c r="Y11" s="10"/>
      <c r="Z11" s="9"/>
    </row>
    <row r="12" spans="1:26" s="63" customFormat="1" ht="15" customHeight="1" collapsed="1" x14ac:dyDescent="0.3">
      <c r="A12" s="11"/>
      <c r="B12" s="28" t="s">
        <v>287</v>
      </c>
      <c r="C12" s="11"/>
      <c r="D12" s="5" t="e">
        <f ca="1">SUM(_xll.ONESTOP.REPORTPLAYER.OSRFUNCTIONS.OSRREF(D13))</f>
        <v>#NAME?</v>
      </c>
      <c r="E12" s="5"/>
      <c r="F12" s="13"/>
      <c r="G12" s="5"/>
      <c r="H12" s="5" t="e">
        <f ca="1">SUM(_xll.ONESTOP.REPORTPLAYER.OSRFUNCTIONS.OSRREF(H13))</f>
        <v>#NAME?</v>
      </c>
      <c r="I12" s="5"/>
      <c r="J12" s="13"/>
      <c r="K12" s="5"/>
      <c r="L12" s="5" t="e">
        <f ca="1">+D12-H12</f>
        <v>#NAME?</v>
      </c>
      <c r="M12" s="5"/>
      <c r="N12" s="13" t="e">
        <f ca="1">IF(H12=0,0,L12/H12)</f>
        <v>#NAME?</v>
      </c>
      <c r="O12" s="11"/>
      <c r="P12" s="5" t="e">
        <f ca="1">SUM(_xll.ONESTOP.REPORTPLAYER.OSRFUNCTIONS.OSRREF(P13))</f>
        <v>#NAME?</v>
      </c>
      <c r="Q12" s="5"/>
      <c r="R12" s="13"/>
      <c r="S12" s="5"/>
      <c r="T12" s="5" t="e">
        <f ca="1">SUM(_xll.ONESTOP.REPORTPLAYER.OSRFUNCTIONS.OSRREF(T13))</f>
        <v>#NAME?</v>
      </c>
      <c r="U12" s="5"/>
      <c r="V12" s="13"/>
      <c r="W12" s="5"/>
      <c r="X12" s="5" t="e">
        <f ca="1">+P12-T12</f>
        <v>#NAME?</v>
      </c>
      <c r="Y12" s="5"/>
      <c r="Z12" s="13" t="e">
        <f ca="1">IF(T12=0,0,X12/T12)</f>
        <v>#NAME?</v>
      </c>
    </row>
    <row r="13" spans="1:26" s="70" customFormat="1" ht="15" hidden="1" customHeight="1" outlineLevel="1" x14ac:dyDescent="0.3">
      <c r="A13" s="42"/>
      <c r="B13" s="12" t="e">
        <f ca="1">CONCATENATE("          ",_xll.ONESTOP.REPORTPLAYER.OSRFUNCTIONS.OSRGET("d_Account","Code")," - ",_xll.ONESTOP.REPORTPLAYER.OSRFUNCTIONS.OSRGET("d_Account","Description"))</f>
        <v>#NAME?</v>
      </c>
      <c r="C13" s="12"/>
      <c r="D13" s="3" t="e">
        <f ca="1">-_xll.ONESTOP.REPORTPLAYER.OSRFUNCTIONS.OSRGET("GL_F_Trans","Value1")</f>
        <v>#NAME?</v>
      </c>
      <c r="E13" s="3"/>
      <c r="F13" s="20"/>
      <c r="G13" s="3"/>
      <c r="H13" s="3" t="e">
        <f ca="1">_xll.ONESTOP.REPORTPLAYER.OSRFUNCTIONS.OSRGET("GL_F_Trans","Value1")</f>
        <v>#NAME?</v>
      </c>
      <c r="I13" s="3"/>
      <c r="J13" s="20"/>
      <c r="K13" s="3"/>
      <c r="L13" s="3" t="e">
        <f ca="1">+D13-H13</f>
        <v>#NAME?</v>
      </c>
      <c r="M13" s="3"/>
      <c r="N13" s="20" t="e">
        <f ca="1">IF(H13=0,0,L13/H13)</f>
        <v>#NAME?</v>
      </c>
      <c r="O13" s="12"/>
      <c r="P13" s="3" t="e">
        <f ca="1">-_xll.ONESTOP.REPORTPLAYER.OSRFUNCTIONS.OSRGET("GL_F_Trans","Value1")</f>
        <v>#NAME?</v>
      </c>
      <c r="Q13" s="3"/>
      <c r="R13" s="20"/>
      <c r="S13" s="3"/>
      <c r="T13" s="3" t="e">
        <f ca="1">_xll.ONESTOP.REPORTPLAYER.OSRFUNCTIONS.OSRGET("GL_F_Trans","Value1")</f>
        <v>#NAME?</v>
      </c>
      <c r="U13" s="3"/>
      <c r="V13" s="20"/>
      <c r="W13" s="3"/>
      <c r="X13" s="3" t="e">
        <f ca="1">+P13-T13</f>
        <v>#NAME?</v>
      </c>
      <c r="Y13" s="3"/>
      <c r="Z13" s="20" t="e">
        <f ca="1">IF(T13=0,0,X13/T13)</f>
        <v>#NAME?</v>
      </c>
    </row>
    <row r="14" spans="1:26" ht="15" customHeight="1" x14ac:dyDescent="0.3">
      <c r="A14" s="10"/>
      <c r="B14" s="11"/>
      <c r="C14" s="10"/>
      <c r="D14" s="4"/>
      <c r="E14" s="4"/>
      <c r="F14" s="9"/>
      <c r="G14" s="4"/>
      <c r="H14" s="4"/>
      <c r="I14" s="4"/>
      <c r="J14" s="9"/>
      <c r="K14" s="4"/>
      <c r="L14" s="4"/>
      <c r="M14" s="4"/>
      <c r="N14" s="9"/>
      <c r="P14" s="4"/>
      <c r="Q14" s="4"/>
      <c r="R14" s="9"/>
      <c r="S14" s="4"/>
      <c r="T14" s="4"/>
      <c r="U14" s="4"/>
      <c r="V14" s="9"/>
      <c r="W14" s="4"/>
      <c r="X14" s="4"/>
      <c r="Y14" s="4"/>
      <c r="Z14" s="9"/>
    </row>
    <row r="15" spans="1:26" s="63" customFormat="1" ht="15" customHeight="1" collapsed="1" x14ac:dyDescent="0.3">
      <c r="A15" s="11"/>
      <c r="B15" s="28" t="s">
        <v>288</v>
      </c>
      <c r="C15" s="11"/>
      <c r="D15" s="5" t="e">
        <f ca="1">SUM(_xll.ONESTOP.REPORTPLAYER.OSRFUNCTIONS.OSRREF(D16))</f>
        <v>#NAME?</v>
      </c>
      <c r="E15" s="5"/>
      <c r="F15" s="13" t="e">
        <f ca="1">IF(D$12=0,0,D15/D$12)</f>
        <v>#NAME?</v>
      </c>
      <c r="G15" s="5"/>
      <c r="H15" s="5" t="e">
        <f ca="1">SUM(_xll.ONESTOP.REPORTPLAYER.OSRFUNCTIONS.OSRREF(H16))</f>
        <v>#NAME?</v>
      </c>
      <c r="I15" s="5"/>
      <c r="J15" s="13" t="e">
        <f ca="1">IF(H$12=0,0,H15/H$12)</f>
        <v>#NAME?</v>
      </c>
      <c r="K15" s="5"/>
      <c r="L15" s="5" t="e">
        <f ca="1">+D15-H15</f>
        <v>#NAME?</v>
      </c>
      <c r="M15" s="5"/>
      <c r="N15" s="13" t="e">
        <f ca="1">IF(H15=0,0,L15/H15)</f>
        <v>#NAME?</v>
      </c>
      <c r="O15" s="11"/>
      <c r="P15" s="5" t="e">
        <f ca="1">SUM(_xll.ONESTOP.REPORTPLAYER.OSRFUNCTIONS.OSRREF(P16))</f>
        <v>#NAME?</v>
      </c>
      <c r="Q15" s="5"/>
      <c r="R15" s="13" t="e">
        <f ca="1">IF(P$12=0,0,P15/P$12)</f>
        <v>#NAME?</v>
      </c>
      <c r="S15" s="5"/>
      <c r="T15" s="5" t="e">
        <f ca="1">SUM(_xll.ONESTOP.REPORTPLAYER.OSRFUNCTIONS.OSRREF(T16))</f>
        <v>#NAME?</v>
      </c>
      <c r="U15" s="5"/>
      <c r="V15" s="13" t="e">
        <f ca="1">IF(T$12=0,0,T15/T$12)</f>
        <v>#NAME?</v>
      </c>
      <c r="W15" s="5"/>
      <c r="X15" s="5" t="e">
        <f ca="1">+P15-T15</f>
        <v>#NAME?</v>
      </c>
      <c r="Y15" s="5"/>
      <c r="Z15" s="13" t="e">
        <f ca="1">IF(T15=0,0,X15/T15)</f>
        <v>#NAME?</v>
      </c>
    </row>
    <row r="16" spans="1:26" s="70" customFormat="1" ht="15" hidden="1" customHeight="1" outlineLevel="1" x14ac:dyDescent="0.3">
      <c r="A16" s="42"/>
      <c r="B16" s="12" t="e">
        <f ca="1">CONCATENATE("          ",_xll.ONESTOP.REPORTPLAYER.OSRFUNCTIONS.OSRGET("d_Account","Code")," - ",_xll.ONESTOP.REPORTPLAYER.OSRFUNCTIONS.OSRGET("d_Account","Description"))</f>
        <v>#NAME?</v>
      </c>
      <c r="C16" s="12"/>
      <c r="D16" s="3" t="e">
        <f ca="1">_xll.ONESTOP.REPORTPLAYER.OSRFUNCTIONS.OSRGET("GL_F_Trans","Value1")</f>
        <v>#NAME?</v>
      </c>
      <c r="E16" s="3"/>
      <c r="F16" s="20" t="e">
        <f ca="1">IF(D$12=0,0,D16/D$12)</f>
        <v>#NAME?</v>
      </c>
      <c r="G16" s="3"/>
      <c r="H16" s="3" t="e">
        <f ca="1">_xll.ONESTOP.REPORTPLAYER.OSRFUNCTIONS.OSRGET("GL_F_Trans","Value1")</f>
        <v>#NAME?</v>
      </c>
      <c r="I16" s="3"/>
      <c r="J16" s="20" t="e">
        <f ca="1">IF(H$12=0,0,H16/H$12)</f>
        <v>#NAME?</v>
      </c>
      <c r="K16" s="3"/>
      <c r="L16" s="3" t="e">
        <f ca="1">+D16-H16</f>
        <v>#NAME?</v>
      </c>
      <c r="M16" s="3"/>
      <c r="N16" s="20" t="e">
        <f ca="1">IF(H16=0,0,L16/H16)</f>
        <v>#NAME?</v>
      </c>
      <c r="O16" s="12"/>
      <c r="P16" s="3" t="e">
        <f ca="1">_xll.ONESTOP.REPORTPLAYER.OSRFUNCTIONS.OSRGET("GL_F_Trans","Value1")</f>
        <v>#NAME?</v>
      </c>
      <c r="Q16" s="3"/>
      <c r="R16" s="20" t="e">
        <f ca="1">IF(P$12=0,0,P16/P$12)</f>
        <v>#NAME?</v>
      </c>
      <c r="S16" s="3"/>
      <c r="T16" s="3" t="e">
        <f ca="1">_xll.ONESTOP.REPORTPLAYER.OSRFUNCTIONS.OSRGET("GL_F_Trans","Value1")</f>
        <v>#NAME?</v>
      </c>
      <c r="U16" s="3"/>
      <c r="V16" s="20" t="e">
        <f ca="1">IF(T$12=0,0,T16/T$12)</f>
        <v>#NAME?</v>
      </c>
      <c r="W16" s="3"/>
      <c r="X16" s="3" t="e">
        <f ca="1">+P16-T16</f>
        <v>#NAME?</v>
      </c>
      <c r="Y16" s="3"/>
      <c r="Z16" s="20" t="e">
        <f ca="1">IF(T16=0,0,X16/T16)</f>
        <v>#NAME?</v>
      </c>
    </row>
    <row r="17" spans="1:26" ht="15" customHeight="1" x14ac:dyDescent="0.3">
      <c r="A17" s="10"/>
      <c r="B17" s="11"/>
      <c r="C17" s="11"/>
      <c r="D17" s="4"/>
      <c r="E17" s="4"/>
      <c r="F17" s="9"/>
      <c r="G17" s="4"/>
      <c r="H17" s="4"/>
      <c r="I17" s="4"/>
      <c r="J17" s="9"/>
      <c r="K17" s="4"/>
      <c r="L17" s="4"/>
      <c r="M17" s="4"/>
      <c r="N17" s="9"/>
      <c r="O17" s="11"/>
      <c r="P17" s="4"/>
      <c r="Q17" s="4"/>
      <c r="R17" s="9"/>
      <c r="S17" s="4"/>
      <c r="T17" s="4"/>
      <c r="U17" s="4"/>
      <c r="V17" s="9"/>
      <c r="W17" s="4"/>
      <c r="X17" s="4"/>
      <c r="Y17" s="4"/>
      <c r="Z17" s="9"/>
    </row>
    <row r="18" spans="1:26" s="63" customFormat="1" ht="15" customHeight="1" x14ac:dyDescent="0.3">
      <c r="A18" s="11"/>
      <c r="B18" s="27" t="s">
        <v>289</v>
      </c>
      <c r="C18" s="27"/>
      <c r="D18" s="21" t="e">
        <f ca="1">D12-D15</f>
        <v>#NAME?</v>
      </c>
      <c r="E18" s="15"/>
      <c r="F18" s="23" t="e">
        <f ca="1">IF(D$12=0,0,D18/D$12)</f>
        <v>#NAME?</v>
      </c>
      <c r="G18" s="15"/>
      <c r="H18" s="21" t="e">
        <f ca="1">H12-H15</f>
        <v>#NAME?</v>
      </c>
      <c r="I18" s="15"/>
      <c r="J18" s="23" t="e">
        <f ca="1">IF(H$12=0,0,H18/H$12)</f>
        <v>#NAME?</v>
      </c>
      <c r="K18" s="16"/>
      <c r="L18" s="21" t="e">
        <f ca="1">+D18-H18</f>
        <v>#NAME?</v>
      </c>
      <c r="M18" s="16"/>
      <c r="N18" s="23" t="e">
        <f ca="1">IF(H18=0,0,L18/H18)</f>
        <v>#NAME?</v>
      </c>
      <c r="O18" s="28"/>
      <c r="P18" s="21" t="e">
        <f ca="1">P12-P15</f>
        <v>#NAME?</v>
      </c>
      <c r="Q18" s="15"/>
      <c r="R18" s="23" t="e">
        <f ca="1">IF(P$12=0,0,P18/P$12)</f>
        <v>#NAME?</v>
      </c>
      <c r="S18" s="15"/>
      <c r="T18" s="21" t="e">
        <f ca="1">T12-T15</f>
        <v>#NAME?</v>
      </c>
      <c r="U18" s="15"/>
      <c r="V18" s="23" t="e">
        <f ca="1">IF(T$12=0,0,T18/T$12)</f>
        <v>#NAME?</v>
      </c>
      <c r="W18" s="16"/>
      <c r="X18" s="21" t="e">
        <f ca="1">+P18-T18</f>
        <v>#NAME?</v>
      </c>
      <c r="Y18" s="16"/>
      <c r="Z18" s="23" t="e">
        <f ca="1">IF(T18=0,0,X18/T18)</f>
        <v>#NAME?</v>
      </c>
    </row>
    <row r="19" spans="1:26" ht="15" customHeight="1" x14ac:dyDescent="0.3">
      <c r="A19" s="10"/>
      <c r="B19" s="11"/>
      <c r="C19" s="10"/>
      <c r="D19" s="2"/>
      <c r="E19" s="2"/>
      <c r="F19" s="6"/>
      <c r="G19" s="2"/>
      <c r="H19" s="2"/>
      <c r="I19" s="2"/>
      <c r="J19" s="6"/>
      <c r="K19" s="2"/>
      <c r="L19" s="2"/>
      <c r="M19" s="2"/>
      <c r="N19" s="6"/>
      <c r="O19" s="35"/>
      <c r="P19" s="2"/>
      <c r="Q19" s="2"/>
      <c r="R19" s="6"/>
      <c r="S19" s="2"/>
      <c r="T19" s="2"/>
      <c r="U19" s="2"/>
      <c r="V19" s="6"/>
      <c r="W19" s="2"/>
      <c r="X19" s="2"/>
      <c r="Y19" s="2"/>
      <c r="Z19" s="6"/>
    </row>
    <row r="20" spans="1:26" s="63" customFormat="1" ht="15" customHeight="1" x14ac:dyDescent="0.3">
      <c r="A20" s="11"/>
      <c r="B20" s="28" t="s">
        <v>290</v>
      </c>
      <c r="C20" s="11"/>
      <c r="D20" s="22" t="e">
        <f ca="1">SUM(_xll.ONESTOP.REPORTPLAYER.OSRFUNCTIONS.OSRREF(D22))</f>
        <v>#NAME?</v>
      </c>
      <c r="E20" s="22"/>
      <c r="F20" s="30" t="e">
        <f ca="1">IF(D$12=0,0,D20/D$12)</f>
        <v>#NAME?</v>
      </c>
      <c r="G20" s="22"/>
      <c r="H20" s="22" t="e">
        <f ca="1">SUM(_xll.ONESTOP.REPORTPLAYER.OSRFUNCTIONS.OSRREF(H22))</f>
        <v>#NAME?</v>
      </c>
      <c r="I20" s="22"/>
      <c r="J20" s="30" t="e">
        <f ca="1">IF(H$12=0,0,H20/H$12)</f>
        <v>#NAME?</v>
      </c>
      <c r="K20" s="5"/>
      <c r="L20" s="22" t="e">
        <f ca="1">+D20-H20</f>
        <v>#NAME?</v>
      </c>
      <c r="M20" s="5"/>
      <c r="N20" s="30" t="e">
        <f ca="1">IF(H20=0,0,L20/H20)</f>
        <v>#NAME?</v>
      </c>
      <c r="O20" s="11"/>
      <c r="P20" s="22" t="e">
        <f ca="1">SUM(_xll.ONESTOP.REPORTPLAYER.OSRFUNCTIONS.OSRREF(P22))</f>
        <v>#NAME?</v>
      </c>
      <c r="Q20" s="22"/>
      <c r="R20" s="30" t="e">
        <f ca="1">IF(P$12=0,0,P20/P$12)</f>
        <v>#NAME?</v>
      </c>
      <c r="S20" s="22"/>
      <c r="T20" s="22" t="e">
        <f ca="1">SUM(_xll.ONESTOP.REPORTPLAYER.OSRFUNCTIONS.OSRREF(T22))</f>
        <v>#NAME?</v>
      </c>
      <c r="U20" s="22"/>
      <c r="V20" s="30" t="e">
        <f ca="1">IF(T$12=0,0,T20/T$12)</f>
        <v>#NAME?</v>
      </c>
      <c r="W20" s="5"/>
      <c r="X20" s="22" t="e">
        <f ca="1">+P20-T20</f>
        <v>#NAME?</v>
      </c>
      <c r="Y20" s="5"/>
      <c r="Z20" s="30" t="e">
        <f ca="1">IF(T20=0,0,X20/T20)</f>
        <v>#NAME?</v>
      </c>
    </row>
    <row r="21" spans="1:26" s="69" customFormat="1" ht="15" customHeight="1" outlineLevel="1" collapsed="1" x14ac:dyDescent="0.3">
      <c r="A21" s="25"/>
      <c r="B21" s="14" t="e">
        <f ca="1">CONCATENATE("     ",_xll.ONESTOP.REPORTPLAYER.OSRFUNCTIONS.OSRGET("d_Account","AccountCategory"))</f>
        <v>#NAME?</v>
      </c>
      <c r="C21" s="14"/>
      <c r="D21" s="2" t="e">
        <f ca="1">SUM(_xll.ONESTOP.REPORTPLAYER.OSRFUNCTIONS.OSRREF(D22))</f>
        <v>#NAME?</v>
      </c>
      <c r="E21" s="2"/>
      <c r="F21" s="6" t="e">
        <f ca="1">IF(D$12=0,0,D21/D$12)</f>
        <v>#NAME?</v>
      </c>
      <c r="G21" s="2"/>
      <c r="H21" s="2" t="e">
        <f ca="1">SUM(_xll.ONESTOP.REPORTPLAYER.OSRFUNCTIONS.OSRREF(H22))</f>
        <v>#NAME?</v>
      </c>
      <c r="I21" s="2"/>
      <c r="J21" s="6" t="e">
        <f ca="1">IF(H$12=0,0,H21/H$12)</f>
        <v>#NAME?</v>
      </c>
      <c r="K21" s="2"/>
      <c r="L21" s="2" t="e">
        <f ca="1">+D21-H21</f>
        <v>#NAME?</v>
      </c>
      <c r="M21" s="2"/>
      <c r="N21" s="6" t="e">
        <f ca="1">IF(H21=0,0,L21/H21)</f>
        <v>#NAME?</v>
      </c>
      <c r="O21" s="14"/>
      <c r="P21" s="2" t="e">
        <f ca="1">SUM(_xll.ONESTOP.REPORTPLAYER.OSRFUNCTIONS.OSRREF(P22))</f>
        <v>#NAME?</v>
      </c>
      <c r="Q21" s="2"/>
      <c r="R21" s="6" t="e">
        <f ca="1">IF(P$12=0,0,P21/P$12)</f>
        <v>#NAME?</v>
      </c>
      <c r="S21" s="2"/>
      <c r="T21" s="2" t="e">
        <f ca="1">SUM(_xll.ONESTOP.REPORTPLAYER.OSRFUNCTIONS.OSRREF(T22))</f>
        <v>#NAME?</v>
      </c>
      <c r="U21" s="2"/>
      <c r="V21" s="6" t="e">
        <f ca="1">IF(T$12=0,0,T21/T$12)</f>
        <v>#NAME?</v>
      </c>
      <c r="W21" s="2"/>
      <c r="X21" s="2" t="e">
        <f ca="1">+P21-T21</f>
        <v>#NAME?</v>
      </c>
      <c r="Y21" s="2"/>
      <c r="Z21" s="6" t="e">
        <f ca="1">IF(T21=0,0,X21/T21)</f>
        <v>#NAME?</v>
      </c>
    </row>
    <row r="22" spans="1:26" s="70" customFormat="1" ht="15" hidden="1" customHeight="1" outlineLevel="2" x14ac:dyDescent="0.3">
      <c r="A22" s="26"/>
      <c r="B22" s="12" t="e">
        <f ca="1">CONCATENATE("          ",_xll.ONESTOP.REPORTPLAYER.OSRFUNCTIONS.OSRGET("d_Account","Code")," - ",_xll.ONESTOP.REPORTPLAYER.OSRFUNCTIONS.OSRGET("d_Account","Description"))</f>
        <v>#NAME?</v>
      </c>
      <c r="C22" s="12"/>
      <c r="D22" s="7" t="e">
        <f ca="1">_xll.ONESTOP.REPORTPLAYER.OSRFUNCTIONS.OSRGET("GL_F_Trans","Value1")</f>
        <v>#NAME?</v>
      </c>
      <c r="E22" s="3"/>
      <c r="F22" s="8" t="e">
        <f ca="1">IF(D$12=0,0,D22/D$12)</f>
        <v>#NAME?</v>
      </c>
      <c r="G22" s="3"/>
      <c r="H22" s="7" t="e">
        <f ca="1">_xll.ONESTOP.REPORTPLAYER.OSRFUNCTIONS.OSRGET("GL_F_Trans","Value1")</f>
        <v>#NAME?</v>
      </c>
      <c r="I22" s="3"/>
      <c r="J22" s="8" t="e">
        <f ca="1">IF(H$12=0,0,H22/H$12)</f>
        <v>#NAME?</v>
      </c>
      <c r="K22" s="3"/>
      <c r="L22" s="7" t="e">
        <f ca="1">+D22-H22</f>
        <v>#NAME?</v>
      </c>
      <c r="M22" s="3"/>
      <c r="N22" s="8" t="e">
        <f ca="1">IF(H22=0,0,L22/H22)</f>
        <v>#NAME?</v>
      </c>
      <c r="O22" s="12"/>
      <c r="P22" s="7" t="e">
        <f ca="1">_xll.ONESTOP.REPORTPLAYER.OSRFUNCTIONS.OSRGET("GL_F_Trans","Value1")</f>
        <v>#NAME?</v>
      </c>
      <c r="Q22" s="3"/>
      <c r="R22" s="8" t="e">
        <f ca="1">IF(P$12=0,0,P22/P$12)</f>
        <v>#NAME?</v>
      </c>
      <c r="S22" s="3"/>
      <c r="T22" s="7" t="e">
        <f ca="1">_xll.ONESTOP.REPORTPLAYER.OSRFUNCTIONS.OSRGET("GL_F_Trans","Value1")</f>
        <v>#NAME?</v>
      </c>
      <c r="U22" s="3"/>
      <c r="V22" s="8" t="e">
        <f ca="1">IF(T$12=0,0,T22/T$12)</f>
        <v>#NAME?</v>
      </c>
      <c r="W22" s="3"/>
      <c r="X22" s="7" t="e">
        <f ca="1">+P22-T22</f>
        <v>#NAME?</v>
      </c>
      <c r="Y22" s="3"/>
      <c r="Z22" s="8" t="e">
        <f ca="1">IF(T22=0,0,X22/T22)</f>
        <v>#NAME?</v>
      </c>
    </row>
    <row r="23" spans="1:26" s="65" customFormat="1" ht="15" customHeight="1" x14ac:dyDescent="0.3">
      <c r="A23" s="35"/>
      <c r="B23" s="35"/>
      <c r="C23" s="35"/>
      <c r="D23" s="2"/>
      <c r="E23" s="2"/>
      <c r="F23" s="6"/>
      <c r="G23" s="2"/>
      <c r="H23" s="2"/>
      <c r="I23" s="2"/>
      <c r="J23" s="6"/>
      <c r="K23" s="2"/>
      <c r="L23" s="2"/>
      <c r="M23" s="2"/>
      <c r="N23" s="6"/>
      <c r="O23" s="35"/>
      <c r="P23" s="2"/>
      <c r="Q23" s="2"/>
      <c r="R23" s="6"/>
      <c r="S23" s="2"/>
      <c r="T23" s="2"/>
      <c r="U23" s="2"/>
      <c r="V23" s="6"/>
      <c r="W23" s="2"/>
      <c r="X23" s="2"/>
      <c r="Y23" s="2"/>
      <c r="Z23" s="6"/>
    </row>
    <row r="24" spans="1:26" s="63" customFormat="1" ht="15" customHeight="1" collapsed="1" x14ac:dyDescent="0.3">
      <c r="A24" s="11"/>
      <c r="B24" s="28" t="s">
        <v>291</v>
      </c>
      <c r="C24" s="11"/>
      <c r="D24" s="5" t="e">
        <f ca="1">SUM(_xll.ONESTOP.REPORTPLAYER.OSRFUNCTIONS.OSRREF(D25))</f>
        <v>#NAME?</v>
      </c>
      <c r="E24" s="5"/>
      <c r="F24" s="13" t="e">
        <f ca="1">IF(D$12=0,0,D24/D$12)</f>
        <v>#NAME?</v>
      </c>
      <c r="G24" s="5"/>
      <c r="H24" s="5" t="e">
        <f ca="1">SUM(_xll.ONESTOP.REPORTPLAYER.OSRFUNCTIONS.OSRREF(H25))</f>
        <v>#NAME?</v>
      </c>
      <c r="I24" s="5"/>
      <c r="J24" s="13" t="e">
        <f ca="1">IF(H$12=0,0,H24/H$12)</f>
        <v>#NAME?</v>
      </c>
      <c r="K24" s="5"/>
      <c r="L24" s="5" t="e">
        <f ca="1">+D24-H24</f>
        <v>#NAME?</v>
      </c>
      <c r="M24" s="5"/>
      <c r="N24" s="13" t="e">
        <f ca="1">IF(H24=0,0,L24/H24)</f>
        <v>#NAME?</v>
      </c>
      <c r="O24" s="11"/>
      <c r="P24" s="5" t="e">
        <f ca="1">SUM(_xll.ONESTOP.REPORTPLAYER.OSRFUNCTIONS.OSRREF(P25))</f>
        <v>#NAME?</v>
      </c>
      <c r="Q24" s="5"/>
      <c r="R24" s="13" t="e">
        <f ca="1">IF(P$12=0,0,P24/P$12)</f>
        <v>#NAME?</v>
      </c>
      <c r="S24" s="5"/>
      <c r="T24" s="5" t="e">
        <f ca="1">SUM(_xll.ONESTOP.REPORTPLAYER.OSRFUNCTIONS.OSRREF(T25))</f>
        <v>#NAME?</v>
      </c>
      <c r="U24" s="5"/>
      <c r="V24" s="13" t="e">
        <f ca="1">IF(T$12=0,0,T24/T$12)</f>
        <v>#NAME?</v>
      </c>
      <c r="W24" s="5"/>
      <c r="X24" s="5" t="e">
        <f ca="1">+P24-T24</f>
        <v>#NAME?</v>
      </c>
      <c r="Y24" s="5"/>
      <c r="Z24" s="13" t="e">
        <f ca="1">IF(T24=0,0,X24/T24)</f>
        <v>#NAME?</v>
      </c>
    </row>
    <row r="25" spans="1:26" s="70" customFormat="1" ht="15" hidden="1" customHeight="1" outlineLevel="1" x14ac:dyDescent="0.3">
      <c r="A25" s="42"/>
      <c r="B25" s="12" t="e">
        <f ca="1">CONCATENATE("          ",_xll.ONESTOP.REPORTPLAYER.OSRFUNCTIONS.OSRGET("d_Account","Code")," - ",_xll.ONESTOP.REPORTPLAYER.OSRFUNCTIONS.OSRGET("d_Account","Description"))</f>
        <v>#NAME?</v>
      </c>
      <c r="C25" s="12"/>
      <c r="D25" s="3" t="e">
        <f ca="1">-_xll.ONESTOP.REPORTPLAYER.OSRFUNCTIONS.OSRGET("GL_F_Trans","Value1")</f>
        <v>#NAME?</v>
      </c>
      <c r="E25" s="3"/>
      <c r="F25" s="20" t="e">
        <f ca="1">IF(D$12=0,0,D25/D$12)</f>
        <v>#NAME?</v>
      </c>
      <c r="G25" s="3"/>
      <c r="H25" s="3" t="e">
        <f ca="1">_xll.ONESTOP.REPORTPLAYER.OSRFUNCTIONS.OSRGET("GL_F_Trans","Value1")</f>
        <v>#NAME?</v>
      </c>
      <c r="I25" s="3"/>
      <c r="J25" s="20" t="e">
        <f ca="1">IF(H$12=0,0,H25/H$12)</f>
        <v>#NAME?</v>
      </c>
      <c r="K25" s="3"/>
      <c r="L25" s="3" t="e">
        <f ca="1">+D25-H25</f>
        <v>#NAME?</v>
      </c>
      <c r="M25" s="3"/>
      <c r="N25" s="20" t="e">
        <f ca="1">IF(H25=0,0,L25/H25)</f>
        <v>#NAME?</v>
      </c>
      <c r="O25" s="12"/>
      <c r="P25" s="3" t="e">
        <f ca="1">-_xll.ONESTOP.REPORTPLAYER.OSRFUNCTIONS.OSRGET("GL_F_Trans","Value1")</f>
        <v>#NAME?</v>
      </c>
      <c r="Q25" s="3"/>
      <c r="R25" s="20" t="e">
        <f ca="1">IF(P$12=0,0,P25/P$12)</f>
        <v>#NAME?</v>
      </c>
      <c r="S25" s="3"/>
      <c r="T25" s="3" t="e">
        <f ca="1">_xll.ONESTOP.REPORTPLAYER.OSRFUNCTIONS.OSRGET("GL_F_Trans","Value1")</f>
        <v>#NAME?</v>
      </c>
      <c r="U25" s="3"/>
      <c r="V25" s="20" t="e">
        <f ca="1">IF(T$12=0,0,T25/T$12)</f>
        <v>#NAME?</v>
      </c>
      <c r="W25" s="3"/>
      <c r="X25" s="3" t="e">
        <f ca="1">+P25-T25</f>
        <v>#NAME?</v>
      </c>
      <c r="Y25" s="3"/>
      <c r="Z25" s="20" t="e">
        <f ca="1">IF(T25=0,0,X25/T25)</f>
        <v>#NAME?</v>
      </c>
    </row>
    <row r="26" spans="1:26" ht="15" customHeight="1" x14ac:dyDescent="0.3">
      <c r="A26" s="10"/>
      <c r="B26" s="11"/>
      <c r="C26" s="11"/>
      <c r="D26" s="4"/>
      <c r="E26" s="4"/>
      <c r="F26" s="9"/>
      <c r="G26" s="4"/>
      <c r="H26" s="4"/>
      <c r="I26" s="4"/>
      <c r="J26" s="9"/>
      <c r="K26" s="4"/>
      <c r="L26" s="4"/>
      <c r="M26" s="4"/>
      <c r="N26" s="9"/>
      <c r="O26" s="11"/>
      <c r="P26" s="4"/>
      <c r="Q26" s="4"/>
      <c r="R26" s="9"/>
      <c r="S26" s="4"/>
      <c r="T26" s="4"/>
      <c r="U26" s="4"/>
      <c r="V26" s="9"/>
      <c r="W26" s="4"/>
      <c r="X26" s="4"/>
      <c r="Y26" s="4"/>
      <c r="Z26" s="9"/>
    </row>
    <row r="27" spans="1:26" s="63" customFormat="1" ht="15" customHeight="1" x14ac:dyDescent="0.3">
      <c r="A27" s="11"/>
      <c r="B27" s="27" t="s">
        <v>292</v>
      </c>
      <c r="C27" s="27"/>
      <c r="D27" s="21" t="e">
        <f ca="1">+D18-D20+D24</f>
        <v>#NAME?</v>
      </c>
      <c r="E27" s="15"/>
      <c r="F27" s="23" t="e">
        <f ca="1">IF(D$12=0,0,D27/D$12)</f>
        <v>#NAME?</v>
      </c>
      <c r="G27" s="15"/>
      <c r="H27" s="21" t="e">
        <f ca="1">+H18-H20+H24</f>
        <v>#NAME?</v>
      </c>
      <c r="I27" s="15"/>
      <c r="J27" s="23" t="e">
        <f ca="1">IF(H$12=0,0,H27/H$12)</f>
        <v>#NAME?</v>
      </c>
      <c r="K27" s="16"/>
      <c r="L27" s="21" t="e">
        <f ca="1">+D27-H27</f>
        <v>#NAME?</v>
      </c>
      <c r="M27" s="16"/>
      <c r="N27" s="23" t="e">
        <f ca="1">IF(H27=0,0,L27/H27)</f>
        <v>#NAME?</v>
      </c>
      <c r="O27" s="28"/>
      <c r="P27" s="21" t="e">
        <f ca="1">+P18-P20+P24</f>
        <v>#NAME?</v>
      </c>
      <c r="Q27" s="15"/>
      <c r="R27" s="23" t="e">
        <f ca="1">IF(P$12=0,0,P27/P$12)</f>
        <v>#NAME?</v>
      </c>
      <c r="S27" s="15"/>
      <c r="T27" s="21" t="e">
        <f ca="1">+T18-T20+T24</f>
        <v>#NAME?</v>
      </c>
      <c r="U27" s="15"/>
      <c r="V27" s="23" t="e">
        <f ca="1">IF(T$12=0,0,T27/T$12)</f>
        <v>#NAME?</v>
      </c>
      <c r="W27" s="16"/>
      <c r="X27" s="21" t="e">
        <f ca="1">+P27-T27</f>
        <v>#NAME?</v>
      </c>
      <c r="Y27" s="16"/>
      <c r="Z27" s="23" t="e">
        <f ca="1">IF(T27=0,0,X27/T27)</f>
        <v>#NAME?</v>
      </c>
    </row>
    <row r="28" spans="1:26" ht="15" customHeight="1" x14ac:dyDescent="0.3">
      <c r="A28" s="10"/>
      <c r="B28" s="11"/>
      <c r="C28" s="10"/>
      <c r="D28" s="4"/>
      <c r="E28" s="4"/>
      <c r="F28" s="9"/>
      <c r="G28" s="4"/>
      <c r="H28" s="4"/>
      <c r="I28" s="4"/>
      <c r="J28" s="9"/>
      <c r="K28" s="4"/>
      <c r="L28" s="4"/>
      <c r="M28" s="4"/>
      <c r="N28" s="9"/>
      <c r="P28" s="4"/>
      <c r="Q28" s="4"/>
      <c r="R28" s="9"/>
      <c r="S28" s="4"/>
      <c r="T28" s="4"/>
      <c r="U28" s="4"/>
      <c r="V28" s="9"/>
      <c r="W28" s="4"/>
      <c r="X28" s="4"/>
      <c r="Y28" s="4"/>
      <c r="Z28" s="9"/>
    </row>
    <row r="29" spans="1:26" s="63" customFormat="1" ht="15" customHeight="1" x14ac:dyDescent="0.3">
      <c r="A29" s="49"/>
      <c r="B29" s="11" t="s">
        <v>293</v>
      </c>
      <c r="C29" s="11"/>
      <c r="D29" s="5" t="e">
        <f ca="1">_xll.ONESTOP.REPORTPLAYER.OSRFUNCTIONS.OSRGET("GL_F_Trans","Value1")</f>
        <v>#NAME?</v>
      </c>
      <c r="E29" s="5"/>
      <c r="F29" s="13" t="e">
        <f ca="1">IF(D$12=0,0,D29/D$12)</f>
        <v>#NAME?</v>
      </c>
      <c r="G29" s="5"/>
      <c r="H29" s="5" t="e">
        <f ca="1">_xll.ONESTOP.REPORTPLAYER.OSRFUNCTIONS.OSRGET("GL_F_Trans","Value1")</f>
        <v>#NAME?</v>
      </c>
      <c r="I29" s="5"/>
      <c r="J29" s="13" t="e">
        <f ca="1">IF(H$12=0,0,H29/H$12)</f>
        <v>#NAME?</v>
      </c>
      <c r="K29" s="5"/>
      <c r="L29" s="5" t="e">
        <f ca="1">+D29-H29</f>
        <v>#NAME?</v>
      </c>
      <c r="M29" s="5"/>
      <c r="N29" s="13" t="e">
        <f ca="1">IF(H29=0,0,L29/H29)</f>
        <v>#NAME?</v>
      </c>
      <c r="O29" s="11"/>
      <c r="P29" s="5" t="e">
        <f ca="1">_xll.ONESTOP.REPORTPLAYER.OSRFUNCTIONS.OSRGET("GL_F_Trans","Value1")</f>
        <v>#NAME?</v>
      </c>
      <c r="Q29" s="5"/>
      <c r="R29" s="13" t="e">
        <f ca="1">IF(P$12=0,0,P29/P$12)</f>
        <v>#NAME?</v>
      </c>
      <c r="S29" s="5"/>
      <c r="T29" s="5" t="e">
        <f ca="1">_xll.ONESTOP.REPORTPLAYER.OSRFUNCTIONS.OSRGET("GL_F_Trans","Value1")</f>
        <v>#NAME?</v>
      </c>
      <c r="U29" s="5"/>
      <c r="V29" s="13" t="e">
        <f ca="1">IF(T$12=0,0,T29/T$12)</f>
        <v>#NAME?</v>
      </c>
      <c r="W29" s="5"/>
      <c r="X29" s="5" t="e">
        <f ca="1">+P29-T29</f>
        <v>#NAME?</v>
      </c>
      <c r="Y29" s="5"/>
      <c r="Z29" s="13" t="e">
        <f ca="1">IF(T29=0,0,X29/T29)</f>
        <v>#NAME?</v>
      </c>
    </row>
    <row r="30" spans="1:26" ht="15" customHeight="1" x14ac:dyDescent="0.3">
      <c r="A30" s="10"/>
      <c r="B30" s="11"/>
      <c r="C30" s="11"/>
      <c r="D30" s="4"/>
      <c r="E30" s="4"/>
      <c r="F30" s="9"/>
      <c r="G30" s="4"/>
      <c r="H30" s="4"/>
      <c r="I30" s="4"/>
      <c r="J30" s="9"/>
      <c r="K30" s="4"/>
      <c r="L30" s="4"/>
      <c r="M30" s="4"/>
      <c r="N30" s="9"/>
      <c r="O30" s="11"/>
      <c r="P30" s="4"/>
      <c r="Q30" s="4"/>
      <c r="R30" s="9"/>
      <c r="S30" s="4"/>
      <c r="T30" s="4"/>
      <c r="U30" s="4"/>
      <c r="V30" s="9"/>
      <c r="W30" s="4"/>
      <c r="X30" s="4"/>
      <c r="Y30" s="4"/>
      <c r="Z30" s="9"/>
    </row>
    <row r="31" spans="1:26" s="63" customFormat="1" ht="15" customHeight="1" x14ac:dyDescent="0.3">
      <c r="A31" s="11"/>
      <c r="B31" s="27" t="s">
        <v>294</v>
      </c>
      <c r="C31" s="27"/>
      <c r="D31" s="34" t="e">
        <f ca="1">+D27-D29</f>
        <v>#NAME?</v>
      </c>
      <c r="E31" s="15"/>
      <c r="F31" s="29" t="e">
        <f ca="1">IF(D$12=0,0,D31/D$12)</f>
        <v>#NAME?</v>
      </c>
      <c r="G31" s="15"/>
      <c r="H31" s="34" t="e">
        <f ca="1">+H27-H29</f>
        <v>#NAME?</v>
      </c>
      <c r="I31" s="15"/>
      <c r="J31" s="29" t="e">
        <f ca="1">IF(H$12=0,0,H31/H$12)</f>
        <v>#NAME?</v>
      </c>
      <c r="K31" s="16"/>
      <c r="L31" s="34" t="e">
        <f ca="1">D31-H31</f>
        <v>#NAME?</v>
      </c>
      <c r="M31" s="16"/>
      <c r="N31" s="29" t="e">
        <f ca="1">IF(H31=0,0,L31/H31)</f>
        <v>#NAME?</v>
      </c>
      <c r="O31" s="28"/>
      <c r="P31" s="34" t="e">
        <f ca="1">+P27-P29</f>
        <v>#NAME?</v>
      </c>
      <c r="Q31" s="15"/>
      <c r="R31" s="29" t="e">
        <f ca="1">IF(P$12=0,0,P31/P$12)</f>
        <v>#NAME?</v>
      </c>
      <c r="S31" s="15"/>
      <c r="T31" s="34" t="e">
        <f ca="1">+T27-T29</f>
        <v>#NAME?</v>
      </c>
      <c r="U31" s="15"/>
      <c r="V31" s="29" t="e">
        <f ca="1">IF(T$12=0,0,T31/T$12)</f>
        <v>#NAME?</v>
      </c>
      <c r="W31" s="16"/>
      <c r="X31" s="34" t="e">
        <f ca="1">P31-T31</f>
        <v>#NAME?</v>
      </c>
      <c r="Y31" s="16"/>
      <c r="Z31" s="29" t="e">
        <f ca="1">IF(T31=0,0,X31/T31)</f>
        <v>#NAME?</v>
      </c>
    </row>
    <row r="32" spans="1:26" ht="15" customHeight="1" x14ac:dyDescent="0.3">
      <c r="A32" s="10"/>
      <c r="B32" s="10"/>
      <c r="C32" s="10"/>
      <c r="D32" s="4"/>
      <c r="E32" s="4"/>
      <c r="F32" s="9"/>
      <c r="G32" s="4"/>
      <c r="H32" s="4"/>
      <c r="I32" s="4"/>
      <c r="J32" s="9"/>
      <c r="K32" s="4"/>
      <c r="L32" s="4"/>
      <c r="M32" s="4"/>
      <c r="N32" s="9"/>
      <c r="P32" s="4"/>
      <c r="Q32" s="4"/>
      <c r="R32" s="9"/>
      <c r="S32" s="4"/>
      <c r="T32" s="4"/>
      <c r="U32" s="4"/>
      <c r="V32" s="9"/>
      <c r="W32" s="4"/>
      <c r="X32" s="4"/>
      <c r="Y32" s="4"/>
      <c r="Z32" s="9"/>
    </row>
    <row r="33" spans="1:26" s="63" customFormat="1" ht="15" customHeight="1" x14ac:dyDescent="0.3">
      <c r="A33" s="49"/>
      <c r="B33" s="11" t="s">
        <v>295</v>
      </c>
      <c r="C33" s="11"/>
      <c r="D33" s="5" t="e">
        <f ca="1">-_xll.ONESTOP.REPORTPLAYER.OSRFUNCTIONS.OSRGET("GL_F_Trans","Value1")</f>
        <v>#NAME?</v>
      </c>
      <c r="E33" s="5"/>
      <c r="F33" s="13" t="e">
        <f ca="1">IF(D$12=0,0,D33/D$12)</f>
        <v>#NAME?</v>
      </c>
      <c r="G33" s="5"/>
      <c r="H33" s="5" t="e">
        <f ca="1">-_xll.ONESTOP.REPORTPLAYER.OSRFUNCTIONS.OSRGET("GL_F_Trans","Value1")</f>
        <v>#NAME?</v>
      </c>
      <c r="I33" s="5"/>
      <c r="J33" s="13" t="e">
        <f ca="1">IF(H$12=0,0,H33/H$12)</f>
        <v>#NAME?</v>
      </c>
      <c r="K33" s="5"/>
      <c r="L33" s="5" t="e">
        <f ca="1">+D33-H33</f>
        <v>#NAME?</v>
      </c>
      <c r="M33" s="5"/>
      <c r="N33" s="13" t="e">
        <f ca="1">IF(H33=0,0,L33/H33)</f>
        <v>#NAME?</v>
      </c>
      <c r="O33" s="11"/>
      <c r="P33" s="5" t="e">
        <f ca="1">-_xll.ONESTOP.REPORTPLAYER.OSRFUNCTIONS.OSRGET("GL_F_Trans","Value1")</f>
        <v>#NAME?</v>
      </c>
      <c r="Q33" s="5"/>
      <c r="R33" s="13" t="e">
        <f ca="1">IF(P$12=0,0,P33/P$12)</f>
        <v>#NAME?</v>
      </c>
      <c r="S33" s="5"/>
      <c r="T33" s="5" t="e">
        <f ca="1">-_xll.ONESTOP.REPORTPLAYER.OSRFUNCTIONS.OSRGET("GL_F_Trans","Value1")</f>
        <v>#NAME?</v>
      </c>
      <c r="U33" s="5"/>
      <c r="V33" s="13" t="e">
        <f ca="1">IF(T$12=0,0,T33/T$12)</f>
        <v>#NAME?</v>
      </c>
      <c r="W33" s="5"/>
      <c r="X33" s="5" t="e">
        <f ca="1">+P33-T33</f>
        <v>#NAME?</v>
      </c>
      <c r="Y33" s="5"/>
      <c r="Z33" s="13" t="e">
        <f ca="1">IF(T33=0,0,X33/T33)</f>
        <v>#NAME?</v>
      </c>
    </row>
    <row r="34" spans="1:26" s="63" customFormat="1" ht="15" customHeight="1" x14ac:dyDescent="0.3">
      <c r="A34" s="49"/>
      <c r="B34" s="11" t="s">
        <v>296</v>
      </c>
      <c r="C34" s="11"/>
      <c r="D34" s="5" t="e">
        <f ca="1">-_xll.ONESTOP.REPORTPLAYER.OSRFUNCTIONS.OSRGET("GL_F_Trans","Value1")</f>
        <v>#NAME?</v>
      </c>
      <c r="E34" s="5"/>
      <c r="F34" s="13" t="e">
        <f ca="1">IF(D$12=0,0,D34/D$12)</f>
        <v>#NAME?</v>
      </c>
      <c r="G34" s="5"/>
      <c r="H34" s="5" t="e">
        <f ca="1">-_xll.ONESTOP.REPORTPLAYER.OSRFUNCTIONS.OSRGET("GL_F_Trans","Value1")</f>
        <v>#NAME?</v>
      </c>
      <c r="I34" s="5"/>
      <c r="J34" s="13" t="e">
        <f ca="1">IF(H$12=0,0,H34/H$12)</f>
        <v>#NAME?</v>
      </c>
      <c r="K34" s="5"/>
      <c r="L34" s="5" t="e">
        <f ca="1">+D34-H34</f>
        <v>#NAME?</v>
      </c>
      <c r="M34" s="5"/>
      <c r="N34" s="13" t="e">
        <f ca="1">IF(H34=0,0,L34/H34)</f>
        <v>#NAME?</v>
      </c>
      <c r="O34" s="11"/>
      <c r="P34" s="5" t="e">
        <f ca="1">-_xll.ONESTOP.REPORTPLAYER.OSRFUNCTIONS.OSRGET("GL_F_Trans","Value1")</f>
        <v>#NAME?</v>
      </c>
      <c r="Q34" s="5"/>
      <c r="R34" s="13" t="e">
        <f ca="1">IF(P$12=0,0,P34/P$12)</f>
        <v>#NAME?</v>
      </c>
      <c r="S34" s="5"/>
      <c r="T34" s="5" t="e">
        <f ca="1">-_xll.ONESTOP.REPORTPLAYER.OSRFUNCTIONS.OSRGET("GL_F_Trans","Value1")</f>
        <v>#NAME?</v>
      </c>
      <c r="U34" s="5"/>
      <c r="V34" s="13" t="e">
        <f ca="1">IF(T$12=0,0,T34/T$12)</f>
        <v>#NAME?</v>
      </c>
      <c r="W34" s="5"/>
      <c r="X34" s="5" t="e">
        <f ca="1">+P34-T34</f>
        <v>#NAME?</v>
      </c>
      <c r="Y34" s="5"/>
      <c r="Z34" s="13" t="e">
        <f ca="1">IF(T34=0,0,X34/T34)</f>
        <v>#NAME?</v>
      </c>
    </row>
    <row r="35" spans="1:26" ht="15" customHeight="1" x14ac:dyDescent="0.3">
      <c r="A35" s="10"/>
      <c r="B35" s="10"/>
      <c r="C35" s="10"/>
      <c r="D35" s="4"/>
      <c r="E35" s="4"/>
      <c r="F35" s="9"/>
      <c r="G35" s="4"/>
      <c r="H35" s="4"/>
      <c r="I35" s="4"/>
      <c r="J35" s="9"/>
      <c r="K35" s="4"/>
      <c r="L35" s="4"/>
      <c r="M35" s="4"/>
      <c r="N35" s="9"/>
      <c r="P35" s="4"/>
      <c r="Q35" s="4"/>
      <c r="R35" s="9"/>
      <c r="S35" s="4"/>
      <c r="T35" s="4"/>
      <c r="U35" s="4"/>
      <c r="V35" s="9"/>
      <c r="W35" s="4"/>
      <c r="X35" s="4"/>
      <c r="Y35" s="4"/>
      <c r="Z35" s="9"/>
    </row>
    <row r="36" spans="1:26" s="63" customFormat="1" ht="15" customHeight="1" x14ac:dyDescent="0.3">
      <c r="A36" s="11"/>
      <c r="B36" s="27" t="s">
        <v>297</v>
      </c>
      <c r="C36" s="27"/>
      <c r="D36" s="32" t="e">
        <f ca="1">SUM(D31:D35)</f>
        <v>#NAME?</v>
      </c>
      <c r="E36" s="15"/>
      <c r="F36" s="31" t="e">
        <f ca="1">IF(D$12=0,0,D36/D$12)</f>
        <v>#NAME?</v>
      </c>
      <c r="G36" s="15"/>
      <c r="H36" s="32" t="e">
        <f ca="1">SUM(H31:H35)</f>
        <v>#NAME?</v>
      </c>
      <c r="I36" s="15"/>
      <c r="J36" s="31" t="e">
        <f ca="1">IF(H$12=0,0,H36/H$12)</f>
        <v>#NAME?</v>
      </c>
      <c r="K36" s="16"/>
      <c r="L36" s="32" t="e">
        <f ca="1">+D36-H36</f>
        <v>#NAME?</v>
      </c>
      <c r="M36" s="16"/>
      <c r="N36" s="31" t="e">
        <f ca="1">IF(H36=0,0,L36/H36)</f>
        <v>#NAME?</v>
      </c>
      <c r="O36" s="28"/>
      <c r="P36" s="32" t="e">
        <f ca="1">SUM(P31:P35)</f>
        <v>#NAME?</v>
      </c>
      <c r="Q36" s="15"/>
      <c r="R36" s="31" t="e">
        <f ca="1">IF(P$12=0,0,P36/P$12)</f>
        <v>#NAME?</v>
      </c>
      <c r="S36" s="15"/>
      <c r="T36" s="32" t="e">
        <f ca="1">SUM(T31:T35)</f>
        <v>#NAME?</v>
      </c>
      <c r="U36" s="15"/>
      <c r="V36" s="31" t="e">
        <f ca="1">IF(T$12=0,0,T36/T$12)</f>
        <v>#NAME?</v>
      </c>
      <c r="W36" s="16"/>
      <c r="X36" s="32" t="e">
        <f ca="1">+P36-T36</f>
        <v>#NAME?</v>
      </c>
      <c r="Y36" s="16"/>
      <c r="Z36" s="31" t="e">
        <f ca="1">IF(T36=0,0,X36/T36)</f>
        <v>#NAME?</v>
      </c>
    </row>
    <row r="37" spans="1:26" ht="15" customHeight="1" x14ac:dyDescent="0.3">
      <c r="A37" s="10"/>
      <c r="C37" s="10"/>
      <c r="D37" s="19"/>
      <c r="E37" s="19"/>
      <c r="G37" s="19"/>
      <c r="H37" s="19"/>
      <c r="I37" s="19"/>
      <c r="J37" s="40"/>
      <c r="K37" s="19"/>
      <c r="L37" s="19"/>
      <c r="M37" s="19"/>
      <c r="P37" s="19"/>
      <c r="Q37" s="19"/>
      <c r="R37" s="40"/>
      <c r="S37" s="19"/>
      <c r="T37" s="19"/>
      <c r="U37" s="19"/>
      <c r="V37" s="40"/>
      <c r="W37" s="19"/>
      <c r="X37" s="19"/>
    </row>
    <row r="38" spans="1:26" ht="15" customHeight="1" x14ac:dyDescent="0.3">
      <c r="A38" s="10"/>
      <c r="B38" s="51" t="e">
        <f ca="1">_xll.ONESTOP.REPORTPLAYER.OSRFUNCTIONS.OSRGET("CurrentDate","Date")</f>
        <v>#NAME?</v>
      </c>
      <c r="D38" s="19"/>
      <c r="E38" s="19"/>
      <c r="G38" s="19"/>
      <c r="H38" s="19"/>
      <c r="I38" s="19"/>
      <c r="J38" s="40"/>
      <c r="K38" s="19"/>
      <c r="L38" s="19"/>
      <c r="M38" s="19"/>
      <c r="P38" s="19"/>
      <c r="Q38" s="19"/>
      <c r="R38" s="40"/>
      <c r="S38" s="19"/>
      <c r="T38" s="19"/>
      <c r="U38" s="19"/>
      <c r="V38" s="40"/>
      <c r="W38" s="19"/>
      <c r="X38" s="19"/>
    </row>
    <row r="39" spans="1:26" ht="15" customHeight="1" x14ac:dyDescent="0.3">
      <c r="A39" s="10"/>
      <c r="B39" s="58" t="e">
        <f ca="1">_xll.ONESTOP.REPORTPLAYER.OSRFUNCTIONS.OSRGET("User","UserId")</f>
        <v>#NAME?</v>
      </c>
      <c r="D39" s="19"/>
      <c r="E39" s="19"/>
      <c r="G39" s="19"/>
      <c r="H39" s="19"/>
      <c r="I39" s="19"/>
      <c r="J39" s="40"/>
      <c r="K39" s="19"/>
      <c r="L39" s="19"/>
      <c r="M39" s="19"/>
      <c r="P39" s="19"/>
      <c r="Q39" s="19"/>
      <c r="R39" s="40"/>
      <c r="S39" s="19"/>
      <c r="T39" s="19"/>
      <c r="U39" s="19"/>
      <c r="V39" s="40"/>
      <c r="W39" s="19"/>
      <c r="X39" s="19"/>
    </row>
    <row r="40" spans="1:26" ht="15" customHeight="1" x14ac:dyDescent="0.3">
      <c r="A40" s="10"/>
      <c r="B40" s="50"/>
      <c r="D40" s="19"/>
      <c r="E40" s="19"/>
      <c r="G40" s="19"/>
      <c r="H40" s="19"/>
      <c r="I40" s="19"/>
      <c r="J40" s="40"/>
      <c r="K40" s="19"/>
      <c r="L40" s="19"/>
      <c r="M40" s="19"/>
      <c r="P40" s="19"/>
      <c r="Q40" s="19"/>
      <c r="R40" s="40"/>
      <c r="S40" s="19"/>
      <c r="T40" s="19"/>
      <c r="U40" s="19"/>
      <c r="V40" s="40"/>
      <c r="W40" s="19"/>
      <c r="X40" s="19"/>
    </row>
    <row r="41" spans="1:26" ht="15" customHeight="1" x14ac:dyDescent="0.3">
      <c r="D41" s="19"/>
      <c r="E41" s="19"/>
      <c r="G41" s="19"/>
      <c r="H41" s="19"/>
      <c r="I41" s="19"/>
      <c r="J41" s="40"/>
      <c r="K41" s="19"/>
      <c r="L41" s="19"/>
      <c r="M41" s="19"/>
      <c r="P41" s="19"/>
      <c r="Q41" s="19"/>
      <c r="R41" s="40"/>
      <c r="S41" s="19"/>
      <c r="T41" s="19"/>
      <c r="U41" s="19"/>
      <c r="V41" s="40"/>
      <c r="W41" s="19"/>
      <c r="X41" s="19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58CC35-365E-5507-5226-91499C4FAF58}">
  <sheetPr>
    <tabColor theme="5" tint="0.39997558519241921"/>
    <outlinePr summaryBelow="0" summaryRight="0"/>
  </sheetPr>
  <dimension ref="A2:Z41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6" customWidth="1"/>
    <col min="2" max="2" width="33.44140625" style="66" customWidth="1"/>
    <col min="3" max="3" width="1.88671875" style="66" customWidth="1"/>
    <col min="4" max="4" width="15" style="66" customWidth="1"/>
    <col min="5" max="5" width="1.88671875" style="66" customWidth="1" outlineLevel="1"/>
    <col min="6" max="6" width="15" style="67" customWidth="1" outlineLevel="1"/>
    <col min="7" max="7" width="1.88671875" style="66" customWidth="1" outlineLevel="1"/>
    <col min="8" max="8" width="15" style="66" customWidth="1" outlineLevel="1"/>
    <col min="9" max="9" width="1.88671875" style="66" customWidth="1" outlineLevel="1"/>
    <col min="10" max="10" width="15" style="68" customWidth="1" outlineLevel="1"/>
    <col min="11" max="11" width="1.88671875" style="66" customWidth="1" outlineLevel="1"/>
    <col min="12" max="12" width="15" style="66" customWidth="1" outlineLevel="1"/>
    <col min="13" max="13" width="1.88671875" style="66" customWidth="1" outlineLevel="1"/>
    <col min="14" max="14" width="15" style="67" customWidth="1" outlineLevel="1"/>
    <col min="15" max="15" width="1.88671875" style="64" customWidth="1"/>
    <col min="16" max="16" width="15" style="66" customWidth="1"/>
    <col min="17" max="17" width="1.88671875" style="66" customWidth="1" outlineLevel="1"/>
    <col min="18" max="18" width="15" style="68" customWidth="1" outlineLevel="1"/>
    <col min="19" max="19" width="1.88671875" style="66" customWidth="1" outlineLevel="1"/>
    <col min="20" max="20" width="15" style="66" customWidth="1" outlineLevel="1"/>
    <col min="21" max="21" width="1.88671875" style="66" customWidth="1" outlineLevel="1"/>
    <col min="22" max="22" width="15" style="68" customWidth="1" outlineLevel="1"/>
    <col min="23" max="23" width="1.88671875" style="66" customWidth="1" outlineLevel="1"/>
    <col min="24" max="24" width="15" style="66" customWidth="1" outlineLevel="1"/>
    <col min="25" max="25" width="1.88671875" style="66" customWidth="1" outlineLevel="1"/>
    <col min="26" max="26" width="15" style="68" customWidth="1" outlineLevel="1"/>
  </cols>
  <sheetData>
    <row r="2" spans="1:26" ht="15" customHeight="1" x14ac:dyDescent="0.3">
      <c r="D2" s="54" t="s">
        <v>276</v>
      </c>
    </row>
    <row r="3" spans="1:26" ht="15" customHeight="1" x14ac:dyDescent="0.3">
      <c r="D3" s="54" t="s">
        <v>277</v>
      </c>
      <c r="E3" s="18"/>
      <c r="F3" s="44"/>
      <c r="G3" s="18"/>
      <c r="H3" s="18"/>
      <c r="I3" s="18"/>
      <c r="J3" s="38"/>
      <c r="K3" s="18"/>
      <c r="L3" s="18"/>
      <c r="M3" s="18"/>
      <c r="N3" s="44"/>
      <c r="O3" s="53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ht="15" customHeight="1" x14ac:dyDescent="0.3">
      <c r="D4" s="54" t="e">
        <f ca="1">CONCATENATE("Period ",RIGHT(_xll.ONESTOP.REPORTPLAYER.OSRFUNCTIONS.OSRGET("Period","PeriodId"),2),", ",_xll.ONESTOP.REPORTPLAYER.OSRFUNCTIONS.OSRGET("Period","Year"))</f>
        <v>#NAME?</v>
      </c>
      <c r="E4" s="18"/>
      <c r="F4" s="44"/>
      <c r="G4" s="18"/>
      <c r="H4" s="18"/>
      <c r="I4" s="18"/>
      <c r="J4" s="38"/>
      <c r="K4" s="18"/>
      <c r="L4" s="18"/>
      <c r="M4" s="18"/>
      <c r="N4" s="44"/>
      <c r="O4" s="53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ht="15" customHeight="1" x14ac:dyDescent="0.3">
      <c r="A5" s="24"/>
      <c r="D5" s="61" t="e">
        <f ca="1">_xll.ONESTOP.REPORTPLAYER.OSRFUNCTIONS.OSRGET("Period","PeriodEnd")</f>
        <v>#NAME?</v>
      </c>
      <c r="E5" s="18"/>
      <c r="F5" s="44"/>
      <c r="G5" s="18"/>
      <c r="H5" s="18"/>
      <c r="I5" s="18"/>
      <c r="J5" s="38"/>
      <c r="K5" s="18"/>
      <c r="L5" s="18"/>
      <c r="M5" s="18"/>
      <c r="N5" s="44"/>
      <c r="O5" s="53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ht="15" customHeight="1" x14ac:dyDescent="0.3">
      <c r="A6" s="24"/>
      <c r="B6" s="47"/>
      <c r="C6" s="47"/>
      <c r="D6" s="24" t="s">
        <v>311</v>
      </c>
      <c r="E6" s="18"/>
      <c r="F6" s="44"/>
      <c r="G6" s="18"/>
      <c r="H6" s="18"/>
      <c r="I6" s="18"/>
      <c r="J6" s="38"/>
      <c r="K6" s="18"/>
      <c r="L6" s="18"/>
      <c r="M6" s="18"/>
      <c r="N6" s="44"/>
      <c r="O6" s="59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ht="15" customHeight="1" x14ac:dyDescent="0.3">
      <c r="B7" s="52"/>
    </row>
    <row r="8" spans="1:26" ht="15" customHeight="1" x14ac:dyDescent="0.3">
      <c r="B8" s="52"/>
    </row>
    <row r="9" spans="1:26" ht="15" customHeight="1" x14ac:dyDescent="0.3">
      <c r="B9" s="10"/>
      <c r="C9" s="10"/>
      <c r="D9" s="17" t="s">
        <v>279</v>
      </c>
      <c r="E9" s="17"/>
      <c r="F9" s="36"/>
      <c r="G9" s="17"/>
      <c r="H9" s="17"/>
      <c r="I9" s="17"/>
      <c r="J9" s="43"/>
      <c r="K9" s="17"/>
      <c r="L9" s="17"/>
      <c r="M9" s="17"/>
      <c r="N9" s="36"/>
      <c r="P9" s="17" t="s">
        <v>280</v>
      </c>
      <c r="Q9" s="17"/>
      <c r="R9" s="36"/>
      <c r="S9" s="17"/>
      <c r="T9" s="17"/>
      <c r="U9" s="17"/>
      <c r="V9" s="43"/>
      <c r="W9" s="17"/>
      <c r="X9" s="17"/>
      <c r="Y9" s="17"/>
      <c r="Z9" s="36"/>
    </row>
    <row r="10" spans="1:26" ht="15" customHeight="1" x14ac:dyDescent="0.3">
      <c r="A10" s="11"/>
      <c r="B10" s="57"/>
      <c r="C10" s="11"/>
      <c r="D10" s="41" t="s">
        <v>281</v>
      </c>
      <c r="E10" s="33"/>
      <c r="F10" s="37" t="s">
        <v>282</v>
      </c>
      <c r="G10" s="33"/>
      <c r="H10" s="48" t="s">
        <v>283</v>
      </c>
      <c r="I10" s="33"/>
      <c r="J10" s="45" t="s">
        <v>284</v>
      </c>
      <c r="K10" s="11"/>
      <c r="L10" s="41" t="s">
        <v>285</v>
      </c>
      <c r="M10" s="11"/>
      <c r="N10" s="37" t="s">
        <v>286</v>
      </c>
      <c r="O10" s="11"/>
      <c r="P10" s="56" t="s">
        <v>281</v>
      </c>
      <c r="Q10" s="33"/>
      <c r="R10" s="37" t="s">
        <v>282</v>
      </c>
      <c r="S10" s="33"/>
      <c r="T10" s="48" t="s">
        <v>283</v>
      </c>
      <c r="U10" s="33"/>
      <c r="V10" s="45" t="s">
        <v>284</v>
      </c>
      <c r="W10" s="11"/>
      <c r="X10" s="41" t="s">
        <v>285</v>
      </c>
      <c r="Y10" s="11"/>
      <c r="Z10" s="37" t="s">
        <v>286</v>
      </c>
    </row>
    <row r="11" spans="1:26" ht="16.5" customHeight="1" x14ac:dyDescent="0.3">
      <c r="A11" s="10"/>
      <c r="B11" s="55"/>
      <c r="C11" s="10"/>
      <c r="D11" s="10"/>
      <c r="E11" s="10"/>
      <c r="F11" s="9"/>
      <c r="G11" s="10"/>
      <c r="H11" s="10"/>
      <c r="I11" s="10"/>
      <c r="J11" s="46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6"/>
      <c r="W11" s="10"/>
      <c r="X11" s="10"/>
      <c r="Y11" s="10"/>
      <c r="Z11" s="9"/>
    </row>
    <row r="12" spans="1:26" s="63" customFormat="1" ht="15" customHeight="1" collapsed="1" x14ac:dyDescent="0.3">
      <c r="A12" s="11"/>
      <c r="B12" s="28" t="s">
        <v>287</v>
      </c>
      <c r="C12" s="11"/>
      <c r="D12" s="5" t="e">
        <f ca="1">SUM(_xll.ONESTOP.REPORTPLAYER.OSRFUNCTIONS.OSRREF(D13))</f>
        <v>#NAME?</v>
      </c>
      <c r="E12" s="5"/>
      <c r="F12" s="13"/>
      <c r="G12" s="5"/>
      <c r="H12" s="5" t="e">
        <f ca="1">SUM(_xll.ONESTOP.REPORTPLAYER.OSRFUNCTIONS.OSRREF(H13))</f>
        <v>#NAME?</v>
      </c>
      <c r="I12" s="5"/>
      <c r="J12" s="13"/>
      <c r="K12" s="5"/>
      <c r="L12" s="5" t="e">
        <f ca="1">+D12-H12</f>
        <v>#NAME?</v>
      </c>
      <c r="M12" s="5"/>
      <c r="N12" s="13" t="e">
        <f ca="1">IF(H12=0,0,L12/H12)</f>
        <v>#NAME?</v>
      </c>
      <c r="O12" s="11"/>
      <c r="P12" s="5" t="e">
        <f ca="1">SUM(_xll.ONESTOP.REPORTPLAYER.OSRFUNCTIONS.OSRREF(P13))</f>
        <v>#NAME?</v>
      </c>
      <c r="Q12" s="5"/>
      <c r="R12" s="13"/>
      <c r="S12" s="5"/>
      <c r="T12" s="5" t="e">
        <f ca="1">SUM(_xll.ONESTOP.REPORTPLAYER.OSRFUNCTIONS.OSRREF(T13))</f>
        <v>#NAME?</v>
      </c>
      <c r="U12" s="5"/>
      <c r="V12" s="13"/>
      <c r="W12" s="5"/>
      <c r="X12" s="5" t="e">
        <f ca="1">+P12-T12</f>
        <v>#NAME?</v>
      </c>
      <c r="Y12" s="5"/>
      <c r="Z12" s="13" t="e">
        <f ca="1">IF(T12=0,0,X12/T12)</f>
        <v>#NAME?</v>
      </c>
    </row>
    <row r="13" spans="1:26" s="70" customFormat="1" ht="15" hidden="1" customHeight="1" outlineLevel="1" x14ac:dyDescent="0.3">
      <c r="A13" s="42"/>
      <c r="B13" s="12" t="e">
        <f ca="1">CONCATENATE("          ",_xll.ONESTOP.REPORTPLAYER.OSRFUNCTIONS.OSRGET("d_Account","Code")," - ",_xll.ONESTOP.REPORTPLAYER.OSRFUNCTIONS.OSRGET("d_Account","Description"))</f>
        <v>#NAME?</v>
      </c>
      <c r="C13" s="12"/>
      <c r="D13" s="3" t="e">
        <f ca="1">-_xll.ONESTOP.REPORTPLAYER.OSRFUNCTIONS.OSRGET("GL_F_Trans","Value1")</f>
        <v>#NAME?</v>
      </c>
      <c r="E13" s="3"/>
      <c r="F13" s="20"/>
      <c r="G13" s="3"/>
      <c r="H13" s="3" t="e">
        <f ca="1">_xll.ONESTOP.REPORTPLAYER.OSRFUNCTIONS.OSRGET("GL_F_Trans","Value1")</f>
        <v>#NAME?</v>
      </c>
      <c r="I13" s="3"/>
      <c r="J13" s="20"/>
      <c r="K13" s="3"/>
      <c r="L13" s="3" t="e">
        <f ca="1">+D13-H13</f>
        <v>#NAME?</v>
      </c>
      <c r="M13" s="3"/>
      <c r="N13" s="20" t="e">
        <f ca="1">IF(H13=0,0,L13/H13)</f>
        <v>#NAME?</v>
      </c>
      <c r="O13" s="12"/>
      <c r="P13" s="3" t="e">
        <f ca="1">-_xll.ONESTOP.REPORTPLAYER.OSRFUNCTIONS.OSRGET("GL_F_Trans","Value1")</f>
        <v>#NAME?</v>
      </c>
      <c r="Q13" s="3"/>
      <c r="R13" s="20"/>
      <c r="S13" s="3"/>
      <c r="T13" s="3" t="e">
        <f ca="1">_xll.ONESTOP.REPORTPLAYER.OSRFUNCTIONS.OSRGET("GL_F_Trans","Value1")</f>
        <v>#NAME?</v>
      </c>
      <c r="U13" s="3"/>
      <c r="V13" s="20"/>
      <c r="W13" s="3"/>
      <c r="X13" s="3" t="e">
        <f ca="1">+P13-T13</f>
        <v>#NAME?</v>
      </c>
      <c r="Y13" s="3"/>
      <c r="Z13" s="20" t="e">
        <f ca="1">IF(T13=0,0,X13/T13)</f>
        <v>#NAME?</v>
      </c>
    </row>
    <row r="14" spans="1:26" ht="15" customHeight="1" x14ac:dyDescent="0.3">
      <c r="A14" s="10"/>
      <c r="B14" s="11"/>
      <c r="C14" s="10"/>
      <c r="D14" s="4"/>
      <c r="E14" s="4"/>
      <c r="F14" s="9"/>
      <c r="G14" s="4"/>
      <c r="H14" s="4"/>
      <c r="I14" s="4"/>
      <c r="J14" s="9"/>
      <c r="K14" s="4"/>
      <c r="L14" s="4"/>
      <c r="M14" s="4"/>
      <c r="N14" s="9"/>
      <c r="P14" s="4"/>
      <c r="Q14" s="4"/>
      <c r="R14" s="9"/>
      <c r="S14" s="4"/>
      <c r="T14" s="4"/>
      <c r="U14" s="4"/>
      <c r="V14" s="9"/>
      <c r="W14" s="4"/>
      <c r="X14" s="4"/>
      <c r="Y14" s="4"/>
      <c r="Z14" s="9"/>
    </row>
    <row r="15" spans="1:26" s="63" customFormat="1" ht="15" customHeight="1" collapsed="1" x14ac:dyDescent="0.3">
      <c r="A15" s="11"/>
      <c r="B15" s="28" t="s">
        <v>288</v>
      </c>
      <c r="C15" s="11"/>
      <c r="D15" s="5" t="e">
        <f ca="1">SUM(_xll.ONESTOP.REPORTPLAYER.OSRFUNCTIONS.OSRREF(D16))</f>
        <v>#NAME?</v>
      </c>
      <c r="E15" s="5"/>
      <c r="F15" s="13" t="e">
        <f ca="1">IF(D$12=0,0,D15/D$12)</f>
        <v>#NAME?</v>
      </c>
      <c r="G15" s="5"/>
      <c r="H15" s="5" t="e">
        <f ca="1">SUM(_xll.ONESTOP.REPORTPLAYER.OSRFUNCTIONS.OSRREF(H16))</f>
        <v>#NAME?</v>
      </c>
      <c r="I15" s="5"/>
      <c r="J15" s="13" t="e">
        <f ca="1">IF(H$12=0,0,H15/H$12)</f>
        <v>#NAME?</v>
      </c>
      <c r="K15" s="5"/>
      <c r="L15" s="5" t="e">
        <f ca="1">+D15-H15</f>
        <v>#NAME?</v>
      </c>
      <c r="M15" s="5"/>
      <c r="N15" s="13" t="e">
        <f ca="1">IF(H15=0,0,L15/H15)</f>
        <v>#NAME?</v>
      </c>
      <c r="O15" s="11"/>
      <c r="P15" s="5" t="e">
        <f ca="1">SUM(_xll.ONESTOP.REPORTPLAYER.OSRFUNCTIONS.OSRREF(P16))</f>
        <v>#NAME?</v>
      </c>
      <c r="Q15" s="5"/>
      <c r="R15" s="13" t="e">
        <f ca="1">IF(P$12=0,0,P15/P$12)</f>
        <v>#NAME?</v>
      </c>
      <c r="S15" s="5"/>
      <c r="T15" s="5" t="e">
        <f ca="1">SUM(_xll.ONESTOP.REPORTPLAYER.OSRFUNCTIONS.OSRREF(T16))</f>
        <v>#NAME?</v>
      </c>
      <c r="U15" s="5"/>
      <c r="V15" s="13" t="e">
        <f ca="1">IF(T$12=0,0,T15/T$12)</f>
        <v>#NAME?</v>
      </c>
      <c r="W15" s="5"/>
      <c r="X15" s="5" t="e">
        <f ca="1">+P15-T15</f>
        <v>#NAME?</v>
      </c>
      <c r="Y15" s="5"/>
      <c r="Z15" s="13" t="e">
        <f ca="1">IF(T15=0,0,X15/T15)</f>
        <v>#NAME?</v>
      </c>
    </row>
    <row r="16" spans="1:26" s="70" customFormat="1" ht="15" hidden="1" customHeight="1" outlineLevel="1" x14ac:dyDescent="0.3">
      <c r="A16" s="42"/>
      <c r="B16" s="12" t="e">
        <f ca="1">CONCATENATE("          ",_xll.ONESTOP.REPORTPLAYER.OSRFUNCTIONS.OSRGET("d_Account","Code")," - ",_xll.ONESTOP.REPORTPLAYER.OSRFUNCTIONS.OSRGET("d_Account","Description"))</f>
        <v>#NAME?</v>
      </c>
      <c r="C16" s="12"/>
      <c r="D16" s="3" t="e">
        <f ca="1">_xll.ONESTOP.REPORTPLAYER.OSRFUNCTIONS.OSRGET("GL_F_Trans","Value1")</f>
        <v>#NAME?</v>
      </c>
      <c r="E16" s="3"/>
      <c r="F16" s="20" t="e">
        <f ca="1">IF(D$12=0,0,D16/D$12)</f>
        <v>#NAME?</v>
      </c>
      <c r="G16" s="3"/>
      <c r="H16" s="3" t="e">
        <f ca="1">_xll.ONESTOP.REPORTPLAYER.OSRFUNCTIONS.OSRGET("GL_F_Trans","Value1")</f>
        <v>#NAME?</v>
      </c>
      <c r="I16" s="3"/>
      <c r="J16" s="20" t="e">
        <f ca="1">IF(H$12=0,0,H16/H$12)</f>
        <v>#NAME?</v>
      </c>
      <c r="K16" s="3"/>
      <c r="L16" s="3" t="e">
        <f ca="1">+D16-H16</f>
        <v>#NAME?</v>
      </c>
      <c r="M16" s="3"/>
      <c r="N16" s="20" t="e">
        <f ca="1">IF(H16=0,0,L16/H16)</f>
        <v>#NAME?</v>
      </c>
      <c r="O16" s="12"/>
      <c r="P16" s="3" t="e">
        <f ca="1">_xll.ONESTOP.REPORTPLAYER.OSRFUNCTIONS.OSRGET("GL_F_Trans","Value1")</f>
        <v>#NAME?</v>
      </c>
      <c r="Q16" s="3"/>
      <c r="R16" s="20" t="e">
        <f ca="1">IF(P$12=0,0,P16/P$12)</f>
        <v>#NAME?</v>
      </c>
      <c r="S16" s="3"/>
      <c r="T16" s="3" t="e">
        <f ca="1">_xll.ONESTOP.REPORTPLAYER.OSRFUNCTIONS.OSRGET("GL_F_Trans","Value1")</f>
        <v>#NAME?</v>
      </c>
      <c r="U16" s="3"/>
      <c r="V16" s="20" t="e">
        <f ca="1">IF(T$12=0,0,T16/T$12)</f>
        <v>#NAME?</v>
      </c>
      <c r="W16" s="3"/>
      <c r="X16" s="3" t="e">
        <f ca="1">+P16-T16</f>
        <v>#NAME?</v>
      </c>
      <c r="Y16" s="3"/>
      <c r="Z16" s="20" t="e">
        <f ca="1">IF(T16=0,0,X16/T16)</f>
        <v>#NAME?</v>
      </c>
    </row>
    <row r="17" spans="1:26" ht="15" customHeight="1" x14ac:dyDescent="0.3">
      <c r="A17" s="10"/>
      <c r="B17" s="11"/>
      <c r="C17" s="11"/>
      <c r="D17" s="4"/>
      <c r="E17" s="4"/>
      <c r="F17" s="9"/>
      <c r="G17" s="4"/>
      <c r="H17" s="4"/>
      <c r="I17" s="4"/>
      <c r="J17" s="9"/>
      <c r="K17" s="4"/>
      <c r="L17" s="4"/>
      <c r="M17" s="4"/>
      <c r="N17" s="9"/>
      <c r="O17" s="11"/>
      <c r="P17" s="4"/>
      <c r="Q17" s="4"/>
      <c r="R17" s="9"/>
      <c r="S17" s="4"/>
      <c r="T17" s="4"/>
      <c r="U17" s="4"/>
      <c r="V17" s="9"/>
      <c r="W17" s="4"/>
      <c r="X17" s="4"/>
      <c r="Y17" s="4"/>
      <c r="Z17" s="9"/>
    </row>
    <row r="18" spans="1:26" s="63" customFormat="1" ht="15" customHeight="1" x14ac:dyDescent="0.3">
      <c r="A18" s="11"/>
      <c r="B18" s="27" t="s">
        <v>289</v>
      </c>
      <c r="C18" s="27"/>
      <c r="D18" s="21" t="e">
        <f ca="1">D12-D15</f>
        <v>#NAME?</v>
      </c>
      <c r="E18" s="15"/>
      <c r="F18" s="23" t="e">
        <f ca="1">IF(D$12=0,0,D18/D$12)</f>
        <v>#NAME?</v>
      </c>
      <c r="G18" s="15"/>
      <c r="H18" s="21" t="e">
        <f ca="1">H12-H15</f>
        <v>#NAME?</v>
      </c>
      <c r="I18" s="15"/>
      <c r="J18" s="23" t="e">
        <f ca="1">IF(H$12=0,0,H18/H$12)</f>
        <v>#NAME?</v>
      </c>
      <c r="K18" s="16"/>
      <c r="L18" s="21" t="e">
        <f ca="1">+D18-H18</f>
        <v>#NAME?</v>
      </c>
      <c r="M18" s="16"/>
      <c r="N18" s="23" t="e">
        <f ca="1">IF(H18=0,0,L18/H18)</f>
        <v>#NAME?</v>
      </c>
      <c r="O18" s="28"/>
      <c r="P18" s="21" t="e">
        <f ca="1">P12-P15</f>
        <v>#NAME?</v>
      </c>
      <c r="Q18" s="15"/>
      <c r="R18" s="23" t="e">
        <f ca="1">IF(P$12=0,0,P18/P$12)</f>
        <v>#NAME?</v>
      </c>
      <c r="S18" s="15"/>
      <c r="T18" s="21" t="e">
        <f ca="1">T12-T15</f>
        <v>#NAME?</v>
      </c>
      <c r="U18" s="15"/>
      <c r="V18" s="23" t="e">
        <f ca="1">IF(T$12=0,0,T18/T$12)</f>
        <v>#NAME?</v>
      </c>
      <c r="W18" s="16"/>
      <c r="X18" s="21" t="e">
        <f ca="1">+P18-T18</f>
        <v>#NAME?</v>
      </c>
      <c r="Y18" s="16"/>
      <c r="Z18" s="23" t="e">
        <f ca="1">IF(T18=0,0,X18/T18)</f>
        <v>#NAME?</v>
      </c>
    </row>
    <row r="19" spans="1:26" ht="15" customHeight="1" x14ac:dyDescent="0.3">
      <c r="A19" s="10"/>
      <c r="B19" s="11"/>
      <c r="C19" s="10"/>
      <c r="D19" s="2"/>
      <c r="E19" s="2"/>
      <c r="F19" s="6"/>
      <c r="G19" s="2"/>
      <c r="H19" s="2"/>
      <c r="I19" s="2"/>
      <c r="J19" s="6"/>
      <c r="K19" s="2"/>
      <c r="L19" s="2"/>
      <c r="M19" s="2"/>
      <c r="N19" s="6"/>
      <c r="O19" s="35"/>
      <c r="P19" s="2"/>
      <c r="Q19" s="2"/>
      <c r="R19" s="6"/>
      <c r="S19" s="2"/>
      <c r="T19" s="2"/>
      <c r="U19" s="2"/>
      <c r="V19" s="6"/>
      <c r="W19" s="2"/>
      <c r="X19" s="2"/>
      <c r="Y19" s="2"/>
      <c r="Z19" s="6"/>
    </row>
    <row r="20" spans="1:26" s="63" customFormat="1" ht="15" customHeight="1" x14ac:dyDescent="0.3">
      <c r="A20" s="11"/>
      <c r="B20" s="28" t="s">
        <v>290</v>
      </c>
      <c r="C20" s="11"/>
      <c r="D20" s="22" t="e">
        <f ca="1">SUM(_xll.ONESTOP.REPORTPLAYER.OSRFUNCTIONS.OSRREF(D22))</f>
        <v>#NAME?</v>
      </c>
      <c r="E20" s="22"/>
      <c r="F20" s="30" t="e">
        <f ca="1">IF(D$12=0,0,D20/D$12)</f>
        <v>#NAME?</v>
      </c>
      <c r="G20" s="22"/>
      <c r="H20" s="22" t="e">
        <f ca="1">SUM(_xll.ONESTOP.REPORTPLAYER.OSRFUNCTIONS.OSRREF(H22))</f>
        <v>#NAME?</v>
      </c>
      <c r="I20" s="22"/>
      <c r="J20" s="30" t="e">
        <f ca="1">IF(H$12=0,0,H20/H$12)</f>
        <v>#NAME?</v>
      </c>
      <c r="K20" s="5"/>
      <c r="L20" s="22" t="e">
        <f ca="1">+D20-H20</f>
        <v>#NAME?</v>
      </c>
      <c r="M20" s="5"/>
      <c r="N20" s="30" t="e">
        <f ca="1">IF(H20=0,0,L20/H20)</f>
        <v>#NAME?</v>
      </c>
      <c r="O20" s="11"/>
      <c r="P20" s="22" t="e">
        <f ca="1">SUM(_xll.ONESTOP.REPORTPLAYER.OSRFUNCTIONS.OSRREF(P22))</f>
        <v>#NAME?</v>
      </c>
      <c r="Q20" s="22"/>
      <c r="R20" s="30" t="e">
        <f ca="1">IF(P$12=0,0,P20/P$12)</f>
        <v>#NAME?</v>
      </c>
      <c r="S20" s="22"/>
      <c r="T20" s="22" t="e">
        <f ca="1">SUM(_xll.ONESTOP.REPORTPLAYER.OSRFUNCTIONS.OSRREF(T22))</f>
        <v>#NAME?</v>
      </c>
      <c r="U20" s="22"/>
      <c r="V20" s="30" t="e">
        <f ca="1">IF(T$12=0,0,T20/T$12)</f>
        <v>#NAME?</v>
      </c>
      <c r="W20" s="5"/>
      <c r="X20" s="22" t="e">
        <f ca="1">+P20-T20</f>
        <v>#NAME?</v>
      </c>
      <c r="Y20" s="5"/>
      <c r="Z20" s="30" t="e">
        <f ca="1">IF(T20=0,0,X20/T20)</f>
        <v>#NAME?</v>
      </c>
    </row>
    <row r="21" spans="1:26" s="69" customFormat="1" ht="15" customHeight="1" outlineLevel="1" collapsed="1" x14ac:dyDescent="0.3">
      <c r="A21" s="25"/>
      <c r="B21" s="14" t="e">
        <f ca="1">CONCATENATE("     ",_xll.ONESTOP.REPORTPLAYER.OSRFUNCTIONS.OSRGET("d_Account","AccountCategory"))</f>
        <v>#NAME?</v>
      </c>
      <c r="C21" s="14"/>
      <c r="D21" s="2" t="e">
        <f ca="1">SUM(_xll.ONESTOP.REPORTPLAYER.OSRFUNCTIONS.OSRREF(D22))</f>
        <v>#NAME?</v>
      </c>
      <c r="E21" s="2"/>
      <c r="F21" s="6" t="e">
        <f ca="1">IF(D$12=0,0,D21/D$12)</f>
        <v>#NAME?</v>
      </c>
      <c r="G21" s="2"/>
      <c r="H21" s="2" t="e">
        <f ca="1">SUM(_xll.ONESTOP.REPORTPLAYER.OSRFUNCTIONS.OSRREF(H22))</f>
        <v>#NAME?</v>
      </c>
      <c r="I21" s="2"/>
      <c r="J21" s="6" t="e">
        <f ca="1">IF(H$12=0,0,H21/H$12)</f>
        <v>#NAME?</v>
      </c>
      <c r="K21" s="2"/>
      <c r="L21" s="2" t="e">
        <f ca="1">+D21-H21</f>
        <v>#NAME?</v>
      </c>
      <c r="M21" s="2"/>
      <c r="N21" s="6" t="e">
        <f ca="1">IF(H21=0,0,L21/H21)</f>
        <v>#NAME?</v>
      </c>
      <c r="O21" s="14"/>
      <c r="P21" s="2" t="e">
        <f ca="1">SUM(_xll.ONESTOP.REPORTPLAYER.OSRFUNCTIONS.OSRREF(P22))</f>
        <v>#NAME?</v>
      </c>
      <c r="Q21" s="2"/>
      <c r="R21" s="6" t="e">
        <f ca="1">IF(P$12=0,0,P21/P$12)</f>
        <v>#NAME?</v>
      </c>
      <c r="S21" s="2"/>
      <c r="T21" s="2" t="e">
        <f ca="1">SUM(_xll.ONESTOP.REPORTPLAYER.OSRFUNCTIONS.OSRREF(T22))</f>
        <v>#NAME?</v>
      </c>
      <c r="U21" s="2"/>
      <c r="V21" s="6" t="e">
        <f ca="1">IF(T$12=0,0,T21/T$12)</f>
        <v>#NAME?</v>
      </c>
      <c r="W21" s="2"/>
      <c r="X21" s="2" t="e">
        <f ca="1">+P21-T21</f>
        <v>#NAME?</v>
      </c>
      <c r="Y21" s="2"/>
      <c r="Z21" s="6" t="e">
        <f ca="1">IF(T21=0,0,X21/T21)</f>
        <v>#NAME?</v>
      </c>
    </row>
    <row r="22" spans="1:26" s="70" customFormat="1" ht="15" hidden="1" customHeight="1" outlineLevel="2" x14ac:dyDescent="0.3">
      <c r="A22" s="26"/>
      <c r="B22" s="12" t="e">
        <f ca="1">CONCATENATE("          ",_xll.ONESTOP.REPORTPLAYER.OSRFUNCTIONS.OSRGET("d_Account","Code")," - ",_xll.ONESTOP.REPORTPLAYER.OSRFUNCTIONS.OSRGET("d_Account","Description"))</f>
        <v>#NAME?</v>
      </c>
      <c r="C22" s="12"/>
      <c r="D22" s="7" t="e">
        <f ca="1">_xll.ONESTOP.REPORTPLAYER.OSRFUNCTIONS.OSRGET("GL_F_Trans","Value1")</f>
        <v>#NAME?</v>
      </c>
      <c r="E22" s="3"/>
      <c r="F22" s="8" t="e">
        <f ca="1">IF(D$12=0,0,D22/D$12)</f>
        <v>#NAME?</v>
      </c>
      <c r="G22" s="3"/>
      <c r="H22" s="7" t="e">
        <f ca="1">_xll.ONESTOP.REPORTPLAYER.OSRFUNCTIONS.OSRGET("GL_F_Trans","Value1")</f>
        <v>#NAME?</v>
      </c>
      <c r="I22" s="3"/>
      <c r="J22" s="8" t="e">
        <f ca="1">IF(H$12=0,0,H22/H$12)</f>
        <v>#NAME?</v>
      </c>
      <c r="K22" s="3"/>
      <c r="L22" s="7" t="e">
        <f ca="1">+D22-H22</f>
        <v>#NAME?</v>
      </c>
      <c r="M22" s="3"/>
      <c r="N22" s="8" t="e">
        <f ca="1">IF(H22=0,0,L22/H22)</f>
        <v>#NAME?</v>
      </c>
      <c r="O22" s="12"/>
      <c r="P22" s="7" t="e">
        <f ca="1">_xll.ONESTOP.REPORTPLAYER.OSRFUNCTIONS.OSRGET("GL_F_Trans","Value1")</f>
        <v>#NAME?</v>
      </c>
      <c r="Q22" s="3"/>
      <c r="R22" s="8" t="e">
        <f ca="1">IF(P$12=0,0,P22/P$12)</f>
        <v>#NAME?</v>
      </c>
      <c r="S22" s="3"/>
      <c r="T22" s="7" t="e">
        <f ca="1">_xll.ONESTOP.REPORTPLAYER.OSRFUNCTIONS.OSRGET("GL_F_Trans","Value1")</f>
        <v>#NAME?</v>
      </c>
      <c r="U22" s="3"/>
      <c r="V22" s="8" t="e">
        <f ca="1">IF(T$12=0,0,T22/T$12)</f>
        <v>#NAME?</v>
      </c>
      <c r="W22" s="3"/>
      <c r="X22" s="7" t="e">
        <f ca="1">+P22-T22</f>
        <v>#NAME?</v>
      </c>
      <c r="Y22" s="3"/>
      <c r="Z22" s="8" t="e">
        <f ca="1">IF(T22=0,0,X22/T22)</f>
        <v>#NAME?</v>
      </c>
    </row>
    <row r="23" spans="1:26" s="65" customFormat="1" ht="15" customHeight="1" x14ac:dyDescent="0.3">
      <c r="A23" s="35"/>
      <c r="B23" s="35"/>
      <c r="C23" s="35"/>
      <c r="D23" s="2"/>
      <c r="E23" s="2"/>
      <c r="F23" s="6"/>
      <c r="G23" s="2"/>
      <c r="H23" s="2"/>
      <c r="I23" s="2"/>
      <c r="J23" s="6"/>
      <c r="K23" s="2"/>
      <c r="L23" s="2"/>
      <c r="M23" s="2"/>
      <c r="N23" s="6"/>
      <c r="O23" s="35"/>
      <c r="P23" s="2"/>
      <c r="Q23" s="2"/>
      <c r="R23" s="6"/>
      <c r="S23" s="2"/>
      <c r="T23" s="2"/>
      <c r="U23" s="2"/>
      <c r="V23" s="6"/>
      <c r="W23" s="2"/>
      <c r="X23" s="2"/>
      <c r="Y23" s="2"/>
      <c r="Z23" s="6"/>
    </row>
    <row r="24" spans="1:26" s="63" customFormat="1" ht="15" customHeight="1" collapsed="1" x14ac:dyDescent="0.3">
      <c r="A24" s="11"/>
      <c r="B24" s="28" t="s">
        <v>291</v>
      </c>
      <c r="C24" s="11"/>
      <c r="D24" s="5" t="e">
        <f ca="1">SUM(_xll.ONESTOP.REPORTPLAYER.OSRFUNCTIONS.OSRREF(D25))</f>
        <v>#NAME?</v>
      </c>
      <c r="E24" s="5"/>
      <c r="F24" s="13" t="e">
        <f ca="1">IF(D$12=0,0,D24/D$12)</f>
        <v>#NAME?</v>
      </c>
      <c r="G24" s="5"/>
      <c r="H24" s="5" t="e">
        <f ca="1">SUM(_xll.ONESTOP.REPORTPLAYER.OSRFUNCTIONS.OSRREF(H25))</f>
        <v>#NAME?</v>
      </c>
      <c r="I24" s="5"/>
      <c r="J24" s="13" t="e">
        <f ca="1">IF(H$12=0,0,H24/H$12)</f>
        <v>#NAME?</v>
      </c>
      <c r="K24" s="5"/>
      <c r="L24" s="5" t="e">
        <f ca="1">+D24-H24</f>
        <v>#NAME?</v>
      </c>
      <c r="M24" s="5"/>
      <c r="N24" s="13" t="e">
        <f ca="1">IF(H24=0,0,L24/H24)</f>
        <v>#NAME?</v>
      </c>
      <c r="O24" s="11"/>
      <c r="P24" s="5" t="e">
        <f ca="1">SUM(_xll.ONESTOP.REPORTPLAYER.OSRFUNCTIONS.OSRREF(P25))</f>
        <v>#NAME?</v>
      </c>
      <c r="Q24" s="5"/>
      <c r="R24" s="13" t="e">
        <f ca="1">IF(P$12=0,0,P24/P$12)</f>
        <v>#NAME?</v>
      </c>
      <c r="S24" s="5"/>
      <c r="T24" s="5" t="e">
        <f ca="1">SUM(_xll.ONESTOP.REPORTPLAYER.OSRFUNCTIONS.OSRREF(T25))</f>
        <v>#NAME?</v>
      </c>
      <c r="U24" s="5"/>
      <c r="V24" s="13" t="e">
        <f ca="1">IF(T$12=0,0,T24/T$12)</f>
        <v>#NAME?</v>
      </c>
      <c r="W24" s="5"/>
      <c r="X24" s="5" t="e">
        <f ca="1">+P24-T24</f>
        <v>#NAME?</v>
      </c>
      <c r="Y24" s="5"/>
      <c r="Z24" s="13" t="e">
        <f ca="1">IF(T24=0,0,X24/T24)</f>
        <v>#NAME?</v>
      </c>
    </row>
    <row r="25" spans="1:26" s="70" customFormat="1" ht="15" hidden="1" customHeight="1" outlineLevel="1" x14ac:dyDescent="0.3">
      <c r="A25" s="42"/>
      <c r="B25" s="12" t="e">
        <f ca="1">CONCATENATE("          ",_xll.ONESTOP.REPORTPLAYER.OSRFUNCTIONS.OSRGET("d_Account","Code")," - ",_xll.ONESTOP.REPORTPLAYER.OSRFUNCTIONS.OSRGET("d_Account","Description"))</f>
        <v>#NAME?</v>
      </c>
      <c r="C25" s="12"/>
      <c r="D25" s="3" t="e">
        <f ca="1">-_xll.ONESTOP.REPORTPLAYER.OSRFUNCTIONS.OSRGET("GL_F_Trans","Value1")</f>
        <v>#NAME?</v>
      </c>
      <c r="E25" s="3"/>
      <c r="F25" s="20" t="e">
        <f ca="1">IF(D$12=0,0,D25/D$12)</f>
        <v>#NAME?</v>
      </c>
      <c r="G25" s="3"/>
      <c r="H25" s="3" t="e">
        <f ca="1">_xll.ONESTOP.REPORTPLAYER.OSRFUNCTIONS.OSRGET("GL_F_Trans","Value1")</f>
        <v>#NAME?</v>
      </c>
      <c r="I25" s="3"/>
      <c r="J25" s="20" t="e">
        <f ca="1">IF(H$12=0,0,H25/H$12)</f>
        <v>#NAME?</v>
      </c>
      <c r="K25" s="3"/>
      <c r="L25" s="3" t="e">
        <f ca="1">+D25-H25</f>
        <v>#NAME?</v>
      </c>
      <c r="M25" s="3"/>
      <c r="N25" s="20" t="e">
        <f ca="1">IF(H25=0,0,L25/H25)</f>
        <v>#NAME?</v>
      </c>
      <c r="O25" s="12"/>
      <c r="P25" s="3" t="e">
        <f ca="1">-_xll.ONESTOP.REPORTPLAYER.OSRFUNCTIONS.OSRGET("GL_F_Trans","Value1")</f>
        <v>#NAME?</v>
      </c>
      <c r="Q25" s="3"/>
      <c r="R25" s="20" t="e">
        <f ca="1">IF(P$12=0,0,P25/P$12)</f>
        <v>#NAME?</v>
      </c>
      <c r="S25" s="3"/>
      <c r="T25" s="3" t="e">
        <f ca="1">_xll.ONESTOP.REPORTPLAYER.OSRFUNCTIONS.OSRGET("GL_F_Trans","Value1")</f>
        <v>#NAME?</v>
      </c>
      <c r="U25" s="3"/>
      <c r="V25" s="20" t="e">
        <f ca="1">IF(T$12=0,0,T25/T$12)</f>
        <v>#NAME?</v>
      </c>
      <c r="W25" s="3"/>
      <c r="X25" s="3" t="e">
        <f ca="1">+P25-T25</f>
        <v>#NAME?</v>
      </c>
      <c r="Y25" s="3"/>
      <c r="Z25" s="20" t="e">
        <f ca="1">IF(T25=0,0,X25/T25)</f>
        <v>#NAME?</v>
      </c>
    </row>
    <row r="26" spans="1:26" ht="15" customHeight="1" x14ac:dyDescent="0.3">
      <c r="A26" s="10"/>
      <c r="B26" s="11"/>
      <c r="C26" s="11"/>
      <c r="D26" s="4"/>
      <c r="E26" s="4"/>
      <c r="F26" s="9"/>
      <c r="G26" s="4"/>
      <c r="H26" s="4"/>
      <c r="I26" s="4"/>
      <c r="J26" s="9"/>
      <c r="K26" s="4"/>
      <c r="L26" s="4"/>
      <c r="M26" s="4"/>
      <c r="N26" s="9"/>
      <c r="O26" s="11"/>
      <c r="P26" s="4"/>
      <c r="Q26" s="4"/>
      <c r="R26" s="9"/>
      <c r="S26" s="4"/>
      <c r="T26" s="4"/>
      <c r="U26" s="4"/>
      <c r="V26" s="9"/>
      <c r="W26" s="4"/>
      <c r="X26" s="4"/>
      <c r="Y26" s="4"/>
      <c r="Z26" s="9"/>
    </row>
    <row r="27" spans="1:26" s="63" customFormat="1" ht="15" customHeight="1" x14ac:dyDescent="0.3">
      <c r="A27" s="11"/>
      <c r="B27" s="27" t="s">
        <v>292</v>
      </c>
      <c r="C27" s="27"/>
      <c r="D27" s="21" t="e">
        <f ca="1">+D18-D20+D24</f>
        <v>#NAME?</v>
      </c>
      <c r="E27" s="15"/>
      <c r="F27" s="23" t="e">
        <f ca="1">IF(D$12=0,0,D27/D$12)</f>
        <v>#NAME?</v>
      </c>
      <c r="G27" s="15"/>
      <c r="H27" s="21" t="e">
        <f ca="1">+H18-H20+H24</f>
        <v>#NAME?</v>
      </c>
      <c r="I27" s="15"/>
      <c r="J27" s="23" t="e">
        <f ca="1">IF(H$12=0,0,H27/H$12)</f>
        <v>#NAME?</v>
      </c>
      <c r="K27" s="16"/>
      <c r="L27" s="21" t="e">
        <f ca="1">+D27-H27</f>
        <v>#NAME?</v>
      </c>
      <c r="M27" s="16"/>
      <c r="N27" s="23" t="e">
        <f ca="1">IF(H27=0,0,L27/H27)</f>
        <v>#NAME?</v>
      </c>
      <c r="O27" s="28"/>
      <c r="P27" s="21" t="e">
        <f ca="1">+P18-P20+P24</f>
        <v>#NAME?</v>
      </c>
      <c r="Q27" s="15"/>
      <c r="R27" s="23" t="e">
        <f ca="1">IF(P$12=0,0,P27/P$12)</f>
        <v>#NAME?</v>
      </c>
      <c r="S27" s="15"/>
      <c r="T27" s="21" t="e">
        <f ca="1">+T18-T20+T24</f>
        <v>#NAME?</v>
      </c>
      <c r="U27" s="15"/>
      <c r="V27" s="23" t="e">
        <f ca="1">IF(T$12=0,0,T27/T$12)</f>
        <v>#NAME?</v>
      </c>
      <c r="W27" s="16"/>
      <c r="X27" s="21" t="e">
        <f ca="1">+P27-T27</f>
        <v>#NAME?</v>
      </c>
      <c r="Y27" s="16"/>
      <c r="Z27" s="23" t="e">
        <f ca="1">IF(T27=0,0,X27/T27)</f>
        <v>#NAME?</v>
      </c>
    </row>
    <row r="28" spans="1:26" ht="15" customHeight="1" x14ac:dyDescent="0.3">
      <c r="A28" s="10"/>
      <c r="B28" s="11"/>
      <c r="C28" s="10"/>
      <c r="D28" s="4"/>
      <c r="E28" s="4"/>
      <c r="F28" s="9"/>
      <c r="G28" s="4"/>
      <c r="H28" s="4"/>
      <c r="I28" s="4"/>
      <c r="J28" s="9"/>
      <c r="K28" s="4"/>
      <c r="L28" s="4"/>
      <c r="M28" s="4"/>
      <c r="N28" s="9"/>
      <c r="P28" s="4"/>
      <c r="Q28" s="4"/>
      <c r="R28" s="9"/>
      <c r="S28" s="4"/>
      <c r="T28" s="4"/>
      <c r="U28" s="4"/>
      <c r="V28" s="9"/>
      <c r="W28" s="4"/>
      <c r="X28" s="4"/>
      <c r="Y28" s="4"/>
      <c r="Z28" s="9"/>
    </row>
    <row r="29" spans="1:26" s="63" customFormat="1" ht="15" customHeight="1" x14ac:dyDescent="0.3">
      <c r="A29" s="49"/>
      <c r="B29" s="11" t="s">
        <v>293</v>
      </c>
      <c r="C29" s="11"/>
      <c r="D29" s="5" t="e">
        <f ca="1">_xll.ONESTOP.REPORTPLAYER.OSRFUNCTIONS.OSRGET("GL_F_Trans","Value1")</f>
        <v>#NAME?</v>
      </c>
      <c r="E29" s="5"/>
      <c r="F29" s="13" t="e">
        <f ca="1">IF(D$12=0,0,D29/D$12)</f>
        <v>#NAME?</v>
      </c>
      <c r="G29" s="5"/>
      <c r="H29" s="5" t="e">
        <f ca="1">_xll.ONESTOP.REPORTPLAYER.OSRFUNCTIONS.OSRGET("GL_F_Trans","Value1")</f>
        <v>#NAME?</v>
      </c>
      <c r="I29" s="5"/>
      <c r="J29" s="13" t="e">
        <f ca="1">IF(H$12=0,0,H29/H$12)</f>
        <v>#NAME?</v>
      </c>
      <c r="K29" s="5"/>
      <c r="L29" s="5" t="e">
        <f ca="1">+D29-H29</f>
        <v>#NAME?</v>
      </c>
      <c r="M29" s="5"/>
      <c r="N29" s="13" t="e">
        <f ca="1">IF(H29=0,0,L29/H29)</f>
        <v>#NAME?</v>
      </c>
      <c r="O29" s="11"/>
      <c r="P29" s="5" t="e">
        <f ca="1">_xll.ONESTOP.REPORTPLAYER.OSRFUNCTIONS.OSRGET("GL_F_Trans","Value1")</f>
        <v>#NAME?</v>
      </c>
      <c r="Q29" s="5"/>
      <c r="R29" s="13" t="e">
        <f ca="1">IF(P$12=0,0,P29/P$12)</f>
        <v>#NAME?</v>
      </c>
      <c r="S29" s="5"/>
      <c r="T29" s="5" t="e">
        <f ca="1">_xll.ONESTOP.REPORTPLAYER.OSRFUNCTIONS.OSRGET("GL_F_Trans","Value1")</f>
        <v>#NAME?</v>
      </c>
      <c r="U29" s="5"/>
      <c r="V29" s="13" t="e">
        <f ca="1">IF(T$12=0,0,T29/T$12)</f>
        <v>#NAME?</v>
      </c>
      <c r="W29" s="5"/>
      <c r="X29" s="5" t="e">
        <f ca="1">+P29-T29</f>
        <v>#NAME?</v>
      </c>
      <c r="Y29" s="5"/>
      <c r="Z29" s="13" t="e">
        <f ca="1">IF(T29=0,0,X29/T29)</f>
        <v>#NAME?</v>
      </c>
    </row>
    <row r="30" spans="1:26" ht="15" customHeight="1" x14ac:dyDescent="0.3">
      <c r="A30" s="10"/>
      <c r="B30" s="11"/>
      <c r="C30" s="11"/>
      <c r="D30" s="4"/>
      <c r="E30" s="4"/>
      <c r="F30" s="9"/>
      <c r="G30" s="4"/>
      <c r="H30" s="4"/>
      <c r="I30" s="4"/>
      <c r="J30" s="9"/>
      <c r="K30" s="4"/>
      <c r="L30" s="4"/>
      <c r="M30" s="4"/>
      <c r="N30" s="9"/>
      <c r="O30" s="11"/>
      <c r="P30" s="4"/>
      <c r="Q30" s="4"/>
      <c r="R30" s="9"/>
      <c r="S30" s="4"/>
      <c r="T30" s="4"/>
      <c r="U30" s="4"/>
      <c r="V30" s="9"/>
      <c r="W30" s="4"/>
      <c r="X30" s="4"/>
      <c r="Y30" s="4"/>
      <c r="Z30" s="9"/>
    </row>
    <row r="31" spans="1:26" s="63" customFormat="1" ht="15" customHeight="1" x14ac:dyDescent="0.3">
      <c r="A31" s="11"/>
      <c r="B31" s="27" t="s">
        <v>294</v>
      </c>
      <c r="C31" s="27"/>
      <c r="D31" s="34" t="e">
        <f ca="1">+D27-D29</f>
        <v>#NAME?</v>
      </c>
      <c r="E31" s="15"/>
      <c r="F31" s="29" t="e">
        <f ca="1">IF(D$12=0,0,D31/D$12)</f>
        <v>#NAME?</v>
      </c>
      <c r="G31" s="15"/>
      <c r="H31" s="34" t="e">
        <f ca="1">+H27-H29</f>
        <v>#NAME?</v>
      </c>
      <c r="I31" s="15"/>
      <c r="J31" s="29" t="e">
        <f ca="1">IF(H$12=0,0,H31/H$12)</f>
        <v>#NAME?</v>
      </c>
      <c r="K31" s="16"/>
      <c r="L31" s="34" t="e">
        <f ca="1">D31-H31</f>
        <v>#NAME?</v>
      </c>
      <c r="M31" s="16"/>
      <c r="N31" s="29" t="e">
        <f ca="1">IF(H31=0,0,L31/H31)</f>
        <v>#NAME?</v>
      </c>
      <c r="O31" s="28"/>
      <c r="P31" s="34" t="e">
        <f ca="1">+P27-P29</f>
        <v>#NAME?</v>
      </c>
      <c r="Q31" s="15"/>
      <c r="R31" s="29" t="e">
        <f ca="1">IF(P$12=0,0,P31/P$12)</f>
        <v>#NAME?</v>
      </c>
      <c r="S31" s="15"/>
      <c r="T31" s="34" t="e">
        <f ca="1">+T27-T29</f>
        <v>#NAME?</v>
      </c>
      <c r="U31" s="15"/>
      <c r="V31" s="29" t="e">
        <f ca="1">IF(T$12=0,0,T31/T$12)</f>
        <v>#NAME?</v>
      </c>
      <c r="W31" s="16"/>
      <c r="X31" s="34" t="e">
        <f ca="1">P31-T31</f>
        <v>#NAME?</v>
      </c>
      <c r="Y31" s="16"/>
      <c r="Z31" s="29" t="e">
        <f ca="1">IF(T31=0,0,X31/T31)</f>
        <v>#NAME?</v>
      </c>
    </row>
    <row r="32" spans="1:26" ht="15" customHeight="1" x14ac:dyDescent="0.3">
      <c r="A32" s="10"/>
      <c r="B32" s="10"/>
      <c r="C32" s="10"/>
      <c r="D32" s="4"/>
      <c r="E32" s="4"/>
      <c r="F32" s="9"/>
      <c r="G32" s="4"/>
      <c r="H32" s="4"/>
      <c r="I32" s="4"/>
      <c r="J32" s="9"/>
      <c r="K32" s="4"/>
      <c r="L32" s="4"/>
      <c r="M32" s="4"/>
      <c r="N32" s="9"/>
      <c r="P32" s="4"/>
      <c r="Q32" s="4"/>
      <c r="R32" s="9"/>
      <c r="S32" s="4"/>
      <c r="T32" s="4"/>
      <c r="U32" s="4"/>
      <c r="V32" s="9"/>
      <c r="W32" s="4"/>
      <c r="X32" s="4"/>
      <c r="Y32" s="4"/>
      <c r="Z32" s="9"/>
    </row>
    <row r="33" spans="1:26" s="63" customFormat="1" ht="15" customHeight="1" x14ac:dyDescent="0.3">
      <c r="A33" s="49"/>
      <c r="B33" s="11" t="s">
        <v>295</v>
      </c>
      <c r="C33" s="11"/>
      <c r="D33" s="5" t="e">
        <f ca="1">-_xll.ONESTOP.REPORTPLAYER.OSRFUNCTIONS.OSRGET("GL_F_Trans","Value1")</f>
        <v>#NAME?</v>
      </c>
      <c r="E33" s="5"/>
      <c r="F33" s="13" t="e">
        <f ca="1">IF(D$12=0,0,D33/D$12)</f>
        <v>#NAME?</v>
      </c>
      <c r="G33" s="5"/>
      <c r="H33" s="5" t="e">
        <f ca="1">-_xll.ONESTOP.REPORTPLAYER.OSRFUNCTIONS.OSRGET("GL_F_Trans","Value1")</f>
        <v>#NAME?</v>
      </c>
      <c r="I33" s="5"/>
      <c r="J33" s="13" t="e">
        <f ca="1">IF(H$12=0,0,H33/H$12)</f>
        <v>#NAME?</v>
      </c>
      <c r="K33" s="5"/>
      <c r="L33" s="5" t="e">
        <f ca="1">+D33-H33</f>
        <v>#NAME?</v>
      </c>
      <c r="M33" s="5"/>
      <c r="N33" s="13" t="e">
        <f ca="1">IF(H33=0,0,L33/H33)</f>
        <v>#NAME?</v>
      </c>
      <c r="O33" s="11"/>
      <c r="P33" s="5" t="e">
        <f ca="1">-_xll.ONESTOP.REPORTPLAYER.OSRFUNCTIONS.OSRGET("GL_F_Trans","Value1")</f>
        <v>#NAME?</v>
      </c>
      <c r="Q33" s="5"/>
      <c r="R33" s="13" t="e">
        <f ca="1">IF(P$12=0,0,P33/P$12)</f>
        <v>#NAME?</v>
      </c>
      <c r="S33" s="5"/>
      <c r="T33" s="5" t="e">
        <f ca="1">-_xll.ONESTOP.REPORTPLAYER.OSRFUNCTIONS.OSRGET("GL_F_Trans","Value1")</f>
        <v>#NAME?</v>
      </c>
      <c r="U33" s="5"/>
      <c r="V33" s="13" t="e">
        <f ca="1">IF(T$12=0,0,T33/T$12)</f>
        <v>#NAME?</v>
      </c>
      <c r="W33" s="5"/>
      <c r="X33" s="5" t="e">
        <f ca="1">+P33-T33</f>
        <v>#NAME?</v>
      </c>
      <c r="Y33" s="5"/>
      <c r="Z33" s="13" t="e">
        <f ca="1">IF(T33=0,0,X33/T33)</f>
        <v>#NAME?</v>
      </c>
    </row>
    <row r="34" spans="1:26" s="63" customFormat="1" ht="15" customHeight="1" x14ac:dyDescent="0.3">
      <c r="A34" s="49"/>
      <c r="B34" s="11" t="s">
        <v>296</v>
      </c>
      <c r="C34" s="11"/>
      <c r="D34" s="5" t="e">
        <f ca="1">-_xll.ONESTOP.REPORTPLAYER.OSRFUNCTIONS.OSRGET("GL_F_Trans","Value1")</f>
        <v>#NAME?</v>
      </c>
      <c r="E34" s="5"/>
      <c r="F34" s="13" t="e">
        <f ca="1">IF(D$12=0,0,D34/D$12)</f>
        <v>#NAME?</v>
      </c>
      <c r="G34" s="5"/>
      <c r="H34" s="5" t="e">
        <f ca="1">-_xll.ONESTOP.REPORTPLAYER.OSRFUNCTIONS.OSRGET("GL_F_Trans","Value1")</f>
        <v>#NAME?</v>
      </c>
      <c r="I34" s="5"/>
      <c r="J34" s="13" t="e">
        <f ca="1">IF(H$12=0,0,H34/H$12)</f>
        <v>#NAME?</v>
      </c>
      <c r="K34" s="5"/>
      <c r="L34" s="5" t="e">
        <f ca="1">+D34-H34</f>
        <v>#NAME?</v>
      </c>
      <c r="M34" s="5"/>
      <c r="N34" s="13" t="e">
        <f ca="1">IF(H34=0,0,L34/H34)</f>
        <v>#NAME?</v>
      </c>
      <c r="O34" s="11"/>
      <c r="P34" s="5" t="e">
        <f ca="1">-_xll.ONESTOP.REPORTPLAYER.OSRFUNCTIONS.OSRGET("GL_F_Trans","Value1")</f>
        <v>#NAME?</v>
      </c>
      <c r="Q34" s="5"/>
      <c r="R34" s="13" t="e">
        <f ca="1">IF(P$12=0,0,P34/P$12)</f>
        <v>#NAME?</v>
      </c>
      <c r="S34" s="5"/>
      <c r="T34" s="5" t="e">
        <f ca="1">-_xll.ONESTOP.REPORTPLAYER.OSRFUNCTIONS.OSRGET("GL_F_Trans","Value1")</f>
        <v>#NAME?</v>
      </c>
      <c r="U34" s="5"/>
      <c r="V34" s="13" t="e">
        <f ca="1">IF(T$12=0,0,T34/T$12)</f>
        <v>#NAME?</v>
      </c>
      <c r="W34" s="5"/>
      <c r="X34" s="5" t="e">
        <f ca="1">+P34-T34</f>
        <v>#NAME?</v>
      </c>
      <c r="Y34" s="5"/>
      <c r="Z34" s="13" t="e">
        <f ca="1">IF(T34=0,0,X34/T34)</f>
        <v>#NAME?</v>
      </c>
    </row>
    <row r="35" spans="1:26" ht="15" customHeight="1" x14ac:dyDescent="0.3">
      <c r="A35" s="10"/>
      <c r="B35" s="10"/>
      <c r="C35" s="10"/>
      <c r="D35" s="4"/>
      <c r="E35" s="4"/>
      <c r="F35" s="9"/>
      <c r="G35" s="4"/>
      <c r="H35" s="4"/>
      <c r="I35" s="4"/>
      <c r="J35" s="9"/>
      <c r="K35" s="4"/>
      <c r="L35" s="4"/>
      <c r="M35" s="4"/>
      <c r="N35" s="9"/>
      <c r="P35" s="4"/>
      <c r="Q35" s="4"/>
      <c r="R35" s="9"/>
      <c r="S35" s="4"/>
      <c r="T35" s="4"/>
      <c r="U35" s="4"/>
      <c r="V35" s="9"/>
      <c r="W35" s="4"/>
      <c r="X35" s="4"/>
      <c r="Y35" s="4"/>
      <c r="Z35" s="9"/>
    </row>
    <row r="36" spans="1:26" s="63" customFormat="1" ht="15" customHeight="1" x14ac:dyDescent="0.3">
      <c r="A36" s="11"/>
      <c r="B36" s="27" t="s">
        <v>297</v>
      </c>
      <c r="C36" s="27"/>
      <c r="D36" s="32" t="e">
        <f ca="1">SUM(D31:D35)</f>
        <v>#NAME?</v>
      </c>
      <c r="E36" s="15"/>
      <c r="F36" s="31" t="e">
        <f ca="1">IF(D$12=0,0,D36/D$12)</f>
        <v>#NAME?</v>
      </c>
      <c r="G36" s="15"/>
      <c r="H36" s="32" t="e">
        <f ca="1">SUM(H31:H35)</f>
        <v>#NAME?</v>
      </c>
      <c r="I36" s="15"/>
      <c r="J36" s="31" t="e">
        <f ca="1">IF(H$12=0,0,H36/H$12)</f>
        <v>#NAME?</v>
      </c>
      <c r="K36" s="16"/>
      <c r="L36" s="32" t="e">
        <f ca="1">+D36-H36</f>
        <v>#NAME?</v>
      </c>
      <c r="M36" s="16"/>
      <c r="N36" s="31" t="e">
        <f ca="1">IF(H36=0,0,L36/H36)</f>
        <v>#NAME?</v>
      </c>
      <c r="O36" s="28"/>
      <c r="P36" s="32" t="e">
        <f ca="1">SUM(P31:P35)</f>
        <v>#NAME?</v>
      </c>
      <c r="Q36" s="15"/>
      <c r="R36" s="31" t="e">
        <f ca="1">IF(P$12=0,0,P36/P$12)</f>
        <v>#NAME?</v>
      </c>
      <c r="S36" s="15"/>
      <c r="T36" s="32" t="e">
        <f ca="1">SUM(T31:T35)</f>
        <v>#NAME?</v>
      </c>
      <c r="U36" s="15"/>
      <c r="V36" s="31" t="e">
        <f ca="1">IF(T$12=0,0,T36/T$12)</f>
        <v>#NAME?</v>
      </c>
      <c r="W36" s="16"/>
      <c r="X36" s="32" t="e">
        <f ca="1">+P36-T36</f>
        <v>#NAME?</v>
      </c>
      <c r="Y36" s="16"/>
      <c r="Z36" s="31" t="e">
        <f ca="1">IF(T36=0,0,X36/T36)</f>
        <v>#NAME?</v>
      </c>
    </row>
    <row r="37" spans="1:26" ht="15" customHeight="1" x14ac:dyDescent="0.3">
      <c r="A37" s="10"/>
      <c r="C37" s="10"/>
      <c r="D37" s="19"/>
      <c r="E37" s="19"/>
      <c r="G37" s="19"/>
      <c r="H37" s="19"/>
      <c r="I37" s="19"/>
      <c r="J37" s="40"/>
      <c r="K37" s="19"/>
      <c r="L37" s="19"/>
      <c r="M37" s="19"/>
      <c r="P37" s="19"/>
      <c r="Q37" s="19"/>
      <c r="R37" s="40"/>
      <c r="S37" s="19"/>
      <c r="T37" s="19"/>
      <c r="U37" s="19"/>
      <c r="V37" s="40"/>
      <c r="W37" s="19"/>
      <c r="X37" s="19"/>
    </row>
    <row r="38" spans="1:26" ht="15" customHeight="1" x14ac:dyDescent="0.3">
      <c r="A38" s="10"/>
      <c r="B38" s="51" t="e">
        <f ca="1">_xll.ONESTOP.REPORTPLAYER.OSRFUNCTIONS.OSRGET("CurrentDate","Date")</f>
        <v>#NAME?</v>
      </c>
      <c r="D38" s="19"/>
      <c r="E38" s="19"/>
      <c r="G38" s="19"/>
      <c r="H38" s="19"/>
      <c r="I38" s="19"/>
      <c r="J38" s="40"/>
      <c r="K38" s="19"/>
      <c r="L38" s="19"/>
      <c r="M38" s="19"/>
      <c r="P38" s="19"/>
      <c r="Q38" s="19"/>
      <c r="R38" s="40"/>
      <c r="S38" s="19"/>
      <c r="T38" s="19"/>
      <c r="U38" s="19"/>
      <c r="V38" s="40"/>
      <c r="W38" s="19"/>
      <c r="X38" s="19"/>
    </row>
    <row r="39" spans="1:26" ht="15" customHeight="1" x14ac:dyDescent="0.3">
      <c r="A39" s="10"/>
      <c r="B39" s="58" t="e">
        <f ca="1">_xll.ONESTOP.REPORTPLAYER.OSRFUNCTIONS.OSRGET("User","UserId")</f>
        <v>#NAME?</v>
      </c>
      <c r="D39" s="19"/>
      <c r="E39" s="19"/>
      <c r="G39" s="19"/>
      <c r="H39" s="19"/>
      <c r="I39" s="19"/>
      <c r="J39" s="40"/>
      <c r="K39" s="19"/>
      <c r="L39" s="19"/>
      <c r="M39" s="19"/>
      <c r="P39" s="19"/>
      <c r="Q39" s="19"/>
      <c r="R39" s="40"/>
      <c r="S39" s="19"/>
      <c r="T39" s="19"/>
      <c r="U39" s="19"/>
      <c r="V39" s="40"/>
      <c r="W39" s="19"/>
      <c r="X39" s="19"/>
    </row>
    <row r="40" spans="1:26" ht="15" customHeight="1" x14ac:dyDescent="0.3">
      <c r="A40" s="10"/>
      <c r="B40" s="50"/>
      <c r="D40" s="19"/>
      <c r="E40" s="19"/>
      <c r="G40" s="19"/>
      <c r="H40" s="19"/>
      <c r="I40" s="19"/>
      <c r="J40" s="40"/>
      <c r="K40" s="19"/>
      <c r="L40" s="19"/>
      <c r="M40" s="19"/>
      <c r="P40" s="19"/>
      <c r="Q40" s="19"/>
      <c r="R40" s="40"/>
      <c r="S40" s="19"/>
      <c r="T40" s="19"/>
      <c r="U40" s="19"/>
      <c r="V40" s="40"/>
      <c r="W40" s="19"/>
      <c r="X40" s="19"/>
    </row>
    <row r="41" spans="1:26" ht="15" customHeight="1" x14ac:dyDescent="0.3">
      <c r="D41" s="19"/>
      <c r="E41" s="19"/>
      <c r="G41" s="19"/>
      <c r="H41" s="19"/>
      <c r="I41" s="19"/>
      <c r="J41" s="40"/>
      <c r="K41" s="19"/>
      <c r="L41" s="19"/>
      <c r="M41" s="19"/>
      <c r="P41" s="19"/>
      <c r="Q41" s="19"/>
      <c r="R41" s="40"/>
      <c r="S41" s="19"/>
      <c r="T41" s="19"/>
      <c r="U41" s="19"/>
      <c r="V41" s="40"/>
      <c r="W41" s="19"/>
      <c r="X41" s="19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FB18C6-6931-59D2-B67C-4CAA39468F63}">
  <sheetPr>
    <tabColor rgb="FF00B0F0"/>
    <outlinePr summaryBelow="0" summaryRight="0"/>
  </sheetPr>
  <dimension ref="A2:Z192"/>
  <sheetViews>
    <sheetView showGridLines="0" tabSelected="1" defaultGridColor="0" colorId="8" zoomScale="80" workbookViewId="0">
      <pane xSplit="3" ySplit="10" topLeftCell="D114" activePane="bottomRight" state="frozen"/>
      <selection pane="topRight" activeCell="D1" sqref="D1"/>
      <selection pane="bottomLeft" activeCell="A11" sqref="A11"/>
      <selection pane="bottomRight" activeCell="D114" sqref="D114"/>
    </sheetView>
  </sheetViews>
  <sheetFormatPr defaultRowHeight="14.85" customHeight="1" outlineLevelRow="2" outlineLevelCol="1" x14ac:dyDescent="0.3"/>
  <cols>
    <col min="1" max="1" width="1.88671875" style="66" customWidth="1"/>
    <col min="2" max="2" width="33.44140625" style="66" customWidth="1"/>
    <col min="3" max="3" width="1.88671875" style="66" customWidth="1"/>
    <col min="4" max="4" width="15" style="66" customWidth="1"/>
    <col min="5" max="5" width="1.88671875" style="66" customWidth="1" outlineLevel="1"/>
    <col min="6" max="6" width="15" style="67" customWidth="1" outlineLevel="1"/>
    <col min="7" max="7" width="1.88671875" style="66" customWidth="1" outlineLevel="1"/>
    <col min="8" max="8" width="15" style="66" customWidth="1" outlineLevel="1"/>
    <col min="9" max="9" width="1.88671875" style="66" customWidth="1" outlineLevel="1"/>
    <col min="10" max="10" width="15" style="68" customWidth="1" outlineLevel="1"/>
    <col min="11" max="11" width="1.88671875" style="66" customWidth="1" outlineLevel="1"/>
    <col min="12" max="12" width="15" style="66" customWidth="1" outlineLevel="1"/>
    <col min="13" max="13" width="1.88671875" style="66" customWidth="1" outlineLevel="1"/>
    <col min="14" max="14" width="15" style="67" customWidth="1" outlineLevel="1"/>
    <col min="15" max="15" width="1.88671875" style="64" customWidth="1"/>
    <col min="16" max="16" width="15" style="66" customWidth="1"/>
    <col min="17" max="17" width="1.88671875" style="66" customWidth="1" outlineLevel="1"/>
    <col min="18" max="18" width="15" style="68" customWidth="1" outlineLevel="1"/>
    <col min="19" max="19" width="1.88671875" style="66" customWidth="1" outlineLevel="1"/>
    <col min="20" max="20" width="15" style="66" customWidth="1" outlineLevel="1"/>
    <col min="21" max="21" width="1.88671875" style="66" customWidth="1" outlineLevel="1"/>
    <col min="22" max="22" width="15" style="68" customWidth="1" outlineLevel="1"/>
    <col min="23" max="23" width="1.88671875" style="66" customWidth="1" outlineLevel="1"/>
    <col min="24" max="24" width="15" style="66" customWidth="1" outlineLevel="1"/>
    <col min="25" max="25" width="1.88671875" style="66" customWidth="1" outlineLevel="1"/>
    <col min="26" max="26" width="15" style="68" customWidth="1" outlineLevel="1"/>
  </cols>
  <sheetData>
    <row r="2" spans="1:26" ht="15" customHeight="1" x14ac:dyDescent="0.3">
      <c r="D2" s="54" t="s">
        <v>276</v>
      </c>
    </row>
    <row r="3" spans="1:26" ht="15" customHeight="1" x14ac:dyDescent="0.3">
      <c r="D3" s="54" t="s">
        <v>277</v>
      </c>
      <c r="E3" s="18"/>
      <c r="F3" s="44"/>
      <c r="G3" s="18"/>
      <c r="H3" s="18"/>
      <c r="I3" s="18"/>
      <c r="J3" s="38"/>
      <c r="K3" s="18"/>
      <c r="L3" s="18"/>
      <c r="M3" s="18"/>
      <c r="N3" s="44"/>
      <c r="O3" s="53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ht="15" customHeight="1" x14ac:dyDescent="0.3">
      <c r="D4" s="54" t="str">
        <f>CONCATENATE("Period ",RIGHT(202209,2),", ",2022)</f>
        <v>Period 09, 2022</v>
      </c>
      <c r="E4" s="18"/>
      <c r="F4" s="44"/>
      <c r="G4" s="18"/>
      <c r="H4" s="18"/>
      <c r="I4" s="18"/>
      <c r="J4" s="38"/>
      <c r="K4" s="18"/>
      <c r="L4" s="18"/>
      <c r="M4" s="18"/>
      <c r="N4" s="44"/>
      <c r="O4" s="53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ht="15" customHeight="1" x14ac:dyDescent="0.3">
      <c r="A5" s="24"/>
      <c r="D5" s="60">
        <v>44646</v>
      </c>
      <c r="E5" s="18"/>
      <c r="F5" s="44"/>
      <c r="G5" s="18"/>
      <c r="H5" s="18"/>
      <c r="I5" s="18"/>
      <c r="J5" s="38"/>
      <c r="K5" s="18"/>
      <c r="L5" s="18"/>
      <c r="M5" s="18"/>
      <c r="N5" s="44"/>
      <c r="O5" s="53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ht="15" customHeight="1" x14ac:dyDescent="0.3">
      <c r="A6" s="24"/>
      <c r="B6" s="47"/>
      <c r="C6" s="47"/>
      <c r="D6" s="24" t="s">
        <v>278</v>
      </c>
      <c r="E6" s="18"/>
      <c r="F6" s="44"/>
      <c r="G6" s="18"/>
      <c r="H6" s="18"/>
      <c r="I6" s="18"/>
      <c r="J6" s="38"/>
      <c r="K6" s="18"/>
      <c r="L6" s="18"/>
      <c r="M6" s="18"/>
      <c r="N6" s="44"/>
      <c r="O6" s="59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ht="15" customHeight="1" x14ac:dyDescent="0.3">
      <c r="B7" s="52"/>
    </row>
    <row r="8" spans="1:26" ht="15" customHeight="1" x14ac:dyDescent="0.3">
      <c r="B8" s="52"/>
    </row>
    <row r="9" spans="1:26" ht="15" customHeight="1" x14ac:dyDescent="0.3">
      <c r="B9" s="10"/>
      <c r="C9" s="10"/>
      <c r="D9" s="17" t="s">
        <v>279</v>
      </c>
      <c r="E9" s="17"/>
      <c r="F9" s="36"/>
      <c r="G9" s="17"/>
      <c r="H9" s="17"/>
      <c r="I9" s="17"/>
      <c r="J9" s="43"/>
      <c r="K9" s="17"/>
      <c r="L9" s="17"/>
      <c r="M9" s="17"/>
      <c r="N9" s="36"/>
      <c r="P9" s="17" t="s">
        <v>280</v>
      </c>
      <c r="Q9" s="17"/>
      <c r="R9" s="36"/>
      <c r="S9" s="17"/>
      <c r="T9" s="17"/>
      <c r="U9" s="17"/>
      <c r="V9" s="43"/>
      <c r="W9" s="17"/>
      <c r="X9" s="17"/>
      <c r="Y9" s="17"/>
      <c r="Z9" s="36"/>
    </row>
    <row r="10" spans="1:26" ht="15" customHeight="1" x14ac:dyDescent="0.3">
      <c r="A10" s="11"/>
      <c r="B10" s="57"/>
      <c r="C10" s="11"/>
      <c r="D10" s="41" t="s">
        <v>281</v>
      </c>
      <c r="E10" s="33"/>
      <c r="F10" s="37" t="s">
        <v>282</v>
      </c>
      <c r="G10" s="33"/>
      <c r="H10" s="48" t="s">
        <v>283</v>
      </c>
      <c r="I10" s="33"/>
      <c r="J10" s="45" t="s">
        <v>284</v>
      </c>
      <c r="K10" s="11"/>
      <c r="L10" s="41" t="s">
        <v>285</v>
      </c>
      <c r="M10" s="11"/>
      <c r="N10" s="37" t="s">
        <v>286</v>
      </c>
      <c r="O10" s="11"/>
      <c r="P10" s="56" t="s">
        <v>281</v>
      </c>
      <c r="Q10" s="33"/>
      <c r="R10" s="37" t="s">
        <v>282</v>
      </c>
      <c r="S10" s="33"/>
      <c r="T10" s="48" t="s">
        <v>283</v>
      </c>
      <c r="U10" s="33"/>
      <c r="V10" s="45" t="s">
        <v>284</v>
      </c>
      <c r="W10" s="11"/>
      <c r="X10" s="41" t="s">
        <v>285</v>
      </c>
      <c r="Y10" s="11"/>
      <c r="Z10" s="37" t="s">
        <v>286</v>
      </c>
    </row>
    <row r="11" spans="1:26" ht="16.5" customHeight="1" x14ac:dyDescent="0.3">
      <c r="A11" s="10"/>
      <c r="B11" s="55"/>
      <c r="C11" s="10"/>
      <c r="D11" s="10"/>
      <c r="E11" s="10"/>
      <c r="F11" s="9"/>
      <c r="G11" s="10"/>
      <c r="H11" s="10"/>
      <c r="I11" s="10"/>
      <c r="J11" s="46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6"/>
      <c r="W11" s="10"/>
      <c r="X11" s="10"/>
      <c r="Y11" s="10"/>
      <c r="Z11" s="9"/>
    </row>
    <row r="12" spans="1:26" s="63" customFormat="1" ht="15" customHeight="1" collapsed="1" x14ac:dyDescent="0.3">
      <c r="A12" s="11"/>
      <c r="B12" s="28" t="s">
        <v>287</v>
      </c>
      <c r="C12" s="11"/>
      <c r="D12" s="5">
        <f>SUM(OSRRefD13x_0)</f>
        <v>2868157.09</v>
      </c>
      <c r="E12" s="5"/>
      <c r="F12" s="13"/>
      <c r="G12" s="5"/>
      <c r="H12" s="5">
        <f>SUM(OSRRefH13x_0)</f>
        <v>2063199</v>
      </c>
      <c r="I12" s="5"/>
      <c r="J12" s="13"/>
      <c r="K12" s="5"/>
      <c r="L12" s="5">
        <f t="shared" ref="L12:L25" si="0">+D12-H12</f>
        <v>804958.08999999985</v>
      </c>
      <c r="M12" s="5"/>
      <c r="N12" s="13">
        <f t="shared" ref="N12:N25" si="1">IF(H12=0,0,L12/H12)</f>
        <v>0.39015048475692354</v>
      </c>
      <c r="O12" s="11"/>
      <c r="P12" s="5">
        <f>SUM(OSRRefP13x_0)</f>
        <v>18514642.320000004</v>
      </c>
      <c r="Q12" s="5"/>
      <c r="R12" s="13"/>
      <c r="S12" s="5"/>
      <c r="T12" s="5">
        <f>SUM(OSRRefT13x_0)</f>
        <v>18899432</v>
      </c>
      <c r="U12" s="5"/>
      <c r="V12" s="13"/>
      <c r="W12" s="5"/>
      <c r="X12" s="5">
        <f t="shared" ref="X12:X25" si="2">+P12-T12</f>
        <v>-384789.67999999598</v>
      </c>
      <c r="Y12" s="5"/>
      <c r="Z12" s="13">
        <f t="shared" ref="Z12:Z25" si="3">IF(T12=0,0,X12/T12)</f>
        <v>-2.0359854200909105E-2</v>
      </c>
    </row>
    <row r="13" spans="1:26" s="70" customFormat="1" ht="15" hidden="1" customHeight="1" outlineLevel="1" x14ac:dyDescent="0.3">
      <c r="A13" s="42"/>
      <c r="B13" s="12" t="str">
        <f>CONCATENATE("          ","4000"," - ","TAXABLE SALES")</f>
        <v xml:space="preserve">          4000 - TAXABLE SALES</v>
      </c>
      <c r="C13" s="12"/>
      <c r="D13" s="3">
        <f>--976734.65</f>
        <v>976734.65</v>
      </c>
      <c r="E13" s="3"/>
      <c r="F13" s="20"/>
      <c r="G13" s="3"/>
      <c r="H13" s="3">
        <v>580429</v>
      </c>
      <c r="I13" s="3"/>
      <c r="J13" s="20"/>
      <c r="K13" s="3"/>
      <c r="L13" s="3">
        <f t="shared" si="0"/>
        <v>396305.65</v>
      </c>
      <c r="M13" s="3"/>
      <c r="N13" s="20">
        <f t="shared" si="1"/>
        <v>0.68278058125972341</v>
      </c>
      <c r="O13" s="12"/>
      <c r="P13" s="3">
        <f>--6468321.94</f>
        <v>6468321.9400000004</v>
      </c>
      <c r="Q13" s="3"/>
      <c r="R13" s="20"/>
      <c r="S13" s="3"/>
      <c r="T13" s="3">
        <v>9668111</v>
      </c>
      <c r="U13" s="3"/>
      <c r="V13" s="20"/>
      <c r="W13" s="3"/>
      <c r="X13" s="3">
        <f t="shared" si="2"/>
        <v>-3199789.0599999996</v>
      </c>
      <c r="Y13" s="3"/>
      <c r="Z13" s="20">
        <f t="shared" si="3"/>
        <v>-0.33096321091059044</v>
      </c>
    </row>
    <row r="14" spans="1:26" s="70" customFormat="1" ht="15" hidden="1" customHeight="1" outlineLevel="1" x14ac:dyDescent="0.3">
      <c r="A14" s="42"/>
      <c r="B14" s="12" t="str">
        <f>CONCATENATE("          ","4051"," - ","TAXABLE SALES-FOOD")</f>
        <v xml:space="preserve">          4051 - TAXABLE SALES-FOOD</v>
      </c>
      <c r="C14" s="12"/>
      <c r="D14" s="3">
        <f>--58129.76</f>
        <v>58129.760000000002</v>
      </c>
      <c r="E14" s="3"/>
      <c r="F14" s="20"/>
      <c r="G14" s="3"/>
      <c r="H14" s="3"/>
      <c r="I14" s="3"/>
      <c r="J14" s="20"/>
      <c r="K14" s="3"/>
      <c r="L14" s="3">
        <f t="shared" si="0"/>
        <v>58129.760000000002</v>
      </c>
      <c r="M14" s="3"/>
      <c r="N14" s="20">
        <f t="shared" si="1"/>
        <v>0</v>
      </c>
      <c r="O14" s="12"/>
      <c r="P14" s="3">
        <f>--263820.05</f>
        <v>263820.05</v>
      </c>
      <c r="Q14" s="3"/>
      <c r="R14" s="20"/>
      <c r="S14" s="3"/>
      <c r="T14" s="3"/>
      <c r="U14" s="3"/>
      <c r="V14" s="20"/>
      <c r="W14" s="3"/>
      <c r="X14" s="3">
        <f t="shared" si="2"/>
        <v>263820.05</v>
      </c>
      <c r="Y14" s="3"/>
      <c r="Z14" s="20">
        <f t="shared" si="3"/>
        <v>0</v>
      </c>
    </row>
    <row r="15" spans="1:26" s="70" customFormat="1" ht="15" hidden="1" customHeight="1" outlineLevel="1" x14ac:dyDescent="0.3">
      <c r="A15" s="42"/>
      <c r="B15" s="12" t="str">
        <f>CONCATENATE("          ","4053"," - ","TAXABLE SALES-FOOD")</f>
        <v xml:space="preserve">          4053 - TAXABLE SALES-FOOD</v>
      </c>
      <c r="C15" s="12"/>
      <c r="D15" s="3">
        <f>--3253.6</f>
        <v>3253.6</v>
      </c>
      <c r="E15" s="3"/>
      <c r="F15" s="20"/>
      <c r="G15" s="3"/>
      <c r="H15" s="3"/>
      <c r="I15" s="3"/>
      <c r="J15" s="20"/>
      <c r="K15" s="3"/>
      <c r="L15" s="3">
        <f t="shared" si="0"/>
        <v>3253.6</v>
      </c>
      <c r="M15" s="3"/>
      <c r="N15" s="20">
        <f t="shared" si="1"/>
        <v>0</v>
      </c>
      <c r="O15" s="12"/>
      <c r="P15" s="3">
        <f>--21600.3</f>
        <v>21600.3</v>
      </c>
      <c r="Q15" s="3"/>
      <c r="R15" s="20"/>
      <c r="S15" s="3"/>
      <c r="T15" s="3"/>
      <c r="U15" s="3"/>
      <c r="V15" s="20"/>
      <c r="W15" s="3"/>
      <c r="X15" s="3">
        <f t="shared" si="2"/>
        <v>21600.3</v>
      </c>
      <c r="Y15" s="3"/>
      <c r="Z15" s="20">
        <f t="shared" si="3"/>
        <v>0</v>
      </c>
    </row>
    <row r="16" spans="1:26" s="70" customFormat="1" ht="15" hidden="1" customHeight="1" outlineLevel="1" x14ac:dyDescent="0.3">
      <c r="A16" s="42"/>
      <c r="B16" s="12" t="str">
        <f>CONCATENATE("          ","4055"," - ","TAXABLE SALES-FOOD")</f>
        <v xml:space="preserve">          4055 - TAXABLE SALES-FOOD</v>
      </c>
      <c r="C16" s="12"/>
      <c r="D16" s="3">
        <f>--541.27</f>
        <v>541.27</v>
      </c>
      <c r="E16" s="3"/>
      <c r="F16" s="20"/>
      <c r="G16" s="3"/>
      <c r="H16" s="3"/>
      <c r="I16" s="3"/>
      <c r="J16" s="20"/>
      <c r="K16" s="3"/>
      <c r="L16" s="3">
        <f t="shared" si="0"/>
        <v>541.27</v>
      </c>
      <c r="M16" s="3"/>
      <c r="N16" s="20">
        <f t="shared" si="1"/>
        <v>0</v>
      </c>
      <c r="O16" s="12"/>
      <c r="P16" s="3">
        <f>--541.27</f>
        <v>541.27</v>
      </c>
      <c r="Q16" s="3"/>
      <c r="R16" s="20"/>
      <c r="S16" s="3"/>
      <c r="T16" s="3"/>
      <c r="U16" s="3"/>
      <c r="V16" s="20"/>
      <c r="W16" s="3"/>
      <c r="X16" s="3">
        <f t="shared" si="2"/>
        <v>541.27</v>
      </c>
      <c r="Y16" s="3"/>
      <c r="Z16" s="20">
        <f t="shared" si="3"/>
        <v>0</v>
      </c>
    </row>
    <row r="17" spans="1:26" s="70" customFormat="1" ht="15" hidden="1" customHeight="1" outlineLevel="1" x14ac:dyDescent="0.3">
      <c r="A17" s="42"/>
      <c r="B17" s="12" t="str">
        <f>CONCATENATE("          ","4100"," - ","NON-TAXABLE SALES")</f>
        <v xml:space="preserve">          4100 - NON-TAXABLE SALES</v>
      </c>
      <c r="C17" s="12"/>
      <c r="D17" s="3">
        <f>--318217.57</f>
        <v>318217.57</v>
      </c>
      <c r="E17" s="3"/>
      <c r="F17" s="20"/>
      <c r="G17" s="3"/>
      <c r="H17" s="3">
        <v>1482770</v>
      </c>
      <c r="I17" s="3"/>
      <c r="J17" s="20"/>
      <c r="K17" s="3"/>
      <c r="L17" s="3">
        <f t="shared" si="0"/>
        <v>-1164552.43</v>
      </c>
      <c r="M17" s="3"/>
      <c r="N17" s="20">
        <f t="shared" si="1"/>
        <v>-0.78538979747364723</v>
      </c>
      <c r="O17" s="12"/>
      <c r="P17" s="3">
        <f>--2307830.61</f>
        <v>2307830.61</v>
      </c>
      <c r="Q17" s="3"/>
      <c r="R17" s="20"/>
      <c r="S17" s="3"/>
      <c r="T17" s="3">
        <v>9231321</v>
      </c>
      <c r="U17" s="3"/>
      <c r="V17" s="20"/>
      <c r="W17" s="3"/>
      <c r="X17" s="3">
        <f t="shared" si="2"/>
        <v>-6923490.3900000006</v>
      </c>
      <c r="Y17" s="3"/>
      <c r="Z17" s="20">
        <f t="shared" si="3"/>
        <v>-0.74999996100233113</v>
      </c>
    </row>
    <row r="18" spans="1:26" s="70" customFormat="1" ht="15" hidden="1" customHeight="1" outlineLevel="1" x14ac:dyDescent="0.3">
      <c r="A18" s="42"/>
      <c r="B18" s="12" t="str">
        <f>CONCATENATE("          ","4141"," - ","NON-TAXABLE SALES-LOGO GIFTS")</f>
        <v xml:space="preserve">          4141 - NON-TAXABLE SALES-LOGO GIFTS</v>
      </c>
      <c r="C18" s="12"/>
      <c r="D18" s="3">
        <f>0</f>
        <v>0</v>
      </c>
      <c r="E18" s="3"/>
      <c r="F18" s="20"/>
      <c r="G18" s="3"/>
      <c r="H18" s="3"/>
      <c r="I18" s="3"/>
      <c r="J18" s="20"/>
      <c r="K18" s="3"/>
      <c r="L18" s="3">
        <f t="shared" si="0"/>
        <v>0</v>
      </c>
      <c r="M18" s="3"/>
      <c r="N18" s="20">
        <f t="shared" si="1"/>
        <v>0</v>
      </c>
      <c r="O18" s="12"/>
      <c r="P18" s="3">
        <f>0</f>
        <v>0</v>
      </c>
      <c r="Q18" s="3"/>
      <c r="R18" s="20"/>
      <c r="S18" s="3"/>
      <c r="T18" s="3"/>
      <c r="U18" s="3"/>
      <c r="V18" s="20"/>
      <c r="W18" s="3"/>
      <c r="X18" s="3">
        <f t="shared" si="2"/>
        <v>0</v>
      </c>
      <c r="Y18" s="3"/>
      <c r="Z18" s="20">
        <f t="shared" si="3"/>
        <v>0</v>
      </c>
    </row>
    <row r="19" spans="1:26" s="70" customFormat="1" ht="15" hidden="1" customHeight="1" outlineLevel="1" x14ac:dyDescent="0.3">
      <c r="A19" s="42"/>
      <c r="B19" s="12" t="str">
        <f>CONCATENATE("          ","4146"," - ","NON-TAXABLE SALES-COIN OP MACH")</f>
        <v xml:space="preserve">          4146 - NON-TAXABLE SALES-COIN OP MACH</v>
      </c>
      <c r="C19" s="12"/>
      <c r="D19" s="3">
        <f>0</f>
        <v>0</v>
      </c>
      <c r="E19" s="3"/>
      <c r="F19" s="20"/>
      <c r="G19" s="3"/>
      <c r="H19" s="3"/>
      <c r="I19" s="3"/>
      <c r="J19" s="20"/>
      <c r="K19" s="3"/>
      <c r="L19" s="3">
        <f t="shared" si="0"/>
        <v>0</v>
      </c>
      <c r="M19" s="3"/>
      <c r="N19" s="20">
        <f t="shared" si="1"/>
        <v>0</v>
      </c>
      <c r="O19" s="12"/>
      <c r="P19" s="3">
        <f>0</f>
        <v>0</v>
      </c>
      <c r="Q19" s="3"/>
      <c r="R19" s="20"/>
      <c r="S19" s="3"/>
      <c r="T19" s="3"/>
      <c r="U19" s="3"/>
      <c r="V19" s="20"/>
      <c r="W19" s="3"/>
      <c r="X19" s="3">
        <f t="shared" si="2"/>
        <v>0</v>
      </c>
      <c r="Y19" s="3"/>
      <c r="Z19" s="20">
        <f t="shared" si="3"/>
        <v>0</v>
      </c>
    </row>
    <row r="20" spans="1:26" s="70" customFormat="1" ht="15" hidden="1" customHeight="1" outlineLevel="1" x14ac:dyDescent="0.3">
      <c r="A20" s="42"/>
      <c r="B20" s="12" t="str">
        <f>CONCATENATE("          ","4151"," - ","NON-TAXABLE SALES-FOOD")</f>
        <v xml:space="preserve">          4151 - NON-TAXABLE SALES-FOOD</v>
      </c>
      <c r="C20" s="12"/>
      <c r="D20" s="3">
        <f>--1578769.24</f>
        <v>1578769.24</v>
      </c>
      <c r="E20" s="3"/>
      <c r="F20" s="20"/>
      <c r="G20" s="3"/>
      <c r="H20" s="3"/>
      <c r="I20" s="3"/>
      <c r="J20" s="20"/>
      <c r="K20" s="3"/>
      <c r="L20" s="3">
        <f t="shared" si="0"/>
        <v>1578769.24</v>
      </c>
      <c r="M20" s="3"/>
      <c r="N20" s="20">
        <f t="shared" si="1"/>
        <v>0</v>
      </c>
      <c r="O20" s="12"/>
      <c r="P20" s="3">
        <f>--9910628.72</f>
        <v>9910628.7200000007</v>
      </c>
      <c r="Q20" s="3"/>
      <c r="R20" s="20"/>
      <c r="S20" s="3"/>
      <c r="T20" s="3"/>
      <c r="U20" s="3"/>
      <c r="V20" s="20"/>
      <c r="W20" s="3"/>
      <c r="X20" s="3">
        <f t="shared" si="2"/>
        <v>9910628.7200000007</v>
      </c>
      <c r="Y20" s="3"/>
      <c r="Z20" s="20">
        <f t="shared" si="3"/>
        <v>0</v>
      </c>
    </row>
    <row r="21" spans="1:26" s="70" customFormat="1" ht="15" hidden="1" customHeight="1" outlineLevel="1" x14ac:dyDescent="0.3">
      <c r="A21" s="42"/>
      <c r="B21" s="12" t="str">
        <f>CONCATENATE("          ","4153"," - ","NON-TAXABLE SALES-FOOD")</f>
        <v xml:space="preserve">          4153 - NON-TAXABLE SALES-FOOD</v>
      </c>
      <c r="C21" s="12"/>
      <c r="D21" s="3">
        <f>--15712.94</f>
        <v>15712.94</v>
      </c>
      <c r="E21" s="3"/>
      <c r="F21" s="20"/>
      <c r="G21" s="3"/>
      <c r="H21" s="3"/>
      <c r="I21" s="3"/>
      <c r="J21" s="20"/>
      <c r="K21" s="3"/>
      <c r="L21" s="3">
        <f t="shared" si="0"/>
        <v>15712.94</v>
      </c>
      <c r="M21" s="3"/>
      <c r="N21" s="20">
        <f t="shared" si="1"/>
        <v>0</v>
      </c>
      <c r="O21" s="12"/>
      <c r="P21" s="3">
        <f>--96500.22</f>
        <v>96500.22</v>
      </c>
      <c r="Q21" s="3"/>
      <c r="R21" s="20"/>
      <c r="S21" s="3"/>
      <c r="T21" s="3"/>
      <c r="U21" s="3"/>
      <c r="V21" s="20"/>
      <c r="W21" s="3"/>
      <c r="X21" s="3">
        <f t="shared" si="2"/>
        <v>96500.22</v>
      </c>
      <c r="Y21" s="3"/>
      <c r="Z21" s="20">
        <f t="shared" si="3"/>
        <v>0</v>
      </c>
    </row>
    <row r="22" spans="1:26" s="70" customFormat="1" ht="15" hidden="1" customHeight="1" outlineLevel="1" x14ac:dyDescent="0.3">
      <c r="A22" s="42"/>
      <c r="B22" s="12" t="str">
        <f>CONCATENATE("          ","4155"," - ","NON-TAXABLE SALES-FOOD")</f>
        <v xml:space="preserve">          4155 - NON-TAXABLE SALES-FOOD</v>
      </c>
      <c r="C22" s="12"/>
      <c r="D22" s="3">
        <f>--1744.71</f>
        <v>1744.71</v>
      </c>
      <c r="E22" s="3"/>
      <c r="F22" s="20"/>
      <c r="G22" s="3"/>
      <c r="H22" s="3"/>
      <c r="I22" s="3"/>
      <c r="J22" s="20"/>
      <c r="K22" s="3"/>
      <c r="L22" s="3">
        <f t="shared" si="0"/>
        <v>1744.71</v>
      </c>
      <c r="M22" s="3"/>
      <c r="N22" s="20">
        <f t="shared" si="1"/>
        <v>0</v>
      </c>
      <c r="O22" s="12"/>
      <c r="P22" s="3">
        <f>--1744.71</f>
        <v>1744.71</v>
      </c>
      <c r="Q22" s="3"/>
      <c r="R22" s="20"/>
      <c r="S22" s="3"/>
      <c r="T22" s="3"/>
      <c r="U22" s="3"/>
      <c r="V22" s="20"/>
      <c r="W22" s="3"/>
      <c r="X22" s="3">
        <f t="shared" si="2"/>
        <v>1744.71</v>
      </c>
      <c r="Y22" s="3"/>
      <c r="Z22" s="20">
        <f t="shared" si="3"/>
        <v>0</v>
      </c>
    </row>
    <row r="23" spans="1:26" s="70" customFormat="1" ht="15" hidden="1" customHeight="1" outlineLevel="1" x14ac:dyDescent="0.3">
      <c r="A23" s="42"/>
      <c r="B23" s="12" t="str">
        <f>CONCATENATE("          ","4200"," - ","TAXABLE RETURNS")</f>
        <v xml:space="preserve">          4200 - TAXABLE RETURNS</v>
      </c>
      <c r="C23" s="12"/>
      <c r="D23" s="3">
        <f>-75345.79</f>
        <v>-75345.789999999994</v>
      </c>
      <c r="E23" s="3"/>
      <c r="F23" s="20"/>
      <c r="G23" s="3"/>
      <c r="H23" s="3"/>
      <c r="I23" s="3"/>
      <c r="J23" s="20"/>
      <c r="K23" s="3"/>
      <c r="L23" s="3">
        <f t="shared" si="0"/>
        <v>-75345.789999999994</v>
      </c>
      <c r="M23" s="3"/>
      <c r="N23" s="20">
        <f t="shared" si="1"/>
        <v>0</v>
      </c>
      <c r="O23" s="12"/>
      <c r="P23" s="3">
        <f>-430918.22</f>
        <v>-430918.22</v>
      </c>
      <c r="Q23" s="3"/>
      <c r="R23" s="20"/>
      <c r="S23" s="3"/>
      <c r="T23" s="3"/>
      <c r="U23" s="3"/>
      <c r="V23" s="20"/>
      <c r="W23" s="3"/>
      <c r="X23" s="3">
        <f t="shared" si="2"/>
        <v>-430918.22</v>
      </c>
      <c r="Y23" s="3"/>
      <c r="Z23" s="20">
        <f t="shared" si="3"/>
        <v>0</v>
      </c>
    </row>
    <row r="24" spans="1:26" s="70" customFormat="1" ht="15" hidden="1" customHeight="1" outlineLevel="1" x14ac:dyDescent="0.3">
      <c r="A24" s="42"/>
      <c r="B24" s="12" t="str">
        <f>CONCATENATE("          ","4300"," - ","NON-TAX RETURNS")</f>
        <v xml:space="preserve">          4300 - NON-TAX RETURNS</v>
      </c>
      <c r="C24" s="12"/>
      <c r="D24" s="3">
        <f>0</f>
        <v>0</v>
      </c>
      <c r="E24" s="3"/>
      <c r="F24" s="20"/>
      <c r="G24" s="3"/>
      <c r="H24" s="3"/>
      <c r="I24" s="3"/>
      <c r="J24" s="20"/>
      <c r="K24" s="3"/>
      <c r="L24" s="3">
        <f t="shared" si="0"/>
        <v>0</v>
      </c>
      <c r="M24" s="3"/>
      <c r="N24" s="20">
        <f t="shared" si="1"/>
        <v>0</v>
      </c>
      <c r="O24" s="12"/>
      <c r="P24" s="3">
        <f>-32361.72</f>
        <v>-32361.72</v>
      </c>
      <c r="Q24" s="3"/>
      <c r="R24" s="20"/>
      <c r="S24" s="3"/>
      <c r="T24" s="3"/>
      <c r="U24" s="3"/>
      <c r="V24" s="20"/>
      <c r="W24" s="3"/>
      <c r="X24" s="3">
        <f t="shared" si="2"/>
        <v>-32361.72</v>
      </c>
      <c r="Y24" s="3"/>
      <c r="Z24" s="20">
        <f t="shared" si="3"/>
        <v>0</v>
      </c>
    </row>
    <row r="25" spans="1:26" s="70" customFormat="1" ht="15" hidden="1" customHeight="1" outlineLevel="1" x14ac:dyDescent="0.3">
      <c r="A25" s="42"/>
      <c r="B25" s="12" t="str">
        <f>CONCATENATE("          ","4500"," - ","SALES DISCOUNT")</f>
        <v xml:space="preserve">          4500 - SALES DISCOUNT</v>
      </c>
      <c r="C25" s="12"/>
      <c r="D25" s="3">
        <f>-9600.86</f>
        <v>-9600.86</v>
      </c>
      <c r="E25" s="3"/>
      <c r="F25" s="20"/>
      <c r="G25" s="3"/>
      <c r="H25" s="3"/>
      <c r="I25" s="3"/>
      <c r="J25" s="20"/>
      <c r="K25" s="3"/>
      <c r="L25" s="3">
        <f t="shared" si="0"/>
        <v>-9600.86</v>
      </c>
      <c r="M25" s="3"/>
      <c r="N25" s="20">
        <f t="shared" si="1"/>
        <v>0</v>
      </c>
      <c r="O25" s="12"/>
      <c r="P25" s="3">
        <f>-93065.56</f>
        <v>-93065.56</v>
      </c>
      <c r="Q25" s="3"/>
      <c r="R25" s="20"/>
      <c r="S25" s="3"/>
      <c r="T25" s="3"/>
      <c r="U25" s="3"/>
      <c r="V25" s="20"/>
      <c r="W25" s="3"/>
      <c r="X25" s="3">
        <f t="shared" si="2"/>
        <v>-93065.56</v>
      </c>
      <c r="Y25" s="3"/>
      <c r="Z25" s="20">
        <f t="shared" si="3"/>
        <v>0</v>
      </c>
    </row>
    <row r="26" spans="1:26" ht="15" customHeight="1" x14ac:dyDescent="0.3">
      <c r="A26" s="10"/>
      <c r="B26" s="11"/>
      <c r="C26" s="10"/>
      <c r="D26" s="4"/>
      <c r="E26" s="4"/>
      <c r="F26" s="9"/>
      <c r="G26" s="4"/>
      <c r="H26" s="4"/>
      <c r="I26" s="4"/>
      <c r="J26" s="9"/>
      <c r="K26" s="4"/>
      <c r="L26" s="4"/>
      <c r="M26" s="4"/>
      <c r="N26" s="9"/>
      <c r="P26" s="4"/>
      <c r="Q26" s="4"/>
      <c r="R26" s="9"/>
      <c r="S26" s="4"/>
      <c r="T26" s="4"/>
      <c r="U26" s="4"/>
      <c r="V26" s="9"/>
      <c r="W26" s="4"/>
      <c r="X26" s="4"/>
      <c r="Y26" s="4"/>
      <c r="Z26" s="9"/>
    </row>
    <row r="27" spans="1:26" s="63" customFormat="1" ht="15" customHeight="1" collapsed="1" x14ac:dyDescent="0.3">
      <c r="A27" s="11"/>
      <c r="B27" s="28" t="s">
        <v>288</v>
      </c>
      <c r="C27" s="11"/>
      <c r="D27" s="5">
        <f>SUM(OSRRefD16x_0)</f>
        <v>1101014.44</v>
      </c>
      <c r="E27" s="5"/>
      <c r="F27" s="13">
        <f t="shared" ref="F27:F62" si="4">IF(D$12=0,0,D27/D$12)</f>
        <v>0.38387522212041741</v>
      </c>
      <c r="G27" s="5"/>
      <c r="H27" s="5">
        <f>SUM(OSRRefH16x_0)</f>
        <v>720357</v>
      </c>
      <c r="I27" s="5"/>
      <c r="J27" s="13">
        <f t="shared" ref="J27:J62" si="5">IF(H$12=0,0,H27/H$12)</f>
        <v>0.34914567135792524</v>
      </c>
      <c r="K27" s="5"/>
      <c r="L27" s="5">
        <f t="shared" ref="L27:L62" si="6">+D27-H27</f>
        <v>380657.43999999994</v>
      </c>
      <c r="M27" s="5"/>
      <c r="N27" s="13">
        <f t="shared" ref="N27:N62" si="7">IF(H27=0,0,L27/H27)</f>
        <v>0.52842887623775425</v>
      </c>
      <c r="O27" s="11"/>
      <c r="P27" s="5">
        <f>SUM(OSRRefP16x_0)</f>
        <v>7597634.3300000001</v>
      </c>
      <c r="Q27" s="5"/>
      <c r="R27" s="13">
        <f t="shared" ref="R27:R62" si="8">IF(P$12=0,0,P27/P$12)</f>
        <v>0.41035814782081076</v>
      </c>
      <c r="S27" s="5"/>
      <c r="T27" s="5">
        <f>SUM(OSRRefT16x_0)</f>
        <v>8955132</v>
      </c>
      <c r="U27" s="5"/>
      <c r="V27" s="13">
        <f t="shared" ref="V27:V62" si="9">IF(T$12=0,0,T27/T$12)</f>
        <v>0.47383074792935576</v>
      </c>
      <c r="W27" s="5"/>
      <c r="X27" s="5">
        <f t="shared" ref="X27:X62" si="10">+P27-T27</f>
        <v>-1357497.67</v>
      </c>
      <c r="Y27" s="5"/>
      <c r="Z27" s="13">
        <f t="shared" ref="Z27:Z62" si="11">IF(T27=0,0,X27/T27)</f>
        <v>-0.15158879511770457</v>
      </c>
    </row>
    <row r="28" spans="1:26" s="70" customFormat="1" ht="15" hidden="1" customHeight="1" outlineLevel="1" x14ac:dyDescent="0.3">
      <c r="A28" s="42"/>
      <c r="B28" s="12" t="str">
        <f>CONCATENATE("          ","5000"," - ","PURCHASES @ COST")</f>
        <v xml:space="preserve">          5000 - PURCHASES @ COST</v>
      </c>
      <c r="C28" s="12"/>
      <c r="D28" s="3">
        <v>496131.13</v>
      </c>
      <c r="E28" s="3"/>
      <c r="F28" s="20">
        <f t="shared" si="4"/>
        <v>0.1729790644068244</v>
      </c>
      <c r="G28" s="3"/>
      <c r="H28" s="3">
        <v>720357</v>
      </c>
      <c r="I28" s="3"/>
      <c r="J28" s="20">
        <f t="shared" si="5"/>
        <v>0.34914567135792524</v>
      </c>
      <c r="K28" s="3"/>
      <c r="L28" s="3">
        <f t="shared" si="6"/>
        <v>-224225.87</v>
      </c>
      <c r="M28" s="3"/>
      <c r="N28" s="20">
        <f t="shared" si="7"/>
        <v>-0.31127048116420053</v>
      </c>
      <c r="O28" s="12"/>
      <c r="P28" s="3">
        <v>5071603.03</v>
      </c>
      <c r="Q28" s="3"/>
      <c r="R28" s="20">
        <f t="shared" si="8"/>
        <v>0.27392389992441396</v>
      </c>
      <c r="S28" s="3"/>
      <c r="T28" s="3">
        <v>8955132</v>
      </c>
      <c r="U28" s="3"/>
      <c r="V28" s="20">
        <f t="shared" si="9"/>
        <v>0.47383074792935576</v>
      </c>
      <c r="W28" s="3"/>
      <c r="X28" s="3">
        <f t="shared" si="10"/>
        <v>-3883528.9699999997</v>
      </c>
      <c r="Y28" s="3"/>
      <c r="Z28" s="20">
        <f t="shared" si="11"/>
        <v>-0.43366518438812512</v>
      </c>
    </row>
    <row r="29" spans="1:26" s="70" customFormat="1" ht="15" hidden="1" customHeight="1" outlineLevel="1" x14ac:dyDescent="0.3">
      <c r="A29" s="42"/>
      <c r="B29" s="12" t="str">
        <f>CONCATENATE("          ","5001"," - ","PURCHASES @ COST-NEW TEXT")</f>
        <v xml:space="preserve">          5001 - PURCHASES @ COST-NEW TEXT</v>
      </c>
      <c r="C29" s="12"/>
      <c r="D29" s="3"/>
      <c r="E29" s="3"/>
      <c r="F29" s="20">
        <f t="shared" si="4"/>
        <v>0</v>
      </c>
      <c r="G29" s="3"/>
      <c r="H29" s="3"/>
      <c r="I29" s="3"/>
      <c r="J29" s="20">
        <f t="shared" si="5"/>
        <v>0</v>
      </c>
      <c r="K29" s="3"/>
      <c r="L29" s="3">
        <f t="shared" si="6"/>
        <v>0</v>
      </c>
      <c r="M29" s="3"/>
      <c r="N29" s="20">
        <f t="shared" si="7"/>
        <v>0</v>
      </c>
      <c r="O29" s="12"/>
      <c r="P29" s="3">
        <v>0</v>
      </c>
      <c r="Q29" s="3"/>
      <c r="R29" s="20">
        <f t="shared" si="8"/>
        <v>0</v>
      </c>
      <c r="S29" s="3"/>
      <c r="T29" s="3"/>
      <c r="U29" s="3"/>
      <c r="V29" s="20">
        <f t="shared" si="9"/>
        <v>0</v>
      </c>
      <c r="W29" s="3"/>
      <c r="X29" s="3">
        <f t="shared" si="10"/>
        <v>0</v>
      </c>
      <c r="Y29" s="3"/>
      <c r="Z29" s="20">
        <f t="shared" si="11"/>
        <v>0</v>
      </c>
    </row>
    <row r="30" spans="1:26" s="70" customFormat="1" ht="15" hidden="1" customHeight="1" outlineLevel="1" x14ac:dyDescent="0.3">
      <c r="A30" s="42"/>
      <c r="B30" s="12" t="str">
        <f>CONCATENATE("          ","5002"," - ","PURCHASES @ COST-USED TEXT")</f>
        <v xml:space="preserve">          5002 - PURCHASES @ COST-USED TEXT</v>
      </c>
      <c r="C30" s="12"/>
      <c r="D30" s="3"/>
      <c r="E30" s="3"/>
      <c r="F30" s="20">
        <f t="shared" si="4"/>
        <v>0</v>
      </c>
      <c r="G30" s="3"/>
      <c r="H30" s="3"/>
      <c r="I30" s="3"/>
      <c r="J30" s="20">
        <f t="shared" si="5"/>
        <v>0</v>
      </c>
      <c r="K30" s="3"/>
      <c r="L30" s="3">
        <f t="shared" si="6"/>
        <v>0</v>
      </c>
      <c r="M30" s="3"/>
      <c r="N30" s="20">
        <f t="shared" si="7"/>
        <v>0</v>
      </c>
      <c r="O30" s="12"/>
      <c r="P30" s="3">
        <v>0</v>
      </c>
      <c r="Q30" s="3"/>
      <c r="R30" s="20">
        <f t="shared" si="8"/>
        <v>0</v>
      </c>
      <c r="S30" s="3"/>
      <c r="T30" s="3"/>
      <c r="U30" s="3"/>
      <c r="V30" s="20">
        <f t="shared" si="9"/>
        <v>0</v>
      </c>
      <c r="W30" s="3"/>
      <c r="X30" s="3">
        <f t="shared" si="10"/>
        <v>0</v>
      </c>
      <c r="Y30" s="3"/>
      <c r="Z30" s="20">
        <f t="shared" si="11"/>
        <v>0</v>
      </c>
    </row>
    <row r="31" spans="1:26" s="70" customFormat="1" ht="15" hidden="1" customHeight="1" outlineLevel="1" x14ac:dyDescent="0.3">
      <c r="A31" s="42"/>
      <c r="B31" s="12" t="str">
        <f>CONCATENATE("          ","5004"," - ","PURCHASES @ COST-DIGITAL TEXT")</f>
        <v xml:space="preserve">          5004 - PURCHASES @ COST-DIGITAL TEXT</v>
      </c>
      <c r="C31" s="12"/>
      <c r="D31" s="3"/>
      <c r="E31" s="3"/>
      <c r="F31" s="20">
        <f t="shared" si="4"/>
        <v>0</v>
      </c>
      <c r="G31" s="3"/>
      <c r="H31" s="3"/>
      <c r="I31" s="3"/>
      <c r="J31" s="20">
        <f t="shared" si="5"/>
        <v>0</v>
      </c>
      <c r="K31" s="3"/>
      <c r="L31" s="3">
        <f t="shared" si="6"/>
        <v>0</v>
      </c>
      <c r="M31" s="3"/>
      <c r="N31" s="20">
        <f t="shared" si="7"/>
        <v>0</v>
      </c>
      <c r="O31" s="12"/>
      <c r="P31" s="3">
        <v>0</v>
      </c>
      <c r="Q31" s="3"/>
      <c r="R31" s="20">
        <f t="shared" si="8"/>
        <v>0</v>
      </c>
      <c r="S31" s="3"/>
      <c r="T31" s="3"/>
      <c r="U31" s="3"/>
      <c r="V31" s="20">
        <f t="shared" si="9"/>
        <v>0</v>
      </c>
      <c r="W31" s="3"/>
      <c r="X31" s="3">
        <f t="shared" si="10"/>
        <v>0</v>
      </c>
      <c r="Y31" s="3"/>
      <c r="Z31" s="20">
        <f t="shared" si="11"/>
        <v>0</v>
      </c>
    </row>
    <row r="32" spans="1:26" s="70" customFormat="1" ht="15" hidden="1" customHeight="1" outlineLevel="1" x14ac:dyDescent="0.3">
      <c r="A32" s="42"/>
      <c r="B32" s="12" t="str">
        <f>CONCATENATE("          ","5026"," - ","PURCHASES @ COST-WRITING INSTR")</f>
        <v xml:space="preserve">          5026 - PURCHASES @ COST-WRITING INSTR</v>
      </c>
      <c r="C32" s="12"/>
      <c r="D32" s="3"/>
      <c r="E32" s="3"/>
      <c r="F32" s="20">
        <f t="shared" si="4"/>
        <v>0</v>
      </c>
      <c r="G32" s="3"/>
      <c r="H32" s="3"/>
      <c r="I32" s="3"/>
      <c r="J32" s="20">
        <f t="shared" si="5"/>
        <v>0</v>
      </c>
      <c r="K32" s="3"/>
      <c r="L32" s="3">
        <f t="shared" si="6"/>
        <v>0</v>
      </c>
      <c r="M32" s="3"/>
      <c r="N32" s="20">
        <f t="shared" si="7"/>
        <v>0</v>
      </c>
      <c r="O32" s="12"/>
      <c r="P32" s="3">
        <v>0</v>
      </c>
      <c r="Q32" s="3"/>
      <c r="R32" s="20">
        <f t="shared" si="8"/>
        <v>0</v>
      </c>
      <c r="S32" s="3"/>
      <c r="T32" s="3"/>
      <c r="U32" s="3"/>
      <c r="V32" s="20">
        <f t="shared" si="9"/>
        <v>0</v>
      </c>
      <c r="W32" s="3"/>
      <c r="X32" s="3">
        <f t="shared" si="10"/>
        <v>0</v>
      </c>
      <c r="Y32" s="3"/>
      <c r="Z32" s="20">
        <f t="shared" si="11"/>
        <v>0</v>
      </c>
    </row>
    <row r="33" spans="1:26" s="70" customFormat="1" ht="15" hidden="1" customHeight="1" outlineLevel="1" x14ac:dyDescent="0.3">
      <c r="A33" s="42"/>
      <c r="B33" s="12" t="str">
        <f>CONCATENATE("          ","5027"," - ","PURCHASES @ COST-SCHOOL SUPPLI")</f>
        <v xml:space="preserve">          5027 - PURCHASES @ COST-SCHOOL SUPPLI</v>
      </c>
      <c r="C33" s="12"/>
      <c r="D33" s="3"/>
      <c r="E33" s="3"/>
      <c r="F33" s="20">
        <f t="shared" si="4"/>
        <v>0</v>
      </c>
      <c r="G33" s="3"/>
      <c r="H33" s="3"/>
      <c r="I33" s="3"/>
      <c r="J33" s="20">
        <f t="shared" si="5"/>
        <v>0</v>
      </c>
      <c r="K33" s="3"/>
      <c r="L33" s="3">
        <f t="shared" si="6"/>
        <v>0</v>
      </c>
      <c r="M33" s="3"/>
      <c r="N33" s="20">
        <f t="shared" si="7"/>
        <v>0</v>
      </c>
      <c r="O33" s="12"/>
      <c r="P33" s="3">
        <v>0</v>
      </c>
      <c r="Q33" s="3"/>
      <c r="R33" s="20">
        <f t="shared" si="8"/>
        <v>0</v>
      </c>
      <c r="S33" s="3"/>
      <c r="T33" s="3"/>
      <c r="U33" s="3"/>
      <c r="V33" s="20">
        <f t="shared" si="9"/>
        <v>0</v>
      </c>
      <c r="W33" s="3"/>
      <c r="X33" s="3">
        <f t="shared" si="10"/>
        <v>0</v>
      </c>
      <c r="Y33" s="3"/>
      <c r="Z33" s="20">
        <f t="shared" si="11"/>
        <v>0</v>
      </c>
    </row>
    <row r="34" spans="1:26" s="70" customFormat="1" ht="15" hidden="1" customHeight="1" outlineLevel="1" x14ac:dyDescent="0.3">
      <c r="A34" s="42"/>
      <c r="B34" s="12" t="str">
        <f>CONCATENATE("          ","5028"," - ","PURCHASES @ COST-ART/TECH")</f>
        <v xml:space="preserve">          5028 - PURCHASES @ COST-ART/TECH</v>
      </c>
      <c r="C34" s="12"/>
      <c r="D34" s="3"/>
      <c r="E34" s="3"/>
      <c r="F34" s="20">
        <f t="shared" si="4"/>
        <v>0</v>
      </c>
      <c r="G34" s="3"/>
      <c r="H34" s="3"/>
      <c r="I34" s="3"/>
      <c r="J34" s="20">
        <f t="shared" si="5"/>
        <v>0</v>
      </c>
      <c r="K34" s="3"/>
      <c r="L34" s="3">
        <f t="shared" si="6"/>
        <v>0</v>
      </c>
      <c r="M34" s="3"/>
      <c r="N34" s="20">
        <f t="shared" si="7"/>
        <v>0</v>
      </c>
      <c r="O34" s="12"/>
      <c r="P34" s="3">
        <v>0</v>
      </c>
      <c r="Q34" s="3"/>
      <c r="R34" s="20">
        <f t="shared" si="8"/>
        <v>0</v>
      </c>
      <c r="S34" s="3"/>
      <c r="T34" s="3"/>
      <c r="U34" s="3"/>
      <c r="V34" s="20">
        <f t="shared" si="9"/>
        <v>0</v>
      </c>
      <c r="W34" s="3"/>
      <c r="X34" s="3">
        <f t="shared" si="10"/>
        <v>0</v>
      </c>
      <c r="Y34" s="3"/>
      <c r="Z34" s="20">
        <f t="shared" si="11"/>
        <v>0</v>
      </c>
    </row>
    <row r="35" spans="1:26" s="70" customFormat="1" ht="15" hidden="1" customHeight="1" outlineLevel="1" x14ac:dyDescent="0.3">
      <c r="A35" s="42"/>
      <c r="B35" s="12" t="str">
        <f>CONCATENATE("          ","5031"," - ","PURCHASES @ COST-FOOD")</f>
        <v xml:space="preserve">          5031 - PURCHASES @ COST-FOOD</v>
      </c>
      <c r="C35" s="12"/>
      <c r="D35" s="3"/>
      <c r="E35" s="3"/>
      <c r="F35" s="20">
        <f t="shared" si="4"/>
        <v>0</v>
      </c>
      <c r="G35" s="3"/>
      <c r="H35" s="3"/>
      <c r="I35" s="3"/>
      <c r="J35" s="20">
        <f t="shared" si="5"/>
        <v>0</v>
      </c>
      <c r="K35" s="3"/>
      <c r="L35" s="3">
        <f t="shared" si="6"/>
        <v>0</v>
      </c>
      <c r="M35" s="3"/>
      <c r="N35" s="20">
        <f t="shared" si="7"/>
        <v>0</v>
      </c>
      <c r="O35" s="12"/>
      <c r="P35" s="3">
        <v>0</v>
      </c>
      <c r="Q35" s="3"/>
      <c r="R35" s="20">
        <f t="shared" si="8"/>
        <v>0</v>
      </c>
      <c r="S35" s="3"/>
      <c r="T35" s="3"/>
      <c r="U35" s="3"/>
      <c r="V35" s="20">
        <f t="shared" si="9"/>
        <v>0</v>
      </c>
      <c r="W35" s="3"/>
      <c r="X35" s="3">
        <f t="shared" si="10"/>
        <v>0</v>
      </c>
      <c r="Y35" s="3"/>
      <c r="Z35" s="20">
        <f t="shared" si="11"/>
        <v>0</v>
      </c>
    </row>
    <row r="36" spans="1:26" s="70" customFormat="1" ht="15" hidden="1" customHeight="1" outlineLevel="1" x14ac:dyDescent="0.3">
      <c r="A36" s="42"/>
      <c r="B36" s="12" t="str">
        <f>CONCATENATE("          ","5040"," - ","PURCHASES @ COST-LOGO CLOTHING")</f>
        <v xml:space="preserve">          5040 - PURCHASES @ COST-LOGO CLOTHING</v>
      </c>
      <c r="C36" s="12"/>
      <c r="D36" s="3"/>
      <c r="E36" s="3"/>
      <c r="F36" s="20">
        <f t="shared" si="4"/>
        <v>0</v>
      </c>
      <c r="G36" s="3"/>
      <c r="H36" s="3"/>
      <c r="I36" s="3"/>
      <c r="J36" s="20">
        <f t="shared" si="5"/>
        <v>0</v>
      </c>
      <c r="K36" s="3"/>
      <c r="L36" s="3">
        <f t="shared" si="6"/>
        <v>0</v>
      </c>
      <c r="M36" s="3"/>
      <c r="N36" s="20">
        <f t="shared" si="7"/>
        <v>0</v>
      </c>
      <c r="O36" s="12"/>
      <c r="P36" s="3">
        <v>0</v>
      </c>
      <c r="Q36" s="3"/>
      <c r="R36" s="20">
        <f t="shared" si="8"/>
        <v>0</v>
      </c>
      <c r="S36" s="3"/>
      <c r="T36" s="3"/>
      <c r="U36" s="3"/>
      <c r="V36" s="20">
        <f t="shared" si="9"/>
        <v>0</v>
      </c>
      <c r="W36" s="3"/>
      <c r="X36" s="3">
        <f t="shared" si="10"/>
        <v>0</v>
      </c>
      <c r="Y36" s="3"/>
      <c r="Z36" s="20">
        <f t="shared" si="11"/>
        <v>0</v>
      </c>
    </row>
    <row r="37" spans="1:26" s="70" customFormat="1" ht="15" hidden="1" customHeight="1" outlineLevel="1" x14ac:dyDescent="0.3">
      <c r="A37" s="42"/>
      <c r="B37" s="12" t="str">
        <f>CONCATENATE("          ","5041"," - ","PURCHASES @ COST-LOGO GIFTS")</f>
        <v xml:space="preserve">          5041 - PURCHASES @ COST-LOGO GIFTS</v>
      </c>
      <c r="C37" s="12"/>
      <c r="D37" s="3"/>
      <c r="E37" s="3"/>
      <c r="F37" s="20">
        <f t="shared" si="4"/>
        <v>0</v>
      </c>
      <c r="G37" s="3"/>
      <c r="H37" s="3"/>
      <c r="I37" s="3"/>
      <c r="J37" s="20">
        <f t="shared" si="5"/>
        <v>0</v>
      </c>
      <c r="K37" s="3"/>
      <c r="L37" s="3">
        <f t="shared" si="6"/>
        <v>0</v>
      </c>
      <c r="M37" s="3"/>
      <c r="N37" s="20">
        <f t="shared" si="7"/>
        <v>0</v>
      </c>
      <c r="O37" s="12"/>
      <c r="P37" s="3">
        <v>0</v>
      </c>
      <c r="Q37" s="3"/>
      <c r="R37" s="20">
        <f t="shared" si="8"/>
        <v>0</v>
      </c>
      <c r="S37" s="3"/>
      <c r="T37" s="3"/>
      <c r="U37" s="3"/>
      <c r="V37" s="20">
        <f t="shared" si="9"/>
        <v>0</v>
      </c>
      <c r="W37" s="3"/>
      <c r="X37" s="3">
        <f t="shared" si="10"/>
        <v>0</v>
      </c>
      <c r="Y37" s="3"/>
      <c r="Z37" s="20">
        <f t="shared" si="11"/>
        <v>0</v>
      </c>
    </row>
    <row r="38" spans="1:26" s="70" customFormat="1" ht="15" hidden="1" customHeight="1" outlineLevel="1" x14ac:dyDescent="0.3">
      <c r="A38" s="42"/>
      <c r="B38" s="12" t="str">
        <f>CONCATENATE("          ","5042"," - ","PURCHASES @ COST-EVERYDAY GIFT")</f>
        <v xml:space="preserve">          5042 - PURCHASES @ COST-EVERYDAY GIFT</v>
      </c>
      <c r="C38" s="12"/>
      <c r="D38" s="3"/>
      <c r="E38" s="3"/>
      <c r="F38" s="20">
        <f t="shared" si="4"/>
        <v>0</v>
      </c>
      <c r="G38" s="3"/>
      <c r="H38" s="3"/>
      <c r="I38" s="3"/>
      <c r="J38" s="20">
        <f t="shared" si="5"/>
        <v>0</v>
      </c>
      <c r="K38" s="3"/>
      <c r="L38" s="3">
        <f t="shared" si="6"/>
        <v>0</v>
      </c>
      <c r="M38" s="3"/>
      <c r="N38" s="20">
        <f t="shared" si="7"/>
        <v>0</v>
      </c>
      <c r="O38" s="12"/>
      <c r="P38" s="3">
        <v>0</v>
      </c>
      <c r="Q38" s="3"/>
      <c r="R38" s="20">
        <f t="shared" si="8"/>
        <v>0</v>
      </c>
      <c r="S38" s="3"/>
      <c r="T38" s="3"/>
      <c r="U38" s="3"/>
      <c r="V38" s="20">
        <f t="shared" si="9"/>
        <v>0</v>
      </c>
      <c r="W38" s="3"/>
      <c r="X38" s="3">
        <f t="shared" si="10"/>
        <v>0</v>
      </c>
      <c r="Y38" s="3"/>
      <c r="Z38" s="20">
        <f t="shared" si="11"/>
        <v>0</v>
      </c>
    </row>
    <row r="39" spans="1:26" s="70" customFormat="1" ht="15" hidden="1" customHeight="1" outlineLevel="1" x14ac:dyDescent="0.3">
      <c r="A39" s="42"/>
      <c r="B39" s="12" t="str">
        <f>CONCATENATE("          ","5043"," - ","PURCHASES @ COST-CARDS")</f>
        <v xml:space="preserve">          5043 - PURCHASES @ COST-CARDS</v>
      </c>
      <c r="C39" s="12"/>
      <c r="D39" s="3"/>
      <c r="E39" s="3"/>
      <c r="F39" s="20">
        <f t="shared" si="4"/>
        <v>0</v>
      </c>
      <c r="G39" s="3"/>
      <c r="H39" s="3"/>
      <c r="I39" s="3"/>
      <c r="J39" s="20">
        <f t="shared" si="5"/>
        <v>0</v>
      </c>
      <c r="K39" s="3"/>
      <c r="L39" s="3">
        <f t="shared" si="6"/>
        <v>0</v>
      </c>
      <c r="M39" s="3"/>
      <c r="N39" s="20">
        <f t="shared" si="7"/>
        <v>0</v>
      </c>
      <c r="O39" s="12"/>
      <c r="P39" s="3">
        <v>0</v>
      </c>
      <c r="Q39" s="3"/>
      <c r="R39" s="20">
        <f t="shared" si="8"/>
        <v>0</v>
      </c>
      <c r="S39" s="3"/>
      <c r="T39" s="3"/>
      <c r="U39" s="3"/>
      <c r="V39" s="20">
        <f t="shared" si="9"/>
        <v>0</v>
      </c>
      <c r="W39" s="3"/>
      <c r="X39" s="3">
        <f t="shared" si="10"/>
        <v>0</v>
      </c>
      <c r="Y39" s="3"/>
      <c r="Z39" s="20">
        <f t="shared" si="11"/>
        <v>0</v>
      </c>
    </row>
    <row r="40" spans="1:26" s="70" customFormat="1" ht="15" hidden="1" customHeight="1" outlineLevel="1" x14ac:dyDescent="0.3">
      <c r="A40" s="42"/>
      <c r="B40" s="12" t="str">
        <f>CONCATENATE("          ","5044"," - ","PURCHASES @ COST-ACCESSORIES")</f>
        <v xml:space="preserve">          5044 - PURCHASES @ COST-ACCESSORIES</v>
      </c>
      <c r="C40" s="12"/>
      <c r="D40" s="3"/>
      <c r="E40" s="3"/>
      <c r="F40" s="20">
        <f t="shared" si="4"/>
        <v>0</v>
      </c>
      <c r="G40" s="3"/>
      <c r="H40" s="3"/>
      <c r="I40" s="3"/>
      <c r="J40" s="20">
        <f t="shared" si="5"/>
        <v>0</v>
      </c>
      <c r="K40" s="3"/>
      <c r="L40" s="3">
        <f t="shared" si="6"/>
        <v>0</v>
      </c>
      <c r="M40" s="3"/>
      <c r="N40" s="20">
        <f t="shared" si="7"/>
        <v>0</v>
      </c>
      <c r="O40" s="12"/>
      <c r="P40" s="3">
        <v>0</v>
      </c>
      <c r="Q40" s="3"/>
      <c r="R40" s="20">
        <f t="shared" si="8"/>
        <v>0</v>
      </c>
      <c r="S40" s="3"/>
      <c r="T40" s="3"/>
      <c r="U40" s="3"/>
      <c r="V40" s="20">
        <f t="shared" si="9"/>
        <v>0</v>
      </c>
      <c r="W40" s="3"/>
      <c r="X40" s="3">
        <f t="shared" si="10"/>
        <v>0</v>
      </c>
      <c r="Y40" s="3"/>
      <c r="Z40" s="20">
        <f t="shared" si="11"/>
        <v>0</v>
      </c>
    </row>
    <row r="41" spans="1:26" s="70" customFormat="1" ht="15" hidden="1" customHeight="1" outlineLevel="1" x14ac:dyDescent="0.3">
      <c r="A41" s="42"/>
      <c r="B41" s="12" t="str">
        <f>CONCATENATE("          ","5045"," - ","PURCHASES @ COST-SPECIAL ORDER")</f>
        <v xml:space="preserve">          5045 - PURCHASES @ COST-SPECIAL ORDER</v>
      </c>
      <c r="C41" s="12"/>
      <c r="D41" s="3"/>
      <c r="E41" s="3"/>
      <c r="F41" s="20">
        <f t="shared" si="4"/>
        <v>0</v>
      </c>
      <c r="G41" s="3"/>
      <c r="H41" s="3"/>
      <c r="I41" s="3"/>
      <c r="J41" s="20">
        <f t="shared" si="5"/>
        <v>0</v>
      </c>
      <c r="K41" s="3"/>
      <c r="L41" s="3">
        <f t="shared" si="6"/>
        <v>0</v>
      </c>
      <c r="M41" s="3"/>
      <c r="N41" s="20">
        <f t="shared" si="7"/>
        <v>0</v>
      </c>
      <c r="O41" s="12"/>
      <c r="P41" s="3">
        <v>0</v>
      </c>
      <c r="Q41" s="3"/>
      <c r="R41" s="20">
        <f t="shared" si="8"/>
        <v>0</v>
      </c>
      <c r="S41" s="3"/>
      <c r="T41" s="3"/>
      <c r="U41" s="3"/>
      <c r="V41" s="20">
        <f t="shared" si="9"/>
        <v>0</v>
      </c>
      <c r="W41" s="3"/>
      <c r="X41" s="3">
        <f t="shared" si="10"/>
        <v>0</v>
      </c>
      <c r="Y41" s="3"/>
      <c r="Z41" s="20">
        <f t="shared" si="11"/>
        <v>0</v>
      </c>
    </row>
    <row r="42" spans="1:26" s="70" customFormat="1" ht="15" hidden="1" customHeight="1" outlineLevel="1" x14ac:dyDescent="0.3">
      <c r="A42" s="42"/>
      <c r="B42" s="12" t="str">
        <f>CONCATENATE("          ","5053"," - ","PURCHASES @ COST-FOOD")</f>
        <v xml:space="preserve">          5053 - PURCHASES @ COST-FOOD</v>
      </c>
      <c r="C42" s="12"/>
      <c r="D42" s="3">
        <v>378504.96000000002</v>
      </c>
      <c r="E42" s="3"/>
      <c r="F42" s="20">
        <f t="shared" si="4"/>
        <v>0.13196800179449028</v>
      </c>
      <c r="G42" s="3"/>
      <c r="H42" s="3"/>
      <c r="I42" s="3"/>
      <c r="J42" s="20">
        <f t="shared" si="5"/>
        <v>0</v>
      </c>
      <c r="K42" s="3"/>
      <c r="L42" s="3">
        <f t="shared" si="6"/>
        <v>378504.96000000002</v>
      </c>
      <c r="M42" s="3"/>
      <c r="N42" s="20">
        <f t="shared" si="7"/>
        <v>0</v>
      </c>
      <c r="O42" s="12"/>
      <c r="P42" s="3">
        <v>2682701.69</v>
      </c>
      <c r="Q42" s="3"/>
      <c r="R42" s="20">
        <f t="shared" si="8"/>
        <v>0.14489622017175427</v>
      </c>
      <c r="S42" s="3"/>
      <c r="T42" s="3"/>
      <c r="U42" s="3"/>
      <c r="V42" s="20">
        <f t="shared" si="9"/>
        <v>0</v>
      </c>
      <c r="W42" s="3"/>
      <c r="X42" s="3">
        <f t="shared" si="10"/>
        <v>2682701.69</v>
      </c>
      <c r="Y42" s="3"/>
      <c r="Z42" s="20">
        <f t="shared" si="11"/>
        <v>0</v>
      </c>
    </row>
    <row r="43" spans="1:26" s="70" customFormat="1" ht="15" hidden="1" customHeight="1" outlineLevel="1" x14ac:dyDescent="0.3">
      <c r="A43" s="42"/>
      <c r="B43" s="12" t="str">
        <f>CONCATENATE("          ","5059"," - ","PURCHASES @ COST-FOOD")</f>
        <v xml:space="preserve">          5059 - PURCHASES @ COST-FOOD</v>
      </c>
      <c r="C43" s="12"/>
      <c r="D43" s="3">
        <v>87866.36</v>
      </c>
      <c r="E43" s="3"/>
      <c r="F43" s="20">
        <f t="shared" si="4"/>
        <v>3.0635128147740335E-2</v>
      </c>
      <c r="G43" s="3"/>
      <c r="H43" s="3"/>
      <c r="I43" s="3"/>
      <c r="J43" s="20">
        <f t="shared" si="5"/>
        <v>0</v>
      </c>
      <c r="K43" s="3"/>
      <c r="L43" s="3">
        <f t="shared" si="6"/>
        <v>87866.36</v>
      </c>
      <c r="M43" s="3"/>
      <c r="N43" s="20">
        <f t="shared" si="7"/>
        <v>0</v>
      </c>
      <c r="O43" s="12"/>
      <c r="P43" s="3">
        <v>124190.97</v>
      </c>
      <c r="Q43" s="3"/>
      <c r="R43" s="20">
        <f t="shared" si="8"/>
        <v>6.7077164037808957E-3</v>
      </c>
      <c r="S43" s="3"/>
      <c r="T43" s="3"/>
      <c r="U43" s="3"/>
      <c r="V43" s="20">
        <f t="shared" si="9"/>
        <v>0</v>
      </c>
      <c r="W43" s="3"/>
      <c r="X43" s="3">
        <f t="shared" si="10"/>
        <v>124190.97</v>
      </c>
      <c r="Y43" s="3"/>
      <c r="Z43" s="20">
        <f t="shared" si="11"/>
        <v>0</v>
      </c>
    </row>
    <row r="44" spans="1:26" s="70" customFormat="1" ht="15" hidden="1" customHeight="1" outlineLevel="1" x14ac:dyDescent="0.3">
      <c r="A44" s="42"/>
      <c r="B44" s="12" t="str">
        <f>CONCATENATE("          ","5081"," - ","PURCHASES @ COST-ELECTRONICS")</f>
        <v xml:space="preserve">          5081 - PURCHASES @ COST-ELECTRONICS</v>
      </c>
      <c r="C44" s="12"/>
      <c r="D44" s="3"/>
      <c r="E44" s="3"/>
      <c r="F44" s="20">
        <f t="shared" si="4"/>
        <v>0</v>
      </c>
      <c r="G44" s="3"/>
      <c r="H44" s="3"/>
      <c r="I44" s="3"/>
      <c r="J44" s="20">
        <f t="shared" si="5"/>
        <v>0</v>
      </c>
      <c r="K44" s="3"/>
      <c r="L44" s="3">
        <f t="shared" si="6"/>
        <v>0</v>
      </c>
      <c r="M44" s="3"/>
      <c r="N44" s="20">
        <f t="shared" si="7"/>
        <v>0</v>
      </c>
      <c r="O44" s="12"/>
      <c r="P44" s="3">
        <v>0</v>
      </c>
      <c r="Q44" s="3"/>
      <c r="R44" s="20">
        <f t="shared" si="8"/>
        <v>0</v>
      </c>
      <c r="S44" s="3"/>
      <c r="T44" s="3"/>
      <c r="U44" s="3"/>
      <c r="V44" s="20">
        <f t="shared" si="9"/>
        <v>0</v>
      </c>
      <c r="W44" s="3"/>
      <c r="X44" s="3">
        <f t="shared" si="10"/>
        <v>0</v>
      </c>
      <c r="Y44" s="3"/>
      <c r="Z44" s="20">
        <f t="shared" si="11"/>
        <v>0</v>
      </c>
    </row>
    <row r="45" spans="1:26" s="70" customFormat="1" ht="15" hidden="1" customHeight="1" outlineLevel="1" x14ac:dyDescent="0.3">
      <c r="A45" s="42"/>
      <c r="B45" s="12" t="str">
        <f>CONCATENATE("          ","5082"," - ","PURCHASES @ COST-COMPUTER HARD")</f>
        <v xml:space="preserve">          5082 - PURCHASES @ COST-COMPUTER HARD</v>
      </c>
      <c r="C45" s="12"/>
      <c r="D45" s="3">
        <v>-16384.86</v>
      </c>
      <c r="E45" s="3"/>
      <c r="F45" s="20">
        <f t="shared" si="4"/>
        <v>-5.7126787291835544E-3</v>
      </c>
      <c r="G45" s="3"/>
      <c r="H45" s="3"/>
      <c r="I45" s="3"/>
      <c r="J45" s="20">
        <f t="shared" si="5"/>
        <v>0</v>
      </c>
      <c r="K45" s="3"/>
      <c r="L45" s="3">
        <f t="shared" si="6"/>
        <v>-16384.86</v>
      </c>
      <c r="M45" s="3"/>
      <c r="N45" s="20">
        <f t="shared" si="7"/>
        <v>0</v>
      </c>
      <c r="O45" s="12"/>
      <c r="P45" s="3">
        <v>-110193.26</v>
      </c>
      <c r="Q45" s="3"/>
      <c r="R45" s="20">
        <f t="shared" si="8"/>
        <v>-5.9516818146125531E-3</v>
      </c>
      <c r="S45" s="3"/>
      <c r="T45" s="3"/>
      <c r="U45" s="3"/>
      <c r="V45" s="20">
        <f t="shared" si="9"/>
        <v>0</v>
      </c>
      <c r="W45" s="3"/>
      <c r="X45" s="3">
        <f t="shared" si="10"/>
        <v>-110193.26</v>
      </c>
      <c r="Y45" s="3"/>
      <c r="Z45" s="20">
        <f t="shared" si="11"/>
        <v>0</v>
      </c>
    </row>
    <row r="46" spans="1:26" s="70" customFormat="1" ht="15" hidden="1" customHeight="1" outlineLevel="1" x14ac:dyDescent="0.3">
      <c r="A46" s="42"/>
      <c r="B46" s="12" t="str">
        <f>CONCATENATE("          ","5083"," - ","PURCHASES @ COST-COMPUTER EQUI")</f>
        <v xml:space="preserve">          5083 - PURCHASES @ COST-COMPUTER EQUI</v>
      </c>
      <c r="C46" s="12"/>
      <c r="D46" s="3"/>
      <c r="E46" s="3"/>
      <c r="F46" s="20">
        <f t="shared" si="4"/>
        <v>0</v>
      </c>
      <c r="G46" s="3"/>
      <c r="H46" s="3"/>
      <c r="I46" s="3"/>
      <c r="J46" s="20">
        <f t="shared" si="5"/>
        <v>0</v>
      </c>
      <c r="K46" s="3"/>
      <c r="L46" s="3">
        <f t="shared" si="6"/>
        <v>0</v>
      </c>
      <c r="M46" s="3"/>
      <c r="N46" s="20">
        <f t="shared" si="7"/>
        <v>0</v>
      </c>
      <c r="O46" s="12"/>
      <c r="P46" s="3">
        <v>0</v>
      </c>
      <c r="Q46" s="3"/>
      <c r="R46" s="20">
        <f t="shared" si="8"/>
        <v>0</v>
      </c>
      <c r="S46" s="3"/>
      <c r="T46" s="3"/>
      <c r="U46" s="3"/>
      <c r="V46" s="20">
        <f t="shared" si="9"/>
        <v>0</v>
      </c>
      <c r="W46" s="3"/>
      <c r="X46" s="3">
        <f t="shared" si="10"/>
        <v>0</v>
      </c>
      <c r="Y46" s="3"/>
      <c r="Z46" s="20">
        <f t="shared" si="11"/>
        <v>0</v>
      </c>
    </row>
    <row r="47" spans="1:26" s="70" customFormat="1" ht="15" hidden="1" customHeight="1" outlineLevel="1" x14ac:dyDescent="0.3">
      <c r="A47" s="42"/>
      <c r="B47" s="12" t="str">
        <f>CONCATENATE("          ","5085"," - ","PURCHASES @ COST-SOFTWARE")</f>
        <v xml:space="preserve">          5085 - PURCHASES @ COST-SOFTWARE</v>
      </c>
      <c r="C47" s="12"/>
      <c r="D47" s="3"/>
      <c r="E47" s="3"/>
      <c r="F47" s="20">
        <f t="shared" si="4"/>
        <v>0</v>
      </c>
      <c r="G47" s="3"/>
      <c r="H47" s="3"/>
      <c r="I47" s="3"/>
      <c r="J47" s="20">
        <f t="shared" si="5"/>
        <v>0</v>
      </c>
      <c r="K47" s="3"/>
      <c r="L47" s="3">
        <f t="shared" si="6"/>
        <v>0</v>
      </c>
      <c r="M47" s="3"/>
      <c r="N47" s="20">
        <f t="shared" si="7"/>
        <v>0</v>
      </c>
      <c r="O47" s="12"/>
      <c r="P47" s="3">
        <v>0</v>
      </c>
      <c r="Q47" s="3"/>
      <c r="R47" s="20">
        <f t="shared" si="8"/>
        <v>0</v>
      </c>
      <c r="S47" s="3"/>
      <c r="T47" s="3"/>
      <c r="U47" s="3"/>
      <c r="V47" s="20">
        <f t="shared" si="9"/>
        <v>0</v>
      </c>
      <c r="W47" s="3"/>
      <c r="X47" s="3">
        <f t="shared" si="10"/>
        <v>0</v>
      </c>
      <c r="Y47" s="3"/>
      <c r="Z47" s="20">
        <f t="shared" si="11"/>
        <v>0</v>
      </c>
    </row>
    <row r="48" spans="1:26" s="70" customFormat="1" ht="15" hidden="1" customHeight="1" outlineLevel="1" x14ac:dyDescent="0.3">
      <c r="A48" s="42"/>
      <c r="B48" s="12" t="str">
        <f>CONCATENATE("          ","5086"," - ","PURCHASES @ COST-COMPUTER SUPP")</f>
        <v xml:space="preserve">          5086 - PURCHASES @ COST-COMPUTER SUPP</v>
      </c>
      <c r="C48" s="12"/>
      <c r="D48" s="3"/>
      <c r="E48" s="3"/>
      <c r="F48" s="20">
        <f t="shared" si="4"/>
        <v>0</v>
      </c>
      <c r="G48" s="3"/>
      <c r="H48" s="3"/>
      <c r="I48" s="3"/>
      <c r="J48" s="20">
        <f t="shared" si="5"/>
        <v>0</v>
      </c>
      <c r="K48" s="3"/>
      <c r="L48" s="3">
        <f t="shared" si="6"/>
        <v>0</v>
      </c>
      <c r="M48" s="3"/>
      <c r="N48" s="20">
        <f t="shared" si="7"/>
        <v>0</v>
      </c>
      <c r="O48" s="12"/>
      <c r="P48" s="3">
        <v>0</v>
      </c>
      <c r="Q48" s="3"/>
      <c r="R48" s="20">
        <f t="shared" si="8"/>
        <v>0</v>
      </c>
      <c r="S48" s="3"/>
      <c r="T48" s="3"/>
      <c r="U48" s="3"/>
      <c r="V48" s="20">
        <f t="shared" si="9"/>
        <v>0</v>
      </c>
      <c r="W48" s="3"/>
      <c r="X48" s="3">
        <f t="shared" si="10"/>
        <v>0</v>
      </c>
      <c r="Y48" s="3"/>
      <c r="Z48" s="20">
        <f t="shared" si="11"/>
        <v>0</v>
      </c>
    </row>
    <row r="49" spans="1:26" s="70" customFormat="1" ht="15" hidden="1" customHeight="1" outlineLevel="1" x14ac:dyDescent="0.3">
      <c r="A49" s="42"/>
      <c r="B49" s="12" t="str">
        <f>CONCATENATE("          ","5200"," - ","PURCHASES OFFSET")</f>
        <v xml:space="preserve">          5200 - PURCHASES OFFSET</v>
      </c>
      <c r="C49" s="12"/>
      <c r="D49" s="3">
        <v>-516882.53</v>
      </c>
      <c r="E49" s="3"/>
      <c r="F49" s="20">
        <f t="shared" si="4"/>
        <v>-0.1802141632346923</v>
      </c>
      <c r="G49" s="3"/>
      <c r="H49" s="3"/>
      <c r="I49" s="3"/>
      <c r="J49" s="20">
        <f t="shared" si="5"/>
        <v>0</v>
      </c>
      <c r="K49" s="3"/>
      <c r="L49" s="3">
        <f t="shared" si="6"/>
        <v>-516882.53</v>
      </c>
      <c r="M49" s="3"/>
      <c r="N49" s="20">
        <f t="shared" si="7"/>
        <v>0</v>
      </c>
      <c r="O49" s="12"/>
      <c r="P49" s="3">
        <v>-4903335.74</v>
      </c>
      <c r="Q49" s="3"/>
      <c r="R49" s="20">
        <f t="shared" si="8"/>
        <v>-0.26483556394191249</v>
      </c>
      <c r="S49" s="3"/>
      <c r="T49" s="3"/>
      <c r="U49" s="3"/>
      <c r="V49" s="20">
        <f t="shared" si="9"/>
        <v>0</v>
      </c>
      <c r="W49" s="3"/>
      <c r="X49" s="3">
        <f t="shared" si="10"/>
        <v>-4903335.74</v>
      </c>
      <c r="Y49" s="3"/>
      <c r="Z49" s="20">
        <f t="shared" si="11"/>
        <v>0</v>
      </c>
    </row>
    <row r="50" spans="1:26" s="70" customFormat="1" ht="15" hidden="1" customHeight="1" outlineLevel="1" x14ac:dyDescent="0.3">
      <c r="A50" s="42"/>
      <c r="B50" s="12" t="str">
        <f>CONCATENATE("          ","5300"," - ","COG$ OFFSET")</f>
        <v xml:space="preserve">          5300 - COG$ OFFSET</v>
      </c>
      <c r="C50" s="12"/>
      <c r="D50" s="3">
        <v>647373.84</v>
      </c>
      <c r="E50" s="3"/>
      <c r="F50" s="20">
        <f t="shared" si="4"/>
        <v>0.22571073329878177</v>
      </c>
      <c r="G50" s="3"/>
      <c r="H50" s="3"/>
      <c r="I50" s="3"/>
      <c r="J50" s="20">
        <f t="shared" si="5"/>
        <v>0</v>
      </c>
      <c r="K50" s="3"/>
      <c r="L50" s="3">
        <f t="shared" si="6"/>
        <v>647373.84</v>
      </c>
      <c r="M50" s="3"/>
      <c r="N50" s="20">
        <f t="shared" si="7"/>
        <v>0</v>
      </c>
      <c r="O50" s="12"/>
      <c r="P50" s="3">
        <v>4584379.68</v>
      </c>
      <c r="Q50" s="3"/>
      <c r="R50" s="20">
        <f t="shared" si="8"/>
        <v>0.24760833078842859</v>
      </c>
      <c r="S50" s="3"/>
      <c r="T50" s="3"/>
      <c r="U50" s="3"/>
      <c r="V50" s="20">
        <f t="shared" si="9"/>
        <v>0</v>
      </c>
      <c r="W50" s="3"/>
      <c r="X50" s="3">
        <f t="shared" si="10"/>
        <v>4584379.68</v>
      </c>
      <c r="Y50" s="3"/>
      <c r="Z50" s="20">
        <f t="shared" si="11"/>
        <v>0</v>
      </c>
    </row>
    <row r="51" spans="1:26" s="70" customFormat="1" ht="15" hidden="1" customHeight="1" outlineLevel="1" x14ac:dyDescent="0.3">
      <c r="A51" s="42"/>
      <c r="B51" s="12" t="str">
        <f>CONCATENATE("          ","5500"," - ","FREIGHT-IN")</f>
        <v xml:space="preserve">          5500 - FREIGHT-IN</v>
      </c>
      <c r="C51" s="12"/>
      <c r="D51" s="3">
        <v>24405.54</v>
      </c>
      <c r="E51" s="3"/>
      <c r="F51" s="20">
        <f t="shared" si="4"/>
        <v>8.5091364364564843E-3</v>
      </c>
      <c r="G51" s="3"/>
      <c r="H51" s="3"/>
      <c r="I51" s="3"/>
      <c r="J51" s="20">
        <f t="shared" si="5"/>
        <v>0</v>
      </c>
      <c r="K51" s="3"/>
      <c r="L51" s="3">
        <f t="shared" si="6"/>
        <v>24405.54</v>
      </c>
      <c r="M51" s="3"/>
      <c r="N51" s="20">
        <f t="shared" si="7"/>
        <v>0</v>
      </c>
      <c r="O51" s="12"/>
      <c r="P51" s="3">
        <v>148287.96</v>
      </c>
      <c r="Q51" s="3"/>
      <c r="R51" s="20">
        <f t="shared" si="8"/>
        <v>8.0092262889580879E-3</v>
      </c>
      <c r="S51" s="3"/>
      <c r="T51" s="3"/>
      <c r="U51" s="3"/>
      <c r="V51" s="20">
        <f t="shared" si="9"/>
        <v>0</v>
      </c>
      <c r="W51" s="3"/>
      <c r="X51" s="3">
        <f t="shared" si="10"/>
        <v>148287.96</v>
      </c>
      <c r="Y51" s="3"/>
      <c r="Z51" s="20">
        <f t="shared" si="11"/>
        <v>0</v>
      </c>
    </row>
    <row r="52" spans="1:26" s="70" customFormat="1" ht="15" hidden="1" customHeight="1" outlineLevel="1" x14ac:dyDescent="0.3">
      <c r="A52" s="42"/>
      <c r="B52" s="12" t="str">
        <f>CONCATENATE("          ","5501"," - ","FREIGHT-IN-NEW TEXT")</f>
        <v xml:space="preserve">          5501 - FREIGHT-IN-NEW TEXT</v>
      </c>
      <c r="C52" s="12"/>
      <c r="D52" s="3"/>
      <c r="E52" s="3"/>
      <c r="F52" s="20">
        <f t="shared" si="4"/>
        <v>0</v>
      </c>
      <c r="G52" s="3"/>
      <c r="H52" s="3"/>
      <c r="I52" s="3"/>
      <c r="J52" s="20">
        <f t="shared" si="5"/>
        <v>0</v>
      </c>
      <c r="K52" s="3"/>
      <c r="L52" s="3">
        <f t="shared" si="6"/>
        <v>0</v>
      </c>
      <c r="M52" s="3"/>
      <c r="N52" s="20">
        <f t="shared" si="7"/>
        <v>0</v>
      </c>
      <c r="O52" s="12"/>
      <c r="P52" s="3">
        <v>0</v>
      </c>
      <c r="Q52" s="3"/>
      <c r="R52" s="20">
        <f t="shared" si="8"/>
        <v>0</v>
      </c>
      <c r="S52" s="3"/>
      <c r="T52" s="3"/>
      <c r="U52" s="3"/>
      <c r="V52" s="20">
        <f t="shared" si="9"/>
        <v>0</v>
      </c>
      <c r="W52" s="3"/>
      <c r="X52" s="3">
        <f t="shared" si="10"/>
        <v>0</v>
      </c>
      <c r="Y52" s="3"/>
      <c r="Z52" s="20">
        <f t="shared" si="11"/>
        <v>0</v>
      </c>
    </row>
    <row r="53" spans="1:26" s="70" customFormat="1" ht="15" hidden="1" customHeight="1" outlineLevel="1" x14ac:dyDescent="0.3">
      <c r="A53" s="42"/>
      <c r="B53" s="12" t="str">
        <f>CONCATENATE("          ","5502"," - ","FREIGHT-IN-USED TEXT")</f>
        <v xml:space="preserve">          5502 - FREIGHT-IN-USED TEXT</v>
      </c>
      <c r="C53" s="12"/>
      <c r="D53" s="3"/>
      <c r="E53" s="3"/>
      <c r="F53" s="20">
        <f t="shared" si="4"/>
        <v>0</v>
      </c>
      <c r="G53" s="3"/>
      <c r="H53" s="3"/>
      <c r="I53" s="3"/>
      <c r="J53" s="20">
        <f t="shared" si="5"/>
        <v>0</v>
      </c>
      <c r="K53" s="3"/>
      <c r="L53" s="3">
        <f t="shared" si="6"/>
        <v>0</v>
      </c>
      <c r="M53" s="3"/>
      <c r="N53" s="20">
        <f t="shared" si="7"/>
        <v>0</v>
      </c>
      <c r="O53" s="12"/>
      <c r="P53" s="3">
        <v>0</v>
      </c>
      <c r="Q53" s="3"/>
      <c r="R53" s="20">
        <f t="shared" si="8"/>
        <v>0</v>
      </c>
      <c r="S53" s="3"/>
      <c r="T53" s="3"/>
      <c r="U53" s="3"/>
      <c r="V53" s="20">
        <f t="shared" si="9"/>
        <v>0</v>
      </c>
      <c r="W53" s="3"/>
      <c r="X53" s="3">
        <f t="shared" si="10"/>
        <v>0</v>
      </c>
      <c r="Y53" s="3"/>
      <c r="Z53" s="20">
        <f t="shared" si="11"/>
        <v>0</v>
      </c>
    </row>
    <row r="54" spans="1:26" s="70" customFormat="1" ht="15" hidden="1" customHeight="1" outlineLevel="1" x14ac:dyDescent="0.3">
      <c r="A54" s="42"/>
      <c r="B54" s="12" t="str">
        <f>CONCATENATE("          ","5518"," - ","FREIGHT-IN-STUDY GUIDES")</f>
        <v xml:space="preserve">          5518 - FREIGHT-IN-STUDY GUIDES</v>
      </c>
      <c r="C54" s="12"/>
      <c r="D54" s="3"/>
      <c r="E54" s="3"/>
      <c r="F54" s="20">
        <f t="shared" si="4"/>
        <v>0</v>
      </c>
      <c r="G54" s="3"/>
      <c r="H54" s="3"/>
      <c r="I54" s="3"/>
      <c r="J54" s="20">
        <f t="shared" si="5"/>
        <v>0</v>
      </c>
      <c r="K54" s="3"/>
      <c r="L54" s="3">
        <f t="shared" si="6"/>
        <v>0</v>
      </c>
      <c r="M54" s="3"/>
      <c r="N54" s="20">
        <f t="shared" si="7"/>
        <v>0</v>
      </c>
      <c r="O54" s="12"/>
      <c r="P54" s="3">
        <v>0</v>
      </c>
      <c r="Q54" s="3"/>
      <c r="R54" s="20">
        <f t="shared" si="8"/>
        <v>0</v>
      </c>
      <c r="S54" s="3"/>
      <c r="T54" s="3"/>
      <c r="U54" s="3"/>
      <c r="V54" s="20">
        <f t="shared" si="9"/>
        <v>0</v>
      </c>
      <c r="W54" s="3"/>
      <c r="X54" s="3">
        <f t="shared" si="10"/>
        <v>0</v>
      </c>
      <c r="Y54" s="3"/>
      <c r="Z54" s="20">
        <f t="shared" si="11"/>
        <v>0</v>
      </c>
    </row>
    <row r="55" spans="1:26" s="70" customFormat="1" ht="15" hidden="1" customHeight="1" outlineLevel="1" x14ac:dyDescent="0.3">
      <c r="A55" s="42"/>
      <c r="B55" s="12" t="str">
        <f>CONCATENATE("          ","5527"," - ","FREIGHT-IN-SCHOOL SUPPLIES")</f>
        <v xml:space="preserve">          5527 - FREIGHT-IN-SCHOOL SUPPLIES</v>
      </c>
      <c r="C55" s="12"/>
      <c r="D55" s="3"/>
      <c r="E55" s="3"/>
      <c r="F55" s="20">
        <f t="shared" si="4"/>
        <v>0</v>
      </c>
      <c r="G55" s="3"/>
      <c r="H55" s="3"/>
      <c r="I55" s="3"/>
      <c r="J55" s="20">
        <f t="shared" si="5"/>
        <v>0</v>
      </c>
      <c r="K55" s="3"/>
      <c r="L55" s="3">
        <f t="shared" si="6"/>
        <v>0</v>
      </c>
      <c r="M55" s="3"/>
      <c r="N55" s="20">
        <f t="shared" si="7"/>
        <v>0</v>
      </c>
      <c r="O55" s="12"/>
      <c r="P55" s="3">
        <v>0</v>
      </c>
      <c r="Q55" s="3"/>
      <c r="R55" s="20">
        <f t="shared" si="8"/>
        <v>0</v>
      </c>
      <c r="S55" s="3"/>
      <c r="T55" s="3"/>
      <c r="U55" s="3"/>
      <c r="V55" s="20">
        <f t="shared" si="9"/>
        <v>0</v>
      </c>
      <c r="W55" s="3"/>
      <c r="X55" s="3">
        <f t="shared" si="10"/>
        <v>0</v>
      </c>
      <c r="Y55" s="3"/>
      <c r="Z55" s="20">
        <f t="shared" si="11"/>
        <v>0</v>
      </c>
    </row>
    <row r="56" spans="1:26" s="70" customFormat="1" ht="15" hidden="1" customHeight="1" outlineLevel="1" x14ac:dyDescent="0.3">
      <c r="A56" s="42"/>
      <c r="B56" s="12" t="str">
        <f>CONCATENATE("          ","5528"," - ","FREIGHT-IN-ART/TECH")</f>
        <v xml:space="preserve">          5528 - FREIGHT-IN-ART/TECH</v>
      </c>
      <c r="C56" s="12"/>
      <c r="D56" s="3"/>
      <c r="E56" s="3"/>
      <c r="F56" s="20">
        <f t="shared" si="4"/>
        <v>0</v>
      </c>
      <c r="G56" s="3"/>
      <c r="H56" s="3"/>
      <c r="I56" s="3"/>
      <c r="J56" s="20">
        <f t="shared" si="5"/>
        <v>0</v>
      </c>
      <c r="K56" s="3"/>
      <c r="L56" s="3">
        <f t="shared" si="6"/>
        <v>0</v>
      </c>
      <c r="M56" s="3"/>
      <c r="N56" s="20">
        <f t="shared" si="7"/>
        <v>0</v>
      </c>
      <c r="O56" s="12"/>
      <c r="P56" s="3">
        <v>0</v>
      </c>
      <c r="Q56" s="3"/>
      <c r="R56" s="20">
        <f t="shared" si="8"/>
        <v>0</v>
      </c>
      <c r="S56" s="3"/>
      <c r="T56" s="3"/>
      <c r="U56" s="3"/>
      <c r="V56" s="20">
        <f t="shared" si="9"/>
        <v>0</v>
      </c>
      <c r="W56" s="3"/>
      <c r="X56" s="3">
        <f t="shared" si="10"/>
        <v>0</v>
      </c>
      <c r="Y56" s="3"/>
      <c r="Z56" s="20">
        <f t="shared" si="11"/>
        <v>0</v>
      </c>
    </row>
    <row r="57" spans="1:26" s="70" customFormat="1" ht="15" hidden="1" customHeight="1" outlineLevel="1" x14ac:dyDescent="0.3">
      <c r="A57" s="42"/>
      <c r="B57" s="12" t="str">
        <f>CONCATENATE("          ","5540"," - ","FREIGHT-IN-LOGO CLOTHING")</f>
        <v xml:space="preserve">          5540 - FREIGHT-IN-LOGO CLOTHING</v>
      </c>
      <c r="C57" s="12"/>
      <c r="D57" s="3"/>
      <c r="E57" s="3"/>
      <c r="F57" s="20">
        <f t="shared" si="4"/>
        <v>0</v>
      </c>
      <c r="G57" s="3"/>
      <c r="H57" s="3"/>
      <c r="I57" s="3"/>
      <c r="J57" s="20">
        <f t="shared" si="5"/>
        <v>0</v>
      </c>
      <c r="K57" s="3"/>
      <c r="L57" s="3">
        <f t="shared" si="6"/>
        <v>0</v>
      </c>
      <c r="M57" s="3"/>
      <c r="N57" s="20">
        <f t="shared" si="7"/>
        <v>0</v>
      </c>
      <c r="O57" s="12"/>
      <c r="P57" s="3">
        <v>0</v>
      </c>
      <c r="Q57" s="3"/>
      <c r="R57" s="20">
        <f t="shared" si="8"/>
        <v>0</v>
      </c>
      <c r="S57" s="3"/>
      <c r="T57" s="3"/>
      <c r="U57" s="3"/>
      <c r="V57" s="20">
        <f t="shared" si="9"/>
        <v>0</v>
      </c>
      <c r="W57" s="3"/>
      <c r="X57" s="3">
        <f t="shared" si="10"/>
        <v>0</v>
      </c>
      <c r="Y57" s="3"/>
      <c r="Z57" s="20">
        <f t="shared" si="11"/>
        <v>0</v>
      </c>
    </row>
    <row r="58" spans="1:26" s="70" customFormat="1" ht="15" hidden="1" customHeight="1" outlineLevel="1" x14ac:dyDescent="0.3">
      <c r="A58" s="42"/>
      <c r="B58" s="12" t="str">
        <f>CONCATENATE("          ","5541"," - ","FREIGHT-IN-LOGO GIFTS")</f>
        <v xml:space="preserve">          5541 - FREIGHT-IN-LOGO GIFTS</v>
      </c>
      <c r="C58" s="12"/>
      <c r="D58" s="3"/>
      <c r="E58" s="3"/>
      <c r="F58" s="20">
        <f t="shared" si="4"/>
        <v>0</v>
      </c>
      <c r="G58" s="3"/>
      <c r="H58" s="3"/>
      <c r="I58" s="3"/>
      <c r="J58" s="20">
        <f t="shared" si="5"/>
        <v>0</v>
      </c>
      <c r="K58" s="3"/>
      <c r="L58" s="3">
        <f t="shared" si="6"/>
        <v>0</v>
      </c>
      <c r="M58" s="3"/>
      <c r="N58" s="20">
        <f t="shared" si="7"/>
        <v>0</v>
      </c>
      <c r="O58" s="12"/>
      <c r="P58" s="3">
        <v>0</v>
      </c>
      <c r="Q58" s="3"/>
      <c r="R58" s="20">
        <f t="shared" si="8"/>
        <v>0</v>
      </c>
      <c r="S58" s="3"/>
      <c r="T58" s="3"/>
      <c r="U58" s="3"/>
      <c r="V58" s="20">
        <f t="shared" si="9"/>
        <v>0</v>
      </c>
      <c r="W58" s="3"/>
      <c r="X58" s="3">
        <f t="shared" si="10"/>
        <v>0</v>
      </c>
      <c r="Y58" s="3"/>
      <c r="Z58" s="20">
        <f t="shared" si="11"/>
        <v>0</v>
      </c>
    </row>
    <row r="59" spans="1:26" s="70" customFormat="1" ht="15" hidden="1" customHeight="1" outlineLevel="1" x14ac:dyDescent="0.3">
      <c r="A59" s="42"/>
      <c r="B59" s="12" t="str">
        <f>CONCATENATE("          ","5542"," - ","FREIGHT-IN-EVERYDAY GIFTS")</f>
        <v xml:space="preserve">          5542 - FREIGHT-IN-EVERYDAY GIFTS</v>
      </c>
      <c r="C59" s="12"/>
      <c r="D59" s="3"/>
      <c r="E59" s="3"/>
      <c r="F59" s="20">
        <f t="shared" si="4"/>
        <v>0</v>
      </c>
      <c r="G59" s="3"/>
      <c r="H59" s="3"/>
      <c r="I59" s="3"/>
      <c r="J59" s="20">
        <f t="shared" si="5"/>
        <v>0</v>
      </c>
      <c r="K59" s="3"/>
      <c r="L59" s="3">
        <f t="shared" si="6"/>
        <v>0</v>
      </c>
      <c r="M59" s="3"/>
      <c r="N59" s="20">
        <f t="shared" si="7"/>
        <v>0</v>
      </c>
      <c r="O59" s="12"/>
      <c r="P59" s="3">
        <v>0</v>
      </c>
      <c r="Q59" s="3"/>
      <c r="R59" s="20">
        <f t="shared" si="8"/>
        <v>0</v>
      </c>
      <c r="S59" s="3"/>
      <c r="T59" s="3"/>
      <c r="U59" s="3"/>
      <c r="V59" s="20">
        <f t="shared" si="9"/>
        <v>0</v>
      </c>
      <c r="W59" s="3"/>
      <c r="X59" s="3">
        <f t="shared" si="10"/>
        <v>0</v>
      </c>
      <c r="Y59" s="3"/>
      <c r="Z59" s="20">
        <f t="shared" si="11"/>
        <v>0</v>
      </c>
    </row>
    <row r="60" spans="1:26" s="70" customFormat="1" ht="15" hidden="1" customHeight="1" outlineLevel="1" x14ac:dyDescent="0.3">
      <c r="A60" s="42"/>
      <c r="B60" s="12" t="str">
        <f>CONCATENATE("          ","5544"," - ","FREIGHT-IN-ACCESSORIES")</f>
        <v xml:space="preserve">          5544 - FREIGHT-IN-ACCESSORIES</v>
      </c>
      <c r="C60" s="12"/>
      <c r="D60" s="3"/>
      <c r="E60" s="3"/>
      <c r="F60" s="20">
        <f t="shared" si="4"/>
        <v>0</v>
      </c>
      <c r="G60" s="3"/>
      <c r="H60" s="3"/>
      <c r="I60" s="3"/>
      <c r="J60" s="20">
        <f t="shared" si="5"/>
        <v>0</v>
      </c>
      <c r="K60" s="3"/>
      <c r="L60" s="3">
        <f t="shared" si="6"/>
        <v>0</v>
      </c>
      <c r="M60" s="3"/>
      <c r="N60" s="20">
        <f t="shared" si="7"/>
        <v>0</v>
      </c>
      <c r="O60" s="12"/>
      <c r="P60" s="3">
        <v>0</v>
      </c>
      <c r="Q60" s="3"/>
      <c r="R60" s="20">
        <f t="shared" si="8"/>
        <v>0</v>
      </c>
      <c r="S60" s="3"/>
      <c r="T60" s="3"/>
      <c r="U60" s="3"/>
      <c r="V60" s="20">
        <f t="shared" si="9"/>
        <v>0</v>
      </c>
      <c r="W60" s="3"/>
      <c r="X60" s="3">
        <f t="shared" si="10"/>
        <v>0</v>
      </c>
      <c r="Y60" s="3"/>
      <c r="Z60" s="20">
        <f t="shared" si="11"/>
        <v>0</v>
      </c>
    </row>
    <row r="61" spans="1:26" s="70" customFormat="1" ht="15" hidden="1" customHeight="1" outlineLevel="1" x14ac:dyDescent="0.3">
      <c r="A61" s="42"/>
      <c r="B61" s="12" t="str">
        <f>CONCATENATE("          ","5545"," - ","FREIGHT-IN-SPECIAL ORDERS")</f>
        <v xml:space="preserve">          5545 - FREIGHT-IN-SPECIAL ORDERS</v>
      </c>
      <c r="C61" s="12"/>
      <c r="D61" s="3"/>
      <c r="E61" s="3"/>
      <c r="F61" s="20">
        <f t="shared" si="4"/>
        <v>0</v>
      </c>
      <c r="G61" s="3"/>
      <c r="H61" s="3"/>
      <c r="I61" s="3"/>
      <c r="J61" s="20">
        <f t="shared" si="5"/>
        <v>0</v>
      </c>
      <c r="K61" s="3"/>
      <c r="L61" s="3">
        <f t="shared" si="6"/>
        <v>0</v>
      </c>
      <c r="M61" s="3"/>
      <c r="N61" s="20">
        <f t="shared" si="7"/>
        <v>0</v>
      </c>
      <c r="O61" s="12"/>
      <c r="P61" s="3">
        <v>0</v>
      </c>
      <c r="Q61" s="3"/>
      <c r="R61" s="20">
        <f t="shared" si="8"/>
        <v>0</v>
      </c>
      <c r="S61" s="3"/>
      <c r="T61" s="3"/>
      <c r="U61" s="3"/>
      <c r="V61" s="20">
        <f t="shared" si="9"/>
        <v>0</v>
      </c>
      <c r="W61" s="3"/>
      <c r="X61" s="3">
        <f t="shared" si="10"/>
        <v>0</v>
      </c>
      <c r="Y61" s="3"/>
      <c r="Z61" s="20">
        <f t="shared" si="11"/>
        <v>0</v>
      </c>
    </row>
    <row r="62" spans="1:26" s="70" customFormat="1" ht="15" hidden="1" customHeight="1" outlineLevel="1" x14ac:dyDescent="0.3">
      <c r="A62" s="42"/>
      <c r="B62" s="12" t="str">
        <f>CONCATENATE("          ","5583"," - ","FREIGHT-IN-COMPUTER EQUIPMENT")</f>
        <v xml:space="preserve">          5583 - FREIGHT-IN-COMPUTER EQUIPMENT</v>
      </c>
      <c r="C62" s="12"/>
      <c r="D62" s="3"/>
      <c r="E62" s="3"/>
      <c r="F62" s="20">
        <f t="shared" si="4"/>
        <v>0</v>
      </c>
      <c r="G62" s="3"/>
      <c r="H62" s="3"/>
      <c r="I62" s="3"/>
      <c r="J62" s="20">
        <f t="shared" si="5"/>
        <v>0</v>
      </c>
      <c r="K62" s="3"/>
      <c r="L62" s="3">
        <f t="shared" si="6"/>
        <v>0</v>
      </c>
      <c r="M62" s="3"/>
      <c r="N62" s="20">
        <f t="shared" si="7"/>
        <v>0</v>
      </c>
      <c r="O62" s="12"/>
      <c r="P62" s="3">
        <v>0</v>
      </c>
      <c r="Q62" s="3"/>
      <c r="R62" s="20">
        <f t="shared" si="8"/>
        <v>0</v>
      </c>
      <c r="S62" s="3"/>
      <c r="T62" s="3"/>
      <c r="U62" s="3"/>
      <c r="V62" s="20">
        <f t="shared" si="9"/>
        <v>0</v>
      </c>
      <c r="W62" s="3"/>
      <c r="X62" s="3">
        <f t="shared" si="10"/>
        <v>0</v>
      </c>
      <c r="Y62" s="3"/>
      <c r="Z62" s="20">
        <f t="shared" si="11"/>
        <v>0</v>
      </c>
    </row>
    <row r="63" spans="1:26" ht="15" customHeight="1" x14ac:dyDescent="0.3">
      <c r="A63" s="10"/>
      <c r="B63" s="11"/>
      <c r="C63" s="11"/>
      <c r="D63" s="4"/>
      <c r="E63" s="4"/>
      <c r="F63" s="9"/>
      <c r="G63" s="4"/>
      <c r="H63" s="4"/>
      <c r="I63" s="4"/>
      <c r="J63" s="9"/>
      <c r="K63" s="4"/>
      <c r="L63" s="4"/>
      <c r="M63" s="4"/>
      <c r="N63" s="9"/>
      <c r="O63" s="11"/>
      <c r="P63" s="4"/>
      <c r="Q63" s="4"/>
      <c r="R63" s="9"/>
      <c r="S63" s="4"/>
      <c r="T63" s="4"/>
      <c r="U63" s="4"/>
      <c r="V63" s="9"/>
      <c r="W63" s="4"/>
      <c r="X63" s="4"/>
      <c r="Y63" s="4"/>
      <c r="Z63" s="9"/>
    </row>
    <row r="64" spans="1:26" s="63" customFormat="1" ht="15" customHeight="1" x14ac:dyDescent="0.3">
      <c r="A64" s="11"/>
      <c r="B64" s="27" t="s">
        <v>289</v>
      </c>
      <c r="C64" s="27"/>
      <c r="D64" s="21">
        <f>D12-D27</f>
        <v>1767142.65</v>
      </c>
      <c r="E64" s="15"/>
      <c r="F64" s="23">
        <f>IF(D$12=0,0,D64/D$12)</f>
        <v>0.61612477787958264</v>
      </c>
      <c r="G64" s="15"/>
      <c r="H64" s="21">
        <f>H12-H27</f>
        <v>1342842</v>
      </c>
      <c r="I64" s="15"/>
      <c r="J64" s="23">
        <f>IF(H$12=0,0,H64/H$12)</f>
        <v>0.65085432864207471</v>
      </c>
      <c r="K64" s="16"/>
      <c r="L64" s="21">
        <f>+D64-H64</f>
        <v>424300.64999999991</v>
      </c>
      <c r="M64" s="16"/>
      <c r="N64" s="23">
        <f>IF(H64=0,0,L64/H64)</f>
        <v>0.31597213223893794</v>
      </c>
      <c r="O64" s="28"/>
      <c r="P64" s="21">
        <f>P12-P27</f>
        <v>10917007.990000004</v>
      </c>
      <c r="Q64" s="15"/>
      <c r="R64" s="23">
        <f>IF(P$12=0,0,P64/P$12)</f>
        <v>0.5896418521791893</v>
      </c>
      <c r="S64" s="15"/>
      <c r="T64" s="21">
        <f>T12-T27</f>
        <v>9944300</v>
      </c>
      <c r="U64" s="15"/>
      <c r="V64" s="23">
        <f>IF(T$12=0,0,T64/T$12)</f>
        <v>0.52616925207064424</v>
      </c>
      <c r="W64" s="16"/>
      <c r="X64" s="21">
        <f>+P64-T64</f>
        <v>972707.99000000395</v>
      </c>
      <c r="Y64" s="16"/>
      <c r="Z64" s="23">
        <f>IF(T64=0,0,X64/T64)</f>
        <v>9.7815632070633832E-2</v>
      </c>
    </row>
    <row r="65" spans="1:26" ht="15" customHeight="1" x14ac:dyDescent="0.3">
      <c r="A65" s="10"/>
      <c r="B65" s="11"/>
      <c r="C65" s="10"/>
      <c r="D65" s="2"/>
      <c r="E65" s="2"/>
      <c r="F65" s="6"/>
      <c r="G65" s="2"/>
      <c r="H65" s="2"/>
      <c r="I65" s="2"/>
      <c r="J65" s="6"/>
      <c r="K65" s="2"/>
      <c r="L65" s="2"/>
      <c r="M65" s="2"/>
      <c r="N65" s="6"/>
      <c r="O65" s="35"/>
      <c r="P65" s="2"/>
      <c r="Q65" s="2"/>
      <c r="R65" s="6"/>
      <c r="S65" s="2"/>
      <c r="T65" s="2"/>
      <c r="U65" s="2"/>
      <c r="V65" s="6"/>
      <c r="W65" s="2"/>
      <c r="X65" s="2"/>
      <c r="Y65" s="2"/>
      <c r="Z65" s="6"/>
    </row>
    <row r="66" spans="1:26" s="63" customFormat="1" ht="15" customHeight="1" x14ac:dyDescent="0.3">
      <c r="A66" s="11"/>
      <c r="B66" s="28" t="s">
        <v>290</v>
      </c>
      <c r="C66" s="11"/>
      <c r="D66" s="22" cm="1">
        <f t="array" ref="D66">SUM(OSRRefD22x_0)</f>
        <v>1185685.0600000003</v>
      </c>
      <c r="E66" s="22"/>
      <c r="F66" s="30">
        <f t="shared" ref="F66:F97" si="12">IF(D$12=0,0,D66/D$12)</f>
        <v>0.41339613654146129</v>
      </c>
      <c r="G66" s="22"/>
      <c r="H66" s="22" cm="1">
        <f t="array" ref="H66">SUM(OSRRefH22x_0)</f>
        <v>1139370.5611706516</v>
      </c>
      <c r="I66" s="22"/>
      <c r="J66" s="30">
        <f t="shared" ref="J66:J97" si="13">IF(H$12=0,0,H66/H$12)</f>
        <v>0.55223493282550618</v>
      </c>
      <c r="K66" s="5"/>
      <c r="L66" s="22">
        <f t="shared" ref="L66:L97" si="14">+D66-H66</f>
        <v>46314.498829348711</v>
      </c>
      <c r="M66" s="5"/>
      <c r="N66" s="30">
        <f t="shared" ref="N66:N97" si="15">IF(H66=0,0,L66/H66)</f>
        <v>4.0649197379439631E-2</v>
      </c>
      <c r="O66" s="11"/>
      <c r="P66" s="22" cm="1">
        <f t="array" ref="P66">SUM(OSRRefP22x_0)</f>
        <v>9382187.9900000021</v>
      </c>
      <c r="Q66" s="22"/>
      <c r="R66" s="30">
        <f t="shared" ref="R66:R97" si="16">IF(P$12=0,0,P66/P$12)</f>
        <v>0.50674422048462231</v>
      </c>
      <c r="S66" s="22"/>
      <c r="T66" s="22" cm="1">
        <f t="array" ref="T66">SUM(OSRRefT22x_0)</f>
        <v>10257796.70253519</v>
      </c>
      <c r="U66" s="22"/>
      <c r="V66" s="30">
        <f t="shared" ref="V66:V97" si="17">IF(T$12=0,0,T66/T$12)</f>
        <v>0.5427568776953291</v>
      </c>
      <c r="W66" s="5"/>
      <c r="X66" s="22">
        <f t="shared" ref="X66:X97" si="18">+P66-T66</f>
        <v>-875608.7125351876</v>
      </c>
      <c r="Y66" s="5"/>
      <c r="Z66" s="30">
        <f t="shared" ref="Z66:Z97" si="19">IF(T66=0,0,X66/T66)</f>
        <v>-8.5360310593675839E-2</v>
      </c>
    </row>
    <row r="67" spans="1:26" s="69" customFormat="1" ht="15" customHeight="1" outlineLevel="1" collapsed="1" x14ac:dyDescent="0.3">
      <c r="A67" s="25"/>
      <c r="B67" s="14" t="str">
        <f>CONCATENATE("     ","*Benefits                                         ")</f>
        <v xml:space="preserve">     *Benefits                                         </v>
      </c>
      <c r="C67" s="14"/>
      <c r="D67" s="2">
        <f>SUM(OSRRefD22_0x_0)</f>
        <v>173524.73000000004</v>
      </c>
      <c r="E67" s="2"/>
      <c r="F67" s="6">
        <f t="shared" si="12"/>
        <v>6.0500427471355846E-2</v>
      </c>
      <c r="G67" s="2"/>
      <c r="H67" s="2">
        <f>SUM(OSRRefH22_0x_0)</f>
        <v>192841.58364501339</v>
      </c>
      <c r="I67" s="2"/>
      <c r="J67" s="6">
        <f t="shared" si="13"/>
        <v>9.3467272737633833E-2</v>
      </c>
      <c r="K67" s="2"/>
      <c r="L67" s="2">
        <f t="shared" si="14"/>
        <v>-19316.853645013354</v>
      </c>
      <c r="M67" s="2"/>
      <c r="N67" s="6">
        <f t="shared" si="15"/>
        <v>-0.10016954476256636</v>
      </c>
      <c r="O67" s="14"/>
      <c r="P67" s="2">
        <f>SUM(OSRRefP22_0x_0)</f>
        <v>1554810.3599999999</v>
      </c>
      <c r="Q67" s="2"/>
      <c r="R67" s="6">
        <f t="shared" si="16"/>
        <v>8.3977337132808277E-2</v>
      </c>
      <c r="S67" s="2"/>
      <c r="T67" s="2">
        <f>SUM(OSRRefT22_0x_0)</f>
        <v>1805408.1723654983</v>
      </c>
      <c r="U67" s="2"/>
      <c r="V67" s="6">
        <f t="shared" si="17"/>
        <v>9.552711279182878E-2</v>
      </c>
      <c r="W67" s="2"/>
      <c r="X67" s="2">
        <f t="shared" si="18"/>
        <v>-250597.81236549839</v>
      </c>
      <c r="Y67" s="2"/>
      <c r="Z67" s="6">
        <f t="shared" si="19"/>
        <v>-0.13880396477720486</v>
      </c>
    </row>
    <row r="68" spans="1:26" s="70" customFormat="1" ht="15" hidden="1" customHeight="1" outlineLevel="2" x14ac:dyDescent="0.3">
      <c r="A68" s="26"/>
      <c r="B68" s="12" t="str">
        <f>CONCATENATE("          ","6111"," - ","F.I.C.A.")</f>
        <v xml:space="preserve">          6111 - F.I.C.A.</v>
      </c>
      <c r="C68" s="12"/>
      <c r="D68" s="7">
        <v>27167.93</v>
      </c>
      <c r="E68" s="3"/>
      <c r="F68" s="8">
        <f t="shared" si="12"/>
        <v>9.4722601125031124E-3</v>
      </c>
      <c r="G68" s="3"/>
      <c r="H68" s="7">
        <v>26081.272126215001</v>
      </c>
      <c r="I68" s="3"/>
      <c r="J68" s="8">
        <f t="shared" si="13"/>
        <v>1.2641181062134578E-2</v>
      </c>
      <c r="K68" s="3"/>
      <c r="L68" s="7">
        <f t="shared" si="14"/>
        <v>1086.6578737849995</v>
      </c>
      <c r="M68" s="3"/>
      <c r="N68" s="8">
        <f t="shared" si="15"/>
        <v>4.1664297221636282E-2</v>
      </c>
      <c r="O68" s="12"/>
      <c r="P68" s="7">
        <v>242913.64</v>
      </c>
      <c r="Q68" s="3"/>
      <c r="R68" s="8">
        <f t="shared" si="16"/>
        <v>1.3120082786454821E-2</v>
      </c>
      <c r="S68" s="3"/>
      <c r="T68" s="7">
        <v>257724.746596296</v>
      </c>
      <c r="U68" s="3"/>
      <c r="V68" s="8">
        <f t="shared" si="17"/>
        <v>1.3636639799349313E-2</v>
      </c>
      <c r="W68" s="3"/>
      <c r="X68" s="7">
        <f t="shared" si="18"/>
        <v>-14811.106596295984</v>
      </c>
      <c r="Y68" s="3"/>
      <c r="Z68" s="8">
        <f t="shared" si="19"/>
        <v>-5.7468701752169449E-2</v>
      </c>
    </row>
    <row r="69" spans="1:26" s="70" customFormat="1" ht="15" hidden="1" customHeight="1" outlineLevel="2" x14ac:dyDescent="0.3">
      <c r="A69" s="26"/>
      <c r="B69" s="12" t="str">
        <f>CONCATENATE("          ","6112"," - ","COMPENSATION INSURANCE")</f>
        <v xml:space="preserve">          6112 - COMPENSATION INSURANCE</v>
      </c>
      <c r="C69" s="12"/>
      <c r="D69" s="7">
        <v>16800.150000000001</v>
      </c>
      <c r="E69" s="3"/>
      <c r="F69" s="8">
        <f t="shared" si="12"/>
        <v>5.8574720535966192E-3</v>
      </c>
      <c r="G69" s="3"/>
      <c r="H69" s="7">
        <v>18260.5605791138</v>
      </c>
      <c r="I69" s="3"/>
      <c r="J69" s="8">
        <f t="shared" si="13"/>
        <v>8.8506055785766667E-3</v>
      </c>
      <c r="K69" s="3"/>
      <c r="L69" s="7">
        <f t="shared" si="14"/>
        <v>-1460.410579113799</v>
      </c>
      <c r="M69" s="3"/>
      <c r="N69" s="8">
        <f t="shared" si="15"/>
        <v>-7.9976218297711968E-2</v>
      </c>
      <c r="O69" s="12"/>
      <c r="P69" s="7">
        <v>114803.51</v>
      </c>
      <c r="Q69" s="3"/>
      <c r="R69" s="8">
        <f t="shared" si="16"/>
        <v>6.2006874351542953E-3</v>
      </c>
      <c r="S69" s="3"/>
      <c r="T69" s="7">
        <v>153985.04252121001</v>
      </c>
      <c r="U69" s="3"/>
      <c r="V69" s="8">
        <f t="shared" si="17"/>
        <v>8.1476016062921892E-3</v>
      </c>
      <c r="W69" s="3"/>
      <c r="X69" s="7">
        <f t="shared" si="18"/>
        <v>-39181.532521210014</v>
      </c>
      <c r="Y69" s="3"/>
      <c r="Z69" s="8">
        <f t="shared" si="19"/>
        <v>-0.25445024971054003</v>
      </c>
    </row>
    <row r="70" spans="1:26" s="70" customFormat="1" ht="15" hidden="1" customHeight="1" outlineLevel="2" x14ac:dyDescent="0.3">
      <c r="A70" s="26"/>
      <c r="B70" s="12" t="str">
        <f>CONCATENATE("          ","6113"," - ","GROUP INSURANCE")</f>
        <v xml:space="preserve">          6113 - GROUP INSURANCE</v>
      </c>
      <c r="C70" s="12"/>
      <c r="D70" s="7">
        <v>72537.350000000006</v>
      </c>
      <c r="E70" s="3"/>
      <c r="F70" s="8">
        <f t="shared" si="12"/>
        <v>2.5290577790493339E-2</v>
      </c>
      <c r="G70" s="3"/>
      <c r="H70" s="7">
        <v>95602.323076923101</v>
      </c>
      <c r="I70" s="3"/>
      <c r="J70" s="8">
        <f t="shared" si="13"/>
        <v>4.6336937482483805E-2</v>
      </c>
      <c r="K70" s="3"/>
      <c r="L70" s="7">
        <f t="shared" si="14"/>
        <v>-23064.973076923096</v>
      </c>
      <c r="M70" s="3"/>
      <c r="N70" s="8">
        <f t="shared" si="15"/>
        <v>-0.24125954615521908</v>
      </c>
      <c r="O70" s="12"/>
      <c r="P70" s="7">
        <v>672581.12</v>
      </c>
      <c r="Q70" s="3"/>
      <c r="R70" s="8">
        <f t="shared" si="16"/>
        <v>3.6326984252537255E-2</v>
      </c>
      <c r="S70" s="3"/>
      <c r="T70" s="7">
        <v>900060.542307692</v>
      </c>
      <c r="U70" s="3"/>
      <c r="V70" s="8">
        <f t="shared" si="17"/>
        <v>4.762368214598682E-2</v>
      </c>
      <c r="W70" s="3"/>
      <c r="X70" s="7">
        <f t="shared" si="18"/>
        <v>-227479.422307692</v>
      </c>
      <c r="Y70" s="3"/>
      <c r="Z70" s="8">
        <f t="shared" si="19"/>
        <v>-0.25273791219027414</v>
      </c>
    </row>
    <row r="71" spans="1:26" s="70" customFormat="1" ht="15" hidden="1" customHeight="1" outlineLevel="2" x14ac:dyDescent="0.3">
      <c r="A71" s="26"/>
      <c r="B71" s="12" t="str">
        <f>CONCATENATE("          ","6114"," - ","STATE UNEMPLOYMENT INSURANCE")</f>
        <v xml:space="preserve">          6114 - STATE UNEMPLOYMENT INSURANCE</v>
      </c>
      <c r="C71" s="12"/>
      <c r="D71" s="7">
        <v>1593.78</v>
      </c>
      <c r="E71" s="3"/>
      <c r="F71" s="8">
        <f t="shared" si="12"/>
        <v>5.5568086056262704E-4</v>
      </c>
      <c r="G71" s="3"/>
      <c r="H71" s="7">
        <v>1231.7590697999999</v>
      </c>
      <c r="I71" s="3"/>
      <c r="J71" s="8">
        <f t="shared" si="13"/>
        <v>5.9701418515615797E-4</v>
      </c>
      <c r="K71" s="3"/>
      <c r="L71" s="7">
        <f t="shared" si="14"/>
        <v>362.02093020000007</v>
      </c>
      <c r="M71" s="3"/>
      <c r="N71" s="8">
        <f t="shared" si="15"/>
        <v>0.29390563388242896</v>
      </c>
      <c r="O71" s="12"/>
      <c r="P71" s="7">
        <v>11446.92</v>
      </c>
      <c r="Q71" s="3"/>
      <c r="R71" s="8">
        <f t="shared" si="16"/>
        <v>6.1826309156589731E-4</v>
      </c>
      <c r="S71" s="3"/>
      <c r="T71" s="7">
        <v>10926.6698972913</v>
      </c>
      <c r="U71" s="3"/>
      <c r="V71" s="8">
        <f t="shared" si="17"/>
        <v>5.7814805742793221E-4</v>
      </c>
      <c r="W71" s="3"/>
      <c r="X71" s="7">
        <f t="shared" si="18"/>
        <v>520.25010270870007</v>
      </c>
      <c r="Y71" s="3"/>
      <c r="Z71" s="8">
        <f t="shared" si="19"/>
        <v>4.7612869025874853E-2</v>
      </c>
    </row>
    <row r="72" spans="1:26" s="70" customFormat="1" ht="15" hidden="1" customHeight="1" outlineLevel="2" x14ac:dyDescent="0.3">
      <c r="A72" s="26"/>
      <c r="B72" s="12" t="str">
        <f>CONCATENATE("          ","6115"," - ","P.E.R.S.")</f>
        <v xml:space="preserve">          6115 - P.E.R.S.</v>
      </c>
      <c r="C72" s="12"/>
      <c r="D72" s="7">
        <v>13446.81</v>
      </c>
      <c r="E72" s="3"/>
      <c r="F72" s="8">
        <f t="shared" si="12"/>
        <v>4.6883101511012428E-3</v>
      </c>
      <c r="G72" s="3"/>
      <c r="H72" s="7">
        <v>12048.9513358</v>
      </c>
      <c r="I72" s="3"/>
      <c r="J72" s="8">
        <f t="shared" si="13"/>
        <v>5.8399365915745407E-3</v>
      </c>
      <c r="K72" s="3"/>
      <c r="L72" s="7">
        <f t="shared" si="14"/>
        <v>1397.8586641999991</v>
      </c>
      <c r="M72" s="3"/>
      <c r="N72" s="8">
        <f t="shared" si="15"/>
        <v>0.11601496472532538</v>
      </c>
      <c r="O72" s="12"/>
      <c r="P72" s="7">
        <v>136599.06</v>
      </c>
      <c r="Q72" s="3"/>
      <c r="R72" s="8">
        <f t="shared" si="16"/>
        <v>7.377893541720873E-3</v>
      </c>
      <c r="S72" s="3"/>
      <c r="T72" s="7">
        <v>116203.856125588</v>
      </c>
      <c r="U72" s="3"/>
      <c r="V72" s="8">
        <f t="shared" si="17"/>
        <v>6.1485369573851742E-3</v>
      </c>
      <c r="W72" s="3"/>
      <c r="X72" s="7">
        <f t="shared" si="18"/>
        <v>20395.203874411993</v>
      </c>
      <c r="Y72" s="3"/>
      <c r="Z72" s="8">
        <f t="shared" si="19"/>
        <v>0.17551228121354043</v>
      </c>
    </row>
    <row r="73" spans="1:26" s="70" customFormat="1" ht="15" hidden="1" customHeight="1" outlineLevel="2" x14ac:dyDescent="0.3">
      <c r="A73" s="26"/>
      <c r="B73" s="12" t="str">
        <f>CONCATENATE("          ","6116"," - ","EDUCATIONAL BENEFITS")</f>
        <v xml:space="preserve">          6116 - EDUCATIONAL BENEFITS</v>
      </c>
      <c r="C73" s="12"/>
      <c r="D73" s="7"/>
      <c r="E73" s="3"/>
      <c r="F73" s="8">
        <f t="shared" si="12"/>
        <v>0</v>
      </c>
      <c r="G73" s="3"/>
      <c r="H73" s="7">
        <v>0</v>
      </c>
      <c r="I73" s="3"/>
      <c r="J73" s="8">
        <f t="shared" si="13"/>
        <v>0</v>
      </c>
      <c r="K73" s="3"/>
      <c r="L73" s="7">
        <f t="shared" si="14"/>
        <v>0</v>
      </c>
      <c r="M73" s="3"/>
      <c r="N73" s="8">
        <f t="shared" si="15"/>
        <v>0</v>
      </c>
      <c r="O73" s="12"/>
      <c r="P73" s="7"/>
      <c r="Q73" s="3"/>
      <c r="R73" s="8">
        <f t="shared" si="16"/>
        <v>0</v>
      </c>
      <c r="S73" s="3"/>
      <c r="T73" s="7">
        <v>0</v>
      </c>
      <c r="U73" s="3"/>
      <c r="V73" s="8">
        <f t="shared" si="17"/>
        <v>0</v>
      </c>
      <c r="W73" s="3"/>
      <c r="X73" s="7">
        <f t="shared" si="18"/>
        <v>0</v>
      </c>
      <c r="Y73" s="3"/>
      <c r="Z73" s="8">
        <f t="shared" si="19"/>
        <v>0</v>
      </c>
    </row>
    <row r="74" spans="1:26" s="70" customFormat="1" ht="15" hidden="1" customHeight="1" outlineLevel="2" x14ac:dyDescent="0.3">
      <c r="A74" s="26"/>
      <c r="B74" s="12" t="str">
        <f>CONCATENATE("          ","6117"," - ","RETIREMENT STAFF HOURLY")</f>
        <v xml:space="preserve">          6117 - RETIREMENT STAFF HOURLY</v>
      </c>
      <c r="C74" s="12"/>
      <c r="D74" s="7">
        <v>2893.88</v>
      </c>
      <c r="E74" s="3"/>
      <c r="F74" s="8">
        <f t="shared" si="12"/>
        <v>1.0089684453092492E-3</v>
      </c>
      <c r="G74" s="3"/>
      <c r="H74" s="7"/>
      <c r="I74" s="3"/>
      <c r="J74" s="8">
        <f t="shared" si="13"/>
        <v>0</v>
      </c>
      <c r="K74" s="3"/>
      <c r="L74" s="7">
        <f t="shared" si="14"/>
        <v>2893.88</v>
      </c>
      <c r="M74" s="3"/>
      <c r="N74" s="8">
        <f t="shared" si="15"/>
        <v>0</v>
      </c>
      <c r="O74" s="12"/>
      <c r="P74" s="7">
        <v>22674.21</v>
      </c>
      <c r="Q74" s="3"/>
      <c r="R74" s="8">
        <f t="shared" si="16"/>
        <v>1.2246636801353013E-3</v>
      </c>
      <c r="S74" s="3"/>
      <c r="T74" s="7"/>
      <c r="U74" s="3"/>
      <c r="V74" s="8">
        <f t="shared" si="17"/>
        <v>0</v>
      </c>
      <c r="W74" s="3"/>
      <c r="X74" s="7">
        <f t="shared" si="18"/>
        <v>22674.21</v>
      </c>
      <c r="Y74" s="3"/>
      <c r="Z74" s="8">
        <f t="shared" si="19"/>
        <v>0</v>
      </c>
    </row>
    <row r="75" spans="1:26" s="70" customFormat="1" ht="15" hidden="1" customHeight="1" outlineLevel="2" x14ac:dyDescent="0.3">
      <c r="A75" s="26"/>
      <c r="B75" s="12" t="str">
        <f>CONCATENATE("          ","6118"," - ","VACATION")</f>
        <v xml:space="preserve">          6118 - VACATION</v>
      </c>
      <c r="C75" s="12"/>
      <c r="D75" s="7">
        <v>16443.95</v>
      </c>
      <c r="E75" s="3"/>
      <c r="F75" s="8">
        <f t="shared" si="12"/>
        <v>5.7332808085487404E-3</v>
      </c>
      <c r="G75" s="3"/>
      <c r="H75" s="7">
        <v>12509.758230207701</v>
      </c>
      <c r="I75" s="3"/>
      <c r="J75" s="8">
        <f t="shared" si="13"/>
        <v>6.0632824222034334E-3</v>
      </c>
      <c r="K75" s="3"/>
      <c r="L75" s="7">
        <f t="shared" si="14"/>
        <v>3934.1917697923</v>
      </c>
      <c r="M75" s="3"/>
      <c r="N75" s="8">
        <f t="shared" si="15"/>
        <v>0.31448983244874273</v>
      </c>
      <c r="O75" s="12"/>
      <c r="P75" s="7">
        <v>169561.2</v>
      </c>
      <c r="Q75" s="3"/>
      <c r="R75" s="8">
        <f t="shared" si="16"/>
        <v>9.1582217506214272E-3</v>
      </c>
      <c r="S75" s="3"/>
      <c r="T75" s="7">
        <v>122853.13613375599</v>
      </c>
      <c r="U75" s="3"/>
      <c r="V75" s="8">
        <f t="shared" si="17"/>
        <v>6.5003612877760552E-3</v>
      </c>
      <c r="W75" s="3"/>
      <c r="X75" s="7">
        <f t="shared" si="18"/>
        <v>46708.063866244018</v>
      </c>
      <c r="Y75" s="3"/>
      <c r="Z75" s="8">
        <f t="shared" si="19"/>
        <v>0.38019431441612322</v>
      </c>
    </row>
    <row r="76" spans="1:26" s="70" customFormat="1" ht="15" hidden="1" customHeight="1" outlineLevel="2" x14ac:dyDescent="0.3">
      <c r="A76" s="26"/>
      <c r="B76" s="12" t="str">
        <f>CONCATENATE("          ","6119"," - ","SICK LEAVE")</f>
        <v xml:space="preserve">          6119 - SICK LEAVE</v>
      </c>
      <c r="C76" s="12"/>
      <c r="D76" s="7">
        <v>12381</v>
      </c>
      <c r="E76" s="3"/>
      <c r="F76" s="8">
        <f t="shared" si="12"/>
        <v>4.3167091660240966E-3</v>
      </c>
      <c r="G76" s="3"/>
      <c r="H76" s="7">
        <v>18160.959226953801</v>
      </c>
      <c r="I76" s="3"/>
      <c r="J76" s="8">
        <f t="shared" si="13"/>
        <v>8.8023303747984567E-3</v>
      </c>
      <c r="K76" s="3"/>
      <c r="L76" s="7">
        <f t="shared" si="14"/>
        <v>-5779.9592269538007</v>
      </c>
      <c r="M76" s="3"/>
      <c r="N76" s="8">
        <f t="shared" si="15"/>
        <v>-0.31826288219266557</v>
      </c>
      <c r="O76" s="12"/>
      <c r="P76" s="7">
        <v>110789.71</v>
      </c>
      <c r="Q76" s="3"/>
      <c r="R76" s="8">
        <f t="shared" si="16"/>
        <v>5.9838968576952766E-3</v>
      </c>
      <c r="S76" s="3"/>
      <c r="T76" s="7">
        <v>162929.178783665</v>
      </c>
      <c r="U76" s="3"/>
      <c r="V76" s="8">
        <f t="shared" si="17"/>
        <v>8.6208505516813944E-3</v>
      </c>
      <c r="W76" s="3"/>
      <c r="X76" s="7">
        <f t="shared" si="18"/>
        <v>-52139.468783664997</v>
      </c>
      <c r="Y76" s="3"/>
      <c r="Z76" s="8">
        <f t="shared" si="19"/>
        <v>-0.32001308281860935</v>
      </c>
    </row>
    <row r="77" spans="1:26" s="70" customFormat="1" ht="15" hidden="1" customHeight="1" outlineLevel="2" x14ac:dyDescent="0.3">
      <c r="A77" s="26"/>
      <c r="B77" s="12" t="str">
        <f>CONCATENATE("          ","6156"," - ","EMPLOYEE MEALS")</f>
        <v xml:space="preserve">          6156 - EMPLOYEE MEALS</v>
      </c>
      <c r="C77" s="12"/>
      <c r="D77" s="7">
        <v>10259.879999999999</v>
      </c>
      <c r="E77" s="3"/>
      <c r="F77" s="8">
        <f t="shared" si="12"/>
        <v>3.5771680832168088E-3</v>
      </c>
      <c r="G77" s="3"/>
      <c r="H77" s="7">
        <v>8946</v>
      </c>
      <c r="I77" s="3"/>
      <c r="J77" s="8">
        <f t="shared" si="13"/>
        <v>4.3359850407062046E-3</v>
      </c>
      <c r="K77" s="3"/>
      <c r="L77" s="7">
        <f t="shared" si="14"/>
        <v>1313.8799999999992</v>
      </c>
      <c r="M77" s="3"/>
      <c r="N77" s="8">
        <f t="shared" si="15"/>
        <v>0.14686787391012734</v>
      </c>
      <c r="O77" s="12"/>
      <c r="P77" s="7">
        <v>73440.990000000005</v>
      </c>
      <c r="Q77" s="3"/>
      <c r="R77" s="8">
        <f t="shared" si="16"/>
        <v>3.9666437369231334E-3</v>
      </c>
      <c r="S77" s="3"/>
      <c r="T77" s="7">
        <v>80725</v>
      </c>
      <c r="U77" s="3"/>
      <c r="V77" s="8">
        <f t="shared" si="17"/>
        <v>4.2712923859299055E-3</v>
      </c>
      <c r="W77" s="3"/>
      <c r="X77" s="7">
        <f t="shared" si="18"/>
        <v>-7284.0099999999948</v>
      </c>
      <c r="Y77" s="3"/>
      <c r="Z77" s="8">
        <f t="shared" si="19"/>
        <v>-9.023239393000923E-2</v>
      </c>
    </row>
    <row r="78" spans="1:26" s="69" customFormat="1" ht="15" customHeight="1" outlineLevel="1" collapsed="1" x14ac:dyDescent="0.3">
      <c r="A78" s="25"/>
      <c r="B78" s="14" t="str">
        <f>CONCATENATE("     ","*Payroll                                          ")</f>
        <v xml:space="preserve">     *Payroll                                          </v>
      </c>
      <c r="C78" s="14"/>
      <c r="D78" s="2">
        <f>SUM(OSRRefD22_1x_0)</f>
        <v>608929.53</v>
      </c>
      <c r="E78" s="2"/>
      <c r="F78" s="6">
        <f t="shared" si="12"/>
        <v>0.21230689634227812</v>
      </c>
      <c r="G78" s="2"/>
      <c r="H78" s="2">
        <f>SUM(OSRRefH22_1x_0)</f>
        <v>560236.72752563818</v>
      </c>
      <c r="I78" s="2"/>
      <c r="J78" s="6">
        <f t="shared" si="13"/>
        <v>0.27153790183382126</v>
      </c>
      <c r="K78" s="2"/>
      <c r="L78" s="2">
        <f t="shared" si="14"/>
        <v>48692.802474361844</v>
      </c>
      <c r="M78" s="2"/>
      <c r="N78" s="6">
        <f t="shared" si="15"/>
        <v>8.6914691740079666E-2</v>
      </c>
      <c r="O78" s="14"/>
      <c r="P78" s="2">
        <f>SUM(OSRRefP22_1x_0)</f>
        <v>4520700.76</v>
      </c>
      <c r="Q78" s="2"/>
      <c r="R78" s="6">
        <f t="shared" si="16"/>
        <v>0.24416894919523344</v>
      </c>
      <c r="S78" s="2"/>
      <c r="T78" s="2">
        <f>SUM(OSRRefT22_1x_0)</f>
        <v>4964305.03016969</v>
      </c>
      <c r="U78" s="2"/>
      <c r="V78" s="6">
        <f t="shared" si="17"/>
        <v>0.26266953579185293</v>
      </c>
      <c r="W78" s="2"/>
      <c r="X78" s="2">
        <f t="shared" si="18"/>
        <v>-443604.27016969025</v>
      </c>
      <c r="Y78" s="2"/>
      <c r="Z78" s="6">
        <f t="shared" si="19"/>
        <v>-8.9358785867057602E-2</v>
      </c>
    </row>
    <row r="79" spans="1:26" s="70" customFormat="1" ht="15" hidden="1" customHeight="1" outlineLevel="2" x14ac:dyDescent="0.3">
      <c r="A79" s="26"/>
      <c r="B79" s="12" t="str">
        <f>CONCATENATE("          ","6001"," - ","ADMINISTRATIVE SALARIES")</f>
        <v xml:space="preserve">          6001 - ADMINISTRATIVE SALARIES</v>
      </c>
      <c r="C79" s="12"/>
      <c r="D79" s="7">
        <v>28749.02</v>
      </c>
      <c r="E79" s="3"/>
      <c r="F79" s="8">
        <f t="shared" si="12"/>
        <v>1.0023516529214934E-2</v>
      </c>
      <c r="G79" s="3"/>
      <c r="H79" s="7">
        <v>18547.9230769231</v>
      </c>
      <c r="I79" s="3"/>
      <c r="J79" s="8">
        <f t="shared" si="13"/>
        <v>8.989885646960424E-3</v>
      </c>
      <c r="K79" s="3"/>
      <c r="L79" s="7">
        <f t="shared" si="14"/>
        <v>10201.096923076901</v>
      </c>
      <c r="M79" s="3"/>
      <c r="N79" s="8">
        <f t="shared" si="15"/>
        <v>0.54998594078540641</v>
      </c>
      <c r="O79" s="12"/>
      <c r="P79" s="7">
        <v>271867.88</v>
      </c>
      <c r="Q79" s="3"/>
      <c r="R79" s="8">
        <f t="shared" si="16"/>
        <v>1.4683939084597987E-2</v>
      </c>
      <c r="S79" s="3"/>
      <c r="T79" s="7">
        <v>180842.25</v>
      </c>
      <c r="U79" s="3"/>
      <c r="V79" s="8">
        <f t="shared" si="17"/>
        <v>9.5686605819688131E-3</v>
      </c>
      <c r="W79" s="3"/>
      <c r="X79" s="7">
        <f t="shared" si="18"/>
        <v>91025.63</v>
      </c>
      <c r="Y79" s="3"/>
      <c r="Z79" s="8">
        <f t="shared" si="19"/>
        <v>0.50334271996726432</v>
      </c>
    </row>
    <row r="80" spans="1:26" s="70" customFormat="1" ht="15" hidden="1" customHeight="1" outlineLevel="2" x14ac:dyDescent="0.3">
      <c r="A80" s="26"/>
      <c r="B80" s="12" t="str">
        <f>CONCATENATE("          ","6002"," - ","STAFF SALARIES")</f>
        <v xml:space="preserve">          6002 - STAFF SALARIES</v>
      </c>
      <c r="C80" s="12"/>
      <c r="D80" s="7">
        <v>116676.88</v>
      </c>
      <c r="E80" s="3"/>
      <c r="F80" s="8">
        <f t="shared" si="12"/>
        <v>4.0680087017130578E-2</v>
      </c>
      <c r="G80" s="3"/>
      <c r="H80" s="7">
        <v>110715.778115715</v>
      </c>
      <c r="I80" s="3"/>
      <c r="J80" s="8">
        <f t="shared" si="13"/>
        <v>5.3662190663971342E-2</v>
      </c>
      <c r="K80" s="3"/>
      <c r="L80" s="7">
        <f t="shared" si="14"/>
        <v>5961.1018842850026</v>
      </c>
      <c r="M80" s="3"/>
      <c r="N80" s="8">
        <f t="shared" si="15"/>
        <v>5.3841484797719934E-2</v>
      </c>
      <c r="O80" s="12"/>
      <c r="P80" s="7">
        <v>1103723.1100000001</v>
      </c>
      <c r="Q80" s="3"/>
      <c r="R80" s="8">
        <f t="shared" si="16"/>
        <v>5.9613525928487926E-2</v>
      </c>
      <c r="S80" s="3"/>
      <c r="T80" s="7">
        <v>1063298.5136666901</v>
      </c>
      <c r="U80" s="3"/>
      <c r="V80" s="8">
        <f t="shared" si="17"/>
        <v>5.6260871420193481E-2</v>
      </c>
      <c r="W80" s="3"/>
      <c r="X80" s="7">
        <f t="shared" si="18"/>
        <v>40424.596333310008</v>
      </c>
      <c r="Y80" s="3"/>
      <c r="Z80" s="8">
        <f t="shared" si="19"/>
        <v>3.8018106687565466E-2</v>
      </c>
    </row>
    <row r="81" spans="1:26" s="70" customFormat="1" ht="15" hidden="1" customHeight="1" outlineLevel="2" x14ac:dyDescent="0.3">
      <c r="A81" s="26"/>
      <c r="B81" s="12" t="str">
        <f>CONCATENATE("          ","6003"," - ","STAFF HOURLY-9 MONTH")</f>
        <v xml:space="preserve">          6003 - STAFF HOURLY-9 MONTH</v>
      </c>
      <c r="C81" s="12"/>
      <c r="D81" s="7"/>
      <c r="E81" s="3"/>
      <c r="F81" s="8">
        <f t="shared" si="12"/>
        <v>0</v>
      </c>
      <c r="G81" s="3"/>
      <c r="H81" s="7">
        <v>0</v>
      </c>
      <c r="I81" s="3"/>
      <c r="J81" s="8">
        <f t="shared" si="13"/>
        <v>0</v>
      </c>
      <c r="K81" s="3"/>
      <c r="L81" s="7">
        <f t="shared" si="14"/>
        <v>0</v>
      </c>
      <c r="M81" s="3"/>
      <c r="N81" s="8">
        <f t="shared" si="15"/>
        <v>0</v>
      </c>
      <c r="O81" s="12"/>
      <c r="P81" s="7"/>
      <c r="Q81" s="3"/>
      <c r="R81" s="8">
        <f t="shared" si="16"/>
        <v>0</v>
      </c>
      <c r="S81" s="3"/>
      <c r="T81" s="7">
        <v>0</v>
      </c>
      <c r="U81" s="3"/>
      <c r="V81" s="8">
        <f t="shared" si="17"/>
        <v>0</v>
      </c>
      <c r="W81" s="3"/>
      <c r="X81" s="7">
        <f t="shared" si="18"/>
        <v>0</v>
      </c>
      <c r="Y81" s="3"/>
      <c r="Z81" s="8">
        <f t="shared" si="19"/>
        <v>0</v>
      </c>
    </row>
    <row r="82" spans="1:26" s="70" customFormat="1" ht="15" hidden="1" customHeight="1" outlineLevel="2" x14ac:dyDescent="0.3">
      <c r="A82" s="26"/>
      <c r="B82" s="12" t="str">
        <f>CONCATENATE("          ","6004"," - ","STAFF HOURLY")</f>
        <v xml:space="preserve">          6004 - STAFF HOURLY</v>
      </c>
      <c r="C82" s="12"/>
      <c r="D82" s="7">
        <v>101473.38</v>
      </c>
      <c r="E82" s="3"/>
      <c r="F82" s="8">
        <f t="shared" si="12"/>
        <v>3.5379296466638101E-2</v>
      </c>
      <c r="G82" s="3"/>
      <c r="H82" s="7">
        <v>158381.75435800001</v>
      </c>
      <c r="I82" s="3"/>
      <c r="J82" s="8">
        <f t="shared" si="13"/>
        <v>7.676513722525069E-2</v>
      </c>
      <c r="K82" s="3"/>
      <c r="L82" s="7">
        <f t="shared" si="14"/>
        <v>-56908.374358000001</v>
      </c>
      <c r="M82" s="3"/>
      <c r="N82" s="8">
        <f t="shared" si="15"/>
        <v>-0.35931142819245776</v>
      </c>
      <c r="O82" s="12"/>
      <c r="P82" s="7">
        <v>1029169.7</v>
      </c>
      <c r="Q82" s="3"/>
      <c r="R82" s="8">
        <f t="shared" si="16"/>
        <v>5.5586798935254818E-2</v>
      </c>
      <c r="S82" s="3"/>
      <c r="T82" s="7">
        <v>1492356.646528</v>
      </c>
      <c r="U82" s="3"/>
      <c r="V82" s="8">
        <f t="shared" si="17"/>
        <v>7.896304219767028E-2</v>
      </c>
      <c r="W82" s="3"/>
      <c r="X82" s="7">
        <f t="shared" si="18"/>
        <v>-463186.94652800006</v>
      </c>
      <c r="Y82" s="3"/>
      <c r="Z82" s="8">
        <f t="shared" si="19"/>
        <v>-0.31037282381903447</v>
      </c>
    </row>
    <row r="83" spans="1:26" s="70" customFormat="1" ht="15" hidden="1" customHeight="1" outlineLevel="2" x14ac:dyDescent="0.3">
      <c r="A83" s="26"/>
      <c r="B83" s="12" t="str">
        <f>CONCATENATE("          ","6005"," - ","TEMPORARY WAGES-HOURLY")</f>
        <v xml:space="preserve">          6005 - TEMPORARY WAGES-HOURLY</v>
      </c>
      <c r="C83" s="12"/>
      <c r="D83" s="7">
        <v>52256.29</v>
      </c>
      <c r="E83" s="3"/>
      <c r="F83" s="8">
        <f t="shared" si="12"/>
        <v>1.8219465796414938E-2</v>
      </c>
      <c r="G83" s="3"/>
      <c r="H83" s="7">
        <v>39896.368649999997</v>
      </c>
      <c r="I83" s="3"/>
      <c r="J83" s="8">
        <f t="shared" si="13"/>
        <v>1.9337140358249492E-2</v>
      </c>
      <c r="K83" s="3"/>
      <c r="L83" s="7">
        <f t="shared" si="14"/>
        <v>12359.921350000004</v>
      </c>
      <c r="M83" s="3"/>
      <c r="N83" s="8">
        <f t="shared" si="15"/>
        <v>0.3098006602663575</v>
      </c>
      <c r="O83" s="12"/>
      <c r="P83" s="7">
        <v>580497.41</v>
      </c>
      <c r="Q83" s="3"/>
      <c r="R83" s="8">
        <f t="shared" si="16"/>
        <v>3.1353422872929686E-2</v>
      </c>
      <c r="S83" s="3"/>
      <c r="T83" s="7">
        <v>305415.77724999998</v>
      </c>
      <c r="U83" s="3"/>
      <c r="V83" s="8">
        <f t="shared" si="17"/>
        <v>1.6160050590409276E-2</v>
      </c>
      <c r="W83" s="3"/>
      <c r="X83" s="7">
        <f t="shared" si="18"/>
        <v>275081.63275000005</v>
      </c>
      <c r="Y83" s="3"/>
      <c r="Z83" s="8">
        <f t="shared" si="19"/>
        <v>0.90067918306928285</v>
      </c>
    </row>
    <row r="84" spans="1:26" s="70" customFormat="1" ht="15" hidden="1" customHeight="1" outlineLevel="2" x14ac:dyDescent="0.3">
      <c r="A84" s="26"/>
      <c r="B84" s="12" t="str">
        <f>CONCATENATE("          ","6006"," - ","TEMPORARY PART TIME")</f>
        <v xml:space="preserve">          6006 - TEMPORARY PART TIME</v>
      </c>
      <c r="C84" s="12"/>
      <c r="D84" s="7">
        <v>5693.18</v>
      </c>
      <c r="E84" s="3"/>
      <c r="F84" s="8">
        <f t="shared" si="12"/>
        <v>1.9849610120204401E-3</v>
      </c>
      <c r="G84" s="3"/>
      <c r="H84" s="7">
        <v>0</v>
      </c>
      <c r="I84" s="3"/>
      <c r="J84" s="8">
        <f t="shared" si="13"/>
        <v>0</v>
      </c>
      <c r="K84" s="3"/>
      <c r="L84" s="7">
        <f t="shared" si="14"/>
        <v>5693.18</v>
      </c>
      <c r="M84" s="3"/>
      <c r="N84" s="8">
        <f t="shared" si="15"/>
        <v>0</v>
      </c>
      <c r="O84" s="12"/>
      <c r="P84" s="7">
        <v>21259.15</v>
      </c>
      <c r="Q84" s="3"/>
      <c r="R84" s="8">
        <f t="shared" si="16"/>
        <v>1.148234442370799E-3</v>
      </c>
      <c r="S84" s="3"/>
      <c r="T84" s="7">
        <v>0</v>
      </c>
      <c r="U84" s="3"/>
      <c r="V84" s="8">
        <f t="shared" si="17"/>
        <v>0</v>
      </c>
      <c r="W84" s="3"/>
      <c r="X84" s="7">
        <f t="shared" si="18"/>
        <v>21259.15</v>
      </c>
      <c r="Y84" s="3"/>
      <c r="Z84" s="8">
        <f t="shared" si="19"/>
        <v>0</v>
      </c>
    </row>
    <row r="85" spans="1:26" s="70" customFormat="1" ht="15" hidden="1" customHeight="1" outlineLevel="2" x14ac:dyDescent="0.3">
      <c r="A85" s="26"/>
      <c r="B85" s="12" t="str">
        <f>CONCATENATE("          ","6007"," - ","STUDENT HOURLY")</f>
        <v xml:space="preserve">          6007 - STUDENT HOURLY</v>
      </c>
      <c r="C85" s="12"/>
      <c r="D85" s="7">
        <v>255858.89</v>
      </c>
      <c r="E85" s="3"/>
      <c r="F85" s="8">
        <f t="shared" si="12"/>
        <v>8.9206721239944373E-2</v>
      </c>
      <c r="G85" s="3"/>
      <c r="H85" s="7">
        <v>31882.1116</v>
      </c>
      <c r="I85" s="3"/>
      <c r="J85" s="8">
        <f t="shared" si="13"/>
        <v>1.5452756423398809E-2</v>
      </c>
      <c r="K85" s="3"/>
      <c r="L85" s="7">
        <f t="shared" si="14"/>
        <v>223976.77840000001</v>
      </c>
      <c r="M85" s="3"/>
      <c r="N85" s="8">
        <f t="shared" si="15"/>
        <v>7.0251550841444272</v>
      </c>
      <c r="O85" s="12"/>
      <c r="P85" s="7">
        <v>1245466.67</v>
      </c>
      <c r="Q85" s="3"/>
      <c r="R85" s="8">
        <f t="shared" si="16"/>
        <v>6.7269280630639791E-2</v>
      </c>
      <c r="S85" s="3"/>
      <c r="T85" s="7">
        <v>421949.4768</v>
      </c>
      <c r="U85" s="3"/>
      <c r="V85" s="8">
        <f t="shared" si="17"/>
        <v>2.2326040105332266E-2</v>
      </c>
      <c r="W85" s="3"/>
      <c r="X85" s="7">
        <f t="shared" si="18"/>
        <v>823517.19319999986</v>
      </c>
      <c r="Y85" s="3"/>
      <c r="Z85" s="8">
        <f t="shared" si="19"/>
        <v>1.9516962064876291</v>
      </c>
    </row>
    <row r="86" spans="1:26" s="70" customFormat="1" ht="15" hidden="1" customHeight="1" outlineLevel="2" x14ac:dyDescent="0.3">
      <c r="A86" s="26"/>
      <c r="B86" s="12" t="str">
        <f>CONCATENATE("          ","6008"," - ","STUDENT HOURLY-FICA EXEMPT")</f>
        <v xml:space="preserve">          6008 - STUDENT HOURLY-FICA EXEMPT</v>
      </c>
      <c r="C86" s="12"/>
      <c r="D86" s="7">
        <v>48221.89</v>
      </c>
      <c r="E86" s="3"/>
      <c r="F86" s="8">
        <f t="shared" si="12"/>
        <v>1.6812848280914769E-2</v>
      </c>
      <c r="G86" s="3"/>
      <c r="H86" s="7">
        <v>200812.79172499999</v>
      </c>
      <c r="I86" s="3"/>
      <c r="J86" s="8">
        <f t="shared" si="13"/>
        <v>9.7330791515990459E-2</v>
      </c>
      <c r="K86" s="3"/>
      <c r="L86" s="7">
        <f t="shared" si="14"/>
        <v>-152590.901725</v>
      </c>
      <c r="M86" s="3"/>
      <c r="N86" s="8">
        <f t="shared" si="15"/>
        <v>-0.75986644284076921</v>
      </c>
      <c r="O86" s="12"/>
      <c r="P86" s="7">
        <v>268716.84000000003</v>
      </c>
      <c r="Q86" s="3"/>
      <c r="R86" s="8">
        <f t="shared" si="16"/>
        <v>1.4513747300952447E-2</v>
      </c>
      <c r="S86" s="3"/>
      <c r="T86" s="7">
        <v>1500442.365925</v>
      </c>
      <c r="U86" s="3"/>
      <c r="V86" s="8">
        <f t="shared" si="17"/>
        <v>7.939087089627879E-2</v>
      </c>
      <c r="W86" s="3"/>
      <c r="X86" s="7">
        <f t="shared" si="18"/>
        <v>-1231725.525925</v>
      </c>
      <c r="Y86" s="3"/>
      <c r="Z86" s="8">
        <f t="shared" si="19"/>
        <v>-0.82090825605664619</v>
      </c>
    </row>
    <row r="87" spans="1:26" s="70" customFormat="1" ht="15" hidden="1" customHeight="1" outlineLevel="2" x14ac:dyDescent="0.3">
      <c r="A87" s="26"/>
      <c r="B87" s="12" t="str">
        <f>CONCATENATE("          ","6009"," - ","TEMPORARY-SEASONAL")</f>
        <v xml:space="preserve">          6009 - TEMPORARY-SEASONAL</v>
      </c>
      <c r="C87" s="12"/>
      <c r="D87" s="7"/>
      <c r="E87" s="3"/>
      <c r="F87" s="8">
        <f t="shared" si="12"/>
        <v>0</v>
      </c>
      <c r="G87" s="3"/>
      <c r="H87" s="7">
        <v>0</v>
      </c>
      <c r="I87" s="3"/>
      <c r="J87" s="8">
        <f t="shared" si="13"/>
        <v>0</v>
      </c>
      <c r="K87" s="3"/>
      <c r="L87" s="7">
        <f t="shared" si="14"/>
        <v>0</v>
      </c>
      <c r="M87" s="3"/>
      <c r="N87" s="8">
        <f t="shared" si="15"/>
        <v>0</v>
      </c>
      <c r="O87" s="12"/>
      <c r="P87" s="7"/>
      <c r="Q87" s="3"/>
      <c r="R87" s="8">
        <f t="shared" si="16"/>
        <v>0</v>
      </c>
      <c r="S87" s="3"/>
      <c r="T87" s="7">
        <v>0</v>
      </c>
      <c r="U87" s="3"/>
      <c r="V87" s="8">
        <f t="shared" si="17"/>
        <v>0</v>
      </c>
      <c r="W87" s="3"/>
      <c r="X87" s="7">
        <f t="shared" si="18"/>
        <v>0</v>
      </c>
      <c r="Y87" s="3"/>
      <c r="Z87" s="8">
        <f t="shared" si="19"/>
        <v>0</v>
      </c>
    </row>
    <row r="88" spans="1:26" s="70" customFormat="1" ht="15" hidden="1" customHeight="1" outlineLevel="2" x14ac:dyDescent="0.3">
      <c r="A88" s="26"/>
      <c r="B88" s="12" t="str">
        <f>CONCATENATE("          ","6010"," - ","GRATUITY")</f>
        <v xml:space="preserve">          6010 - GRATUITY</v>
      </c>
      <c r="C88" s="12"/>
      <c r="D88" s="7"/>
      <c r="E88" s="3"/>
      <c r="F88" s="8">
        <f t="shared" si="12"/>
        <v>0</v>
      </c>
      <c r="G88" s="3"/>
      <c r="H88" s="7">
        <v>0</v>
      </c>
      <c r="I88" s="3"/>
      <c r="J88" s="8">
        <f t="shared" si="13"/>
        <v>0</v>
      </c>
      <c r="K88" s="3"/>
      <c r="L88" s="7">
        <f t="shared" si="14"/>
        <v>0</v>
      </c>
      <c r="M88" s="3"/>
      <c r="N88" s="8">
        <f t="shared" si="15"/>
        <v>0</v>
      </c>
      <c r="O88" s="12"/>
      <c r="P88" s="7"/>
      <c r="Q88" s="3"/>
      <c r="R88" s="8">
        <f t="shared" si="16"/>
        <v>0</v>
      </c>
      <c r="S88" s="3"/>
      <c r="T88" s="7">
        <v>0</v>
      </c>
      <c r="U88" s="3"/>
      <c r="V88" s="8">
        <f t="shared" si="17"/>
        <v>0</v>
      </c>
      <c r="W88" s="3"/>
      <c r="X88" s="7">
        <f t="shared" si="18"/>
        <v>0</v>
      </c>
      <c r="Y88" s="3"/>
      <c r="Z88" s="8">
        <f t="shared" si="19"/>
        <v>0</v>
      </c>
    </row>
    <row r="89" spans="1:26" s="69" customFormat="1" ht="15" customHeight="1" outlineLevel="1" collapsed="1" x14ac:dyDescent="0.3">
      <c r="A89" s="25"/>
      <c r="B89" s="14" t="str">
        <f>CONCATENATE("     ","Advertising/Promo                                 ")</f>
        <v xml:space="preserve">     Advertising/Promo                                 </v>
      </c>
      <c r="C89" s="14"/>
      <c r="D89" s="2">
        <f>SUM(OSRRefD22_2x_0)</f>
        <v>2923.62</v>
      </c>
      <c r="E89" s="2"/>
      <c r="F89" s="6">
        <f t="shared" si="12"/>
        <v>1.0193374728997148E-3</v>
      </c>
      <c r="G89" s="2"/>
      <c r="H89" s="2">
        <f>SUM(OSRRefH22_2x_0)</f>
        <v>1919</v>
      </c>
      <c r="I89" s="2"/>
      <c r="J89" s="6">
        <f t="shared" si="13"/>
        <v>9.301090200218205E-4</v>
      </c>
      <c r="K89" s="2"/>
      <c r="L89" s="2">
        <f t="shared" si="14"/>
        <v>1004.6199999999999</v>
      </c>
      <c r="M89" s="2"/>
      <c r="N89" s="6">
        <f t="shared" si="15"/>
        <v>0.52351224596143819</v>
      </c>
      <c r="O89" s="14"/>
      <c r="P89" s="2">
        <f>SUM(OSRRefP22_2x_0)</f>
        <v>15223.21</v>
      </c>
      <c r="Q89" s="2"/>
      <c r="R89" s="6">
        <f t="shared" si="16"/>
        <v>8.2222544388856414E-4</v>
      </c>
      <c r="S89" s="2"/>
      <c r="T89" s="2">
        <f>SUM(OSRRefT22_2x_0)</f>
        <v>20671</v>
      </c>
      <c r="U89" s="2"/>
      <c r="V89" s="6">
        <f t="shared" si="17"/>
        <v>1.0937365736705738E-3</v>
      </c>
      <c r="W89" s="2"/>
      <c r="X89" s="2">
        <f t="shared" si="18"/>
        <v>-5447.7900000000009</v>
      </c>
      <c r="Y89" s="2"/>
      <c r="Z89" s="6">
        <f t="shared" si="19"/>
        <v>-0.26354748197958494</v>
      </c>
    </row>
    <row r="90" spans="1:26" s="70" customFormat="1" ht="15" hidden="1" customHeight="1" outlineLevel="2" x14ac:dyDescent="0.3">
      <c r="A90" s="26"/>
      <c r="B90" s="12" t="str">
        <f>CONCATENATE("          ","6362"," - ","ADVERTISING EXPENSE")</f>
        <v xml:space="preserve">          6362 - ADVERTISING EXPENSE</v>
      </c>
      <c r="C90" s="12"/>
      <c r="D90" s="7">
        <v>2923.62</v>
      </c>
      <c r="E90" s="3"/>
      <c r="F90" s="8">
        <f t="shared" si="12"/>
        <v>1.0193374728997148E-3</v>
      </c>
      <c r="G90" s="3"/>
      <c r="H90" s="7">
        <v>1919</v>
      </c>
      <c r="I90" s="3"/>
      <c r="J90" s="8">
        <f t="shared" si="13"/>
        <v>9.301090200218205E-4</v>
      </c>
      <c r="K90" s="3"/>
      <c r="L90" s="7">
        <f t="shared" si="14"/>
        <v>1004.6199999999999</v>
      </c>
      <c r="M90" s="3"/>
      <c r="N90" s="8">
        <f t="shared" si="15"/>
        <v>0.52351224596143819</v>
      </c>
      <c r="O90" s="12"/>
      <c r="P90" s="7">
        <v>15223.21</v>
      </c>
      <c r="Q90" s="3"/>
      <c r="R90" s="8">
        <f t="shared" si="16"/>
        <v>8.2222544388856414E-4</v>
      </c>
      <c r="S90" s="3"/>
      <c r="T90" s="7">
        <v>20671</v>
      </c>
      <c r="U90" s="3"/>
      <c r="V90" s="8">
        <f t="shared" si="17"/>
        <v>1.0937365736705738E-3</v>
      </c>
      <c r="W90" s="3"/>
      <c r="X90" s="7">
        <f t="shared" si="18"/>
        <v>-5447.7900000000009</v>
      </c>
      <c r="Y90" s="3"/>
      <c r="Z90" s="8">
        <f t="shared" si="19"/>
        <v>-0.26354748197958494</v>
      </c>
    </row>
    <row r="91" spans="1:26" s="69" customFormat="1" ht="15" customHeight="1" outlineLevel="1" collapsed="1" x14ac:dyDescent="0.3">
      <c r="A91" s="25"/>
      <c r="B91" s="14" t="str">
        <f>CONCATENATE("     ","Bad Debts/Over/Short                              ")</f>
        <v xml:space="preserve">     Bad Debts/Over/Short                              </v>
      </c>
      <c r="C91" s="14"/>
      <c r="D91" s="2">
        <f>SUM(OSRRefD22_3x_0)</f>
        <v>5.19</v>
      </c>
      <c r="E91" s="2"/>
      <c r="F91" s="6">
        <f t="shared" si="12"/>
        <v>1.8095243172332659E-6</v>
      </c>
      <c r="G91" s="2"/>
      <c r="H91" s="2">
        <f>SUM(OSRRefH22_3x_0)</f>
        <v>268</v>
      </c>
      <c r="I91" s="2"/>
      <c r="J91" s="6">
        <f t="shared" si="13"/>
        <v>1.2989537121722142E-4</v>
      </c>
      <c r="K91" s="2"/>
      <c r="L91" s="2">
        <f t="shared" si="14"/>
        <v>-262.81</v>
      </c>
      <c r="M91" s="2"/>
      <c r="N91" s="6">
        <f t="shared" si="15"/>
        <v>-0.98063432835820896</v>
      </c>
      <c r="O91" s="14"/>
      <c r="P91" s="2">
        <f>SUM(OSRRefP22_3x_0)</f>
        <v>16.690000000000001</v>
      </c>
      <c r="Q91" s="2"/>
      <c r="R91" s="6">
        <f t="shared" si="16"/>
        <v>9.0144868647940473E-7</v>
      </c>
      <c r="S91" s="2"/>
      <c r="T91" s="2">
        <f>SUM(OSRRefT22_3x_0)</f>
        <v>2454</v>
      </c>
      <c r="U91" s="2"/>
      <c r="V91" s="6">
        <f t="shared" si="17"/>
        <v>1.2984517206654676E-4</v>
      </c>
      <c r="W91" s="2"/>
      <c r="X91" s="2">
        <f t="shared" si="18"/>
        <v>-2437.31</v>
      </c>
      <c r="Y91" s="2"/>
      <c r="Z91" s="6">
        <f t="shared" si="19"/>
        <v>-0.99319885900570493</v>
      </c>
    </row>
    <row r="92" spans="1:26" s="70" customFormat="1" ht="15" hidden="1" customHeight="1" outlineLevel="2" x14ac:dyDescent="0.3">
      <c r="A92" s="26"/>
      <c r="B92" s="12" t="str">
        <f>CONCATENATE("          ","6272"," - ","CASH (OVER/SHORT)")</f>
        <v xml:space="preserve">          6272 - CASH (OVER/SHORT)</v>
      </c>
      <c r="C92" s="12"/>
      <c r="D92" s="7">
        <v>5.19</v>
      </c>
      <c r="E92" s="3"/>
      <c r="F92" s="8">
        <f t="shared" si="12"/>
        <v>1.8095243172332659E-6</v>
      </c>
      <c r="G92" s="3"/>
      <c r="H92" s="7">
        <v>268</v>
      </c>
      <c r="I92" s="3"/>
      <c r="J92" s="8">
        <f t="shared" si="13"/>
        <v>1.2989537121722142E-4</v>
      </c>
      <c r="K92" s="3"/>
      <c r="L92" s="7">
        <f t="shared" si="14"/>
        <v>-262.81</v>
      </c>
      <c r="M92" s="3"/>
      <c r="N92" s="8">
        <f t="shared" si="15"/>
        <v>-0.98063432835820896</v>
      </c>
      <c r="O92" s="12"/>
      <c r="P92" s="7">
        <v>16.690000000000001</v>
      </c>
      <c r="Q92" s="3"/>
      <c r="R92" s="8">
        <f t="shared" si="16"/>
        <v>9.0144868647940473E-7</v>
      </c>
      <c r="S92" s="3"/>
      <c r="T92" s="7">
        <v>2454</v>
      </c>
      <c r="U92" s="3"/>
      <c r="V92" s="8">
        <f t="shared" si="17"/>
        <v>1.2984517206654676E-4</v>
      </c>
      <c r="W92" s="3"/>
      <c r="X92" s="7">
        <f t="shared" si="18"/>
        <v>-2437.31</v>
      </c>
      <c r="Y92" s="3"/>
      <c r="Z92" s="8">
        <f t="shared" si="19"/>
        <v>-0.99319885900570493</v>
      </c>
    </row>
    <row r="93" spans="1:26" s="69" customFormat="1" ht="15" customHeight="1" outlineLevel="1" collapsed="1" x14ac:dyDescent="0.3">
      <c r="A93" s="25"/>
      <c r="B93" s="14" t="str">
        <f>CONCATENATE("     ","Bank/card Fees                                    ")</f>
        <v xml:space="preserve">     Bank/card Fees                                    </v>
      </c>
      <c r="C93" s="14"/>
      <c r="D93" s="2">
        <f>SUM(OSRRefD22_4x_0)</f>
        <v>32336.92</v>
      </c>
      <c r="E93" s="2"/>
      <c r="F93" s="6">
        <f t="shared" si="12"/>
        <v>1.1274459168482992E-2</v>
      </c>
      <c r="G93" s="2"/>
      <c r="H93" s="2">
        <f>SUM(OSRRefH22_4x_0)</f>
        <v>30749.25</v>
      </c>
      <c r="I93" s="2"/>
      <c r="J93" s="6">
        <f t="shared" si="13"/>
        <v>1.4903676281347557E-2</v>
      </c>
      <c r="K93" s="2"/>
      <c r="L93" s="2">
        <f t="shared" si="14"/>
        <v>1587.6699999999983</v>
      </c>
      <c r="M93" s="2"/>
      <c r="N93" s="6">
        <f t="shared" si="15"/>
        <v>5.1632804052131297E-2</v>
      </c>
      <c r="O93" s="14"/>
      <c r="P93" s="2">
        <f>SUM(OSRRefP22_4x_0)</f>
        <v>168929.07</v>
      </c>
      <c r="Q93" s="2"/>
      <c r="R93" s="6">
        <f t="shared" si="16"/>
        <v>9.1240795841634158E-3</v>
      </c>
      <c r="S93" s="2"/>
      <c r="T93" s="2">
        <f>SUM(OSRRefT22_4x_0)</f>
        <v>253802.5</v>
      </c>
      <c r="U93" s="2"/>
      <c r="V93" s="6">
        <f t="shared" si="17"/>
        <v>1.3429107287457104E-2</v>
      </c>
      <c r="W93" s="2"/>
      <c r="X93" s="2">
        <f t="shared" si="18"/>
        <v>-84873.43</v>
      </c>
      <c r="Y93" s="2"/>
      <c r="Z93" s="6">
        <f t="shared" si="19"/>
        <v>-0.33440738369401402</v>
      </c>
    </row>
    <row r="94" spans="1:26" s="70" customFormat="1" ht="15" hidden="1" customHeight="1" outlineLevel="2" x14ac:dyDescent="0.3">
      <c r="A94" s="26"/>
      <c r="B94" s="12" t="str">
        <f>CONCATENATE("          ","6381"," - ","BANK/CREDIT CARD FEES")</f>
        <v xml:space="preserve">          6381 - BANK/CREDIT CARD FEES</v>
      </c>
      <c r="C94" s="12"/>
      <c r="D94" s="7">
        <v>32336.92</v>
      </c>
      <c r="E94" s="3"/>
      <c r="F94" s="8">
        <f t="shared" si="12"/>
        <v>1.1274459168482992E-2</v>
      </c>
      <c r="G94" s="3"/>
      <c r="H94" s="7">
        <v>30749.25</v>
      </c>
      <c r="I94" s="3"/>
      <c r="J94" s="8">
        <f t="shared" si="13"/>
        <v>1.4903676281347557E-2</v>
      </c>
      <c r="K94" s="3"/>
      <c r="L94" s="7">
        <f t="shared" si="14"/>
        <v>1587.6699999999983</v>
      </c>
      <c r="M94" s="3"/>
      <c r="N94" s="8">
        <f t="shared" si="15"/>
        <v>5.1632804052131297E-2</v>
      </c>
      <c r="O94" s="12"/>
      <c r="P94" s="7">
        <v>168929.07</v>
      </c>
      <c r="Q94" s="3"/>
      <c r="R94" s="8">
        <f t="shared" si="16"/>
        <v>9.1240795841634158E-3</v>
      </c>
      <c r="S94" s="3"/>
      <c r="T94" s="7">
        <v>253802.5</v>
      </c>
      <c r="U94" s="3"/>
      <c r="V94" s="8">
        <f t="shared" si="17"/>
        <v>1.3429107287457104E-2</v>
      </c>
      <c r="W94" s="3"/>
      <c r="X94" s="7">
        <f t="shared" si="18"/>
        <v>-84873.43</v>
      </c>
      <c r="Y94" s="3"/>
      <c r="Z94" s="8">
        <f t="shared" si="19"/>
        <v>-0.33440738369401402</v>
      </c>
    </row>
    <row r="95" spans="1:26" s="69" customFormat="1" ht="15" customHeight="1" outlineLevel="1" collapsed="1" x14ac:dyDescent="0.3">
      <c r="A95" s="25"/>
      <c r="B95" s="14" t="str">
        <f>CONCATENATE("     ","Depreciation                                      ")</f>
        <v xml:space="preserve">     Depreciation                                      </v>
      </c>
      <c r="C95" s="14"/>
      <c r="D95" s="2">
        <f>SUM(OSRRefD22_5x_0)</f>
        <v>67112.48000000001</v>
      </c>
      <c r="E95" s="2"/>
      <c r="F95" s="6">
        <f t="shared" si="12"/>
        <v>2.3399164653146672E-2</v>
      </c>
      <c r="G95" s="2"/>
      <c r="H95" s="2">
        <f>SUM(OSRRefH22_5x_0)</f>
        <v>66437</v>
      </c>
      <c r="I95" s="2"/>
      <c r="J95" s="6">
        <f t="shared" si="13"/>
        <v>3.2200965587904994E-2</v>
      </c>
      <c r="K95" s="2"/>
      <c r="L95" s="2">
        <f t="shared" si="14"/>
        <v>675.48000000001048</v>
      </c>
      <c r="M95" s="2"/>
      <c r="N95" s="6">
        <f t="shared" si="15"/>
        <v>1.016722609389362E-2</v>
      </c>
      <c r="O95" s="14"/>
      <c r="P95" s="2">
        <f>SUM(OSRRefP22_5x_0)</f>
        <v>630707.69999999995</v>
      </c>
      <c r="Q95" s="2"/>
      <c r="R95" s="6">
        <f t="shared" si="16"/>
        <v>3.4065346178397023E-2</v>
      </c>
      <c r="S95" s="2"/>
      <c r="T95" s="2">
        <f>SUM(OSRRefT22_5x_0)</f>
        <v>624628</v>
      </c>
      <c r="U95" s="2"/>
      <c r="V95" s="6">
        <f t="shared" si="17"/>
        <v>3.305009378059616E-2</v>
      </c>
      <c r="W95" s="2"/>
      <c r="X95" s="2">
        <f t="shared" si="18"/>
        <v>6079.6999999999534</v>
      </c>
      <c r="Y95" s="2"/>
      <c r="Z95" s="6">
        <f t="shared" si="19"/>
        <v>9.7333132680570734E-3</v>
      </c>
    </row>
    <row r="96" spans="1:26" s="70" customFormat="1" ht="15" hidden="1" customHeight="1" outlineLevel="2" x14ac:dyDescent="0.3">
      <c r="A96" s="26"/>
      <c r="B96" s="12" t="str">
        <f>CONCATENATE("          ","6321"," - ","BUILDING DEPRECIATION")</f>
        <v xml:space="preserve">          6321 - BUILDING DEPRECIATION</v>
      </c>
      <c r="C96" s="12"/>
      <c r="D96" s="7">
        <v>41941.620000000003</v>
      </c>
      <c r="E96" s="3"/>
      <c r="F96" s="8">
        <f t="shared" si="12"/>
        <v>1.4623194854365527E-2</v>
      </c>
      <c r="G96" s="3"/>
      <c r="H96" s="7"/>
      <c r="I96" s="3"/>
      <c r="J96" s="8">
        <f t="shared" si="13"/>
        <v>0</v>
      </c>
      <c r="K96" s="3"/>
      <c r="L96" s="7">
        <f t="shared" si="14"/>
        <v>41941.620000000003</v>
      </c>
      <c r="M96" s="3"/>
      <c r="N96" s="8">
        <f t="shared" si="15"/>
        <v>0</v>
      </c>
      <c r="O96" s="12"/>
      <c r="P96" s="7">
        <v>396821.46</v>
      </c>
      <c r="Q96" s="3"/>
      <c r="R96" s="8">
        <f t="shared" si="16"/>
        <v>2.1432845049960431E-2</v>
      </c>
      <c r="S96" s="3"/>
      <c r="T96" s="7"/>
      <c r="U96" s="3"/>
      <c r="V96" s="8">
        <f t="shared" si="17"/>
        <v>0</v>
      </c>
      <c r="W96" s="3"/>
      <c r="X96" s="7">
        <f t="shared" si="18"/>
        <v>396821.46</v>
      </c>
      <c r="Y96" s="3"/>
      <c r="Z96" s="8">
        <f t="shared" si="19"/>
        <v>0</v>
      </c>
    </row>
    <row r="97" spans="1:26" s="70" customFormat="1" ht="15" hidden="1" customHeight="1" outlineLevel="2" x14ac:dyDescent="0.3">
      <c r="A97" s="26"/>
      <c r="B97" s="12" t="str">
        <f>CONCATENATE("          ","6322"," - ","EQUIPMENT DEPRECIATION EXPENSE")</f>
        <v xml:space="preserve">          6322 - EQUIPMENT DEPRECIATION EXPENSE</v>
      </c>
      <c r="C97" s="12"/>
      <c r="D97" s="7">
        <v>25170.86</v>
      </c>
      <c r="E97" s="3"/>
      <c r="F97" s="8">
        <f t="shared" si="12"/>
        <v>8.77596979878114E-3</v>
      </c>
      <c r="G97" s="3"/>
      <c r="H97" s="7">
        <v>66437</v>
      </c>
      <c r="I97" s="3"/>
      <c r="J97" s="8">
        <f t="shared" si="13"/>
        <v>3.2200965587904994E-2</v>
      </c>
      <c r="K97" s="3"/>
      <c r="L97" s="7">
        <f t="shared" si="14"/>
        <v>-41266.14</v>
      </c>
      <c r="M97" s="3"/>
      <c r="N97" s="8">
        <f t="shared" si="15"/>
        <v>-0.62113189939341029</v>
      </c>
      <c r="O97" s="12"/>
      <c r="P97" s="7">
        <v>233886.24</v>
      </c>
      <c r="Q97" s="3"/>
      <c r="R97" s="8">
        <f t="shared" si="16"/>
        <v>1.2632501128436596E-2</v>
      </c>
      <c r="S97" s="3"/>
      <c r="T97" s="7">
        <v>624628</v>
      </c>
      <c r="U97" s="3"/>
      <c r="V97" s="8">
        <f t="shared" si="17"/>
        <v>3.305009378059616E-2</v>
      </c>
      <c r="W97" s="3"/>
      <c r="X97" s="7">
        <f t="shared" si="18"/>
        <v>-390741.76000000001</v>
      </c>
      <c r="Y97" s="3"/>
      <c r="Z97" s="8">
        <f t="shared" si="19"/>
        <v>-0.625559148805369</v>
      </c>
    </row>
    <row r="98" spans="1:26" s="69" customFormat="1" ht="15" customHeight="1" outlineLevel="1" collapsed="1" x14ac:dyDescent="0.3">
      <c r="A98" s="25"/>
      <c r="B98" s="14" t="str">
        <f>CONCATENATE("     ","Discounts and Markdowns                           ")</f>
        <v xml:space="preserve">     Discounts and Markdowns                           </v>
      </c>
      <c r="C98" s="14"/>
      <c r="D98" s="2">
        <f>SUM(OSRRefD22_6x_0)</f>
        <v>-7.72</v>
      </c>
      <c r="E98" s="2"/>
      <c r="F98" s="6">
        <f t="shared" ref="F98:F129" si="20">IF(D$12=0,0,D98/D$12)</f>
        <v>-2.6916238398922564E-6</v>
      </c>
      <c r="G98" s="2"/>
      <c r="H98" s="2">
        <f>SUM(OSRRefH22_6x_0)</f>
        <v>0</v>
      </c>
      <c r="I98" s="2"/>
      <c r="J98" s="6">
        <f t="shared" ref="J98:J129" si="21">IF(H$12=0,0,H98/H$12)</f>
        <v>0</v>
      </c>
      <c r="K98" s="2"/>
      <c r="L98" s="2">
        <f t="shared" ref="L98:L129" si="22">+D98-H98</f>
        <v>-7.72</v>
      </c>
      <c r="M98" s="2"/>
      <c r="N98" s="6">
        <f t="shared" ref="N98:N129" si="23">IF(H98=0,0,L98/H98)</f>
        <v>0</v>
      </c>
      <c r="O98" s="14"/>
      <c r="P98" s="2">
        <f>SUM(OSRRefP22_6x_0)</f>
        <v>2056.83</v>
      </c>
      <c r="Q98" s="2"/>
      <c r="R98" s="6">
        <f t="shared" ref="R98:R129" si="24">IF(P$12=0,0,P98/P$12)</f>
        <v>1.1109207320619734E-4</v>
      </c>
      <c r="S98" s="2"/>
      <c r="T98" s="2">
        <f>SUM(OSRRefT22_6x_0)</f>
        <v>0</v>
      </c>
      <c r="U98" s="2"/>
      <c r="V98" s="6">
        <f t="shared" ref="V98:V129" si="25">IF(T$12=0,0,T98/T$12)</f>
        <v>0</v>
      </c>
      <c r="W98" s="2"/>
      <c r="X98" s="2">
        <f t="shared" ref="X98:X129" si="26">+P98-T98</f>
        <v>2056.83</v>
      </c>
      <c r="Y98" s="2"/>
      <c r="Z98" s="6">
        <f t="shared" ref="Z98:Z129" si="27">IF(T98=0,0,X98/T98)</f>
        <v>0</v>
      </c>
    </row>
    <row r="99" spans="1:26" s="70" customFormat="1" ht="15" hidden="1" customHeight="1" outlineLevel="2" x14ac:dyDescent="0.3">
      <c r="A99" s="26"/>
      <c r="B99" s="12" t="str">
        <f>CONCATENATE("          ","6382"," - ","DISCOUNTS/MARK DOWNS")</f>
        <v xml:space="preserve">          6382 - DISCOUNTS/MARK DOWNS</v>
      </c>
      <c r="C99" s="12"/>
      <c r="D99" s="7"/>
      <c r="E99" s="3"/>
      <c r="F99" s="8">
        <f t="shared" si="20"/>
        <v>0</v>
      </c>
      <c r="G99" s="3"/>
      <c r="H99" s="7"/>
      <c r="I99" s="3"/>
      <c r="J99" s="8">
        <f t="shared" si="21"/>
        <v>0</v>
      </c>
      <c r="K99" s="3"/>
      <c r="L99" s="7">
        <f t="shared" si="22"/>
        <v>0</v>
      </c>
      <c r="M99" s="3"/>
      <c r="N99" s="8">
        <f t="shared" si="23"/>
        <v>0</v>
      </c>
      <c r="O99" s="12"/>
      <c r="P99" s="7">
        <v>2171.35</v>
      </c>
      <c r="Q99" s="3"/>
      <c r="R99" s="8">
        <f t="shared" si="24"/>
        <v>1.1727744789616868E-4</v>
      </c>
      <c r="S99" s="3"/>
      <c r="T99" s="7">
        <v>0</v>
      </c>
      <c r="U99" s="3"/>
      <c r="V99" s="8">
        <f t="shared" si="25"/>
        <v>0</v>
      </c>
      <c r="W99" s="3"/>
      <c r="X99" s="7">
        <f t="shared" si="26"/>
        <v>2171.35</v>
      </c>
      <c r="Y99" s="3"/>
      <c r="Z99" s="8">
        <f t="shared" si="27"/>
        <v>0</v>
      </c>
    </row>
    <row r="100" spans="1:26" s="70" customFormat="1" ht="15" hidden="1" customHeight="1" outlineLevel="2" x14ac:dyDescent="0.3">
      <c r="A100" s="26"/>
      <c r="B100" s="12" t="str">
        <f>CONCATENATE("          ","9175"," - ","EARNED DISCOUNTS")</f>
        <v xml:space="preserve">          9175 - EARNED DISCOUNTS</v>
      </c>
      <c r="C100" s="12"/>
      <c r="D100" s="7">
        <v>-7.72</v>
      </c>
      <c r="E100" s="3"/>
      <c r="F100" s="8">
        <f t="shared" si="20"/>
        <v>-2.6916238398922564E-6</v>
      </c>
      <c r="G100" s="3"/>
      <c r="H100" s="7"/>
      <c r="I100" s="3"/>
      <c r="J100" s="8">
        <f t="shared" si="21"/>
        <v>0</v>
      </c>
      <c r="K100" s="3"/>
      <c r="L100" s="7">
        <f t="shared" si="22"/>
        <v>-7.72</v>
      </c>
      <c r="M100" s="3"/>
      <c r="N100" s="8">
        <f t="shared" si="23"/>
        <v>0</v>
      </c>
      <c r="O100" s="12"/>
      <c r="P100" s="7">
        <v>-114.52</v>
      </c>
      <c r="Q100" s="3"/>
      <c r="R100" s="8">
        <f t="shared" si="24"/>
        <v>-6.185374689971325E-6</v>
      </c>
      <c r="S100" s="3"/>
      <c r="T100" s="7"/>
      <c r="U100" s="3"/>
      <c r="V100" s="8">
        <f t="shared" si="25"/>
        <v>0</v>
      </c>
      <c r="W100" s="3"/>
      <c r="X100" s="7">
        <f t="shared" si="26"/>
        <v>-114.52</v>
      </c>
      <c r="Y100" s="3"/>
      <c r="Z100" s="8">
        <f t="shared" si="27"/>
        <v>0</v>
      </c>
    </row>
    <row r="101" spans="1:26" s="69" customFormat="1" ht="15" customHeight="1" outlineLevel="1" collapsed="1" x14ac:dyDescent="0.3">
      <c r="A101" s="25"/>
      <c r="B101" s="14" t="str">
        <f>CONCATENATE("     ","Donations                                         ")</f>
        <v xml:space="preserve">     Donations                                         </v>
      </c>
      <c r="C101" s="14"/>
      <c r="D101" s="2">
        <f>SUM(OSRRefD22_7x_0)</f>
        <v>7724.92</v>
      </c>
      <c r="E101" s="2"/>
      <c r="F101" s="6">
        <f t="shared" si="20"/>
        <v>2.6933392271062812E-3</v>
      </c>
      <c r="G101" s="2"/>
      <c r="H101" s="2">
        <f>SUM(OSRRefH22_7x_0)</f>
        <v>16750</v>
      </c>
      <c r="I101" s="2"/>
      <c r="J101" s="6">
        <f t="shared" si="21"/>
        <v>8.1184607010763386E-3</v>
      </c>
      <c r="K101" s="2"/>
      <c r="L101" s="2">
        <f t="shared" si="22"/>
        <v>-9025.08</v>
      </c>
      <c r="M101" s="2"/>
      <c r="N101" s="6">
        <f t="shared" si="23"/>
        <v>-0.53881074626865666</v>
      </c>
      <c r="O101" s="14"/>
      <c r="P101" s="2">
        <f>SUM(OSRRefP22_7x_0)</f>
        <v>62853.4</v>
      </c>
      <c r="Q101" s="2"/>
      <c r="R101" s="6">
        <f t="shared" si="24"/>
        <v>3.3947941803933262E-3</v>
      </c>
      <c r="S101" s="2"/>
      <c r="T101" s="2">
        <f>SUM(OSRRefT22_7x_0)</f>
        <v>135250</v>
      </c>
      <c r="U101" s="2"/>
      <c r="V101" s="6">
        <f t="shared" si="25"/>
        <v>7.1562997237165646E-3</v>
      </c>
      <c r="W101" s="2"/>
      <c r="X101" s="2">
        <f t="shared" si="26"/>
        <v>-72396.600000000006</v>
      </c>
      <c r="Y101" s="2"/>
      <c r="Z101" s="6">
        <f t="shared" si="27"/>
        <v>-0.53527985212569318</v>
      </c>
    </row>
    <row r="102" spans="1:26" s="70" customFormat="1" ht="15" hidden="1" customHeight="1" outlineLevel="2" x14ac:dyDescent="0.3">
      <c r="A102" s="26"/>
      <c r="B102" s="12" t="str">
        <f>CONCATENATE("          ","6399"," - ","DONATION-ON CAMPUS")</f>
        <v xml:space="preserve">          6399 - DONATION-ON CAMPUS</v>
      </c>
      <c r="C102" s="12"/>
      <c r="D102" s="7">
        <v>7724.92</v>
      </c>
      <c r="E102" s="3"/>
      <c r="F102" s="8">
        <f t="shared" si="20"/>
        <v>2.6933392271062812E-3</v>
      </c>
      <c r="G102" s="3"/>
      <c r="H102" s="7">
        <v>16750</v>
      </c>
      <c r="I102" s="3"/>
      <c r="J102" s="8">
        <f t="shared" si="21"/>
        <v>8.1184607010763386E-3</v>
      </c>
      <c r="K102" s="3"/>
      <c r="L102" s="7">
        <f t="shared" si="22"/>
        <v>-9025.08</v>
      </c>
      <c r="M102" s="3"/>
      <c r="N102" s="8">
        <f t="shared" si="23"/>
        <v>-0.53881074626865666</v>
      </c>
      <c r="O102" s="12"/>
      <c r="P102" s="7">
        <v>62853.4</v>
      </c>
      <c r="Q102" s="3"/>
      <c r="R102" s="8">
        <f t="shared" si="24"/>
        <v>3.3947941803933262E-3</v>
      </c>
      <c r="S102" s="3"/>
      <c r="T102" s="7">
        <v>135250</v>
      </c>
      <c r="U102" s="3"/>
      <c r="V102" s="8">
        <f t="shared" si="25"/>
        <v>7.1562997237165646E-3</v>
      </c>
      <c r="W102" s="3"/>
      <c r="X102" s="7">
        <f t="shared" si="26"/>
        <v>-72396.600000000006</v>
      </c>
      <c r="Y102" s="3"/>
      <c r="Z102" s="8">
        <f t="shared" si="27"/>
        <v>-0.53527985212569318</v>
      </c>
    </row>
    <row r="103" spans="1:26" s="69" customFormat="1" ht="15" customHeight="1" outlineLevel="1" collapsed="1" x14ac:dyDescent="0.3">
      <c r="A103" s="25"/>
      <c r="B103" s="14" t="str">
        <f>CONCATENATE("     ","Employees' Appreciation                           ")</f>
        <v xml:space="preserve">     Employees' Appreciation                           </v>
      </c>
      <c r="C103" s="14"/>
      <c r="D103" s="2">
        <f>SUM(OSRRefD22_8x_0)</f>
        <v>74.69</v>
      </c>
      <c r="E103" s="2"/>
      <c r="F103" s="6">
        <f t="shared" si="20"/>
        <v>2.6041111995019771E-5</v>
      </c>
      <c r="G103" s="2"/>
      <c r="H103" s="2">
        <f>SUM(OSRRefH22_8x_0)</f>
        <v>505</v>
      </c>
      <c r="I103" s="2"/>
      <c r="J103" s="6">
        <f t="shared" si="21"/>
        <v>2.447655315846896E-4</v>
      </c>
      <c r="K103" s="2"/>
      <c r="L103" s="2">
        <f t="shared" si="22"/>
        <v>-430.31</v>
      </c>
      <c r="M103" s="2"/>
      <c r="N103" s="6">
        <f t="shared" si="23"/>
        <v>-0.85209900990099008</v>
      </c>
      <c r="O103" s="14"/>
      <c r="P103" s="2">
        <f>SUM(OSRRefP22_8x_0)</f>
        <v>4960.46</v>
      </c>
      <c r="Q103" s="2"/>
      <c r="R103" s="6">
        <f t="shared" si="24"/>
        <v>2.679209197923084E-4</v>
      </c>
      <c r="S103" s="2"/>
      <c r="T103" s="2">
        <f>SUM(OSRRefT22_8x_0)</f>
        <v>5005</v>
      </c>
      <c r="U103" s="2"/>
      <c r="V103" s="6">
        <f t="shared" si="25"/>
        <v>2.6482277350980705E-4</v>
      </c>
      <c r="W103" s="2"/>
      <c r="X103" s="2">
        <f t="shared" si="26"/>
        <v>-44.539999999999964</v>
      </c>
      <c r="Y103" s="2"/>
      <c r="Z103" s="6">
        <f t="shared" si="27"/>
        <v>-8.899100899100891E-3</v>
      </c>
    </row>
    <row r="104" spans="1:26" s="70" customFormat="1" ht="15" hidden="1" customHeight="1" outlineLevel="2" x14ac:dyDescent="0.3">
      <c r="A104" s="26"/>
      <c r="B104" s="12" t="str">
        <f>CONCATENATE("          ","6277"," - ","EMPLOYEE APPRECIATION")</f>
        <v xml:space="preserve">          6277 - EMPLOYEE APPRECIATION</v>
      </c>
      <c r="C104" s="12"/>
      <c r="D104" s="7">
        <v>74.69</v>
      </c>
      <c r="E104" s="3"/>
      <c r="F104" s="8">
        <f t="shared" si="20"/>
        <v>2.6041111995019771E-5</v>
      </c>
      <c r="G104" s="3"/>
      <c r="H104" s="7">
        <v>505</v>
      </c>
      <c r="I104" s="3"/>
      <c r="J104" s="8">
        <f t="shared" si="21"/>
        <v>2.447655315846896E-4</v>
      </c>
      <c r="K104" s="3"/>
      <c r="L104" s="7">
        <f t="shared" si="22"/>
        <v>-430.31</v>
      </c>
      <c r="M104" s="3"/>
      <c r="N104" s="8">
        <f t="shared" si="23"/>
        <v>-0.85209900990099008</v>
      </c>
      <c r="O104" s="12"/>
      <c r="P104" s="7">
        <v>4960.46</v>
      </c>
      <c r="Q104" s="3"/>
      <c r="R104" s="8">
        <f t="shared" si="24"/>
        <v>2.679209197923084E-4</v>
      </c>
      <c r="S104" s="3"/>
      <c r="T104" s="7">
        <v>5005</v>
      </c>
      <c r="U104" s="3"/>
      <c r="V104" s="8">
        <f t="shared" si="25"/>
        <v>2.6482277350980705E-4</v>
      </c>
      <c r="W104" s="3"/>
      <c r="X104" s="7">
        <f t="shared" si="26"/>
        <v>-44.539999999999964</v>
      </c>
      <c r="Y104" s="3"/>
      <c r="Z104" s="8">
        <f t="shared" si="27"/>
        <v>-8.899100899100891E-3</v>
      </c>
    </row>
    <row r="105" spans="1:26" s="69" customFormat="1" ht="15" customHeight="1" outlineLevel="1" collapsed="1" x14ac:dyDescent="0.3">
      <c r="A105" s="25"/>
      <c r="B105" s="14" t="str">
        <f>CONCATENATE("     ","Equipment Rental                                  ")</f>
        <v xml:space="preserve">     Equipment Rental                                  </v>
      </c>
      <c r="C105" s="14"/>
      <c r="D105" s="2">
        <f>SUM(OSRRefD22_9x_0)</f>
        <v>2834.85</v>
      </c>
      <c r="E105" s="2"/>
      <c r="F105" s="6">
        <f t="shared" si="20"/>
        <v>9.8838728530033205E-4</v>
      </c>
      <c r="G105" s="2"/>
      <c r="H105" s="2">
        <f>SUM(OSRRefH22_9x_0)</f>
        <v>3446</v>
      </c>
      <c r="I105" s="2"/>
      <c r="J105" s="6">
        <f t="shared" si="21"/>
        <v>1.6702218254274067E-3</v>
      </c>
      <c r="K105" s="2"/>
      <c r="L105" s="2">
        <f t="shared" si="22"/>
        <v>-611.15000000000009</v>
      </c>
      <c r="M105" s="2"/>
      <c r="N105" s="6">
        <f t="shared" si="23"/>
        <v>-0.17735055136390021</v>
      </c>
      <c r="O105" s="14"/>
      <c r="P105" s="2">
        <f>SUM(OSRRefP22_9x_0)</f>
        <v>32082.86</v>
      </c>
      <c r="Q105" s="2"/>
      <c r="R105" s="6">
        <f t="shared" si="24"/>
        <v>1.7328371483225063E-3</v>
      </c>
      <c r="S105" s="2"/>
      <c r="T105" s="2">
        <f>SUM(OSRRefT22_9x_0)</f>
        <v>30814</v>
      </c>
      <c r="U105" s="2"/>
      <c r="V105" s="6">
        <f t="shared" si="25"/>
        <v>1.6304193692170219E-3</v>
      </c>
      <c r="W105" s="2"/>
      <c r="X105" s="2">
        <f t="shared" si="26"/>
        <v>1268.8600000000006</v>
      </c>
      <c r="Y105" s="2"/>
      <c r="Z105" s="6">
        <f t="shared" si="27"/>
        <v>4.1178035957681595E-2</v>
      </c>
    </row>
    <row r="106" spans="1:26" s="70" customFormat="1" ht="15" hidden="1" customHeight="1" outlineLevel="2" x14ac:dyDescent="0.3">
      <c r="A106" s="26"/>
      <c r="B106" s="12" t="str">
        <f>CONCATENATE("          ","6351"," - ","EQUIPMENT RENTAL")</f>
        <v xml:space="preserve">          6351 - EQUIPMENT RENTAL</v>
      </c>
      <c r="C106" s="12"/>
      <c r="D106" s="7">
        <v>2834.85</v>
      </c>
      <c r="E106" s="3"/>
      <c r="F106" s="8">
        <f t="shared" si="20"/>
        <v>9.8838728530033205E-4</v>
      </c>
      <c r="G106" s="3"/>
      <c r="H106" s="7">
        <v>3446</v>
      </c>
      <c r="I106" s="3"/>
      <c r="J106" s="8">
        <f t="shared" si="21"/>
        <v>1.6702218254274067E-3</v>
      </c>
      <c r="K106" s="3"/>
      <c r="L106" s="7">
        <f t="shared" si="22"/>
        <v>-611.15000000000009</v>
      </c>
      <c r="M106" s="3"/>
      <c r="N106" s="8">
        <f t="shared" si="23"/>
        <v>-0.17735055136390021</v>
      </c>
      <c r="O106" s="12"/>
      <c r="P106" s="7">
        <v>32082.86</v>
      </c>
      <c r="Q106" s="3"/>
      <c r="R106" s="8">
        <f t="shared" si="24"/>
        <v>1.7328371483225063E-3</v>
      </c>
      <c r="S106" s="3"/>
      <c r="T106" s="7">
        <v>30814</v>
      </c>
      <c r="U106" s="3"/>
      <c r="V106" s="8">
        <f t="shared" si="25"/>
        <v>1.6304193692170219E-3</v>
      </c>
      <c r="W106" s="3"/>
      <c r="X106" s="7">
        <f t="shared" si="26"/>
        <v>1268.8600000000006</v>
      </c>
      <c r="Y106" s="3"/>
      <c r="Z106" s="8">
        <f t="shared" si="27"/>
        <v>4.1178035957681595E-2</v>
      </c>
    </row>
    <row r="107" spans="1:26" s="69" customFormat="1" ht="15" customHeight="1" outlineLevel="1" collapsed="1" x14ac:dyDescent="0.3">
      <c r="A107" s="25"/>
      <c r="B107" s="14" t="str">
        <f>CONCATENATE("     ","Freight out/Postage                               ")</f>
        <v xml:space="preserve">     Freight out/Postage                               </v>
      </c>
      <c r="C107" s="14"/>
      <c r="D107" s="2">
        <f>SUM(OSRRefD22_10x_0)</f>
        <v>1779.17</v>
      </c>
      <c r="E107" s="2"/>
      <c r="F107" s="6">
        <f t="shared" si="20"/>
        <v>6.2031818487320032E-4</v>
      </c>
      <c r="G107" s="2"/>
      <c r="H107" s="2">
        <f>SUM(OSRRefH22_10x_0)</f>
        <v>3375</v>
      </c>
      <c r="I107" s="2"/>
      <c r="J107" s="6">
        <f t="shared" si="21"/>
        <v>1.6358092457392623E-3</v>
      </c>
      <c r="K107" s="2"/>
      <c r="L107" s="2">
        <f t="shared" si="22"/>
        <v>-1595.83</v>
      </c>
      <c r="M107" s="2"/>
      <c r="N107" s="6">
        <f t="shared" si="23"/>
        <v>-0.47283851851851849</v>
      </c>
      <c r="O107" s="14"/>
      <c r="P107" s="2">
        <f>SUM(OSRRefP22_10x_0)</f>
        <v>-44605.990000000005</v>
      </c>
      <c r="Q107" s="2"/>
      <c r="R107" s="6">
        <f t="shared" si="24"/>
        <v>-2.4092277468312439E-3</v>
      </c>
      <c r="S107" s="2"/>
      <c r="T107" s="2">
        <f>SUM(OSRRefT22_10x_0)</f>
        <v>-11425</v>
      </c>
      <c r="U107" s="2"/>
      <c r="V107" s="6">
        <f t="shared" si="25"/>
        <v>-6.0451552194796122E-4</v>
      </c>
      <c r="W107" s="2"/>
      <c r="X107" s="2">
        <f t="shared" si="26"/>
        <v>-33180.990000000005</v>
      </c>
      <c r="Y107" s="2"/>
      <c r="Z107" s="6">
        <f t="shared" si="27"/>
        <v>2.9042442013129106</v>
      </c>
    </row>
    <row r="108" spans="1:26" s="70" customFormat="1" ht="15" hidden="1" customHeight="1" outlineLevel="2" x14ac:dyDescent="0.3">
      <c r="A108" s="26"/>
      <c r="B108" s="12" t="str">
        <f>CONCATENATE("          ","6305"," - ","FREIGHT OUT")</f>
        <v xml:space="preserve">          6305 - FREIGHT OUT</v>
      </c>
      <c r="C108" s="12"/>
      <c r="D108" s="7">
        <v>10386.42</v>
      </c>
      <c r="E108" s="3"/>
      <c r="F108" s="8">
        <f t="shared" si="20"/>
        <v>3.621287005587271E-3</v>
      </c>
      <c r="G108" s="3"/>
      <c r="H108" s="7">
        <v>9265</v>
      </c>
      <c r="I108" s="3"/>
      <c r="J108" s="8">
        <f t="shared" si="21"/>
        <v>4.4905993071923745E-3</v>
      </c>
      <c r="K108" s="3"/>
      <c r="L108" s="7">
        <f t="shared" si="22"/>
        <v>1121.42</v>
      </c>
      <c r="M108" s="3"/>
      <c r="N108" s="8">
        <f t="shared" si="23"/>
        <v>0.12103831624392877</v>
      </c>
      <c r="O108" s="12"/>
      <c r="P108" s="7">
        <v>112240.61</v>
      </c>
      <c r="Q108" s="3"/>
      <c r="R108" s="8">
        <f t="shared" si="24"/>
        <v>6.0622618606439261E-3</v>
      </c>
      <c r="S108" s="3"/>
      <c r="T108" s="7">
        <v>148585</v>
      </c>
      <c r="U108" s="3"/>
      <c r="V108" s="8">
        <f t="shared" si="25"/>
        <v>7.8618764839070293E-3</v>
      </c>
      <c r="W108" s="3"/>
      <c r="X108" s="7">
        <f t="shared" si="26"/>
        <v>-36344.39</v>
      </c>
      <c r="Y108" s="3"/>
      <c r="Z108" s="8">
        <f t="shared" si="27"/>
        <v>-0.24460335834707406</v>
      </c>
    </row>
    <row r="109" spans="1:26" s="70" customFormat="1" ht="15" hidden="1" customHeight="1" outlineLevel="2" x14ac:dyDescent="0.3">
      <c r="A109" s="26"/>
      <c r="B109" s="12" t="str">
        <f>CONCATENATE("          ","6307"," - ","POSTAGE")</f>
        <v xml:space="preserve">          6307 - POSTAGE</v>
      </c>
      <c r="C109" s="12"/>
      <c r="D109" s="7">
        <v>-8607.25</v>
      </c>
      <c r="E109" s="3"/>
      <c r="F109" s="8">
        <f t="shared" si="20"/>
        <v>-3.0009688207140706E-3</v>
      </c>
      <c r="G109" s="3"/>
      <c r="H109" s="7">
        <v>-5890</v>
      </c>
      <c r="I109" s="3"/>
      <c r="J109" s="8">
        <f t="shared" si="21"/>
        <v>-2.8547900614531124E-3</v>
      </c>
      <c r="K109" s="3"/>
      <c r="L109" s="7">
        <f t="shared" si="22"/>
        <v>-2717.25</v>
      </c>
      <c r="M109" s="3"/>
      <c r="N109" s="8">
        <f t="shared" si="23"/>
        <v>0.46133276740237689</v>
      </c>
      <c r="O109" s="12"/>
      <c r="P109" s="7">
        <v>-156846.6</v>
      </c>
      <c r="Q109" s="3"/>
      <c r="R109" s="8">
        <f t="shared" si="24"/>
        <v>-8.4714896074751696E-3</v>
      </c>
      <c r="S109" s="3"/>
      <c r="T109" s="7">
        <v>-160010</v>
      </c>
      <c r="U109" s="3"/>
      <c r="V109" s="8">
        <f t="shared" si="25"/>
        <v>-8.4663920058549915E-3</v>
      </c>
      <c r="W109" s="3"/>
      <c r="X109" s="7">
        <f t="shared" si="26"/>
        <v>3163.3999999999942</v>
      </c>
      <c r="Y109" s="3"/>
      <c r="Z109" s="8">
        <f t="shared" si="27"/>
        <v>-1.9770014374101582E-2</v>
      </c>
    </row>
    <row r="110" spans="1:26" s="69" customFormat="1" ht="15" customHeight="1" outlineLevel="1" collapsed="1" x14ac:dyDescent="0.3">
      <c r="A110" s="25"/>
      <c r="B110" s="14" t="str">
        <f>CONCATENATE("     ","General                                           ")</f>
        <v xml:space="preserve">     General                                           </v>
      </c>
      <c r="C110" s="14"/>
      <c r="D110" s="2">
        <f>SUM(OSRRefD22_11x_0)</f>
        <v>3802.34</v>
      </c>
      <c r="E110" s="2"/>
      <c r="F110" s="6">
        <f t="shared" si="20"/>
        <v>1.3257084185720107E-3</v>
      </c>
      <c r="G110" s="2"/>
      <c r="H110" s="2">
        <f>SUM(OSRRefH22_11x_0)</f>
        <v>1670</v>
      </c>
      <c r="I110" s="2"/>
      <c r="J110" s="6">
        <f t="shared" si="21"/>
        <v>8.0942264900283494E-4</v>
      </c>
      <c r="K110" s="2"/>
      <c r="L110" s="2">
        <f t="shared" si="22"/>
        <v>2132.34</v>
      </c>
      <c r="M110" s="2"/>
      <c r="N110" s="6">
        <f t="shared" si="23"/>
        <v>1.2768502994011977</v>
      </c>
      <c r="O110" s="14"/>
      <c r="P110" s="2">
        <f>SUM(OSRRefP22_11x_0)</f>
        <v>44146.879999999997</v>
      </c>
      <c r="Q110" s="2"/>
      <c r="R110" s="6">
        <f t="shared" si="24"/>
        <v>2.3844306164268361E-3</v>
      </c>
      <c r="S110" s="2"/>
      <c r="T110" s="2">
        <f>SUM(OSRRefT22_11x_0)</f>
        <v>22500</v>
      </c>
      <c r="U110" s="2"/>
      <c r="V110" s="6">
        <f t="shared" si="25"/>
        <v>1.1905119688253064E-3</v>
      </c>
      <c r="W110" s="2"/>
      <c r="X110" s="2">
        <f t="shared" si="26"/>
        <v>21646.879999999997</v>
      </c>
      <c r="Y110" s="2"/>
      <c r="Z110" s="6">
        <f t="shared" si="27"/>
        <v>0.96208355555555547</v>
      </c>
    </row>
    <row r="111" spans="1:26" s="70" customFormat="1" ht="15" hidden="1" customHeight="1" outlineLevel="2" x14ac:dyDescent="0.3">
      <c r="A111" s="26"/>
      <c r="B111" s="12" t="str">
        <f>CONCATENATE("          ","6269"," - ","ENTERTAINMENT")</f>
        <v xml:space="preserve">          6269 - ENTERTAINMENT</v>
      </c>
      <c r="C111" s="12"/>
      <c r="D111" s="7"/>
      <c r="E111" s="3"/>
      <c r="F111" s="8">
        <f t="shared" si="20"/>
        <v>0</v>
      </c>
      <c r="G111" s="3"/>
      <c r="H111" s="7">
        <v>250</v>
      </c>
      <c r="I111" s="3"/>
      <c r="J111" s="8">
        <f t="shared" si="21"/>
        <v>1.2117105523994534E-4</v>
      </c>
      <c r="K111" s="3"/>
      <c r="L111" s="7">
        <f t="shared" si="22"/>
        <v>-250</v>
      </c>
      <c r="M111" s="3"/>
      <c r="N111" s="8">
        <f t="shared" si="23"/>
        <v>-1</v>
      </c>
      <c r="O111" s="12"/>
      <c r="P111" s="7"/>
      <c r="Q111" s="3"/>
      <c r="R111" s="8">
        <f t="shared" si="24"/>
        <v>0</v>
      </c>
      <c r="S111" s="3"/>
      <c r="T111" s="7">
        <v>500</v>
      </c>
      <c r="U111" s="3"/>
      <c r="V111" s="8">
        <f t="shared" si="25"/>
        <v>2.6455821529451255E-5</v>
      </c>
      <c r="W111" s="3"/>
      <c r="X111" s="7">
        <f t="shared" si="26"/>
        <v>-500</v>
      </c>
      <c r="Y111" s="3"/>
      <c r="Z111" s="8">
        <f t="shared" si="27"/>
        <v>-1</v>
      </c>
    </row>
    <row r="112" spans="1:26" s="70" customFormat="1" ht="15" hidden="1" customHeight="1" outlineLevel="2" x14ac:dyDescent="0.3">
      <c r="A112" s="26"/>
      <c r="B112" s="12" t="str">
        <f>CONCATENATE("          ","6276"," - ","PROPERTY TAX")</f>
        <v xml:space="preserve">          6276 - PROPERTY TAX</v>
      </c>
      <c r="C112" s="12"/>
      <c r="D112" s="7"/>
      <c r="E112" s="3"/>
      <c r="F112" s="8">
        <f t="shared" si="20"/>
        <v>0</v>
      </c>
      <c r="G112" s="3"/>
      <c r="H112" s="7"/>
      <c r="I112" s="3"/>
      <c r="J112" s="8">
        <f t="shared" si="21"/>
        <v>0</v>
      </c>
      <c r="K112" s="3"/>
      <c r="L112" s="7">
        <f t="shared" si="22"/>
        <v>0</v>
      </c>
      <c r="M112" s="3"/>
      <c r="N112" s="8">
        <f t="shared" si="23"/>
        <v>0</v>
      </c>
      <c r="O112" s="12"/>
      <c r="P112" s="7"/>
      <c r="Q112" s="3"/>
      <c r="R112" s="8">
        <f t="shared" si="24"/>
        <v>0</v>
      </c>
      <c r="S112" s="3"/>
      <c r="T112" s="7">
        <v>1250</v>
      </c>
      <c r="U112" s="3"/>
      <c r="V112" s="8">
        <f t="shared" si="25"/>
        <v>6.6139553823628137E-5</v>
      </c>
      <c r="W112" s="3"/>
      <c r="X112" s="7">
        <f t="shared" si="26"/>
        <v>-1250</v>
      </c>
      <c r="Y112" s="3"/>
      <c r="Z112" s="8">
        <f t="shared" si="27"/>
        <v>-1</v>
      </c>
    </row>
    <row r="113" spans="1:26" s="70" customFormat="1" ht="15" hidden="1" customHeight="1" outlineLevel="2" x14ac:dyDescent="0.3">
      <c r="A113" s="26"/>
      <c r="B113" s="12" t="str">
        <f>CONCATENATE("          ","6279"," - ","GENERAL EXPENSE")</f>
        <v xml:space="preserve">          6279 - GENERAL EXPENSE</v>
      </c>
      <c r="C113" s="12"/>
      <c r="D113" s="7">
        <v>3802.34</v>
      </c>
      <c r="E113" s="3"/>
      <c r="F113" s="8">
        <f t="shared" si="20"/>
        <v>1.3257084185720107E-3</v>
      </c>
      <c r="G113" s="3"/>
      <c r="H113" s="7">
        <v>1420</v>
      </c>
      <c r="I113" s="3"/>
      <c r="J113" s="8">
        <f t="shared" si="21"/>
        <v>6.8825159376288952E-4</v>
      </c>
      <c r="K113" s="3"/>
      <c r="L113" s="7">
        <f t="shared" si="22"/>
        <v>2382.34</v>
      </c>
      <c r="M113" s="3"/>
      <c r="N113" s="8">
        <f t="shared" si="23"/>
        <v>1.6777042253521128</v>
      </c>
      <c r="O113" s="12"/>
      <c r="P113" s="7">
        <v>44146.879999999997</v>
      </c>
      <c r="Q113" s="3"/>
      <c r="R113" s="8">
        <f t="shared" si="24"/>
        <v>2.3844306164268361E-3</v>
      </c>
      <c r="S113" s="3"/>
      <c r="T113" s="7">
        <v>20750</v>
      </c>
      <c r="U113" s="3"/>
      <c r="V113" s="8">
        <f t="shared" si="25"/>
        <v>1.0979165934722271E-3</v>
      </c>
      <c r="W113" s="3"/>
      <c r="X113" s="7">
        <f t="shared" si="26"/>
        <v>23396.879999999997</v>
      </c>
      <c r="Y113" s="3"/>
      <c r="Z113" s="8">
        <f t="shared" si="27"/>
        <v>1.1275604819277107</v>
      </c>
    </row>
    <row r="114" spans="1:26" s="69" customFormat="1" ht="15" customHeight="1" outlineLevel="1" collapsed="1" x14ac:dyDescent="0.3">
      <c r="A114" s="25"/>
      <c r="B114" s="14" t="str">
        <f>CONCATENATE("     ","Insurance                                         ")</f>
        <v xml:space="preserve">     Insurance                                         </v>
      </c>
      <c r="C114" s="14"/>
      <c r="D114" s="2">
        <f>SUM(OSRRefD22_12x_0)</f>
        <v>11626.43</v>
      </c>
      <c r="E114" s="2"/>
      <c r="F114" s="6">
        <f t="shared" si="20"/>
        <v>4.0536238550308978E-3</v>
      </c>
      <c r="G114" s="2"/>
      <c r="H114" s="2">
        <f>SUM(OSRRefH22_12x_0)</f>
        <v>11425</v>
      </c>
      <c r="I114" s="2"/>
      <c r="J114" s="6">
        <f t="shared" si="21"/>
        <v>5.5375172244655022E-3</v>
      </c>
      <c r="K114" s="2"/>
      <c r="L114" s="2">
        <f t="shared" si="22"/>
        <v>201.43000000000029</v>
      </c>
      <c r="M114" s="2"/>
      <c r="N114" s="6">
        <f t="shared" si="23"/>
        <v>1.7630634573304185E-2</v>
      </c>
      <c r="O114" s="14"/>
      <c r="P114" s="2">
        <f>SUM(OSRRefP22_12x_0)</f>
        <v>111520.88</v>
      </c>
      <c r="Q114" s="2"/>
      <c r="R114" s="6">
        <f t="shared" si="24"/>
        <v>6.023388303836268E-3</v>
      </c>
      <c r="S114" s="2"/>
      <c r="T114" s="2">
        <f>SUM(OSRRefT22_12x_0)</f>
        <v>102825</v>
      </c>
      <c r="U114" s="2"/>
      <c r="V114" s="6">
        <f t="shared" si="25"/>
        <v>5.4406396975316511E-3</v>
      </c>
      <c r="W114" s="2"/>
      <c r="X114" s="2">
        <f t="shared" si="26"/>
        <v>8695.8800000000047</v>
      </c>
      <c r="Y114" s="2"/>
      <c r="Z114" s="6">
        <f t="shared" si="27"/>
        <v>8.4569705810843707E-2</v>
      </c>
    </row>
    <row r="115" spans="1:26" s="70" customFormat="1" ht="15" hidden="1" customHeight="1" outlineLevel="2" x14ac:dyDescent="0.3">
      <c r="A115" s="26"/>
      <c r="B115" s="12" t="str">
        <f>CONCATENATE("          ","6314"," - ","LIABILITY INSURANCE")</f>
        <v xml:space="preserve">          6314 - LIABILITY INSURANCE</v>
      </c>
      <c r="C115" s="12"/>
      <c r="D115" s="7">
        <v>11626.43</v>
      </c>
      <c r="E115" s="3"/>
      <c r="F115" s="8">
        <f t="shared" si="20"/>
        <v>4.0536238550308978E-3</v>
      </c>
      <c r="G115" s="3"/>
      <c r="H115" s="7">
        <v>11425</v>
      </c>
      <c r="I115" s="3"/>
      <c r="J115" s="8">
        <f t="shared" si="21"/>
        <v>5.5375172244655022E-3</v>
      </c>
      <c r="K115" s="3"/>
      <c r="L115" s="7">
        <f t="shared" si="22"/>
        <v>201.43000000000029</v>
      </c>
      <c r="M115" s="3"/>
      <c r="N115" s="8">
        <f t="shared" si="23"/>
        <v>1.7630634573304185E-2</v>
      </c>
      <c r="O115" s="12"/>
      <c r="P115" s="7">
        <v>111520.88</v>
      </c>
      <c r="Q115" s="3"/>
      <c r="R115" s="8">
        <f t="shared" si="24"/>
        <v>6.023388303836268E-3</v>
      </c>
      <c r="S115" s="3"/>
      <c r="T115" s="7">
        <v>102825</v>
      </c>
      <c r="U115" s="3"/>
      <c r="V115" s="8">
        <f t="shared" si="25"/>
        <v>5.4406396975316511E-3</v>
      </c>
      <c r="W115" s="3"/>
      <c r="X115" s="7">
        <f t="shared" si="26"/>
        <v>8695.8800000000047</v>
      </c>
      <c r="Y115" s="3"/>
      <c r="Z115" s="8">
        <f t="shared" si="27"/>
        <v>8.4569705810843707E-2</v>
      </c>
    </row>
    <row r="116" spans="1:26" s="69" customFormat="1" ht="15" customHeight="1" outlineLevel="1" collapsed="1" x14ac:dyDescent="0.3">
      <c r="A116" s="25"/>
      <c r="B116" s="14" t="str">
        <f>CONCATENATE("     ","Interest                                          ")</f>
        <v xml:space="preserve">     Interest                                          </v>
      </c>
      <c r="C116" s="14"/>
      <c r="D116" s="2">
        <f>SUM(OSRRefD22_13x_0)</f>
        <v>11158</v>
      </c>
      <c r="E116" s="2"/>
      <c r="F116" s="6">
        <f t="shared" si="20"/>
        <v>3.8903029540826163E-3</v>
      </c>
      <c r="G116" s="2"/>
      <c r="H116" s="2">
        <f>SUM(OSRRefH22_13x_0)</f>
        <v>11158</v>
      </c>
      <c r="I116" s="2"/>
      <c r="J116" s="6">
        <f t="shared" si="21"/>
        <v>5.4081065374692403E-3</v>
      </c>
      <c r="K116" s="2"/>
      <c r="L116" s="2">
        <f t="shared" si="22"/>
        <v>0</v>
      </c>
      <c r="M116" s="2"/>
      <c r="N116" s="6">
        <f t="shared" si="23"/>
        <v>0</v>
      </c>
      <c r="O116" s="14"/>
      <c r="P116" s="2">
        <f>SUM(OSRRefP22_13x_0)</f>
        <v>99632</v>
      </c>
      <c r="Q116" s="2"/>
      <c r="R116" s="6">
        <f t="shared" si="24"/>
        <v>5.3812543757529082E-3</v>
      </c>
      <c r="S116" s="2"/>
      <c r="T116" s="2">
        <f>SUM(OSRRefT22_13x_0)</f>
        <v>100422</v>
      </c>
      <c r="U116" s="2"/>
      <c r="V116" s="6">
        <f t="shared" si="25"/>
        <v>5.3134930192611082E-3</v>
      </c>
      <c r="W116" s="2"/>
      <c r="X116" s="2">
        <f t="shared" si="26"/>
        <v>-790</v>
      </c>
      <c r="Y116" s="2"/>
      <c r="Z116" s="6">
        <f t="shared" si="27"/>
        <v>-7.8668020951584306E-3</v>
      </c>
    </row>
    <row r="117" spans="1:26" s="70" customFormat="1" ht="15" hidden="1" customHeight="1" outlineLevel="2" x14ac:dyDescent="0.3">
      <c r="A117" s="26"/>
      <c r="B117" s="12" t="str">
        <f>CONCATENATE("          ","6401"," - ","INTEREST EXPENSE")</f>
        <v xml:space="preserve">          6401 - INTEREST EXPENSE</v>
      </c>
      <c r="C117" s="12"/>
      <c r="D117" s="7">
        <v>11158</v>
      </c>
      <c r="E117" s="3"/>
      <c r="F117" s="8">
        <f t="shared" si="20"/>
        <v>3.8903029540826163E-3</v>
      </c>
      <c r="G117" s="3"/>
      <c r="H117" s="7">
        <v>11158</v>
      </c>
      <c r="I117" s="3"/>
      <c r="J117" s="8">
        <f t="shared" si="21"/>
        <v>5.4081065374692403E-3</v>
      </c>
      <c r="K117" s="3"/>
      <c r="L117" s="7">
        <f t="shared" si="22"/>
        <v>0</v>
      </c>
      <c r="M117" s="3"/>
      <c r="N117" s="8">
        <f t="shared" si="23"/>
        <v>0</v>
      </c>
      <c r="O117" s="12"/>
      <c r="P117" s="7">
        <v>99632</v>
      </c>
      <c r="Q117" s="3"/>
      <c r="R117" s="8">
        <f t="shared" si="24"/>
        <v>5.3812543757529082E-3</v>
      </c>
      <c r="S117" s="3"/>
      <c r="T117" s="7">
        <v>100422</v>
      </c>
      <c r="U117" s="3"/>
      <c r="V117" s="8">
        <f t="shared" si="25"/>
        <v>5.3134930192611082E-3</v>
      </c>
      <c r="W117" s="3"/>
      <c r="X117" s="7">
        <f t="shared" si="26"/>
        <v>-790</v>
      </c>
      <c r="Y117" s="3"/>
      <c r="Z117" s="8">
        <f t="shared" si="27"/>
        <v>-7.8668020951584306E-3</v>
      </c>
    </row>
    <row r="118" spans="1:26" s="69" customFormat="1" ht="15" customHeight="1" outlineLevel="1" collapsed="1" x14ac:dyDescent="0.3">
      <c r="A118" s="25"/>
      <c r="B118" s="14" t="str">
        <f>CONCATENATE("     ","Inventory Adjustment                              ")</f>
        <v xml:space="preserve">     Inventory Adjustment                              </v>
      </c>
      <c r="C118" s="14"/>
      <c r="D118" s="2">
        <f>SUM(OSRRefD22_14x_0)</f>
        <v>5440</v>
      </c>
      <c r="E118" s="2"/>
      <c r="F118" s="6">
        <f t="shared" si="20"/>
        <v>1.8966883016857351E-3</v>
      </c>
      <c r="G118" s="2"/>
      <c r="H118" s="2">
        <f>SUM(OSRRefH22_14x_0)</f>
        <v>5440</v>
      </c>
      <c r="I118" s="2"/>
      <c r="J118" s="6">
        <f t="shared" si="21"/>
        <v>2.6366821620212107E-3</v>
      </c>
      <c r="K118" s="2"/>
      <c r="L118" s="2">
        <f t="shared" si="22"/>
        <v>0</v>
      </c>
      <c r="M118" s="2"/>
      <c r="N118" s="6">
        <f t="shared" si="23"/>
        <v>0</v>
      </c>
      <c r="O118" s="14"/>
      <c r="P118" s="2">
        <f>SUM(OSRRefP22_14x_0)</f>
        <v>57440</v>
      </c>
      <c r="Q118" s="2"/>
      <c r="R118" s="6">
        <f t="shared" si="24"/>
        <v>3.1024093799506889E-3</v>
      </c>
      <c r="S118" s="2"/>
      <c r="T118" s="2">
        <f>SUM(OSRRefT22_14x_0)</f>
        <v>58150</v>
      </c>
      <c r="U118" s="2"/>
      <c r="V118" s="6">
        <f t="shared" si="25"/>
        <v>3.0768120438751812E-3</v>
      </c>
      <c r="W118" s="2"/>
      <c r="X118" s="2">
        <f t="shared" si="26"/>
        <v>-710</v>
      </c>
      <c r="Y118" s="2"/>
      <c r="Z118" s="6">
        <f t="shared" si="27"/>
        <v>-1.2209802235597592E-2</v>
      </c>
    </row>
    <row r="119" spans="1:26" s="70" customFormat="1" ht="15" hidden="1" customHeight="1" outlineLevel="2" x14ac:dyDescent="0.3">
      <c r="A119" s="26"/>
      <c r="B119" s="12" t="str">
        <f>CONCATENATE("          ","6408"," - ","INVENTORY ADJUSTMENT")</f>
        <v xml:space="preserve">          6408 - INVENTORY ADJUSTMENT</v>
      </c>
      <c r="C119" s="12"/>
      <c r="D119" s="7">
        <v>5440</v>
      </c>
      <c r="E119" s="3"/>
      <c r="F119" s="8">
        <f t="shared" si="20"/>
        <v>1.8966883016857351E-3</v>
      </c>
      <c r="G119" s="3"/>
      <c r="H119" s="7">
        <v>5440</v>
      </c>
      <c r="I119" s="3"/>
      <c r="J119" s="8">
        <f t="shared" si="21"/>
        <v>2.6366821620212107E-3</v>
      </c>
      <c r="K119" s="3"/>
      <c r="L119" s="7">
        <f t="shared" si="22"/>
        <v>0</v>
      </c>
      <c r="M119" s="3"/>
      <c r="N119" s="8">
        <f t="shared" si="23"/>
        <v>0</v>
      </c>
      <c r="O119" s="12"/>
      <c r="P119" s="7">
        <v>57440</v>
      </c>
      <c r="Q119" s="3"/>
      <c r="R119" s="8">
        <f t="shared" si="24"/>
        <v>3.1024093799506889E-3</v>
      </c>
      <c r="S119" s="3"/>
      <c r="T119" s="7">
        <v>58150</v>
      </c>
      <c r="U119" s="3"/>
      <c r="V119" s="8">
        <f t="shared" si="25"/>
        <v>3.0768120438751812E-3</v>
      </c>
      <c r="W119" s="3"/>
      <c r="X119" s="7">
        <f t="shared" si="26"/>
        <v>-710</v>
      </c>
      <c r="Y119" s="3"/>
      <c r="Z119" s="8">
        <f t="shared" si="27"/>
        <v>-1.2209802235597592E-2</v>
      </c>
    </row>
    <row r="120" spans="1:26" s="69" customFormat="1" ht="15" customHeight="1" outlineLevel="1" collapsed="1" x14ac:dyDescent="0.3">
      <c r="A120" s="25"/>
      <c r="B120" s="14" t="str">
        <f>CONCATENATE("     ","Professional Services                             ")</f>
        <v xml:space="preserve">     Professional Services                             </v>
      </c>
      <c r="C120" s="14"/>
      <c r="D120" s="2">
        <f>SUM(OSRRefD22_15x_0)</f>
        <v>1050</v>
      </c>
      <c r="E120" s="2"/>
      <c r="F120" s="6">
        <f t="shared" si="20"/>
        <v>3.660887347003717E-4</v>
      </c>
      <c r="G120" s="2"/>
      <c r="H120" s="2">
        <f>SUM(OSRRefH22_15x_0)</f>
        <v>0</v>
      </c>
      <c r="I120" s="2"/>
      <c r="J120" s="6">
        <f t="shared" si="21"/>
        <v>0</v>
      </c>
      <c r="K120" s="2"/>
      <c r="L120" s="2">
        <f t="shared" si="22"/>
        <v>1050</v>
      </c>
      <c r="M120" s="2"/>
      <c r="N120" s="6">
        <f t="shared" si="23"/>
        <v>0</v>
      </c>
      <c r="O120" s="14"/>
      <c r="P120" s="2">
        <f>SUM(OSRRefP22_15x_0)</f>
        <v>9626.5300000000007</v>
      </c>
      <c r="Q120" s="2"/>
      <c r="R120" s="6">
        <f t="shared" si="24"/>
        <v>5.1994145139931593E-4</v>
      </c>
      <c r="S120" s="2"/>
      <c r="T120" s="2">
        <f>SUM(OSRRefT22_15x_0)</f>
        <v>1500</v>
      </c>
      <c r="U120" s="2"/>
      <c r="V120" s="6">
        <f t="shared" si="25"/>
        <v>7.9367464588353764E-5</v>
      </c>
      <c r="W120" s="2"/>
      <c r="X120" s="2">
        <f t="shared" si="26"/>
        <v>8126.5300000000007</v>
      </c>
      <c r="Y120" s="2"/>
      <c r="Z120" s="6">
        <f t="shared" si="27"/>
        <v>5.4176866666666674</v>
      </c>
    </row>
    <row r="121" spans="1:26" s="70" customFormat="1" ht="15" hidden="1" customHeight="1" outlineLevel="2" x14ac:dyDescent="0.3">
      <c r="A121" s="26"/>
      <c r="B121" s="12" t="str">
        <f>CONCATENATE("          ","6336"," - ","PROFESSIONAL SERVICES")</f>
        <v xml:space="preserve">          6336 - PROFESSIONAL SERVICES</v>
      </c>
      <c r="C121" s="12"/>
      <c r="D121" s="7">
        <v>1050</v>
      </c>
      <c r="E121" s="3"/>
      <c r="F121" s="8">
        <f t="shared" si="20"/>
        <v>3.660887347003717E-4</v>
      </c>
      <c r="G121" s="3"/>
      <c r="H121" s="7">
        <v>0</v>
      </c>
      <c r="I121" s="3"/>
      <c r="J121" s="8">
        <f t="shared" si="21"/>
        <v>0</v>
      </c>
      <c r="K121" s="3"/>
      <c r="L121" s="7">
        <f t="shared" si="22"/>
        <v>1050</v>
      </c>
      <c r="M121" s="3"/>
      <c r="N121" s="8">
        <f t="shared" si="23"/>
        <v>0</v>
      </c>
      <c r="O121" s="12"/>
      <c r="P121" s="7">
        <v>9626.5300000000007</v>
      </c>
      <c r="Q121" s="3"/>
      <c r="R121" s="8">
        <f t="shared" si="24"/>
        <v>5.1994145139931593E-4</v>
      </c>
      <c r="S121" s="3"/>
      <c r="T121" s="7">
        <v>1500</v>
      </c>
      <c r="U121" s="3"/>
      <c r="V121" s="8">
        <f t="shared" si="25"/>
        <v>7.9367464588353764E-5</v>
      </c>
      <c r="W121" s="3"/>
      <c r="X121" s="7">
        <f t="shared" si="26"/>
        <v>8126.5300000000007</v>
      </c>
      <c r="Y121" s="3"/>
      <c r="Z121" s="8">
        <f t="shared" si="27"/>
        <v>5.4176866666666674</v>
      </c>
    </row>
    <row r="122" spans="1:26" s="69" customFormat="1" ht="15" customHeight="1" outlineLevel="1" collapsed="1" x14ac:dyDescent="0.3">
      <c r="A122" s="25"/>
      <c r="B122" s="14" t="str">
        <f>CONCATENATE("     ","R/H Commissions                                   ")</f>
        <v xml:space="preserve">     R/H Commissions                                   </v>
      </c>
      <c r="C122" s="14"/>
      <c r="D122" s="2">
        <f>SUM(OSRRefD22_16x_0)</f>
        <v>111663.48</v>
      </c>
      <c r="E122" s="2"/>
      <c r="F122" s="6">
        <f t="shared" si="20"/>
        <v>3.8932135338514529E-2</v>
      </c>
      <c r="G122" s="2"/>
      <c r="H122" s="2">
        <f>SUM(OSRRefH22_16x_0)</f>
        <v>87091</v>
      </c>
      <c r="I122" s="2"/>
      <c r="J122" s="6">
        <f t="shared" si="21"/>
        <v>4.221163348760832E-2</v>
      </c>
      <c r="K122" s="2"/>
      <c r="L122" s="2">
        <f t="shared" si="22"/>
        <v>24572.479999999996</v>
      </c>
      <c r="M122" s="2"/>
      <c r="N122" s="6">
        <f t="shared" si="23"/>
        <v>0.28214717938707784</v>
      </c>
      <c r="O122" s="14"/>
      <c r="P122" s="2">
        <f>SUM(OSRRefP22_16x_0)</f>
        <v>720692.17</v>
      </c>
      <c r="Q122" s="2"/>
      <c r="R122" s="6">
        <f t="shared" si="24"/>
        <v>3.8925524865338033E-2</v>
      </c>
      <c r="S122" s="2"/>
      <c r="T122" s="2">
        <f>SUM(OSRRefT22_16x_0)</f>
        <v>571997</v>
      </c>
      <c r="U122" s="2"/>
      <c r="V122" s="6">
        <f t="shared" si="25"/>
        <v>3.026530109476306E-2</v>
      </c>
      <c r="W122" s="2"/>
      <c r="X122" s="2">
        <f t="shared" si="26"/>
        <v>148695.17000000004</v>
      </c>
      <c r="Y122" s="2"/>
      <c r="Z122" s="6">
        <f t="shared" si="27"/>
        <v>0.25995795432493535</v>
      </c>
    </row>
    <row r="123" spans="1:26" s="70" customFormat="1" ht="15" hidden="1" customHeight="1" outlineLevel="2" x14ac:dyDescent="0.3">
      <c r="A123" s="26"/>
      <c r="B123" s="12" t="str">
        <f>CONCATENATE("          ","6387"," - ","COMMISSION DUE HOUSING")</f>
        <v xml:space="preserve">          6387 - COMMISSION DUE HOUSING</v>
      </c>
      <c r="C123" s="12"/>
      <c r="D123" s="7">
        <v>111663.48</v>
      </c>
      <c r="E123" s="3"/>
      <c r="F123" s="8">
        <f t="shared" si="20"/>
        <v>3.8932135338514529E-2</v>
      </c>
      <c r="G123" s="3"/>
      <c r="H123" s="7">
        <v>87091</v>
      </c>
      <c r="I123" s="3"/>
      <c r="J123" s="8">
        <f t="shared" si="21"/>
        <v>4.221163348760832E-2</v>
      </c>
      <c r="K123" s="3"/>
      <c r="L123" s="7">
        <f t="shared" si="22"/>
        <v>24572.479999999996</v>
      </c>
      <c r="M123" s="3"/>
      <c r="N123" s="8">
        <f t="shared" si="23"/>
        <v>0.28214717938707784</v>
      </c>
      <c r="O123" s="12"/>
      <c r="P123" s="7">
        <v>720692.17</v>
      </c>
      <c r="Q123" s="3"/>
      <c r="R123" s="8">
        <f t="shared" si="24"/>
        <v>3.8925524865338033E-2</v>
      </c>
      <c r="S123" s="3"/>
      <c r="T123" s="7">
        <v>571997</v>
      </c>
      <c r="U123" s="3"/>
      <c r="V123" s="8">
        <f t="shared" si="25"/>
        <v>3.026530109476306E-2</v>
      </c>
      <c r="W123" s="3"/>
      <c r="X123" s="7">
        <f t="shared" si="26"/>
        <v>148695.17000000004</v>
      </c>
      <c r="Y123" s="3"/>
      <c r="Z123" s="8">
        <f t="shared" si="27"/>
        <v>0.25995795432493535</v>
      </c>
    </row>
    <row r="124" spans="1:26" s="69" customFormat="1" ht="15" customHeight="1" outlineLevel="1" collapsed="1" x14ac:dyDescent="0.3">
      <c r="A124" s="25"/>
      <c r="B124" s="14" t="str">
        <f>CONCATENATE("     ","Rent                                              ")</f>
        <v xml:space="preserve">     Rent                                              </v>
      </c>
      <c r="C124" s="14"/>
      <c r="D124" s="2">
        <f>SUM(OSRRefD22_17x_0)</f>
        <v>8750</v>
      </c>
      <c r="E124" s="2"/>
      <c r="F124" s="6">
        <f t="shared" si="20"/>
        <v>3.0507394558364305E-3</v>
      </c>
      <c r="G124" s="2"/>
      <c r="H124" s="2">
        <f>SUM(OSRRefH22_17x_0)</f>
        <v>8750</v>
      </c>
      <c r="I124" s="2"/>
      <c r="J124" s="6">
        <f t="shared" si="21"/>
        <v>4.2409869333980875E-3</v>
      </c>
      <c r="K124" s="2"/>
      <c r="L124" s="2">
        <f t="shared" si="22"/>
        <v>0</v>
      </c>
      <c r="M124" s="2"/>
      <c r="N124" s="6">
        <f t="shared" si="23"/>
        <v>0</v>
      </c>
      <c r="O124" s="14"/>
      <c r="P124" s="2">
        <f>SUM(OSRRefP22_17x_0)</f>
        <v>78750</v>
      </c>
      <c r="Q124" s="2"/>
      <c r="R124" s="6">
        <f t="shared" si="24"/>
        <v>4.2533902971991083E-3</v>
      </c>
      <c r="S124" s="2"/>
      <c r="T124" s="2">
        <f>SUM(OSRRefT22_17x_0)</f>
        <v>78750</v>
      </c>
      <c r="U124" s="2"/>
      <c r="V124" s="6">
        <f t="shared" si="25"/>
        <v>4.1667918908885725E-3</v>
      </c>
      <c r="W124" s="2"/>
      <c r="X124" s="2">
        <f t="shared" si="26"/>
        <v>0</v>
      </c>
      <c r="Y124" s="2"/>
      <c r="Z124" s="6">
        <f t="shared" si="27"/>
        <v>0</v>
      </c>
    </row>
    <row r="125" spans="1:26" s="70" customFormat="1" ht="15" hidden="1" customHeight="1" outlineLevel="2" x14ac:dyDescent="0.3">
      <c r="A125" s="26"/>
      <c r="B125" s="12" t="str">
        <f>CONCATENATE("          ","6273"," - ","RENT")</f>
        <v xml:space="preserve">          6273 - RENT</v>
      </c>
      <c r="C125" s="12"/>
      <c r="D125" s="7">
        <v>8750</v>
      </c>
      <c r="E125" s="3"/>
      <c r="F125" s="8">
        <f t="shared" si="20"/>
        <v>3.0507394558364305E-3</v>
      </c>
      <c r="G125" s="3"/>
      <c r="H125" s="7">
        <v>8750</v>
      </c>
      <c r="I125" s="3"/>
      <c r="J125" s="8">
        <f t="shared" si="21"/>
        <v>4.2409869333980875E-3</v>
      </c>
      <c r="K125" s="3"/>
      <c r="L125" s="7">
        <f t="shared" si="22"/>
        <v>0</v>
      </c>
      <c r="M125" s="3"/>
      <c r="N125" s="8">
        <f t="shared" si="23"/>
        <v>0</v>
      </c>
      <c r="O125" s="12"/>
      <c r="P125" s="7">
        <v>78750</v>
      </c>
      <c r="Q125" s="3"/>
      <c r="R125" s="8">
        <f t="shared" si="24"/>
        <v>4.2533902971991083E-3</v>
      </c>
      <c r="S125" s="3"/>
      <c r="T125" s="7">
        <v>78750</v>
      </c>
      <c r="U125" s="3"/>
      <c r="V125" s="8">
        <f t="shared" si="25"/>
        <v>4.1667918908885725E-3</v>
      </c>
      <c r="W125" s="3"/>
      <c r="X125" s="7">
        <f t="shared" si="26"/>
        <v>0</v>
      </c>
      <c r="Y125" s="3"/>
      <c r="Z125" s="8">
        <f t="shared" si="27"/>
        <v>0</v>
      </c>
    </row>
    <row r="126" spans="1:26" s="69" customFormat="1" ht="15" customHeight="1" outlineLevel="1" collapsed="1" x14ac:dyDescent="0.3">
      <c r="A126" s="25"/>
      <c r="B126" s="14" t="str">
        <f>CONCATENATE("     ","Repair and Maintenance                            ")</f>
        <v xml:space="preserve">     Repair and Maintenance                            </v>
      </c>
      <c r="C126" s="14"/>
      <c r="D126" s="2">
        <f>SUM(OSRRefD22_18x_0)</f>
        <v>29977.87</v>
      </c>
      <c r="E126" s="2"/>
      <c r="F126" s="6">
        <f t="shared" si="20"/>
        <v>1.0451962378392601E-2</v>
      </c>
      <c r="G126" s="2"/>
      <c r="H126" s="2">
        <f>SUM(OSRRefH22_18x_0)</f>
        <v>21798</v>
      </c>
      <c r="I126" s="2"/>
      <c r="J126" s="6">
        <f t="shared" si="21"/>
        <v>1.0565146648481315E-2</v>
      </c>
      <c r="K126" s="2"/>
      <c r="L126" s="2">
        <f t="shared" si="22"/>
        <v>8179.869999999999</v>
      </c>
      <c r="M126" s="2"/>
      <c r="N126" s="6">
        <f t="shared" si="23"/>
        <v>0.37525782181851541</v>
      </c>
      <c r="O126" s="14"/>
      <c r="P126" s="2">
        <f>SUM(OSRRefP22_18x_0)</f>
        <v>378420.51</v>
      </c>
      <c r="Q126" s="2"/>
      <c r="R126" s="6">
        <f t="shared" si="24"/>
        <v>2.0438985720573181E-2</v>
      </c>
      <c r="S126" s="2"/>
      <c r="T126" s="2">
        <f>SUM(OSRRefT22_18x_0)</f>
        <v>400796</v>
      </c>
      <c r="U126" s="2"/>
      <c r="V126" s="6">
        <f t="shared" si="25"/>
        <v>2.1206774891435892E-2</v>
      </c>
      <c r="W126" s="2"/>
      <c r="X126" s="2">
        <f t="shared" si="26"/>
        <v>-22375.489999999991</v>
      </c>
      <c r="Y126" s="2"/>
      <c r="Z126" s="6">
        <f t="shared" si="27"/>
        <v>-5.5827628020239703E-2</v>
      </c>
    </row>
    <row r="127" spans="1:26" s="70" customFormat="1" ht="15" hidden="1" customHeight="1" outlineLevel="2" x14ac:dyDescent="0.3">
      <c r="A127" s="26"/>
      <c r="B127" s="12" t="str">
        <f>CONCATENATE("          ","6371"," - ","COMPUTER SOFTWARE MAINTENANCE")</f>
        <v xml:space="preserve">          6371 - COMPUTER SOFTWARE MAINTENANCE</v>
      </c>
      <c r="C127" s="12"/>
      <c r="D127" s="7">
        <v>5833.7</v>
      </c>
      <c r="E127" s="3"/>
      <c r="F127" s="8">
        <f t="shared" si="20"/>
        <v>2.033954144401484E-3</v>
      </c>
      <c r="G127" s="3"/>
      <c r="H127" s="7">
        <v>4500</v>
      </c>
      <c r="I127" s="3"/>
      <c r="J127" s="8">
        <f t="shared" si="21"/>
        <v>2.1810789943190164E-3</v>
      </c>
      <c r="K127" s="3"/>
      <c r="L127" s="7">
        <f t="shared" si="22"/>
        <v>1333.6999999999998</v>
      </c>
      <c r="M127" s="3"/>
      <c r="N127" s="8">
        <f t="shared" si="23"/>
        <v>0.29637777777777774</v>
      </c>
      <c r="O127" s="12"/>
      <c r="P127" s="7">
        <v>110745.57</v>
      </c>
      <c r="Q127" s="3"/>
      <c r="R127" s="8">
        <f t="shared" si="24"/>
        <v>5.9815127986766305E-3</v>
      </c>
      <c r="S127" s="3"/>
      <c r="T127" s="7">
        <v>207223</v>
      </c>
      <c r="U127" s="3"/>
      <c r="V127" s="8">
        <f t="shared" si="25"/>
        <v>1.0964509409594954E-2</v>
      </c>
      <c r="W127" s="3"/>
      <c r="X127" s="7">
        <f t="shared" si="26"/>
        <v>-96477.43</v>
      </c>
      <c r="Y127" s="3"/>
      <c r="Z127" s="8">
        <f t="shared" si="27"/>
        <v>-0.46557298176360729</v>
      </c>
    </row>
    <row r="128" spans="1:26" s="70" customFormat="1" ht="15" hidden="1" customHeight="1" outlineLevel="2" x14ac:dyDescent="0.3">
      <c r="A128" s="26"/>
      <c r="B128" s="12" t="str">
        <f>CONCATENATE("          ","6372"," - ","COMPUTER HARDWARE MAINTENANCE")</f>
        <v xml:space="preserve">          6372 - COMPUTER HARDWARE MAINTENANCE</v>
      </c>
      <c r="C128" s="12"/>
      <c r="D128" s="7"/>
      <c r="E128" s="3"/>
      <c r="F128" s="8">
        <f t="shared" si="20"/>
        <v>0</v>
      </c>
      <c r="G128" s="3"/>
      <c r="H128" s="7">
        <v>6950</v>
      </c>
      <c r="I128" s="3"/>
      <c r="J128" s="8">
        <f t="shared" si="21"/>
        <v>3.3685553356704806E-3</v>
      </c>
      <c r="K128" s="3"/>
      <c r="L128" s="7">
        <f t="shared" si="22"/>
        <v>-6950</v>
      </c>
      <c r="M128" s="3"/>
      <c r="N128" s="8">
        <f t="shared" si="23"/>
        <v>-1</v>
      </c>
      <c r="O128" s="12"/>
      <c r="P128" s="7">
        <v>1555.65</v>
      </c>
      <c r="Q128" s="3"/>
      <c r="R128" s="8">
        <f t="shared" si="24"/>
        <v>8.4022687185241818E-5</v>
      </c>
      <c r="S128" s="3"/>
      <c r="T128" s="7">
        <v>67170</v>
      </c>
      <c r="U128" s="3"/>
      <c r="V128" s="8">
        <f t="shared" si="25"/>
        <v>3.5540750642664817E-3</v>
      </c>
      <c r="W128" s="3"/>
      <c r="X128" s="7">
        <f t="shared" si="26"/>
        <v>-65614.350000000006</v>
      </c>
      <c r="Y128" s="3"/>
      <c r="Z128" s="8">
        <f t="shared" si="27"/>
        <v>-0.97684010719071024</v>
      </c>
    </row>
    <row r="129" spans="1:26" s="70" customFormat="1" ht="15" hidden="1" customHeight="1" outlineLevel="2" x14ac:dyDescent="0.3">
      <c r="A129" s="26"/>
      <c r="B129" s="12" t="str">
        <f>CONCATENATE("          ","6373"," - ","MAINTENANCE CONTRACTS")</f>
        <v xml:space="preserve">          6373 - MAINTENANCE CONTRACTS</v>
      </c>
      <c r="C129" s="12"/>
      <c r="D129" s="7">
        <v>9634.01</v>
      </c>
      <c r="E129" s="3"/>
      <c r="F129" s="8">
        <f t="shared" si="20"/>
        <v>3.3589547914197409E-3</v>
      </c>
      <c r="G129" s="3"/>
      <c r="H129" s="7">
        <v>6093</v>
      </c>
      <c r="I129" s="3"/>
      <c r="J129" s="8">
        <f t="shared" si="21"/>
        <v>2.9531809583079479E-3</v>
      </c>
      <c r="K129" s="3"/>
      <c r="L129" s="7">
        <f t="shared" si="22"/>
        <v>3541.01</v>
      </c>
      <c r="M129" s="3"/>
      <c r="N129" s="8">
        <f t="shared" si="23"/>
        <v>0.58116034794025939</v>
      </c>
      <c r="O129" s="12"/>
      <c r="P129" s="7">
        <v>165616.69</v>
      </c>
      <c r="Q129" s="3"/>
      <c r="R129" s="8">
        <f t="shared" si="24"/>
        <v>8.9451736165108899E-3</v>
      </c>
      <c r="S129" s="3"/>
      <c r="T129" s="7">
        <v>86334</v>
      </c>
      <c r="U129" s="3"/>
      <c r="V129" s="8">
        <f t="shared" si="25"/>
        <v>4.5680737918472897E-3</v>
      </c>
      <c r="W129" s="3"/>
      <c r="X129" s="7">
        <f t="shared" si="26"/>
        <v>79282.69</v>
      </c>
      <c r="Y129" s="3"/>
      <c r="Z129" s="8">
        <f t="shared" si="27"/>
        <v>0.91832522528783567</v>
      </c>
    </row>
    <row r="130" spans="1:26" s="70" customFormat="1" ht="15" hidden="1" customHeight="1" outlineLevel="2" x14ac:dyDescent="0.3">
      <c r="A130" s="26"/>
      <c r="B130" s="12" t="str">
        <f>CONCATENATE("          ","6375"," - ","OUTSIDE REPAIRS &amp; MAINTENANCE")</f>
        <v xml:space="preserve">          6375 - OUTSIDE REPAIRS &amp; MAINTENANCE</v>
      </c>
      <c r="C130" s="12"/>
      <c r="D130" s="7">
        <v>14510.16</v>
      </c>
      <c r="E130" s="3"/>
      <c r="F130" s="8">
        <f t="shared" ref="F130:F166" si="28">IF(D$12=0,0,D130/D$12)</f>
        <v>5.0590534425713762E-3</v>
      </c>
      <c r="G130" s="3"/>
      <c r="H130" s="7">
        <v>4255</v>
      </c>
      <c r="I130" s="3"/>
      <c r="J130" s="8">
        <f t="shared" ref="J130:J166" si="29">IF(H$12=0,0,H130/H$12)</f>
        <v>2.0623313601838699E-3</v>
      </c>
      <c r="K130" s="3"/>
      <c r="L130" s="7">
        <f t="shared" ref="L130:L166" si="30">+D130-H130</f>
        <v>10255.16</v>
      </c>
      <c r="M130" s="3"/>
      <c r="N130" s="8">
        <f t="shared" ref="N130:N166" si="31">IF(H130=0,0,L130/H130)</f>
        <v>2.4101433607520564</v>
      </c>
      <c r="O130" s="12"/>
      <c r="P130" s="7">
        <v>100502.6</v>
      </c>
      <c r="Q130" s="3"/>
      <c r="R130" s="8">
        <f t="shared" ref="R130:R166" si="32">IF(P$12=0,0,P130/P$12)</f>
        <v>5.4282766182004207E-3</v>
      </c>
      <c r="S130" s="3"/>
      <c r="T130" s="7">
        <v>40069</v>
      </c>
      <c r="U130" s="3"/>
      <c r="V130" s="8">
        <f t="shared" ref="V130:V166" si="33">IF(T$12=0,0,T130/T$12)</f>
        <v>2.1201166257271645E-3</v>
      </c>
      <c r="W130" s="3"/>
      <c r="X130" s="7">
        <f t="shared" ref="X130:X166" si="34">+P130-T130</f>
        <v>60433.600000000006</v>
      </c>
      <c r="Y130" s="3"/>
      <c r="Z130" s="8">
        <f t="shared" ref="Z130:Z166" si="35">IF(T130=0,0,X130/T130)</f>
        <v>1.5082382889515586</v>
      </c>
    </row>
    <row r="131" spans="1:26" s="69" customFormat="1" ht="15" customHeight="1" outlineLevel="1" collapsed="1" x14ac:dyDescent="0.3">
      <c r="A131" s="25"/>
      <c r="B131" s="14" t="str">
        <f>CONCATENATE("     ","Royalty &amp; Commissions                             ")</f>
        <v xml:space="preserve">     Royalty &amp; Commissions                             </v>
      </c>
      <c r="C131" s="14"/>
      <c r="D131" s="2">
        <f>SUM(OSRRefD22_19x_0)</f>
        <v>3085.8199999999997</v>
      </c>
      <c r="E131" s="2"/>
      <c r="F131" s="6">
        <f t="shared" si="28"/>
        <v>1.0758894660124769E-3</v>
      </c>
      <c r="G131" s="2"/>
      <c r="H131" s="2">
        <f>SUM(OSRRefH22_19x_0)</f>
        <v>5181</v>
      </c>
      <c r="I131" s="2"/>
      <c r="J131" s="6">
        <f t="shared" si="29"/>
        <v>2.5111489487926273E-3</v>
      </c>
      <c r="K131" s="2"/>
      <c r="L131" s="2">
        <f t="shared" si="30"/>
        <v>-2095.1800000000003</v>
      </c>
      <c r="M131" s="2"/>
      <c r="N131" s="6">
        <f t="shared" si="31"/>
        <v>-0.40439683458791742</v>
      </c>
      <c r="O131" s="14"/>
      <c r="P131" s="2">
        <f>SUM(OSRRefP22_19x_0)</f>
        <v>56953.640000000007</v>
      </c>
      <c r="Q131" s="2"/>
      <c r="R131" s="6">
        <f t="shared" si="32"/>
        <v>3.0761404414751878E-3</v>
      </c>
      <c r="S131" s="2"/>
      <c r="T131" s="2">
        <f>SUM(OSRRefT22_19x_0)</f>
        <v>82690</v>
      </c>
      <c r="U131" s="2"/>
      <c r="V131" s="6">
        <f t="shared" si="33"/>
        <v>4.3752637645406486E-3</v>
      </c>
      <c r="W131" s="2"/>
      <c r="X131" s="2">
        <f t="shared" si="34"/>
        <v>-25736.359999999993</v>
      </c>
      <c r="Y131" s="2"/>
      <c r="Z131" s="6">
        <f t="shared" si="35"/>
        <v>-0.3112390857419276</v>
      </c>
    </row>
    <row r="132" spans="1:26" s="70" customFormat="1" ht="15" hidden="1" customHeight="1" outlineLevel="2" x14ac:dyDescent="0.3">
      <c r="A132" s="26"/>
      <c r="B132" s="12" t="str">
        <f>CONCATENATE("          ","6252"," - ","ROYALTY DUE CSTV")</f>
        <v xml:space="preserve">          6252 - ROYALTY DUE CSTV</v>
      </c>
      <c r="C132" s="12"/>
      <c r="D132" s="7"/>
      <c r="E132" s="3"/>
      <c r="F132" s="8">
        <f t="shared" si="28"/>
        <v>0</v>
      </c>
      <c r="G132" s="3"/>
      <c r="H132" s="7">
        <v>1085</v>
      </c>
      <c r="I132" s="3"/>
      <c r="J132" s="8">
        <f t="shared" si="29"/>
        <v>5.2588237974136279E-4</v>
      </c>
      <c r="K132" s="3"/>
      <c r="L132" s="7">
        <f t="shared" si="30"/>
        <v>-1085</v>
      </c>
      <c r="M132" s="3"/>
      <c r="N132" s="8">
        <f t="shared" si="31"/>
        <v>-1</v>
      </c>
      <c r="O132" s="12"/>
      <c r="P132" s="7"/>
      <c r="Q132" s="3"/>
      <c r="R132" s="8">
        <f t="shared" si="32"/>
        <v>0</v>
      </c>
      <c r="S132" s="3"/>
      <c r="T132" s="7">
        <v>12582</v>
      </c>
      <c r="U132" s="3"/>
      <c r="V132" s="8">
        <f t="shared" si="33"/>
        <v>6.6573429296711137E-4</v>
      </c>
      <c r="W132" s="3"/>
      <c r="X132" s="7">
        <f t="shared" si="34"/>
        <v>-12582</v>
      </c>
      <c r="Y132" s="3"/>
      <c r="Z132" s="8">
        <f t="shared" si="35"/>
        <v>-1</v>
      </c>
    </row>
    <row r="133" spans="1:26" s="70" customFormat="1" ht="15" hidden="1" customHeight="1" outlineLevel="2" x14ac:dyDescent="0.3">
      <c r="A133" s="26"/>
      <c r="B133" s="12" t="str">
        <f>CONCATENATE("          ","6253"," - ","ROYALTY DUE ATHLETICS-LRG")</f>
        <v xml:space="preserve">          6253 - ROYALTY DUE ATHLETICS-LRG</v>
      </c>
      <c r="C133" s="12"/>
      <c r="D133" s="7"/>
      <c r="E133" s="3"/>
      <c r="F133" s="8">
        <f t="shared" si="28"/>
        <v>0</v>
      </c>
      <c r="G133" s="3"/>
      <c r="H133" s="7">
        <v>0</v>
      </c>
      <c r="I133" s="3"/>
      <c r="J133" s="8">
        <f t="shared" si="29"/>
        <v>0</v>
      </c>
      <c r="K133" s="3"/>
      <c r="L133" s="7">
        <f t="shared" si="30"/>
        <v>0</v>
      </c>
      <c r="M133" s="3"/>
      <c r="N133" s="8">
        <f t="shared" si="31"/>
        <v>0</v>
      </c>
      <c r="O133" s="12"/>
      <c r="P133" s="7">
        <v>39221.160000000003</v>
      </c>
      <c r="Q133" s="3"/>
      <c r="R133" s="8">
        <f t="shared" si="32"/>
        <v>2.1183860493827781E-3</v>
      </c>
      <c r="S133" s="3"/>
      <c r="T133" s="7">
        <v>23947</v>
      </c>
      <c r="U133" s="3"/>
      <c r="V133" s="8">
        <f t="shared" si="33"/>
        <v>1.2670751163315385E-3</v>
      </c>
      <c r="W133" s="3"/>
      <c r="X133" s="7">
        <f t="shared" si="34"/>
        <v>15274.160000000003</v>
      </c>
      <c r="Y133" s="3"/>
      <c r="Z133" s="8">
        <f t="shared" si="35"/>
        <v>0.63783187873220037</v>
      </c>
    </row>
    <row r="134" spans="1:26" s="70" customFormat="1" ht="15" hidden="1" customHeight="1" outlineLevel="2" x14ac:dyDescent="0.3">
      <c r="A134" s="26"/>
      <c r="B134" s="12" t="str">
        <f>CONCATENATE("          ","6254"," - ","ROYALTY &amp; COMMISSIONS")</f>
        <v xml:space="preserve">          6254 - ROYALTY &amp; COMMISSIONS</v>
      </c>
      <c r="C134" s="12"/>
      <c r="D134" s="7">
        <v>583.67999999999995</v>
      </c>
      <c r="E134" s="3"/>
      <c r="F134" s="8">
        <f t="shared" si="28"/>
        <v>2.0350349778086945E-4</v>
      </c>
      <c r="G134" s="3"/>
      <c r="H134" s="7">
        <v>1000</v>
      </c>
      <c r="I134" s="3"/>
      <c r="J134" s="8">
        <f t="shared" si="29"/>
        <v>4.8468422095978138E-4</v>
      </c>
      <c r="K134" s="3"/>
      <c r="L134" s="7">
        <f t="shared" si="30"/>
        <v>-416.32000000000005</v>
      </c>
      <c r="M134" s="3"/>
      <c r="N134" s="8">
        <f t="shared" si="31"/>
        <v>-0.41632000000000002</v>
      </c>
      <c r="O134" s="12"/>
      <c r="P134" s="7">
        <v>7726.86</v>
      </c>
      <c r="Q134" s="3"/>
      <c r="R134" s="8">
        <f t="shared" si="32"/>
        <v>4.1733779494369393E-4</v>
      </c>
      <c r="S134" s="3"/>
      <c r="T134" s="7">
        <v>2500</v>
      </c>
      <c r="U134" s="3"/>
      <c r="V134" s="8">
        <f t="shared" si="33"/>
        <v>1.3227910764725627E-4</v>
      </c>
      <c r="W134" s="3"/>
      <c r="X134" s="7">
        <f t="shared" si="34"/>
        <v>5226.8599999999997</v>
      </c>
      <c r="Y134" s="3"/>
      <c r="Z134" s="8">
        <f t="shared" si="35"/>
        <v>2.0907439999999999</v>
      </c>
    </row>
    <row r="135" spans="1:26" s="70" customFormat="1" ht="15" hidden="1" customHeight="1" outlineLevel="2" x14ac:dyDescent="0.3">
      <c r="A135" s="26"/>
      <c r="B135" s="12" t="str">
        <f>CONCATENATE("          ","6259"," - ","ROYALTY &amp; COMMISSIONS")</f>
        <v xml:space="preserve">          6259 - ROYALTY &amp; COMMISSIONS</v>
      </c>
      <c r="C135" s="12"/>
      <c r="D135" s="7">
        <v>2502.14</v>
      </c>
      <c r="E135" s="3"/>
      <c r="F135" s="8">
        <f t="shared" si="28"/>
        <v>8.7238596823160756E-4</v>
      </c>
      <c r="G135" s="3"/>
      <c r="H135" s="7">
        <v>3096</v>
      </c>
      <c r="I135" s="3"/>
      <c r="J135" s="8">
        <f t="shared" si="29"/>
        <v>1.5005823480914832E-3</v>
      </c>
      <c r="K135" s="3"/>
      <c r="L135" s="7">
        <f t="shared" si="30"/>
        <v>-593.86000000000013</v>
      </c>
      <c r="M135" s="3"/>
      <c r="N135" s="8">
        <f t="shared" si="31"/>
        <v>-0.19181524547803622</v>
      </c>
      <c r="O135" s="12"/>
      <c r="P135" s="7">
        <v>10005.620000000001</v>
      </c>
      <c r="Q135" s="3"/>
      <c r="R135" s="8">
        <f t="shared" si="32"/>
        <v>5.4041659714871551E-4</v>
      </c>
      <c r="S135" s="3"/>
      <c r="T135" s="7">
        <v>43661</v>
      </c>
      <c r="U135" s="3"/>
      <c r="V135" s="8">
        <f t="shared" si="33"/>
        <v>2.3101752475947427E-3</v>
      </c>
      <c r="W135" s="3"/>
      <c r="X135" s="7">
        <f t="shared" si="34"/>
        <v>-33655.379999999997</v>
      </c>
      <c r="Y135" s="3"/>
      <c r="Z135" s="8">
        <f t="shared" si="35"/>
        <v>-0.77083392501316961</v>
      </c>
    </row>
    <row r="136" spans="1:26" s="69" customFormat="1" ht="15" customHeight="1" outlineLevel="1" collapsed="1" x14ac:dyDescent="0.3">
      <c r="A136" s="25"/>
      <c r="B136" s="14" t="str">
        <f>CONCATENATE("     ","Services                                          ")</f>
        <v xml:space="preserve">     Services                                          </v>
      </c>
      <c r="C136" s="14"/>
      <c r="D136" s="2">
        <f>SUM(OSRRefD22_20x_0)</f>
        <v>32330.14</v>
      </c>
      <c r="E136" s="2"/>
      <c r="F136" s="6">
        <f t="shared" si="28"/>
        <v>1.1272095281224642E-2</v>
      </c>
      <c r="G136" s="2"/>
      <c r="H136" s="2">
        <f>SUM(OSRRefH22_20x_0)</f>
        <v>37513</v>
      </c>
      <c r="I136" s="2"/>
      <c r="J136" s="6">
        <f t="shared" si="29"/>
        <v>1.8181959180864279E-2</v>
      </c>
      <c r="K136" s="2"/>
      <c r="L136" s="2">
        <f t="shared" si="30"/>
        <v>-5182.8600000000006</v>
      </c>
      <c r="M136" s="2"/>
      <c r="N136" s="6">
        <f t="shared" si="31"/>
        <v>-0.13816170394263325</v>
      </c>
      <c r="O136" s="14"/>
      <c r="P136" s="2">
        <f>SUM(OSRRefP22_20x_0)</f>
        <v>279696.5</v>
      </c>
      <c r="Q136" s="2"/>
      <c r="R136" s="6">
        <f t="shared" si="32"/>
        <v>1.5106773069975241E-2</v>
      </c>
      <c r="S136" s="2"/>
      <c r="T136" s="2">
        <f>SUM(OSRRefT22_20x_0)</f>
        <v>328333</v>
      </c>
      <c r="U136" s="2"/>
      <c r="V136" s="6">
        <f t="shared" si="33"/>
        <v>1.7372638500458639E-2</v>
      </c>
      <c r="W136" s="2"/>
      <c r="X136" s="2">
        <f t="shared" si="34"/>
        <v>-48636.5</v>
      </c>
      <c r="Y136" s="2"/>
      <c r="Z136" s="6">
        <f t="shared" si="35"/>
        <v>-0.14813162246865225</v>
      </c>
    </row>
    <row r="137" spans="1:26" s="70" customFormat="1" ht="15" hidden="1" customHeight="1" outlineLevel="2" x14ac:dyDescent="0.3">
      <c r="A137" s="26"/>
      <c r="B137" s="12" t="str">
        <f>CONCATENATE("          ","6282"," - ","JANITORIAL/EXTERMINATOR EXPENS")</f>
        <v xml:space="preserve">          6282 - JANITORIAL/EXTERMINATOR EXPENS</v>
      </c>
      <c r="C137" s="12"/>
      <c r="D137" s="7">
        <v>4733.6000000000004</v>
      </c>
      <c r="E137" s="3"/>
      <c r="F137" s="8">
        <f t="shared" si="28"/>
        <v>1.6503977472168377E-3</v>
      </c>
      <c r="G137" s="3"/>
      <c r="H137" s="7">
        <v>7256</v>
      </c>
      <c r="I137" s="3"/>
      <c r="J137" s="8">
        <f t="shared" si="29"/>
        <v>3.5168687072841738E-3</v>
      </c>
      <c r="K137" s="3"/>
      <c r="L137" s="7">
        <f t="shared" si="30"/>
        <v>-2522.3999999999996</v>
      </c>
      <c r="M137" s="3"/>
      <c r="N137" s="8">
        <f t="shared" si="31"/>
        <v>-0.34762954796030865</v>
      </c>
      <c r="O137" s="12"/>
      <c r="P137" s="7">
        <v>31274.61</v>
      </c>
      <c r="Q137" s="3"/>
      <c r="R137" s="8">
        <f t="shared" si="32"/>
        <v>1.6891825107642692E-3</v>
      </c>
      <c r="S137" s="3"/>
      <c r="T137" s="7">
        <v>64946</v>
      </c>
      <c r="U137" s="3"/>
      <c r="V137" s="8">
        <f t="shared" si="33"/>
        <v>3.4363995701034824E-3</v>
      </c>
      <c r="W137" s="3"/>
      <c r="X137" s="7">
        <f t="shared" si="34"/>
        <v>-33671.39</v>
      </c>
      <c r="Y137" s="3"/>
      <c r="Z137" s="8">
        <f t="shared" si="35"/>
        <v>-0.51845209866658459</v>
      </c>
    </row>
    <row r="138" spans="1:26" s="70" customFormat="1" ht="15" hidden="1" customHeight="1" outlineLevel="2" x14ac:dyDescent="0.3">
      <c r="A138" s="26"/>
      <c r="B138" s="12" t="str">
        <f>CONCATENATE("          ","6283"," - ","PLANT SERVICE")</f>
        <v xml:space="preserve">          6283 - PLANT SERVICE</v>
      </c>
      <c r="C138" s="12"/>
      <c r="D138" s="7"/>
      <c r="E138" s="3"/>
      <c r="F138" s="8">
        <f t="shared" si="28"/>
        <v>0</v>
      </c>
      <c r="G138" s="3"/>
      <c r="H138" s="7">
        <v>100</v>
      </c>
      <c r="I138" s="3"/>
      <c r="J138" s="8">
        <f t="shared" si="29"/>
        <v>4.8468422095978142E-5</v>
      </c>
      <c r="K138" s="3"/>
      <c r="L138" s="7">
        <f t="shared" si="30"/>
        <v>-100</v>
      </c>
      <c r="M138" s="3"/>
      <c r="N138" s="8">
        <f t="shared" si="31"/>
        <v>-1</v>
      </c>
      <c r="O138" s="12"/>
      <c r="P138" s="7"/>
      <c r="Q138" s="3"/>
      <c r="R138" s="8">
        <f t="shared" si="32"/>
        <v>0</v>
      </c>
      <c r="S138" s="3"/>
      <c r="T138" s="7">
        <v>900</v>
      </c>
      <c r="U138" s="3"/>
      <c r="V138" s="8">
        <f t="shared" si="33"/>
        <v>4.7620478753012259E-5</v>
      </c>
      <c r="W138" s="3"/>
      <c r="X138" s="7">
        <f t="shared" si="34"/>
        <v>-900</v>
      </c>
      <c r="Y138" s="3"/>
      <c r="Z138" s="8">
        <f t="shared" si="35"/>
        <v>-1</v>
      </c>
    </row>
    <row r="139" spans="1:26" s="70" customFormat="1" ht="15" hidden="1" customHeight="1" outlineLevel="2" x14ac:dyDescent="0.3">
      <c r="A139" s="26"/>
      <c r="B139" s="12" t="str">
        <f>CONCATENATE("          ","6284"," - ","TRASH REMOVAL EXPENSE")</f>
        <v xml:space="preserve">          6284 - TRASH REMOVAL EXPENSE</v>
      </c>
      <c r="C139" s="12"/>
      <c r="D139" s="7">
        <v>149.69999999999999</v>
      </c>
      <c r="E139" s="3"/>
      <c r="F139" s="8">
        <f t="shared" si="28"/>
        <v>5.21937938901387E-5</v>
      </c>
      <c r="G139" s="3"/>
      <c r="H139" s="7">
        <v>1720</v>
      </c>
      <c r="I139" s="3"/>
      <c r="J139" s="8">
        <f t="shared" si="29"/>
        <v>8.3365686005082396E-4</v>
      </c>
      <c r="K139" s="3"/>
      <c r="L139" s="7">
        <f t="shared" si="30"/>
        <v>-1570.3</v>
      </c>
      <c r="M139" s="3"/>
      <c r="N139" s="8">
        <f t="shared" si="31"/>
        <v>-0.91296511627906973</v>
      </c>
      <c r="O139" s="12"/>
      <c r="P139" s="7">
        <v>1340.17</v>
      </c>
      <c r="Q139" s="3"/>
      <c r="R139" s="8">
        <f t="shared" si="32"/>
        <v>7.2384331105997834E-5</v>
      </c>
      <c r="S139" s="3"/>
      <c r="T139" s="7">
        <v>15120</v>
      </c>
      <c r="U139" s="3"/>
      <c r="V139" s="8">
        <f t="shared" si="33"/>
        <v>8.0002404305060592E-4</v>
      </c>
      <c r="W139" s="3"/>
      <c r="X139" s="7">
        <f t="shared" si="34"/>
        <v>-13779.83</v>
      </c>
      <c r="Y139" s="3"/>
      <c r="Z139" s="8">
        <f t="shared" si="35"/>
        <v>-0.91136441798941803</v>
      </c>
    </row>
    <row r="140" spans="1:26" s="70" customFormat="1" ht="15" hidden="1" customHeight="1" outlineLevel="2" x14ac:dyDescent="0.3">
      <c r="A140" s="26"/>
      <c r="B140" s="12" t="str">
        <f>CONCATENATE("          ","6285"," - ","JANITORIAL SERVICES")</f>
        <v xml:space="preserve">          6285 - JANITORIAL SERVICES</v>
      </c>
      <c r="C140" s="12"/>
      <c r="D140" s="7">
        <v>22575.33</v>
      </c>
      <c r="E140" s="3"/>
      <c r="F140" s="8">
        <f t="shared" si="28"/>
        <v>7.8710228525174682E-3</v>
      </c>
      <c r="G140" s="3"/>
      <c r="H140" s="7">
        <v>23083</v>
      </c>
      <c r="I140" s="3"/>
      <c r="J140" s="8">
        <f t="shared" si="29"/>
        <v>1.1187965872414633E-2</v>
      </c>
      <c r="K140" s="3"/>
      <c r="L140" s="7">
        <f t="shared" si="30"/>
        <v>-507.66999999999825</v>
      </c>
      <c r="M140" s="3"/>
      <c r="N140" s="8">
        <f t="shared" si="31"/>
        <v>-2.1993241779664614E-2</v>
      </c>
      <c r="O140" s="12"/>
      <c r="P140" s="7">
        <v>218387.24</v>
      </c>
      <c r="Q140" s="3"/>
      <c r="R140" s="8">
        <f t="shared" si="32"/>
        <v>1.179537990664245E-2</v>
      </c>
      <c r="S140" s="3"/>
      <c r="T140" s="7">
        <v>200295</v>
      </c>
      <c r="U140" s="3"/>
      <c r="V140" s="8">
        <f t="shared" si="33"/>
        <v>1.0597937546482878E-2</v>
      </c>
      <c r="W140" s="3"/>
      <c r="X140" s="7">
        <f t="shared" si="34"/>
        <v>18092.239999999991</v>
      </c>
      <c r="Y140" s="3"/>
      <c r="Z140" s="8">
        <f t="shared" si="35"/>
        <v>9.0327966249781524E-2</v>
      </c>
    </row>
    <row r="141" spans="1:26" s="70" customFormat="1" ht="15" hidden="1" customHeight="1" outlineLevel="2" x14ac:dyDescent="0.3">
      <c r="A141" s="26"/>
      <c r="B141" s="12" t="str">
        <f>CONCATENATE("          ","6286"," - ","LAUNDRY EXPENSE")</f>
        <v xml:space="preserve">          6286 - LAUNDRY EXPENSE</v>
      </c>
      <c r="C141" s="12"/>
      <c r="D141" s="7">
        <v>4871.51</v>
      </c>
      <c r="E141" s="3"/>
      <c r="F141" s="8">
        <f t="shared" si="28"/>
        <v>1.6984808876001978E-3</v>
      </c>
      <c r="G141" s="3"/>
      <c r="H141" s="7">
        <v>5354</v>
      </c>
      <c r="I141" s="3"/>
      <c r="J141" s="8">
        <f t="shared" si="29"/>
        <v>2.5949993190186697E-3</v>
      </c>
      <c r="K141" s="3"/>
      <c r="L141" s="7">
        <f t="shared" si="30"/>
        <v>-482.48999999999978</v>
      </c>
      <c r="M141" s="3"/>
      <c r="N141" s="8">
        <f t="shared" si="31"/>
        <v>-9.0117669032499029E-2</v>
      </c>
      <c r="O141" s="12"/>
      <c r="P141" s="7">
        <v>28694.48</v>
      </c>
      <c r="Q141" s="3"/>
      <c r="R141" s="8">
        <f t="shared" si="32"/>
        <v>1.5498263214625252E-3</v>
      </c>
      <c r="S141" s="3"/>
      <c r="T141" s="7">
        <v>47072</v>
      </c>
      <c r="U141" s="3"/>
      <c r="V141" s="8">
        <f t="shared" si="33"/>
        <v>2.490656862068659E-3</v>
      </c>
      <c r="W141" s="3"/>
      <c r="X141" s="7">
        <f t="shared" si="34"/>
        <v>-18377.52</v>
      </c>
      <c r="Y141" s="3"/>
      <c r="Z141" s="8">
        <f t="shared" si="35"/>
        <v>-0.39041298436437799</v>
      </c>
    </row>
    <row r="142" spans="1:26" s="69" customFormat="1" ht="15" customHeight="1" outlineLevel="1" collapsed="1" x14ac:dyDescent="0.3">
      <c r="A142" s="25"/>
      <c r="B142" s="14" t="str">
        <f>CONCATENATE("     ","Subscriptions &amp; Dues                              ")</f>
        <v xml:space="preserve">     Subscriptions &amp; Dues                              </v>
      </c>
      <c r="C142" s="14"/>
      <c r="D142" s="2">
        <f>SUM(OSRRefD22_21x_0)</f>
        <v>1298.4699999999998</v>
      </c>
      <c r="E142" s="2"/>
      <c r="F142" s="6">
        <f t="shared" si="28"/>
        <v>4.5271927556799196E-4</v>
      </c>
      <c r="G142" s="2"/>
      <c r="H142" s="2">
        <f>SUM(OSRRefH22_21x_0)</f>
        <v>1176</v>
      </c>
      <c r="I142" s="2"/>
      <c r="J142" s="6">
        <f t="shared" si="29"/>
        <v>5.6998864384870287E-4</v>
      </c>
      <c r="K142" s="2"/>
      <c r="L142" s="2">
        <f t="shared" si="30"/>
        <v>122.4699999999998</v>
      </c>
      <c r="M142" s="2"/>
      <c r="N142" s="6">
        <f t="shared" si="31"/>
        <v>0.10414115646258486</v>
      </c>
      <c r="O142" s="14"/>
      <c r="P142" s="2">
        <f>SUM(OSRRefP22_21x_0)</f>
        <v>8324.5499999999993</v>
      </c>
      <c r="Q142" s="2"/>
      <c r="R142" s="6">
        <f t="shared" si="32"/>
        <v>4.4961981204506455E-4</v>
      </c>
      <c r="S142" s="2"/>
      <c r="T142" s="2">
        <f>SUM(OSRRefT22_21x_0)</f>
        <v>17764</v>
      </c>
      <c r="U142" s="2"/>
      <c r="V142" s="6">
        <f t="shared" si="33"/>
        <v>9.3992242729834421E-4</v>
      </c>
      <c r="W142" s="2"/>
      <c r="X142" s="2">
        <f t="shared" si="34"/>
        <v>-9439.4500000000007</v>
      </c>
      <c r="Y142" s="2"/>
      <c r="Z142" s="6">
        <f t="shared" si="35"/>
        <v>-0.53138088268408024</v>
      </c>
    </row>
    <row r="143" spans="1:26" s="70" customFormat="1" ht="15" hidden="1" customHeight="1" outlineLevel="2" x14ac:dyDescent="0.3">
      <c r="A143" s="26"/>
      <c r="B143" s="12" t="str">
        <f>CONCATENATE("          ","6258"," - ","MEMBERSHIP DUES")</f>
        <v xml:space="preserve">          6258 - MEMBERSHIP DUES</v>
      </c>
      <c r="C143" s="12"/>
      <c r="D143" s="7">
        <v>606.92999999999995</v>
      </c>
      <c r="E143" s="3"/>
      <c r="F143" s="8">
        <f t="shared" si="28"/>
        <v>2.116097483349491E-4</v>
      </c>
      <c r="G143" s="3"/>
      <c r="H143" s="7">
        <v>385</v>
      </c>
      <c r="I143" s="3"/>
      <c r="J143" s="8">
        <f t="shared" si="29"/>
        <v>1.8660342506951583E-4</v>
      </c>
      <c r="K143" s="3"/>
      <c r="L143" s="7">
        <f t="shared" si="30"/>
        <v>221.92999999999995</v>
      </c>
      <c r="M143" s="3"/>
      <c r="N143" s="8">
        <f t="shared" si="31"/>
        <v>0.57644155844155831</v>
      </c>
      <c r="O143" s="12"/>
      <c r="P143" s="7">
        <v>2477.65</v>
      </c>
      <c r="Q143" s="3"/>
      <c r="R143" s="8">
        <f t="shared" si="32"/>
        <v>1.3382111072832216E-4</v>
      </c>
      <c r="S143" s="3"/>
      <c r="T143" s="7">
        <v>9655</v>
      </c>
      <c r="U143" s="3"/>
      <c r="V143" s="8">
        <f t="shared" si="33"/>
        <v>5.1086191373370376E-4</v>
      </c>
      <c r="W143" s="3"/>
      <c r="X143" s="7">
        <f t="shared" si="34"/>
        <v>-7177.35</v>
      </c>
      <c r="Y143" s="3"/>
      <c r="Z143" s="8">
        <f t="shared" si="35"/>
        <v>-0.7433816675297773</v>
      </c>
    </row>
    <row r="144" spans="1:26" s="70" customFormat="1" ht="15" hidden="1" customHeight="1" outlineLevel="2" x14ac:dyDescent="0.3">
      <c r="A144" s="26"/>
      <c r="B144" s="12" t="str">
        <f>CONCATENATE("          ","6275"," - ","SUBSCRIPTIONS")</f>
        <v xml:space="preserve">          6275 - SUBSCRIPTIONS</v>
      </c>
      <c r="C144" s="12"/>
      <c r="D144" s="7">
        <v>691.54</v>
      </c>
      <c r="E144" s="3"/>
      <c r="F144" s="8">
        <f t="shared" si="28"/>
        <v>2.4110952723304288E-4</v>
      </c>
      <c r="G144" s="3"/>
      <c r="H144" s="7">
        <v>791</v>
      </c>
      <c r="I144" s="3"/>
      <c r="J144" s="8">
        <f t="shared" si="29"/>
        <v>3.8338521877918707E-4</v>
      </c>
      <c r="K144" s="3"/>
      <c r="L144" s="7">
        <f t="shared" si="30"/>
        <v>-99.460000000000036</v>
      </c>
      <c r="M144" s="3"/>
      <c r="N144" s="8">
        <f t="shared" si="31"/>
        <v>-0.12573957016434897</v>
      </c>
      <c r="O144" s="12"/>
      <c r="P144" s="7">
        <v>5846.9</v>
      </c>
      <c r="Q144" s="3"/>
      <c r="R144" s="8">
        <f t="shared" si="32"/>
        <v>3.1579870131674237E-4</v>
      </c>
      <c r="S144" s="3"/>
      <c r="T144" s="7">
        <v>8109</v>
      </c>
      <c r="U144" s="3"/>
      <c r="V144" s="8">
        <f t="shared" si="33"/>
        <v>4.2906051356464046E-4</v>
      </c>
      <c r="W144" s="3"/>
      <c r="X144" s="7">
        <f t="shared" si="34"/>
        <v>-2262.1000000000004</v>
      </c>
      <c r="Y144" s="3"/>
      <c r="Z144" s="8">
        <f t="shared" si="35"/>
        <v>-0.27896164755210262</v>
      </c>
    </row>
    <row r="145" spans="1:26" s="69" customFormat="1" ht="15" customHeight="1" outlineLevel="1" collapsed="1" x14ac:dyDescent="0.3">
      <c r="A145" s="25"/>
      <c r="B145" s="14" t="str">
        <f>CONCATENATE("     ","Supplies                                          ")</f>
        <v xml:space="preserve">     Supplies                                          </v>
      </c>
      <c r="C145" s="14"/>
      <c r="D145" s="2">
        <f>SUM(OSRRefD22_22x_0)</f>
        <v>47472.570000000007</v>
      </c>
      <c r="E145" s="2"/>
      <c r="F145" s="6">
        <f t="shared" si="28"/>
        <v>1.6551593413595071E-2</v>
      </c>
      <c r="G145" s="2"/>
      <c r="H145" s="2">
        <f>SUM(OSRRefH22_22x_0)</f>
        <v>45615</v>
      </c>
      <c r="I145" s="2"/>
      <c r="J145" s="6">
        <f t="shared" si="29"/>
        <v>2.2108870739080428E-2</v>
      </c>
      <c r="K145" s="2"/>
      <c r="L145" s="2">
        <f t="shared" si="30"/>
        <v>1857.570000000007</v>
      </c>
      <c r="M145" s="2"/>
      <c r="N145" s="6">
        <f t="shared" si="31"/>
        <v>4.0722788556396078E-2</v>
      </c>
      <c r="O145" s="14"/>
      <c r="P145" s="2">
        <f>SUM(OSRRefP22_22x_0)</f>
        <v>422416.46</v>
      </c>
      <c r="Q145" s="2"/>
      <c r="R145" s="6">
        <f t="shared" si="32"/>
        <v>2.2815264410681844E-2</v>
      </c>
      <c r="S145" s="2"/>
      <c r="T145" s="2">
        <f>SUM(OSRRefT22_22x_0)</f>
        <v>472313</v>
      </c>
      <c r="U145" s="2"/>
      <c r="V145" s="6">
        <f t="shared" si="33"/>
        <v>2.4990856868079423E-2</v>
      </c>
      <c r="W145" s="2"/>
      <c r="X145" s="2">
        <f t="shared" si="34"/>
        <v>-49896.539999999979</v>
      </c>
      <c r="Y145" s="2"/>
      <c r="Z145" s="6">
        <f t="shared" si="35"/>
        <v>-0.10564295287235367</v>
      </c>
    </row>
    <row r="146" spans="1:26" s="70" customFormat="1" ht="15" hidden="1" customHeight="1" outlineLevel="2" x14ac:dyDescent="0.3">
      <c r="A146" s="26"/>
      <c r="B146" s="12" t="str">
        <f>CONCATENATE("          ","6234"," - ","EXPENDABLE SUPPLIES &amp; EQUIPMEN")</f>
        <v xml:space="preserve">          6234 - EXPENDABLE SUPPLIES &amp; EQUIPMEN</v>
      </c>
      <c r="C146" s="12"/>
      <c r="D146" s="7">
        <v>108.73</v>
      </c>
      <c r="E146" s="3"/>
      <c r="F146" s="8">
        <f t="shared" si="28"/>
        <v>3.7909360118068015E-5</v>
      </c>
      <c r="G146" s="3"/>
      <c r="H146" s="7">
        <v>6492</v>
      </c>
      <c r="I146" s="3"/>
      <c r="J146" s="8">
        <f t="shared" si="29"/>
        <v>3.1465699624709008E-3</v>
      </c>
      <c r="K146" s="3"/>
      <c r="L146" s="7">
        <f t="shared" si="30"/>
        <v>-6383.27</v>
      </c>
      <c r="M146" s="3"/>
      <c r="N146" s="8">
        <f t="shared" si="31"/>
        <v>-0.98325169439309923</v>
      </c>
      <c r="O146" s="12"/>
      <c r="P146" s="7">
        <v>6987.94</v>
      </c>
      <c r="Q146" s="3"/>
      <c r="R146" s="8">
        <f t="shared" si="32"/>
        <v>3.774277611861528E-4</v>
      </c>
      <c r="S146" s="3"/>
      <c r="T146" s="7">
        <v>58078</v>
      </c>
      <c r="U146" s="3"/>
      <c r="V146" s="8">
        <f t="shared" si="33"/>
        <v>3.07300240557494E-3</v>
      </c>
      <c r="W146" s="3"/>
      <c r="X146" s="7">
        <f t="shared" si="34"/>
        <v>-51090.06</v>
      </c>
      <c r="Y146" s="3"/>
      <c r="Z146" s="8">
        <f t="shared" si="35"/>
        <v>-0.87968008540238984</v>
      </c>
    </row>
    <row r="147" spans="1:26" s="70" customFormat="1" ht="15" hidden="1" customHeight="1" outlineLevel="2" x14ac:dyDescent="0.3">
      <c r="A147" s="26"/>
      <c r="B147" s="12" t="str">
        <f>CONCATENATE("          ","6235"," - ","COVID-19 EXPENSES")</f>
        <v xml:space="preserve">          6235 - COVID-19 EXPENSES</v>
      </c>
      <c r="C147" s="12"/>
      <c r="D147" s="7">
        <v>178.61</v>
      </c>
      <c r="E147" s="3"/>
      <c r="F147" s="8">
        <f t="shared" si="28"/>
        <v>6.2273437052222272E-5</v>
      </c>
      <c r="G147" s="3"/>
      <c r="H147" s="7">
        <v>375</v>
      </c>
      <c r="I147" s="3"/>
      <c r="J147" s="8">
        <f t="shared" si="29"/>
        <v>1.8175658285991803E-4</v>
      </c>
      <c r="K147" s="3"/>
      <c r="L147" s="7">
        <f t="shared" si="30"/>
        <v>-196.39</v>
      </c>
      <c r="M147" s="3"/>
      <c r="N147" s="8">
        <f t="shared" si="31"/>
        <v>-0.52370666666666665</v>
      </c>
      <c r="O147" s="12"/>
      <c r="P147" s="7">
        <v>4279.6099999999997</v>
      </c>
      <c r="Q147" s="3"/>
      <c r="R147" s="8">
        <f t="shared" si="32"/>
        <v>2.3114732253709554E-4</v>
      </c>
      <c r="S147" s="3"/>
      <c r="T147" s="7">
        <v>3625</v>
      </c>
      <c r="U147" s="3"/>
      <c r="V147" s="8">
        <f t="shared" si="33"/>
        <v>1.9180470608852159E-4</v>
      </c>
      <c r="W147" s="3"/>
      <c r="X147" s="7">
        <f t="shared" si="34"/>
        <v>654.60999999999967</v>
      </c>
      <c r="Y147" s="3"/>
      <c r="Z147" s="8">
        <f t="shared" si="35"/>
        <v>0.18058206896551715</v>
      </c>
    </row>
    <row r="148" spans="1:26" s="70" customFormat="1" ht="15" hidden="1" customHeight="1" outlineLevel="2" x14ac:dyDescent="0.3">
      <c r="A148" s="26"/>
      <c r="B148" s="12" t="str">
        <f>CONCATENATE("          ","6237"," - ","JANITORIAL SUPPLIES")</f>
        <v xml:space="preserve">          6237 - JANITORIAL SUPPLIES</v>
      </c>
      <c r="C148" s="12"/>
      <c r="D148" s="7">
        <v>6730.1</v>
      </c>
      <c r="E148" s="3"/>
      <c r="F148" s="8">
        <f t="shared" si="28"/>
        <v>2.3464893270542585E-3</v>
      </c>
      <c r="G148" s="3"/>
      <c r="H148" s="7">
        <v>9985</v>
      </c>
      <c r="I148" s="3"/>
      <c r="J148" s="8">
        <f t="shared" si="29"/>
        <v>4.8395719462834171E-3</v>
      </c>
      <c r="K148" s="3"/>
      <c r="L148" s="7">
        <f t="shared" si="30"/>
        <v>-3254.8999999999996</v>
      </c>
      <c r="M148" s="3"/>
      <c r="N148" s="8">
        <f t="shared" si="31"/>
        <v>-0.32597896845267899</v>
      </c>
      <c r="O148" s="12"/>
      <c r="P148" s="7">
        <v>61498.27</v>
      </c>
      <c r="Q148" s="3"/>
      <c r="R148" s="8">
        <f t="shared" si="32"/>
        <v>3.3216018401591237E-3</v>
      </c>
      <c r="S148" s="3"/>
      <c r="T148" s="7">
        <v>94623</v>
      </c>
      <c r="U148" s="3"/>
      <c r="V148" s="8">
        <f t="shared" si="33"/>
        <v>5.0066584011625326E-3</v>
      </c>
      <c r="W148" s="3"/>
      <c r="X148" s="7">
        <f t="shared" si="34"/>
        <v>-33124.730000000003</v>
      </c>
      <c r="Y148" s="3"/>
      <c r="Z148" s="8">
        <f t="shared" si="35"/>
        <v>-0.35007059594390372</v>
      </c>
    </row>
    <row r="149" spans="1:26" s="70" customFormat="1" ht="15" hidden="1" customHeight="1" outlineLevel="2" x14ac:dyDescent="0.3">
      <c r="A149" s="26"/>
      <c r="B149" s="12" t="str">
        <f>CONCATENATE("          ","6239"," - ","KITCHEN SUPPLIES")</f>
        <v xml:space="preserve">          6239 - KITCHEN SUPPLIES</v>
      </c>
      <c r="C149" s="12"/>
      <c r="D149" s="7">
        <v>3919.57</v>
      </c>
      <c r="E149" s="3"/>
      <c r="F149" s="8">
        <f t="shared" si="28"/>
        <v>1.3665813541614627E-3</v>
      </c>
      <c r="G149" s="3"/>
      <c r="H149" s="7">
        <v>3300</v>
      </c>
      <c r="I149" s="3"/>
      <c r="J149" s="8">
        <f t="shared" si="29"/>
        <v>1.5994579291672786E-3</v>
      </c>
      <c r="K149" s="3"/>
      <c r="L149" s="7">
        <f t="shared" si="30"/>
        <v>619.57000000000016</v>
      </c>
      <c r="M149" s="3"/>
      <c r="N149" s="8">
        <f t="shared" si="31"/>
        <v>0.18774848484848489</v>
      </c>
      <c r="O149" s="12"/>
      <c r="P149" s="7">
        <v>36518.870000000003</v>
      </c>
      <c r="Q149" s="3"/>
      <c r="R149" s="8">
        <f t="shared" si="32"/>
        <v>1.972431839018103E-3</v>
      </c>
      <c r="S149" s="3"/>
      <c r="T149" s="7">
        <v>44149</v>
      </c>
      <c r="U149" s="3"/>
      <c r="V149" s="8">
        <f t="shared" si="33"/>
        <v>2.3359961294074868E-3</v>
      </c>
      <c r="W149" s="3"/>
      <c r="X149" s="7">
        <f t="shared" si="34"/>
        <v>-7630.1299999999974</v>
      </c>
      <c r="Y149" s="3"/>
      <c r="Z149" s="8">
        <f t="shared" si="35"/>
        <v>-0.17282679109379595</v>
      </c>
    </row>
    <row r="150" spans="1:26" s="70" customFormat="1" ht="15" hidden="1" customHeight="1" outlineLevel="2" x14ac:dyDescent="0.3">
      <c r="A150" s="26"/>
      <c r="B150" s="12" t="str">
        <f>CONCATENATE("          ","6241"," - ","OFFICE EXPENSE")</f>
        <v xml:space="preserve">          6241 - OFFICE EXPENSE</v>
      </c>
      <c r="C150" s="12"/>
      <c r="D150" s="7">
        <v>12979.06</v>
      </c>
      <c r="E150" s="3"/>
      <c r="F150" s="8">
        <f t="shared" si="28"/>
        <v>4.5252263361906719E-3</v>
      </c>
      <c r="G150" s="3"/>
      <c r="H150" s="7">
        <v>2075</v>
      </c>
      <c r="I150" s="3"/>
      <c r="J150" s="8">
        <f t="shared" si="29"/>
        <v>1.0057197584915465E-3</v>
      </c>
      <c r="K150" s="3"/>
      <c r="L150" s="7">
        <f t="shared" si="30"/>
        <v>10904.06</v>
      </c>
      <c r="M150" s="3"/>
      <c r="N150" s="8">
        <f t="shared" si="31"/>
        <v>5.2549686746987954</v>
      </c>
      <c r="O150" s="12"/>
      <c r="P150" s="7">
        <v>69703.850000000006</v>
      </c>
      <c r="Q150" s="3"/>
      <c r="R150" s="8">
        <f t="shared" si="32"/>
        <v>3.7647959272053598E-3</v>
      </c>
      <c r="S150" s="3"/>
      <c r="T150" s="7">
        <v>22652</v>
      </c>
      <c r="U150" s="3"/>
      <c r="V150" s="8">
        <f t="shared" si="33"/>
        <v>1.1985545385702597E-3</v>
      </c>
      <c r="W150" s="3"/>
      <c r="X150" s="7">
        <f t="shared" si="34"/>
        <v>47051.850000000006</v>
      </c>
      <c r="Y150" s="3"/>
      <c r="Z150" s="8">
        <f t="shared" si="35"/>
        <v>2.0771609570898821</v>
      </c>
    </row>
    <row r="151" spans="1:26" s="70" customFormat="1" ht="15" hidden="1" customHeight="1" outlineLevel="2" x14ac:dyDescent="0.3">
      <c r="A151" s="26"/>
      <c r="B151" s="12" t="str">
        <f>CONCATENATE("          ","6243"," - ","PAPER SUPPLIES")</f>
        <v xml:space="preserve">          6243 - PAPER SUPPLIES</v>
      </c>
      <c r="C151" s="12"/>
      <c r="D151" s="7">
        <v>13329.54</v>
      </c>
      <c r="E151" s="3"/>
      <c r="F151" s="8">
        <f t="shared" si="28"/>
        <v>4.6474232692742786E-3</v>
      </c>
      <c r="G151" s="3"/>
      <c r="H151" s="7">
        <v>14250</v>
      </c>
      <c r="I151" s="3"/>
      <c r="J151" s="8">
        <f t="shared" si="29"/>
        <v>6.9067501486768847E-3</v>
      </c>
      <c r="K151" s="3"/>
      <c r="L151" s="7">
        <f t="shared" si="30"/>
        <v>-920.45999999999913</v>
      </c>
      <c r="M151" s="3"/>
      <c r="N151" s="8">
        <f t="shared" si="31"/>
        <v>-6.4593684210526248E-2</v>
      </c>
      <c r="O151" s="12"/>
      <c r="P151" s="7">
        <v>172309.33</v>
      </c>
      <c r="Q151" s="3"/>
      <c r="R151" s="8">
        <f t="shared" si="32"/>
        <v>9.3066518392238614E-3</v>
      </c>
      <c r="S151" s="3"/>
      <c r="T151" s="7">
        <v>156483</v>
      </c>
      <c r="U151" s="3"/>
      <c r="V151" s="8">
        <f t="shared" si="33"/>
        <v>8.2797726407862413E-3</v>
      </c>
      <c r="W151" s="3"/>
      <c r="X151" s="7">
        <f t="shared" si="34"/>
        <v>15826.329999999987</v>
      </c>
      <c r="Y151" s="3"/>
      <c r="Z151" s="8">
        <f t="shared" si="35"/>
        <v>0.10113769546851727</v>
      </c>
    </row>
    <row r="152" spans="1:26" s="70" customFormat="1" ht="15" hidden="1" customHeight="1" outlineLevel="2" x14ac:dyDescent="0.3">
      <c r="A152" s="26"/>
      <c r="B152" s="12" t="str">
        <f>CONCATENATE("          ","6244"," - ","SAFETY SUPPLY EXPENSE")</f>
        <v xml:space="preserve">          6244 - SAFETY SUPPLY EXPENSE</v>
      </c>
      <c r="C152" s="12"/>
      <c r="D152" s="7"/>
      <c r="E152" s="3"/>
      <c r="F152" s="8">
        <f t="shared" si="28"/>
        <v>0</v>
      </c>
      <c r="G152" s="3"/>
      <c r="H152" s="7">
        <v>525</v>
      </c>
      <c r="I152" s="3"/>
      <c r="J152" s="8">
        <f t="shared" si="29"/>
        <v>2.5445921600388525E-4</v>
      </c>
      <c r="K152" s="3"/>
      <c r="L152" s="7">
        <f t="shared" si="30"/>
        <v>-525</v>
      </c>
      <c r="M152" s="3"/>
      <c r="N152" s="8">
        <f t="shared" si="31"/>
        <v>-1</v>
      </c>
      <c r="O152" s="12"/>
      <c r="P152" s="7"/>
      <c r="Q152" s="3"/>
      <c r="R152" s="8">
        <f t="shared" si="32"/>
        <v>0</v>
      </c>
      <c r="S152" s="3"/>
      <c r="T152" s="7">
        <v>4825</v>
      </c>
      <c r="U152" s="3"/>
      <c r="V152" s="8">
        <f t="shared" si="33"/>
        <v>2.552986777592046E-4</v>
      </c>
      <c r="W152" s="3"/>
      <c r="X152" s="7">
        <f t="shared" si="34"/>
        <v>-4825</v>
      </c>
      <c r="Y152" s="3"/>
      <c r="Z152" s="8">
        <f t="shared" si="35"/>
        <v>-1</v>
      </c>
    </row>
    <row r="153" spans="1:26" s="70" customFormat="1" ht="15" hidden="1" customHeight="1" outlineLevel="2" x14ac:dyDescent="0.3">
      <c r="A153" s="26"/>
      <c r="B153" s="12" t="str">
        <f>CONCATENATE("          ","6245"," - ","PRINTING")</f>
        <v xml:space="preserve">          6245 - PRINTING</v>
      </c>
      <c r="C153" s="12"/>
      <c r="D153" s="7">
        <v>3682</v>
      </c>
      <c r="E153" s="3"/>
      <c r="F153" s="8">
        <f t="shared" si="28"/>
        <v>1.2837511630159699E-3</v>
      </c>
      <c r="G153" s="3"/>
      <c r="H153" s="7">
        <v>600</v>
      </c>
      <c r="I153" s="3"/>
      <c r="J153" s="8">
        <f t="shared" si="29"/>
        <v>2.9081053257586884E-4</v>
      </c>
      <c r="K153" s="3"/>
      <c r="L153" s="7">
        <f t="shared" si="30"/>
        <v>3082</v>
      </c>
      <c r="M153" s="3"/>
      <c r="N153" s="8">
        <f t="shared" si="31"/>
        <v>5.1366666666666667</v>
      </c>
      <c r="O153" s="12"/>
      <c r="P153" s="7">
        <v>8057.52</v>
      </c>
      <c r="Q153" s="3"/>
      <c r="R153" s="8">
        <f t="shared" si="32"/>
        <v>4.3519717317444772E-4</v>
      </c>
      <c r="S153" s="3"/>
      <c r="T153" s="7">
        <v>9695</v>
      </c>
      <c r="U153" s="3"/>
      <c r="V153" s="8">
        <f t="shared" si="33"/>
        <v>5.1297837945605987E-4</v>
      </c>
      <c r="W153" s="3"/>
      <c r="X153" s="7">
        <f t="shared" si="34"/>
        <v>-1637.4799999999996</v>
      </c>
      <c r="Y153" s="3"/>
      <c r="Z153" s="8">
        <f t="shared" si="35"/>
        <v>-0.16889943269726659</v>
      </c>
    </row>
    <row r="154" spans="1:26" s="70" customFormat="1" ht="15" hidden="1" customHeight="1" outlineLevel="2" x14ac:dyDescent="0.3">
      <c r="A154" s="26"/>
      <c r="B154" s="12" t="str">
        <f>CONCATENATE("          ","6247"," - ","STORE SUPPLIES")</f>
        <v xml:space="preserve">          6247 - STORE SUPPLIES</v>
      </c>
      <c r="C154" s="12"/>
      <c r="D154" s="7">
        <v>4947.3</v>
      </c>
      <c r="E154" s="3"/>
      <c r="F154" s="8">
        <f t="shared" si="28"/>
        <v>1.7249055211268085E-3</v>
      </c>
      <c r="G154" s="3"/>
      <c r="H154" s="7">
        <v>7425</v>
      </c>
      <c r="I154" s="3"/>
      <c r="J154" s="8">
        <f t="shared" si="29"/>
        <v>3.5987803406263767E-3</v>
      </c>
      <c r="K154" s="3"/>
      <c r="L154" s="7">
        <f t="shared" si="30"/>
        <v>-2477.6999999999998</v>
      </c>
      <c r="M154" s="3"/>
      <c r="N154" s="8">
        <f t="shared" si="31"/>
        <v>-0.33369696969696966</v>
      </c>
      <c r="O154" s="12"/>
      <c r="P154" s="7">
        <v>53727.68</v>
      </c>
      <c r="Q154" s="3"/>
      <c r="R154" s="8">
        <f t="shared" si="32"/>
        <v>2.901902130831982E-3</v>
      </c>
      <c r="S154" s="3"/>
      <c r="T154" s="7">
        <v>69041</v>
      </c>
      <c r="U154" s="3"/>
      <c r="V154" s="8">
        <f t="shared" si="33"/>
        <v>3.6530727484296883E-3</v>
      </c>
      <c r="W154" s="3"/>
      <c r="X154" s="7">
        <f t="shared" si="34"/>
        <v>-15313.32</v>
      </c>
      <c r="Y154" s="3"/>
      <c r="Z154" s="8">
        <f t="shared" si="35"/>
        <v>-0.22180037948465403</v>
      </c>
    </row>
    <row r="155" spans="1:26" s="70" customFormat="1" ht="15" hidden="1" customHeight="1" outlineLevel="2" x14ac:dyDescent="0.3">
      <c r="A155" s="26"/>
      <c r="B155" s="12" t="str">
        <f>CONCATENATE("          ","6248"," - ","UNIFORMS")</f>
        <v xml:space="preserve">          6248 - UNIFORMS</v>
      </c>
      <c r="C155" s="12"/>
      <c r="D155" s="7">
        <v>1597.66</v>
      </c>
      <c r="E155" s="3"/>
      <c r="F155" s="8">
        <f t="shared" si="28"/>
        <v>5.5703364560132941E-4</v>
      </c>
      <c r="G155" s="3"/>
      <c r="H155" s="7">
        <v>588</v>
      </c>
      <c r="I155" s="3"/>
      <c r="J155" s="8">
        <f t="shared" si="29"/>
        <v>2.8499432192435144E-4</v>
      </c>
      <c r="K155" s="3"/>
      <c r="L155" s="7">
        <f t="shared" si="30"/>
        <v>1009.6600000000001</v>
      </c>
      <c r="M155" s="3"/>
      <c r="N155" s="8">
        <f t="shared" si="31"/>
        <v>1.7171088435374151</v>
      </c>
      <c r="O155" s="12"/>
      <c r="P155" s="7">
        <v>9333.39</v>
      </c>
      <c r="Q155" s="3"/>
      <c r="R155" s="8">
        <f t="shared" si="32"/>
        <v>5.0410857734571656E-4</v>
      </c>
      <c r="S155" s="3"/>
      <c r="T155" s="7">
        <v>9142</v>
      </c>
      <c r="U155" s="3"/>
      <c r="V155" s="8">
        <f t="shared" si="33"/>
        <v>4.8371824084448678E-4</v>
      </c>
      <c r="W155" s="3"/>
      <c r="X155" s="7">
        <f t="shared" si="34"/>
        <v>191.38999999999942</v>
      </c>
      <c r="Y155" s="3"/>
      <c r="Z155" s="8">
        <f t="shared" si="35"/>
        <v>2.0935243929118292E-2</v>
      </c>
    </row>
    <row r="156" spans="1:26" s="69" customFormat="1" ht="15" customHeight="1" outlineLevel="1" collapsed="1" x14ac:dyDescent="0.3">
      <c r="A156" s="25"/>
      <c r="B156" s="14" t="str">
        <f>CONCATENATE("     ","Telephone/Data Lines                              ")</f>
        <v xml:space="preserve">     Telephone/Data Lines                              </v>
      </c>
      <c r="C156" s="14"/>
      <c r="D156" s="2">
        <f>SUM(OSRRefD22_23x_0)</f>
        <v>3557.8</v>
      </c>
      <c r="E156" s="2"/>
      <c r="F156" s="6">
        <f t="shared" si="28"/>
        <v>1.2404480955399832E-3</v>
      </c>
      <c r="G156" s="2"/>
      <c r="H156" s="2">
        <f>SUM(OSRRefH22_23x_0)</f>
        <v>3549</v>
      </c>
      <c r="I156" s="2"/>
      <c r="J156" s="6">
        <f t="shared" si="29"/>
        <v>1.7201443001862641E-3</v>
      </c>
      <c r="K156" s="2"/>
      <c r="L156" s="2">
        <f t="shared" si="30"/>
        <v>8.8000000000001819</v>
      </c>
      <c r="M156" s="2"/>
      <c r="N156" s="6">
        <f t="shared" si="31"/>
        <v>2.4795717103409925E-3</v>
      </c>
      <c r="O156" s="14"/>
      <c r="P156" s="2">
        <f>SUM(OSRRefP22_23x_0)</f>
        <v>32085.8</v>
      </c>
      <c r="Q156" s="2"/>
      <c r="R156" s="6">
        <f t="shared" si="32"/>
        <v>1.7329959415602683E-3</v>
      </c>
      <c r="S156" s="2"/>
      <c r="T156" s="2">
        <f>SUM(OSRRefT22_23x_0)</f>
        <v>32991</v>
      </c>
      <c r="U156" s="2"/>
      <c r="V156" s="6">
        <f t="shared" si="33"/>
        <v>1.7456080161562528E-3</v>
      </c>
      <c r="W156" s="2"/>
      <c r="X156" s="2">
        <f t="shared" si="34"/>
        <v>-905.20000000000073</v>
      </c>
      <c r="Y156" s="2"/>
      <c r="Z156" s="6">
        <f t="shared" si="35"/>
        <v>-2.7437786062865652E-2</v>
      </c>
    </row>
    <row r="157" spans="1:26" s="70" customFormat="1" ht="15" hidden="1" customHeight="1" outlineLevel="2" x14ac:dyDescent="0.3">
      <c r="A157" s="26"/>
      <c r="B157" s="12" t="str">
        <f>CONCATENATE("          ","6303"," - ","DATA PHONE LINES")</f>
        <v xml:space="preserve">          6303 - DATA PHONE LINES</v>
      </c>
      <c r="C157" s="12"/>
      <c r="D157" s="7"/>
      <c r="E157" s="3"/>
      <c r="F157" s="8">
        <f t="shared" si="28"/>
        <v>0</v>
      </c>
      <c r="G157" s="3"/>
      <c r="H157" s="7">
        <v>243</v>
      </c>
      <c r="I157" s="3"/>
      <c r="J157" s="8">
        <f t="shared" si="29"/>
        <v>1.1777826569322688E-4</v>
      </c>
      <c r="K157" s="3"/>
      <c r="L157" s="7">
        <f t="shared" si="30"/>
        <v>-243</v>
      </c>
      <c r="M157" s="3"/>
      <c r="N157" s="8">
        <f t="shared" si="31"/>
        <v>-1</v>
      </c>
      <c r="O157" s="12"/>
      <c r="P157" s="7">
        <v>295</v>
      </c>
      <c r="Q157" s="3"/>
      <c r="R157" s="8">
        <f t="shared" si="32"/>
        <v>1.5933335081571263E-5</v>
      </c>
      <c r="S157" s="3"/>
      <c r="T157" s="7">
        <v>2187</v>
      </c>
      <c r="U157" s="3"/>
      <c r="V157" s="8">
        <f t="shared" si="33"/>
        <v>1.1571776336981979E-4</v>
      </c>
      <c r="W157" s="3"/>
      <c r="X157" s="7">
        <f t="shared" si="34"/>
        <v>-1892</v>
      </c>
      <c r="Y157" s="3"/>
      <c r="Z157" s="8">
        <f t="shared" si="35"/>
        <v>-0.86511202560585276</v>
      </c>
    </row>
    <row r="158" spans="1:26" s="70" customFormat="1" ht="15" hidden="1" customHeight="1" outlineLevel="2" x14ac:dyDescent="0.3">
      <c r="A158" s="26"/>
      <c r="B158" s="12" t="str">
        <f>CONCATENATE("          ","6309"," - ","TELEPHONE")</f>
        <v xml:space="preserve">          6309 - TELEPHONE</v>
      </c>
      <c r="C158" s="12"/>
      <c r="D158" s="7">
        <v>3557.8</v>
      </c>
      <c r="E158" s="3"/>
      <c r="F158" s="8">
        <f t="shared" si="28"/>
        <v>1.2404480955399832E-3</v>
      </c>
      <c r="G158" s="3"/>
      <c r="H158" s="7">
        <v>3306</v>
      </c>
      <c r="I158" s="3"/>
      <c r="J158" s="8">
        <f t="shared" si="29"/>
        <v>1.6023660344930374E-3</v>
      </c>
      <c r="K158" s="3"/>
      <c r="L158" s="7">
        <f t="shared" si="30"/>
        <v>251.80000000000018</v>
      </c>
      <c r="M158" s="3"/>
      <c r="N158" s="8">
        <f t="shared" si="31"/>
        <v>7.6164549304295281E-2</v>
      </c>
      <c r="O158" s="12"/>
      <c r="P158" s="7">
        <v>31790.799999999999</v>
      </c>
      <c r="Q158" s="3"/>
      <c r="R158" s="8">
        <f t="shared" si="32"/>
        <v>1.7170626064786972E-3</v>
      </c>
      <c r="S158" s="3"/>
      <c r="T158" s="7">
        <v>30804</v>
      </c>
      <c r="U158" s="3"/>
      <c r="V158" s="8">
        <f t="shared" si="33"/>
        <v>1.629890252786433E-3</v>
      </c>
      <c r="W158" s="3"/>
      <c r="X158" s="7">
        <f t="shared" si="34"/>
        <v>986.79999999999927</v>
      </c>
      <c r="Y158" s="3"/>
      <c r="Z158" s="8">
        <f t="shared" si="35"/>
        <v>3.2034800675236959E-2</v>
      </c>
    </row>
    <row r="159" spans="1:26" s="69" customFormat="1" ht="15" customHeight="1" outlineLevel="1" collapsed="1" x14ac:dyDescent="0.3">
      <c r="A159" s="25"/>
      <c r="B159" s="14" t="str">
        <f>CONCATENATE("     ","Training                                          ")</f>
        <v xml:space="preserve">     Training                                          </v>
      </c>
      <c r="C159" s="14"/>
      <c r="D159" s="2">
        <f>SUM(OSRRefD22_24x_0)</f>
        <v>2664.1</v>
      </c>
      <c r="E159" s="2"/>
      <c r="F159" s="6">
        <f t="shared" si="28"/>
        <v>9.2885428391929542E-4</v>
      </c>
      <c r="G159" s="2"/>
      <c r="H159" s="2">
        <f>SUM(OSRRefH22_24x_0)</f>
        <v>6915</v>
      </c>
      <c r="I159" s="2"/>
      <c r="J159" s="6">
        <f t="shared" si="29"/>
        <v>3.3515913879368885E-3</v>
      </c>
      <c r="K159" s="2"/>
      <c r="L159" s="2">
        <f t="shared" si="30"/>
        <v>-4250.8999999999996</v>
      </c>
      <c r="M159" s="2"/>
      <c r="N159" s="6">
        <f t="shared" si="31"/>
        <v>-0.6147360809833694</v>
      </c>
      <c r="O159" s="14"/>
      <c r="P159" s="2">
        <f>SUM(OSRRefP22_24x_0)</f>
        <v>11752.97</v>
      </c>
      <c r="Q159" s="2"/>
      <c r="R159" s="6">
        <f t="shared" si="32"/>
        <v>6.3479325157171044E-4</v>
      </c>
      <c r="S159" s="2"/>
      <c r="T159" s="2">
        <f>SUM(OSRRefT22_24x_0)</f>
        <v>17065</v>
      </c>
      <c r="U159" s="2"/>
      <c r="V159" s="6">
        <f t="shared" si="33"/>
        <v>9.0293718880017138E-4</v>
      </c>
      <c r="W159" s="2"/>
      <c r="X159" s="2">
        <f t="shared" si="34"/>
        <v>-5312.0300000000007</v>
      </c>
      <c r="Y159" s="2"/>
      <c r="Z159" s="6">
        <f t="shared" si="35"/>
        <v>-0.31128215646059187</v>
      </c>
    </row>
    <row r="160" spans="1:26" s="70" customFormat="1" ht="15" hidden="1" customHeight="1" outlineLevel="2" x14ac:dyDescent="0.3">
      <c r="A160" s="26"/>
      <c r="B160" s="12" t="str">
        <f>CONCATENATE("          ","6376"," - ","TRAINING")</f>
        <v xml:space="preserve">          6376 - TRAINING</v>
      </c>
      <c r="C160" s="12"/>
      <c r="D160" s="7">
        <v>2664.1</v>
      </c>
      <c r="E160" s="3"/>
      <c r="F160" s="8">
        <f t="shared" si="28"/>
        <v>9.2885428391929542E-4</v>
      </c>
      <c r="G160" s="3"/>
      <c r="H160" s="7">
        <v>6915</v>
      </c>
      <c r="I160" s="3"/>
      <c r="J160" s="8">
        <f t="shared" si="29"/>
        <v>3.3515913879368885E-3</v>
      </c>
      <c r="K160" s="3"/>
      <c r="L160" s="7">
        <f t="shared" si="30"/>
        <v>-4250.8999999999996</v>
      </c>
      <c r="M160" s="3"/>
      <c r="N160" s="8">
        <f t="shared" si="31"/>
        <v>-0.6147360809833694</v>
      </c>
      <c r="O160" s="12"/>
      <c r="P160" s="7">
        <v>11752.97</v>
      </c>
      <c r="Q160" s="3"/>
      <c r="R160" s="8">
        <f t="shared" si="32"/>
        <v>6.3479325157171044E-4</v>
      </c>
      <c r="S160" s="3"/>
      <c r="T160" s="7">
        <v>17065</v>
      </c>
      <c r="U160" s="3"/>
      <c r="V160" s="8">
        <f t="shared" si="33"/>
        <v>9.0293718880017138E-4</v>
      </c>
      <c r="W160" s="3"/>
      <c r="X160" s="7">
        <f t="shared" si="34"/>
        <v>-5312.0300000000007</v>
      </c>
      <c r="Y160" s="3"/>
      <c r="Z160" s="8">
        <f t="shared" si="35"/>
        <v>-0.31128215646059187</v>
      </c>
    </row>
    <row r="161" spans="1:26" s="69" customFormat="1" ht="15" customHeight="1" outlineLevel="1" collapsed="1" x14ac:dyDescent="0.3">
      <c r="A161" s="25"/>
      <c r="B161" s="14" t="str">
        <f>CONCATENATE("     ","Travel                                            ")</f>
        <v xml:space="preserve">     Travel                                            </v>
      </c>
      <c r="C161" s="14"/>
      <c r="D161" s="2">
        <f>SUM(OSRRefD22_25x_0)</f>
        <v>181.83</v>
      </c>
      <c r="E161" s="2"/>
      <c r="F161" s="6">
        <f t="shared" si="28"/>
        <v>6.3396109171970076E-5</v>
      </c>
      <c r="G161" s="2"/>
      <c r="H161" s="2">
        <f>SUM(OSRRefH22_25x_0)</f>
        <v>775</v>
      </c>
      <c r="I161" s="2"/>
      <c r="J161" s="6">
        <f t="shared" si="29"/>
        <v>3.7563027124383057E-4</v>
      </c>
      <c r="K161" s="2"/>
      <c r="L161" s="2">
        <f t="shared" si="30"/>
        <v>-593.16999999999996</v>
      </c>
      <c r="M161" s="2"/>
      <c r="N161" s="6">
        <f t="shared" si="31"/>
        <v>-0.76538064516129023</v>
      </c>
      <c r="O161" s="14"/>
      <c r="P161" s="2">
        <f>SUM(OSRRefP22_25x_0)</f>
        <v>2110.85</v>
      </c>
      <c r="Q161" s="2"/>
      <c r="R161" s="6">
        <f t="shared" si="32"/>
        <v>1.1400976392181253E-4</v>
      </c>
      <c r="S161" s="2"/>
      <c r="T161" s="2">
        <f>SUM(OSRRefT22_25x_0)</f>
        <v>3025</v>
      </c>
      <c r="U161" s="2"/>
      <c r="V161" s="6">
        <f t="shared" si="33"/>
        <v>1.6005772025318008E-4</v>
      </c>
      <c r="W161" s="2"/>
      <c r="X161" s="2">
        <f t="shared" si="34"/>
        <v>-914.15000000000009</v>
      </c>
      <c r="Y161" s="2"/>
      <c r="Z161" s="6">
        <f t="shared" si="35"/>
        <v>-0.30219834710743804</v>
      </c>
    </row>
    <row r="162" spans="1:26" s="70" customFormat="1" ht="15" hidden="1" customHeight="1" outlineLevel="2" x14ac:dyDescent="0.3">
      <c r="A162" s="26"/>
      <c r="B162" s="12" t="str">
        <f>CONCATENATE("          ","6292"," - ","TRAVEL/CONFERENCE")</f>
        <v xml:space="preserve">          6292 - TRAVEL/CONFERENCE</v>
      </c>
      <c r="C162" s="12"/>
      <c r="D162" s="7"/>
      <c r="E162" s="3"/>
      <c r="F162" s="8">
        <f t="shared" si="28"/>
        <v>0</v>
      </c>
      <c r="G162" s="3"/>
      <c r="H162" s="7">
        <v>725</v>
      </c>
      <c r="I162" s="3"/>
      <c r="J162" s="8">
        <f t="shared" si="29"/>
        <v>3.513960601958415E-4</v>
      </c>
      <c r="K162" s="3"/>
      <c r="L162" s="7">
        <f t="shared" si="30"/>
        <v>-725</v>
      </c>
      <c r="M162" s="3"/>
      <c r="N162" s="8">
        <f t="shared" si="31"/>
        <v>-1</v>
      </c>
      <c r="O162" s="12"/>
      <c r="P162" s="7">
        <v>1108.5899999999999</v>
      </c>
      <c r="Q162" s="3"/>
      <c r="R162" s="8">
        <f t="shared" si="32"/>
        <v>5.9876393010437569E-5</v>
      </c>
      <c r="S162" s="3"/>
      <c r="T162" s="7">
        <v>2325</v>
      </c>
      <c r="U162" s="3"/>
      <c r="V162" s="8">
        <f t="shared" si="33"/>
        <v>1.2301957011194833E-4</v>
      </c>
      <c r="W162" s="3"/>
      <c r="X162" s="7">
        <f t="shared" si="34"/>
        <v>-1216.4100000000001</v>
      </c>
      <c r="Y162" s="3"/>
      <c r="Z162" s="8">
        <f t="shared" si="35"/>
        <v>-0.52318709677419362</v>
      </c>
    </row>
    <row r="163" spans="1:26" s="70" customFormat="1" ht="15" hidden="1" customHeight="1" outlineLevel="2" x14ac:dyDescent="0.3">
      <c r="A163" s="26"/>
      <c r="B163" s="12" t="str">
        <f>CONCATENATE("          ","6294"," - ","TRAVEL OPERATIONAL")</f>
        <v xml:space="preserve">          6294 - TRAVEL OPERATIONAL</v>
      </c>
      <c r="C163" s="12"/>
      <c r="D163" s="7">
        <v>46.81</v>
      </c>
      <c r="E163" s="3"/>
      <c r="F163" s="8">
        <f t="shared" si="28"/>
        <v>1.6320584448880381E-5</v>
      </c>
      <c r="G163" s="3"/>
      <c r="H163" s="7">
        <v>25</v>
      </c>
      <c r="I163" s="3"/>
      <c r="J163" s="8">
        <f t="shared" si="29"/>
        <v>1.2117105523994535E-5</v>
      </c>
      <c r="K163" s="3"/>
      <c r="L163" s="7">
        <f t="shared" si="30"/>
        <v>21.810000000000002</v>
      </c>
      <c r="M163" s="3"/>
      <c r="N163" s="8">
        <f t="shared" si="31"/>
        <v>0.87240000000000006</v>
      </c>
      <c r="O163" s="12"/>
      <c r="P163" s="7">
        <v>403.48</v>
      </c>
      <c r="Q163" s="3"/>
      <c r="R163" s="8">
        <f t="shared" si="32"/>
        <v>2.1792481487160588E-5</v>
      </c>
      <c r="S163" s="3"/>
      <c r="T163" s="7">
        <v>225</v>
      </c>
      <c r="U163" s="3"/>
      <c r="V163" s="8">
        <f t="shared" si="33"/>
        <v>1.1905119688253065E-5</v>
      </c>
      <c r="W163" s="3"/>
      <c r="X163" s="7">
        <f t="shared" si="34"/>
        <v>178.48000000000002</v>
      </c>
      <c r="Y163" s="3"/>
      <c r="Z163" s="8">
        <f t="shared" si="35"/>
        <v>0.79324444444444453</v>
      </c>
    </row>
    <row r="164" spans="1:26" s="70" customFormat="1" ht="15" hidden="1" customHeight="1" outlineLevel="2" x14ac:dyDescent="0.3">
      <c r="A164" s="26"/>
      <c r="B164" s="12" t="str">
        <f>CONCATENATE("          ","6298"," - ","VEHICLE MILEAGE")</f>
        <v xml:space="preserve">          6298 - VEHICLE MILEAGE</v>
      </c>
      <c r="C164" s="12"/>
      <c r="D164" s="7">
        <v>135.02000000000001</v>
      </c>
      <c r="E164" s="3"/>
      <c r="F164" s="8">
        <f t="shared" si="28"/>
        <v>4.7075524723089705E-5</v>
      </c>
      <c r="G164" s="3"/>
      <c r="H164" s="7">
        <v>25</v>
      </c>
      <c r="I164" s="3"/>
      <c r="J164" s="8">
        <f t="shared" si="29"/>
        <v>1.2117105523994535E-5</v>
      </c>
      <c r="K164" s="3"/>
      <c r="L164" s="7">
        <f t="shared" si="30"/>
        <v>110.02000000000001</v>
      </c>
      <c r="M164" s="3"/>
      <c r="N164" s="8">
        <f t="shared" si="31"/>
        <v>4.4008000000000003</v>
      </c>
      <c r="O164" s="12"/>
      <c r="P164" s="7">
        <v>598.78</v>
      </c>
      <c r="Q164" s="3"/>
      <c r="R164" s="8">
        <f t="shared" si="32"/>
        <v>3.2340889424214372E-5</v>
      </c>
      <c r="S164" s="3"/>
      <c r="T164" s="7">
        <v>475</v>
      </c>
      <c r="U164" s="3"/>
      <c r="V164" s="8">
        <f t="shared" si="33"/>
        <v>2.5133030452978692E-5</v>
      </c>
      <c r="W164" s="3"/>
      <c r="X164" s="7">
        <f t="shared" si="34"/>
        <v>123.77999999999997</v>
      </c>
      <c r="Y164" s="3"/>
      <c r="Z164" s="8">
        <f t="shared" si="35"/>
        <v>0.26058947368421048</v>
      </c>
    </row>
    <row r="165" spans="1:26" s="69" customFormat="1" ht="15" customHeight="1" outlineLevel="1" collapsed="1" x14ac:dyDescent="0.3">
      <c r="A165" s="25"/>
      <c r="B165" s="14" t="str">
        <f>CONCATENATE("     ","Utilities                                         ")</f>
        <v xml:space="preserve">     Utilities                                         </v>
      </c>
      <c r="C165" s="14"/>
      <c r="D165" s="2">
        <f>SUM(OSRRefD22_26x_0)</f>
        <v>14387.83</v>
      </c>
      <c r="E165" s="2"/>
      <c r="F165" s="6">
        <f t="shared" si="28"/>
        <v>5.016402361699094E-3</v>
      </c>
      <c r="G165" s="2"/>
      <c r="H165" s="2">
        <f>SUM(OSRRefH22_26x_0)</f>
        <v>14787</v>
      </c>
      <c r="I165" s="2"/>
      <c r="J165" s="6">
        <f t="shared" si="29"/>
        <v>7.1670255753322875E-3</v>
      </c>
      <c r="K165" s="2"/>
      <c r="L165" s="2">
        <f t="shared" si="30"/>
        <v>-399.17000000000007</v>
      </c>
      <c r="M165" s="2"/>
      <c r="N165" s="6">
        <f t="shared" si="31"/>
        <v>-2.6994657469398803E-2</v>
      </c>
      <c r="O165" s="14"/>
      <c r="P165" s="2">
        <f>SUM(OSRRefP22_26x_0)</f>
        <v>120882.9</v>
      </c>
      <c r="Q165" s="2"/>
      <c r="R165" s="6">
        <f t="shared" si="32"/>
        <v>6.5290432248544762E-3</v>
      </c>
      <c r="S165" s="2"/>
      <c r="T165" s="2">
        <f>SUM(OSRRefT22_26x_0)</f>
        <v>135763</v>
      </c>
      <c r="U165" s="2"/>
      <c r="V165" s="6">
        <f t="shared" si="33"/>
        <v>7.1834433966057815E-3</v>
      </c>
      <c r="W165" s="2"/>
      <c r="X165" s="2">
        <f t="shared" si="34"/>
        <v>-14880.100000000006</v>
      </c>
      <c r="Y165" s="2"/>
      <c r="Z165" s="6">
        <f t="shared" si="35"/>
        <v>-0.10960350021729047</v>
      </c>
    </row>
    <row r="166" spans="1:26" s="70" customFormat="1" ht="15" hidden="1" customHeight="1" outlineLevel="2" x14ac:dyDescent="0.3">
      <c r="A166" s="26"/>
      <c r="B166" s="12" t="str">
        <f>CONCATENATE("          ","6274"," - ","UTILITIES")</f>
        <v xml:space="preserve">          6274 - UTILITIES</v>
      </c>
      <c r="C166" s="12"/>
      <c r="D166" s="7">
        <v>14387.83</v>
      </c>
      <c r="E166" s="3"/>
      <c r="F166" s="8">
        <f t="shared" si="28"/>
        <v>5.016402361699094E-3</v>
      </c>
      <c r="G166" s="3"/>
      <c r="H166" s="7">
        <v>14787</v>
      </c>
      <c r="I166" s="3"/>
      <c r="J166" s="8">
        <f t="shared" si="29"/>
        <v>7.1670255753322875E-3</v>
      </c>
      <c r="K166" s="3"/>
      <c r="L166" s="7">
        <f t="shared" si="30"/>
        <v>-399.17000000000007</v>
      </c>
      <c r="M166" s="3"/>
      <c r="N166" s="8">
        <f t="shared" si="31"/>
        <v>-2.6994657469398803E-2</v>
      </c>
      <c r="O166" s="12"/>
      <c r="P166" s="7">
        <v>120882.9</v>
      </c>
      <c r="Q166" s="3"/>
      <c r="R166" s="8">
        <f t="shared" si="32"/>
        <v>6.5290432248544762E-3</v>
      </c>
      <c r="S166" s="3"/>
      <c r="T166" s="7">
        <v>135763</v>
      </c>
      <c r="U166" s="3"/>
      <c r="V166" s="8">
        <f t="shared" si="33"/>
        <v>7.1834433966057815E-3</v>
      </c>
      <c r="W166" s="3"/>
      <c r="X166" s="7">
        <f t="shared" si="34"/>
        <v>-14880.100000000006</v>
      </c>
      <c r="Y166" s="3"/>
      <c r="Z166" s="8">
        <f t="shared" si="35"/>
        <v>-0.10960350021729047</v>
      </c>
    </row>
    <row r="167" spans="1:26" s="65" customFormat="1" ht="15" customHeight="1" x14ac:dyDescent="0.3">
      <c r="A167" s="35"/>
      <c r="B167" s="35"/>
      <c r="C167" s="35"/>
      <c r="D167" s="2"/>
      <c r="E167" s="2"/>
      <c r="F167" s="6"/>
      <c r="G167" s="2"/>
      <c r="H167" s="2"/>
      <c r="I167" s="2"/>
      <c r="J167" s="6"/>
      <c r="K167" s="2"/>
      <c r="L167" s="2"/>
      <c r="M167" s="2"/>
      <c r="N167" s="6"/>
      <c r="O167" s="35"/>
      <c r="P167" s="2"/>
      <c r="Q167" s="2"/>
      <c r="R167" s="6"/>
      <c r="S167" s="2"/>
      <c r="T167" s="2"/>
      <c r="U167" s="2"/>
      <c r="V167" s="6"/>
      <c r="W167" s="2"/>
      <c r="X167" s="2"/>
      <c r="Y167" s="2"/>
      <c r="Z167" s="6"/>
    </row>
    <row r="168" spans="1:26" s="63" customFormat="1" ht="15" customHeight="1" collapsed="1" x14ac:dyDescent="0.3">
      <c r="A168" s="11"/>
      <c r="B168" s="28" t="s">
        <v>291</v>
      </c>
      <c r="C168" s="11"/>
      <c r="D168" s="5">
        <f>SUM(OSRRefD25x_0)</f>
        <v>208608.68</v>
      </c>
      <c r="E168" s="5"/>
      <c r="F168" s="13">
        <f t="shared" ref="F168:F176" si="36">IF(D$12=0,0,D168/D$12)</f>
        <v>7.2732654960680695E-2</v>
      </c>
      <c r="G168" s="5"/>
      <c r="H168" s="5">
        <f>SUM(OSRRefH25x_0)</f>
        <v>86917.09</v>
      </c>
      <c r="I168" s="5"/>
      <c r="J168" s="13">
        <f t="shared" ref="J168:J176" si="37">IF(H$12=0,0,H168/H$12)</f>
        <v>4.2127342054741203E-2</v>
      </c>
      <c r="K168" s="5"/>
      <c r="L168" s="5">
        <f t="shared" ref="L168:L176" si="38">+D168-H168</f>
        <v>121691.59</v>
      </c>
      <c r="M168" s="5"/>
      <c r="N168" s="13">
        <f t="shared" ref="N168:N176" si="39">IF(H168=0,0,L168/H168)</f>
        <v>1.400088175984723</v>
      </c>
      <c r="O168" s="11"/>
      <c r="P168" s="5">
        <f>SUM(OSRRefP25x_0)</f>
        <v>1092358.01</v>
      </c>
      <c r="Q168" s="5"/>
      <c r="R168" s="13">
        <f t="shared" ref="R168:R176" si="40">IF(P$12=0,0,P168/P$12)</f>
        <v>5.8999682041926682E-2</v>
      </c>
      <c r="S168" s="5"/>
      <c r="T168" s="5">
        <f>SUM(OSRRefT25x_0)</f>
        <v>846842.63</v>
      </c>
      <c r="U168" s="5"/>
      <c r="V168" s="13">
        <f t="shared" ref="V168:V176" si="41">IF(T$12=0,0,T168/T$12)</f>
        <v>4.4807834965622247E-2</v>
      </c>
      <c r="W168" s="5"/>
      <c r="X168" s="5">
        <f t="shared" ref="X168:X176" si="42">+P168-T168</f>
        <v>245515.38</v>
      </c>
      <c r="Y168" s="5"/>
      <c r="Z168" s="13">
        <f t="shared" ref="Z168:Z176" si="43">IF(T168=0,0,X168/T168)</f>
        <v>0.28991854129969813</v>
      </c>
    </row>
    <row r="169" spans="1:26" s="70" customFormat="1" ht="15" hidden="1" customHeight="1" outlineLevel="1" x14ac:dyDescent="0.3">
      <c r="A169" s="42"/>
      <c r="B169" s="12" t="str">
        <f>CONCATENATE("          ","4187"," - ","NON-TAXABLE SALES-COMPUTER REP")</f>
        <v xml:space="preserve">          4187 - NON-TAXABLE SALES-COMPUTER REP</v>
      </c>
      <c r="C169" s="12"/>
      <c r="D169" s="3">
        <f>0</f>
        <v>0</v>
      </c>
      <c r="E169" s="3"/>
      <c r="F169" s="20">
        <f t="shared" si="36"/>
        <v>0</v>
      </c>
      <c r="G169" s="3"/>
      <c r="H169" s="3"/>
      <c r="I169" s="3"/>
      <c r="J169" s="20">
        <f t="shared" si="37"/>
        <v>0</v>
      </c>
      <c r="K169" s="3"/>
      <c r="L169" s="3">
        <f t="shared" si="38"/>
        <v>0</v>
      </c>
      <c r="M169" s="3"/>
      <c r="N169" s="20">
        <f t="shared" si="39"/>
        <v>0</v>
      </c>
      <c r="O169" s="12"/>
      <c r="P169" s="3">
        <f>0</f>
        <v>0</v>
      </c>
      <c r="Q169" s="3"/>
      <c r="R169" s="20">
        <f t="shared" si="40"/>
        <v>0</v>
      </c>
      <c r="S169" s="3"/>
      <c r="T169" s="3"/>
      <c r="U169" s="3"/>
      <c r="V169" s="20">
        <f t="shared" si="41"/>
        <v>0</v>
      </c>
      <c r="W169" s="3"/>
      <c r="X169" s="3">
        <f t="shared" si="42"/>
        <v>0</v>
      </c>
      <c r="Y169" s="3"/>
      <c r="Z169" s="20">
        <f t="shared" si="43"/>
        <v>0</v>
      </c>
    </row>
    <row r="170" spans="1:26" s="70" customFormat="1" ht="15" hidden="1" customHeight="1" outlineLevel="1" x14ac:dyDescent="0.3">
      <c r="A170" s="42"/>
      <c r="B170" s="12" t="str">
        <f>CONCATENATE("          ","9087"," - ","")</f>
        <v xml:space="preserve">          9087 - </v>
      </c>
      <c r="C170" s="12"/>
      <c r="D170" s="3">
        <f>-1475.31</f>
        <v>-1475.31</v>
      </c>
      <c r="E170" s="3"/>
      <c r="F170" s="20">
        <f t="shared" si="36"/>
        <v>-5.1437559161029078E-4</v>
      </c>
      <c r="G170" s="3"/>
      <c r="H170" s="3"/>
      <c r="I170" s="3"/>
      <c r="J170" s="20">
        <f t="shared" si="37"/>
        <v>0</v>
      </c>
      <c r="K170" s="3"/>
      <c r="L170" s="3">
        <f t="shared" si="38"/>
        <v>-1475.31</v>
      </c>
      <c r="M170" s="3"/>
      <c r="N170" s="20">
        <f t="shared" si="39"/>
        <v>0</v>
      </c>
      <c r="O170" s="12"/>
      <c r="P170" s="3">
        <f>--731.78</f>
        <v>731.78</v>
      </c>
      <c r="Q170" s="3"/>
      <c r="R170" s="20">
        <f t="shared" si="40"/>
        <v>3.9524393037261757E-5</v>
      </c>
      <c r="S170" s="3"/>
      <c r="T170" s="3"/>
      <c r="U170" s="3"/>
      <c r="V170" s="20">
        <f t="shared" si="41"/>
        <v>0</v>
      </c>
      <c r="W170" s="3"/>
      <c r="X170" s="3">
        <f t="shared" si="42"/>
        <v>731.78</v>
      </c>
      <c r="Y170" s="3"/>
      <c r="Z170" s="20">
        <f t="shared" si="43"/>
        <v>0</v>
      </c>
    </row>
    <row r="171" spans="1:26" s="70" customFormat="1" ht="15" hidden="1" customHeight="1" outlineLevel="1" x14ac:dyDescent="0.3">
      <c r="A171" s="42"/>
      <c r="B171" s="12" t="str">
        <f>CONCATENATE("          ","9150"," - ","MISC. INCOME")</f>
        <v xml:space="preserve">          9150 - MISC. INCOME</v>
      </c>
      <c r="C171" s="12"/>
      <c r="D171" s="3">
        <f>--34512.1</f>
        <v>34512.1</v>
      </c>
      <c r="E171" s="3"/>
      <c r="F171" s="20">
        <f t="shared" si="36"/>
        <v>1.2032848591288283E-2</v>
      </c>
      <c r="G171" s="3"/>
      <c r="H171" s="3">
        <v>6977</v>
      </c>
      <c r="I171" s="3"/>
      <c r="J171" s="20">
        <f t="shared" si="37"/>
        <v>3.3816418096363947E-3</v>
      </c>
      <c r="K171" s="3"/>
      <c r="L171" s="3">
        <f t="shared" si="38"/>
        <v>27535.1</v>
      </c>
      <c r="M171" s="3"/>
      <c r="N171" s="20">
        <f t="shared" si="39"/>
        <v>3.9465529597248099</v>
      </c>
      <c r="O171" s="12"/>
      <c r="P171" s="3">
        <f>--508649.31</f>
        <v>508649.31</v>
      </c>
      <c r="Q171" s="3"/>
      <c r="R171" s="20">
        <f t="shared" si="40"/>
        <v>2.7472813204203445E-2</v>
      </c>
      <c r="S171" s="3"/>
      <c r="T171" s="3">
        <v>168334</v>
      </c>
      <c r="U171" s="3"/>
      <c r="V171" s="20">
        <f t="shared" si="41"/>
        <v>8.9068285226772959E-3</v>
      </c>
      <c r="W171" s="3"/>
      <c r="X171" s="3">
        <f t="shared" si="42"/>
        <v>340315.31</v>
      </c>
      <c r="Y171" s="3"/>
      <c r="Z171" s="20">
        <f t="shared" si="43"/>
        <v>2.0216671023085055</v>
      </c>
    </row>
    <row r="172" spans="1:26" s="70" customFormat="1" ht="15" hidden="1" customHeight="1" outlineLevel="1" x14ac:dyDescent="0.3">
      <c r="A172" s="42"/>
      <c r="B172" s="12" t="str">
        <f>CONCATENATE("          ","9151"," - ","MISC. INCOME")</f>
        <v xml:space="preserve">          9151 - MISC. INCOME</v>
      </c>
      <c r="C172" s="12"/>
      <c r="D172" s="3">
        <f>0</f>
        <v>0</v>
      </c>
      <c r="E172" s="3"/>
      <c r="F172" s="20">
        <f t="shared" si="36"/>
        <v>0</v>
      </c>
      <c r="G172" s="3"/>
      <c r="H172" s="3">
        <v>11876.31</v>
      </c>
      <c r="I172" s="3"/>
      <c r="J172" s="20">
        <f t="shared" si="37"/>
        <v>5.7562600602268608E-3</v>
      </c>
      <c r="K172" s="3"/>
      <c r="L172" s="3">
        <f t="shared" si="38"/>
        <v>-11876.31</v>
      </c>
      <c r="M172" s="3"/>
      <c r="N172" s="20">
        <f t="shared" si="39"/>
        <v>-1</v>
      </c>
      <c r="O172" s="12"/>
      <c r="P172" s="3">
        <f>--323761.7</f>
        <v>323761.7</v>
      </c>
      <c r="Q172" s="3"/>
      <c r="R172" s="20">
        <f t="shared" si="40"/>
        <v>1.7486792042980173E-2</v>
      </c>
      <c r="S172" s="3"/>
      <c r="T172" s="3">
        <v>501630.76</v>
      </c>
      <c r="U172" s="3"/>
      <c r="V172" s="20">
        <f t="shared" si="41"/>
        <v>2.6542107720485993E-2</v>
      </c>
      <c r="W172" s="3"/>
      <c r="X172" s="3">
        <f t="shared" si="42"/>
        <v>-177869.06</v>
      </c>
      <c r="Y172" s="3"/>
      <c r="Z172" s="20">
        <f t="shared" si="43"/>
        <v>-0.35458164487361182</v>
      </c>
    </row>
    <row r="173" spans="1:26" s="70" customFormat="1" ht="15" hidden="1" customHeight="1" outlineLevel="1" x14ac:dyDescent="0.3">
      <c r="A173" s="42"/>
      <c r="B173" s="12" t="str">
        <f>CONCATENATE("          ","9152"," - ","MISC. INCOME")</f>
        <v xml:space="preserve">          9152 - MISC. INCOME</v>
      </c>
      <c r="C173" s="12"/>
      <c r="D173" s="3">
        <f>--516.89</f>
        <v>516.89</v>
      </c>
      <c r="E173" s="3"/>
      <c r="F173" s="20">
        <f t="shared" si="36"/>
        <v>1.8021676769454771E-4</v>
      </c>
      <c r="G173" s="3"/>
      <c r="H173" s="3"/>
      <c r="I173" s="3"/>
      <c r="J173" s="20">
        <f t="shared" si="37"/>
        <v>0</v>
      </c>
      <c r="K173" s="3"/>
      <c r="L173" s="3">
        <f t="shared" si="38"/>
        <v>516.89</v>
      </c>
      <c r="M173" s="3"/>
      <c r="N173" s="20">
        <f t="shared" si="39"/>
        <v>0</v>
      </c>
      <c r="O173" s="12"/>
      <c r="P173" s="3">
        <f>--4384.52</f>
        <v>4384.5200000000004</v>
      </c>
      <c r="Q173" s="3"/>
      <c r="R173" s="20">
        <f t="shared" si="40"/>
        <v>2.368136485825452E-4</v>
      </c>
      <c r="S173" s="3"/>
      <c r="T173" s="3"/>
      <c r="U173" s="3"/>
      <c r="V173" s="20">
        <f t="shared" si="41"/>
        <v>0</v>
      </c>
      <c r="W173" s="3"/>
      <c r="X173" s="3">
        <f t="shared" si="42"/>
        <v>4384.5200000000004</v>
      </c>
      <c r="Y173" s="3"/>
      <c r="Z173" s="20">
        <f t="shared" si="43"/>
        <v>0</v>
      </c>
    </row>
    <row r="174" spans="1:26" s="70" customFormat="1" ht="15" hidden="1" customHeight="1" outlineLevel="1" x14ac:dyDescent="0.3">
      <c r="A174" s="42"/>
      <c r="B174" s="12" t="str">
        <f>CONCATENATE("          ","9160"," - ","MISC. INCOME")</f>
        <v xml:space="preserve">          9160 - MISC. INCOME</v>
      </c>
      <c r="C174" s="12"/>
      <c r="D174" s="3">
        <f>0</f>
        <v>0</v>
      </c>
      <c r="E174" s="3"/>
      <c r="F174" s="20">
        <f t="shared" si="36"/>
        <v>0</v>
      </c>
      <c r="G174" s="3"/>
      <c r="H174" s="3">
        <v>68063.78</v>
      </c>
      <c r="I174" s="3"/>
      <c r="J174" s="20">
        <f t="shared" si="37"/>
        <v>3.2989440184877948E-2</v>
      </c>
      <c r="K174" s="3"/>
      <c r="L174" s="3">
        <f t="shared" si="38"/>
        <v>-68063.78</v>
      </c>
      <c r="M174" s="3"/>
      <c r="N174" s="20">
        <f t="shared" si="39"/>
        <v>-1</v>
      </c>
      <c r="O174" s="12"/>
      <c r="P174" s="3">
        <f>0</f>
        <v>0</v>
      </c>
      <c r="Q174" s="3"/>
      <c r="R174" s="20">
        <f t="shared" si="40"/>
        <v>0</v>
      </c>
      <c r="S174" s="3"/>
      <c r="T174" s="3">
        <v>176877.87</v>
      </c>
      <c r="U174" s="3"/>
      <c r="V174" s="20">
        <f t="shared" si="41"/>
        <v>9.3588987224589599E-3</v>
      </c>
      <c r="W174" s="3"/>
      <c r="X174" s="3">
        <f t="shared" si="42"/>
        <v>-176877.87</v>
      </c>
      <c r="Y174" s="3"/>
      <c r="Z174" s="20">
        <f t="shared" si="43"/>
        <v>-1</v>
      </c>
    </row>
    <row r="175" spans="1:26" s="70" customFormat="1" ht="15" hidden="1" customHeight="1" outlineLevel="1" x14ac:dyDescent="0.3">
      <c r="A175" s="42"/>
      <c r="B175" s="12" t="str">
        <f>CONCATENATE("          ","9163"," - ","MISC. INCOME")</f>
        <v xml:space="preserve">          9163 - MISC. INCOME</v>
      </c>
      <c r="C175" s="12"/>
      <c r="D175" s="3">
        <f>--175055</f>
        <v>175055</v>
      </c>
      <c r="E175" s="3"/>
      <c r="F175" s="20">
        <f t="shared" si="36"/>
        <v>6.1033965193308157E-2</v>
      </c>
      <c r="G175" s="3"/>
      <c r="H175" s="3"/>
      <c r="I175" s="3"/>
      <c r="J175" s="20">
        <f t="shared" si="37"/>
        <v>0</v>
      </c>
      <c r="K175" s="3"/>
      <c r="L175" s="3">
        <f t="shared" si="38"/>
        <v>175055</v>
      </c>
      <c r="M175" s="3"/>
      <c r="N175" s="20">
        <f t="shared" si="39"/>
        <v>0</v>
      </c>
      <c r="O175" s="12"/>
      <c r="P175" s="3">
        <f>--254830.7</f>
        <v>254830.7</v>
      </c>
      <c r="Q175" s="3"/>
      <c r="R175" s="20">
        <f t="shared" si="40"/>
        <v>1.3763738753123261E-2</v>
      </c>
      <c r="S175" s="3"/>
      <c r="T175" s="3"/>
      <c r="U175" s="3"/>
      <c r="V175" s="20">
        <f t="shared" si="41"/>
        <v>0</v>
      </c>
      <c r="W175" s="3"/>
      <c r="X175" s="3">
        <f t="shared" si="42"/>
        <v>254830.7</v>
      </c>
      <c r="Y175" s="3"/>
      <c r="Z175" s="20">
        <f t="shared" si="43"/>
        <v>0</v>
      </c>
    </row>
    <row r="176" spans="1:26" s="70" customFormat="1" ht="15" hidden="1" customHeight="1" outlineLevel="1" x14ac:dyDescent="0.3">
      <c r="A176" s="42"/>
      <c r="B176" s="12" t="str">
        <f>CONCATENATE("          ","9165"," - ","OTHER INCOME")</f>
        <v xml:space="preserve">          9165 - OTHER INCOME</v>
      </c>
      <c r="C176" s="12"/>
      <c r="D176" s="3">
        <f>0</f>
        <v>0</v>
      </c>
      <c r="E176" s="3"/>
      <c r="F176" s="20">
        <f t="shared" si="36"/>
        <v>0</v>
      </c>
      <c r="G176" s="3"/>
      <c r="H176" s="3"/>
      <c r="I176" s="3"/>
      <c r="J176" s="20">
        <f t="shared" si="37"/>
        <v>0</v>
      </c>
      <c r="K176" s="3"/>
      <c r="L176" s="3">
        <f t="shared" si="38"/>
        <v>0</v>
      </c>
      <c r="M176" s="3"/>
      <c r="N176" s="20">
        <f t="shared" si="39"/>
        <v>0</v>
      </c>
      <c r="O176" s="12"/>
      <c r="P176" s="3">
        <f>0</f>
        <v>0</v>
      </c>
      <c r="Q176" s="3"/>
      <c r="R176" s="20">
        <f t="shared" si="40"/>
        <v>0</v>
      </c>
      <c r="S176" s="3"/>
      <c r="T176" s="3"/>
      <c r="U176" s="3"/>
      <c r="V176" s="20">
        <f t="shared" si="41"/>
        <v>0</v>
      </c>
      <c r="W176" s="3"/>
      <c r="X176" s="3">
        <f t="shared" si="42"/>
        <v>0</v>
      </c>
      <c r="Y176" s="3"/>
      <c r="Z176" s="20">
        <f t="shared" si="43"/>
        <v>0</v>
      </c>
    </row>
    <row r="177" spans="1:26" ht="15" customHeight="1" x14ac:dyDescent="0.3">
      <c r="A177" s="10"/>
      <c r="B177" s="11"/>
      <c r="C177" s="11"/>
      <c r="D177" s="4"/>
      <c r="E177" s="4"/>
      <c r="F177" s="9"/>
      <c r="G177" s="4"/>
      <c r="H177" s="4"/>
      <c r="I177" s="4"/>
      <c r="J177" s="9"/>
      <c r="K177" s="4"/>
      <c r="L177" s="4"/>
      <c r="M177" s="4"/>
      <c r="N177" s="9"/>
      <c r="O177" s="11"/>
      <c r="P177" s="4"/>
      <c r="Q177" s="4"/>
      <c r="R177" s="9"/>
      <c r="S177" s="4"/>
      <c r="T177" s="4"/>
      <c r="U177" s="4"/>
      <c r="V177" s="9"/>
      <c r="W177" s="4"/>
      <c r="X177" s="4"/>
      <c r="Y177" s="4"/>
      <c r="Z177" s="9"/>
    </row>
    <row r="178" spans="1:26" s="63" customFormat="1" ht="15" customHeight="1" x14ac:dyDescent="0.3">
      <c r="A178" s="11"/>
      <c r="B178" s="27" t="s">
        <v>292</v>
      </c>
      <c r="C178" s="27"/>
      <c r="D178" s="21">
        <f>+D64-D66+D168</f>
        <v>790066.26999999955</v>
      </c>
      <c r="E178" s="15"/>
      <c r="F178" s="23">
        <f>IF(D$12=0,0,D178/D$12)</f>
        <v>0.27546129629880195</v>
      </c>
      <c r="G178" s="15"/>
      <c r="H178" s="21">
        <f>+H64-H66+H168</f>
        <v>290388.52882934839</v>
      </c>
      <c r="I178" s="15"/>
      <c r="J178" s="23">
        <f>IF(H$12=0,0,H178/H$12)</f>
        <v>0.14074673787130973</v>
      </c>
      <c r="K178" s="16"/>
      <c r="L178" s="21">
        <f>+D178-H178</f>
        <v>499677.74117065116</v>
      </c>
      <c r="M178" s="16"/>
      <c r="N178" s="23">
        <f>IF(H178=0,0,L178/H178)</f>
        <v>1.7207213493763558</v>
      </c>
      <c r="O178" s="28"/>
      <c r="P178" s="21">
        <f>+P64-P66+P168</f>
        <v>2627178.0100000016</v>
      </c>
      <c r="Q178" s="15"/>
      <c r="R178" s="23">
        <f>IF(P$12=0,0,P178/P$12)</f>
        <v>0.14189731373649356</v>
      </c>
      <c r="S178" s="15"/>
      <c r="T178" s="21">
        <f>+T64-T66+T168</f>
        <v>533345.92746481032</v>
      </c>
      <c r="U178" s="15"/>
      <c r="V178" s="23">
        <f>IF(T$12=0,0,T178/T$12)</f>
        <v>2.8220209340937354E-2</v>
      </c>
      <c r="W178" s="16"/>
      <c r="X178" s="21">
        <f>+P178-T178</f>
        <v>2093832.0825351914</v>
      </c>
      <c r="Y178" s="16"/>
      <c r="Z178" s="23">
        <f>IF(T178=0,0,X178/T178)</f>
        <v>3.925842449923536</v>
      </c>
    </row>
    <row r="179" spans="1:26" ht="15" customHeight="1" x14ac:dyDescent="0.3">
      <c r="A179" s="10"/>
      <c r="B179" s="11"/>
      <c r="C179" s="10"/>
      <c r="D179" s="4"/>
      <c r="E179" s="4"/>
      <c r="F179" s="9"/>
      <c r="G179" s="4"/>
      <c r="H179" s="4"/>
      <c r="I179" s="4"/>
      <c r="J179" s="9"/>
      <c r="K179" s="4"/>
      <c r="L179" s="4"/>
      <c r="M179" s="4"/>
      <c r="N179" s="9"/>
      <c r="P179" s="4"/>
      <c r="Q179" s="4"/>
      <c r="R179" s="9"/>
      <c r="S179" s="4"/>
      <c r="T179" s="4"/>
      <c r="U179" s="4"/>
      <c r="V179" s="9"/>
      <c r="W179" s="4"/>
      <c r="X179" s="4"/>
      <c r="Y179" s="4"/>
      <c r="Z179" s="9"/>
    </row>
    <row r="180" spans="1:26" s="63" customFormat="1" ht="15" customHeight="1" x14ac:dyDescent="0.3">
      <c r="A180" s="49"/>
      <c r="B180" s="11" t="s">
        <v>293</v>
      </c>
      <c r="C180" s="11"/>
      <c r="D180" s="5">
        <v>256640.54</v>
      </c>
      <c r="E180" s="5"/>
      <c r="F180" s="13">
        <f>IF(D$12=0,0,D180/D$12)</f>
        <v>8.9479248153733454E-2</v>
      </c>
      <c r="G180" s="5"/>
      <c r="H180" s="5">
        <v>243413</v>
      </c>
      <c r="I180" s="5"/>
      <c r="J180" s="13">
        <f>IF(H$12=0,0,H180/H$12)</f>
        <v>0.11797844027648327</v>
      </c>
      <c r="K180" s="5"/>
      <c r="L180" s="5">
        <f>+D180-H180</f>
        <v>13227.540000000008</v>
      </c>
      <c r="M180" s="5"/>
      <c r="N180" s="13">
        <f>IF(H180=0,0,L180/H180)</f>
        <v>5.4341962015175889E-2</v>
      </c>
      <c r="O180" s="11"/>
      <c r="P180" s="5">
        <v>2209677.14</v>
      </c>
      <c r="Q180" s="5"/>
      <c r="R180" s="13">
        <f>IF(P$12=0,0,P180/P$12)</f>
        <v>0.11934754675833238</v>
      </c>
      <c r="S180" s="5"/>
      <c r="T180" s="5">
        <v>2301604</v>
      </c>
      <c r="U180" s="5"/>
      <c r="V180" s="13">
        <f>IF(T$12=0,0,T180/T$12)</f>
        <v>0.12178164931094225</v>
      </c>
      <c r="W180" s="5"/>
      <c r="X180" s="5">
        <f>+P180-T180</f>
        <v>-91926.85999999987</v>
      </c>
      <c r="Y180" s="5"/>
      <c r="Z180" s="13">
        <f>IF(T180=0,0,X180/T180)</f>
        <v>-3.9940345950041742E-2</v>
      </c>
    </row>
    <row r="181" spans="1:26" ht="15" customHeight="1" x14ac:dyDescent="0.3">
      <c r="A181" s="10"/>
      <c r="B181" s="11"/>
      <c r="C181" s="11"/>
      <c r="D181" s="4"/>
      <c r="E181" s="4"/>
      <c r="F181" s="9"/>
      <c r="G181" s="4"/>
      <c r="H181" s="4"/>
      <c r="I181" s="4"/>
      <c r="J181" s="9"/>
      <c r="K181" s="4"/>
      <c r="L181" s="4"/>
      <c r="M181" s="4"/>
      <c r="N181" s="9"/>
      <c r="O181" s="11"/>
      <c r="P181" s="4"/>
      <c r="Q181" s="4"/>
      <c r="R181" s="9"/>
      <c r="S181" s="4"/>
      <c r="T181" s="4"/>
      <c r="U181" s="4"/>
      <c r="V181" s="9"/>
      <c r="W181" s="4"/>
      <c r="X181" s="4"/>
      <c r="Y181" s="4"/>
      <c r="Z181" s="9"/>
    </row>
    <row r="182" spans="1:26" s="63" customFormat="1" ht="15" customHeight="1" x14ac:dyDescent="0.3">
      <c r="A182" s="11"/>
      <c r="B182" s="27" t="s">
        <v>294</v>
      </c>
      <c r="C182" s="27"/>
      <c r="D182" s="34">
        <f>+D178-D180</f>
        <v>533425.72999999952</v>
      </c>
      <c r="E182" s="15"/>
      <c r="F182" s="29">
        <f>IF(D$12=0,0,D182/D$12)</f>
        <v>0.1859820481450685</v>
      </c>
      <c r="G182" s="15"/>
      <c r="H182" s="34">
        <f>+H178-H180</f>
        <v>46975.52882934839</v>
      </c>
      <c r="I182" s="15"/>
      <c r="J182" s="29">
        <f>IF(H$12=0,0,H182/H$12)</f>
        <v>2.2768297594826476E-2</v>
      </c>
      <c r="K182" s="16"/>
      <c r="L182" s="34">
        <f>D182-H182</f>
        <v>486450.20117065113</v>
      </c>
      <c r="M182" s="16"/>
      <c r="N182" s="29">
        <f>IF(H182=0,0,L182/H182)</f>
        <v>10.355395953876668</v>
      </c>
      <c r="O182" s="28"/>
      <c r="P182" s="34">
        <f>+P178-P180</f>
        <v>417500.87000000151</v>
      </c>
      <c r="Q182" s="15"/>
      <c r="R182" s="29">
        <f>IF(P$12=0,0,P182/P$12)</f>
        <v>2.2549766978161176E-2</v>
      </c>
      <c r="S182" s="15"/>
      <c r="T182" s="34">
        <f>+T178-T180</f>
        <v>-1768258.0725351898</v>
      </c>
      <c r="U182" s="15"/>
      <c r="V182" s="29">
        <f>IF(T$12=0,0,T182/T$12)</f>
        <v>-9.3561439970004906E-2</v>
      </c>
      <c r="W182" s="16"/>
      <c r="X182" s="34">
        <f>P182-T182</f>
        <v>2185758.9425351913</v>
      </c>
      <c r="Y182" s="16"/>
      <c r="Z182" s="29">
        <f>IF(T182=0,0,X182/T182)</f>
        <v>-1.2361085615751899</v>
      </c>
    </row>
    <row r="183" spans="1:26" ht="15" customHeight="1" x14ac:dyDescent="0.3">
      <c r="A183" s="10"/>
      <c r="B183" s="10"/>
      <c r="C183" s="10"/>
      <c r="D183" s="4"/>
      <c r="E183" s="4"/>
      <c r="F183" s="9"/>
      <c r="G183" s="4"/>
      <c r="H183" s="4"/>
      <c r="I183" s="4"/>
      <c r="J183" s="9"/>
      <c r="K183" s="4"/>
      <c r="L183" s="4"/>
      <c r="M183" s="4"/>
      <c r="N183" s="9"/>
      <c r="P183" s="4"/>
      <c r="Q183" s="4"/>
      <c r="R183" s="9"/>
      <c r="S183" s="4"/>
      <c r="T183" s="4"/>
      <c r="U183" s="4"/>
      <c r="V183" s="9"/>
      <c r="W183" s="4"/>
      <c r="X183" s="4"/>
      <c r="Y183" s="4"/>
      <c r="Z183" s="9"/>
    </row>
    <row r="184" spans="1:26" s="63" customFormat="1" ht="15" customHeight="1" x14ac:dyDescent="0.3">
      <c r="A184" s="49"/>
      <c r="B184" s="11" t="s">
        <v>295</v>
      </c>
      <c r="C184" s="11"/>
      <c r="D184" s="5">
        <f>-38582.65</f>
        <v>-38582.65</v>
      </c>
      <c r="E184" s="5"/>
      <c r="F184" s="13">
        <f>IF(D$12=0,0,D184/D$12)</f>
        <v>-1.3452070018940282E-2</v>
      </c>
      <c r="G184" s="5"/>
      <c r="H184" s="5">
        <f>--15000</f>
        <v>15000</v>
      </c>
      <c r="I184" s="5"/>
      <c r="J184" s="13">
        <f>IF(H$12=0,0,H184/H$12)</f>
        <v>7.2702633143967212E-3</v>
      </c>
      <c r="K184" s="5"/>
      <c r="L184" s="5">
        <f>+D184-H184</f>
        <v>-53582.65</v>
      </c>
      <c r="M184" s="5"/>
      <c r="N184" s="13">
        <f>IF(H184=0,0,L184/H184)</f>
        <v>-3.5721766666666666</v>
      </c>
      <c r="O184" s="11"/>
      <c r="P184" s="5">
        <f>-954916.37</f>
        <v>-954916.37</v>
      </c>
      <c r="Q184" s="5"/>
      <c r="R184" s="13">
        <f>IF(P$12=0,0,P184/P$12)</f>
        <v>-5.157627965453452E-2</v>
      </c>
      <c r="S184" s="5"/>
      <c r="T184" s="5">
        <f>--135000</f>
        <v>135000</v>
      </c>
      <c r="U184" s="5"/>
      <c r="V184" s="13">
        <f>IF(T$12=0,0,T184/T$12)</f>
        <v>7.1430718129518386E-3</v>
      </c>
      <c r="W184" s="5"/>
      <c r="X184" s="5">
        <f>+P184-T184</f>
        <v>-1089916.3700000001</v>
      </c>
      <c r="Y184" s="5"/>
      <c r="Z184" s="13">
        <f>IF(T184=0,0,X184/T184)</f>
        <v>-8.0734545925925936</v>
      </c>
    </row>
    <row r="185" spans="1:26" s="63" customFormat="1" ht="15" customHeight="1" x14ac:dyDescent="0.3">
      <c r="A185" s="49"/>
      <c r="B185" s="11" t="s">
        <v>296</v>
      </c>
      <c r="C185" s="11"/>
      <c r="D185" s="5">
        <f>--14325.83</f>
        <v>14325.83</v>
      </c>
      <c r="E185" s="5"/>
      <c r="F185" s="13">
        <f>IF(D$12=0,0,D185/D$12)</f>
        <v>4.9947856935548818E-3</v>
      </c>
      <c r="G185" s="5"/>
      <c r="H185" s="5">
        <f>--20000</f>
        <v>20000</v>
      </c>
      <c r="I185" s="5"/>
      <c r="J185" s="13">
        <f>IF(H$12=0,0,H185/H$12)</f>
        <v>9.6936844191956271E-3</v>
      </c>
      <c r="K185" s="5"/>
      <c r="L185" s="5">
        <f>+D185-H185</f>
        <v>-5674.17</v>
      </c>
      <c r="M185" s="5"/>
      <c r="N185" s="13">
        <f>IF(H185=0,0,L185/H185)</f>
        <v>-0.28370850000000003</v>
      </c>
      <c r="O185" s="11"/>
      <c r="P185" s="5">
        <f>--2333265.47</f>
        <v>2333265.4700000002</v>
      </c>
      <c r="Q185" s="5"/>
      <c r="R185" s="13">
        <f>IF(P$12=0,0,P185/P$12)</f>
        <v>0.12602271378905039</v>
      </c>
      <c r="S185" s="5"/>
      <c r="T185" s="5">
        <f>--150000</f>
        <v>150000</v>
      </c>
      <c r="U185" s="5"/>
      <c r="V185" s="13">
        <f>IF(T$12=0,0,T185/T$12)</f>
        <v>7.9367464588353774E-3</v>
      </c>
      <c r="W185" s="5"/>
      <c r="X185" s="5">
        <f>+P185-T185</f>
        <v>2183265.4700000002</v>
      </c>
      <c r="Y185" s="5"/>
      <c r="Z185" s="13">
        <f>IF(T185=0,0,X185/T185)</f>
        <v>14.555103133333334</v>
      </c>
    </row>
    <row r="186" spans="1:26" ht="15" customHeight="1" x14ac:dyDescent="0.3">
      <c r="A186" s="10"/>
      <c r="B186" s="10"/>
      <c r="C186" s="10"/>
      <c r="D186" s="4"/>
      <c r="E186" s="4"/>
      <c r="F186" s="9"/>
      <c r="G186" s="4"/>
      <c r="H186" s="4"/>
      <c r="I186" s="4"/>
      <c r="J186" s="9"/>
      <c r="K186" s="4"/>
      <c r="L186" s="4"/>
      <c r="M186" s="4"/>
      <c r="N186" s="9"/>
      <c r="P186" s="4"/>
      <c r="Q186" s="4"/>
      <c r="R186" s="9"/>
      <c r="S186" s="4"/>
      <c r="T186" s="4"/>
      <c r="U186" s="4"/>
      <c r="V186" s="9"/>
      <c r="W186" s="4"/>
      <c r="X186" s="4"/>
      <c r="Y186" s="4"/>
      <c r="Z186" s="9"/>
    </row>
    <row r="187" spans="1:26" s="63" customFormat="1" ht="15" customHeight="1" x14ac:dyDescent="0.3">
      <c r="A187" s="11"/>
      <c r="B187" s="27" t="s">
        <v>297</v>
      </c>
      <c r="C187" s="27"/>
      <c r="D187" s="32">
        <f>SUM(D182:D186)</f>
        <v>509168.90999999951</v>
      </c>
      <c r="E187" s="15"/>
      <c r="F187" s="31">
        <f>IF(D$12=0,0,D187/D$12)</f>
        <v>0.1775247638196831</v>
      </c>
      <c r="G187" s="15"/>
      <c r="H187" s="32">
        <f>SUM(H182:H186)</f>
        <v>81975.52882934839</v>
      </c>
      <c r="I187" s="15"/>
      <c r="J187" s="31">
        <f>IF(H$12=0,0,H187/H$12)</f>
        <v>3.9732245328418826E-2</v>
      </c>
      <c r="K187" s="16"/>
      <c r="L187" s="32">
        <f>+D187-H187</f>
        <v>427193.38117065112</v>
      </c>
      <c r="M187" s="16"/>
      <c r="N187" s="31">
        <f>IF(H187=0,0,L187/H187)</f>
        <v>5.2112305619882733</v>
      </c>
      <c r="O187" s="28"/>
      <c r="P187" s="32">
        <f>SUM(P182:P186)</f>
        <v>1795849.9700000016</v>
      </c>
      <c r="Q187" s="15"/>
      <c r="R187" s="31">
        <f>IF(P$12=0,0,P187/P$12)</f>
        <v>9.6996201112677025E-2</v>
      </c>
      <c r="S187" s="15"/>
      <c r="T187" s="32">
        <f>SUM(T182:T186)</f>
        <v>-1483258.0725351898</v>
      </c>
      <c r="U187" s="15"/>
      <c r="V187" s="31">
        <f>IF(T$12=0,0,T187/T$12)</f>
        <v>-7.8481621698217693E-2</v>
      </c>
      <c r="W187" s="16"/>
      <c r="X187" s="32">
        <f>+P187-T187</f>
        <v>3279108.0425351914</v>
      </c>
      <c r="Y187" s="16"/>
      <c r="Z187" s="31">
        <f>IF(T187=0,0,X187/T187)</f>
        <v>-2.2107468034409741</v>
      </c>
    </row>
    <row r="188" spans="1:26" ht="15" customHeight="1" x14ac:dyDescent="0.3">
      <c r="A188" s="10"/>
      <c r="C188" s="10"/>
      <c r="D188" s="19"/>
      <c r="E188" s="19"/>
      <c r="G188" s="19"/>
      <c r="H188" s="19"/>
      <c r="I188" s="19"/>
      <c r="J188" s="40"/>
      <c r="K188" s="19"/>
      <c r="L188" s="19"/>
      <c r="M188" s="19"/>
      <c r="P188" s="19"/>
      <c r="Q188" s="19"/>
      <c r="R188" s="40"/>
      <c r="S188" s="19"/>
      <c r="T188" s="19"/>
      <c r="U188" s="19"/>
      <c r="V188" s="40"/>
      <c r="W188" s="19"/>
      <c r="X188" s="19"/>
    </row>
    <row r="189" spans="1:26" ht="15" customHeight="1" x14ac:dyDescent="0.3">
      <c r="A189" s="10"/>
      <c r="B189" s="51">
        <v>44663.047620405094</v>
      </c>
      <c r="D189" s="19"/>
      <c r="E189" s="19"/>
      <c r="G189" s="19"/>
      <c r="H189" s="19"/>
      <c r="I189" s="19"/>
      <c r="J189" s="40"/>
      <c r="K189" s="19"/>
      <c r="L189" s="19"/>
      <c r="M189" s="19"/>
      <c r="P189" s="19"/>
      <c r="Q189" s="19"/>
      <c r="R189" s="40"/>
      <c r="S189" s="19"/>
      <c r="T189" s="19"/>
      <c r="U189" s="19"/>
      <c r="V189" s="40"/>
      <c r="W189" s="19"/>
      <c r="X189" s="19"/>
    </row>
    <row r="190" spans="1:26" ht="15" customHeight="1" x14ac:dyDescent="0.3">
      <c r="A190" s="10"/>
      <c r="B190" s="58" t="s">
        <v>298</v>
      </c>
      <c r="D190" s="19"/>
      <c r="E190" s="19"/>
      <c r="G190" s="19"/>
      <c r="H190" s="19"/>
      <c r="I190" s="19"/>
      <c r="J190" s="40"/>
      <c r="K190" s="19"/>
      <c r="L190" s="19"/>
      <c r="M190" s="19"/>
      <c r="P190" s="19"/>
      <c r="Q190" s="19"/>
      <c r="R190" s="40"/>
      <c r="S190" s="19"/>
      <c r="T190" s="19"/>
      <c r="U190" s="19"/>
      <c r="V190" s="40"/>
      <c r="W190" s="19"/>
      <c r="X190" s="19"/>
    </row>
    <row r="191" spans="1:26" ht="15" customHeight="1" x14ac:dyDescent="0.3">
      <c r="A191" s="10"/>
      <c r="B191" s="50"/>
      <c r="D191" s="19"/>
      <c r="E191" s="19"/>
      <c r="G191" s="19"/>
      <c r="H191" s="19"/>
      <c r="I191" s="19"/>
      <c r="J191" s="40"/>
      <c r="K191" s="19"/>
      <c r="L191" s="19"/>
      <c r="M191" s="19"/>
      <c r="P191" s="19"/>
      <c r="Q191" s="19"/>
      <c r="R191" s="40"/>
      <c r="S191" s="19"/>
      <c r="T191" s="19"/>
      <c r="U191" s="19"/>
      <c r="V191" s="40"/>
      <c r="W191" s="19"/>
      <c r="X191" s="19"/>
    </row>
    <row r="192" spans="1:26" ht="15" customHeight="1" x14ac:dyDescent="0.3">
      <c r="D192" s="19"/>
      <c r="E192" s="19"/>
      <c r="G192" s="19"/>
      <c r="H192" s="19"/>
      <c r="I192" s="19"/>
      <c r="J192" s="40"/>
      <c r="K192" s="19"/>
      <c r="L192" s="19"/>
      <c r="M192" s="19"/>
      <c r="P192" s="19"/>
      <c r="Q192" s="19"/>
      <c r="R192" s="40"/>
      <c r="S192" s="19"/>
      <c r="T192" s="19"/>
      <c r="U192" s="19"/>
      <c r="V192" s="40"/>
      <c r="W192" s="19"/>
      <c r="X192" s="19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6BFFA2-DA6D-B634-F085-B3E730D2DC39}">
  <sheetPr>
    <tabColor theme="5" tint="0.39997558519241921"/>
    <outlinePr summaryBelow="0" summaryRight="0"/>
  </sheetPr>
  <dimension ref="A2:Z41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6" customWidth="1"/>
    <col min="2" max="2" width="33.44140625" style="66" customWidth="1"/>
    <col min="3" max="3" width="1.88671875" style="66" customWidth="1"/>
    <col min="4" max="4" width="15" style="66" customWidth="1"/>
    <col min="5" max="5" width="1.88671875" style="66" customWidth="1" outlineLevel="1"/>
    <col min="6" max="6" width="15" style="67" customWidth="1" outlineLevel="1"/>
    <col min="7" max="7" width="1.88671875" style="66" customWidth="1" outlineLevel="1"/>
    <col min="8" max="8" width="15" style="66" customWidth="1" outlineLevel="1"/>
    <col min="9" max="9" width="1.88671875" style="66" customWidth="1" outlineLevel="1"/>
    <col min="10" max="10" width="15" style="68" customWidth="1" outlineLevel="1"/>
    <col min="11" max="11" width="1.88671875" style="66" customWidth="1" outlineLevel="1"/>
    <col min="12" max="12" width="15" style="66" customWidth="1" outlineLevel="1"/>
    <col min="13" max="13" width="1.88671875" style="66" customWidth="1" outlineLevel="1"/>
    <col min="14" max="14" width="15" style="67" customWidth="1" outlineLevel="1"/>
    <col min="15" max="15" width="1.88671875" style="64" customWidth="1"/>
    <col min="16" max="16" width="15" style="66" customWidth="1"/>
    <col min="17" max="17" width="1.88671875" style="66" customWidth="1" outlineLevel="1"/>
    <col min="18" max="18" width="15" style="68" customWidth="1" outlineLevel="1"/>
    <col min="19" max="19" width="1.88671875" style="66" customWidth="1" outlineLevel="1"/>
    <col min="20" max="20" width="15" style="66" customWidth="1" outlineLevel="1"/>
    <col min="21" max="21" width="1.88671875" style="66" customWidth="1" outlineLevel="1"/>
    <col min="22" max="22" width="15" style="68" customWidth="1" outlineLevel="1"/>
    <col min="23" max="23" width="1.88671875" style="66" customWidth="1" outlineLevel="1"/>
    <col min="24" max="24" width="15" style="66" customWidth="1" outlineLevel="1"/>
    <col min="25" max="25" width="1.88671875" style="66" customWidth="1" outlineLevel="1"/>
    <col min="26" max="26" width="15" style="68" customWidth="1" outlineLevel="1"/>
  </cols>
  <sheetData>
    <row r="2" spans="1:26" ht="15" customHeight="1" x14ac:dyDescent="0.3">
      <c r="D2" s="54" t="s">
        <v>276</v>
      </c>
    </row>
    <row r="3" spans="1:26" ht="15" customHeight="1" x14ac:dyDescent="0.3">
      <c r="D3" s="54" t="s">
        <v>277</v>
      </c>
      <c r="E3" s="18"/>
      <c r="F3" s="44"/>
      <c r="G3" s="18"/>
      <c r="H3" s="18"/>
      <c r="I3" s="18"/>
      <c r="J3" s="38"/>
      <c r="K3" s="18"/>
      <c r="L3" s="18"/>
      <c r="M3" s="18"/>
      <c r="N3" s="44"/>
      <c r="O3" s="53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ht="15" customHeight="1" x14ac:dyDescent="0.3">
      <c r="D4" s="54" t="e">
        <f ca="1">CONCATENATE("Period ",RIGHT(_xll.ONESTOP.REPORTPLAYER.OSRFUNCTIONS.OSRGET("Period","PeriodId"),2),", ",_xll.ONESTOP.REPORTPLAYER.OSRFUNCTIONS.OSRGET("Period","Year"))</f>
        <v>#NAME?</v>
      </c>
      <c r="E4" s="18"/>
      <c r="F4" s="44"/>
      <c r="G4" s="18"/>
      <c r="H4" s="18"/>
      <c r="I4" s="18"/>
      <c r="J4" s="38"/>
      <c r="K4" s="18"/>
      <c r="L4" s="18"/>
      <c r="M4" s="18"/>
      <c r="N4" s="44"/>
      <c r="O4" s="53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ht="15" customHeight="1" x14ac:dyDescent="0.3">
      <c r="A5" s="24"/>
      <c r="D5" s="61" t="e">
        <f ca="1">_xll.ONESTOP.REPORTPLAYER.OSRFUNCTIONS.OSRGET("Period","PeriodEnd")</f>
        <v>#NAME?</v>
      </c>
      <c r="E5" s="18"/>
      <c r="F5" s="44"/>
      <c r="G5" s="18"/>
      <c r="H5" s="18"/>
      <c r="I5" s="18"/>
      <c r="J5" s="38"/>
      <c r="K5" s="18"/>
      <c r="L5" s="18"/>
      <c r="M5" s="18"/>
      <c r="N5" s="44"/>
      <c r="O5" s="53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ht="15" customHeight="1" x14ac:dyDescent="0.3">
      <c r="A6" s="24"/>
      <c r="B6" s="47"/>
      <c r="C6" s="47"/>
      <c r="D6" s="24" t="s">
        <v>311</v>
      </c>
      <c r="E6" s="18"/>
      <c r="F6" s="44"/>
      <c r="G6" s="18"/>
      <c r="H6" s="18"/>
      <c r="I6" s="18"/>
      <c r="J6" s="38"/>
      <c r="K6" s="18"/>
      <c r="L6" s="18"/>
      <c r="M6" s="18"/>
      <c r="N6" s="44"/>
      <c r="O6" s="59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ht="15" customHeight="1" x14ac:dyDescent="0.3">
      <c r="B7" s="52"/>
    </row>
    <row r="8" spans="1:26" ht="15" customHeight="1" x14ac:dyDescent="0.3">
      <c r="B8" s="52"/>
    </row>
    <row r="9" spans="1:26" ht="15" customHeight="1" x14ac:dyDescent="0.3">
      <c r="B9" s="10"/>
      <c r="C9" s="10"/>
      <c r="D9" s="17" t="s">
        <v>279</v>
      </c>
      <c r="E9" s="17"/>
      <c r="F9" s="36"/>
      <c r="G9" s="17"/>
      <c r="H9" s="17"/>
      <c r="I9" s="17"/>
      <c r="J9" s="43"/>
      <c r="K9" s="17"/>
      <c r="L9" s="17"/>
      <c r="M9" s="17"/>
      <c r="N9" s="36"/>
      <c r="P9" s="17" t="s">
        <v>280</v>
      </c>
      <c r="Q9" s="17"/>
      <c r="R9" s="36"/>
      <c r="S9" s="17"/>
      <c r="T9" s="17"/>
      <c r="U9" s="17"/>
      <c r="V9" s="43"/>
      <c r="W9" s="17"/>
      <c r="X9" s="17"/>
      <c r="Y9" s="17"/>
      <c r="Z9" s="36"/>
    </row>
    <row r="10" spans="1:26" ht="15" customHeight="1" x14ac:dyDescent="0.3">
      <c r="A10" s="11"/>
      <c r="B10" s="57"/>
      <c r="C10" s="11"/>
      <c r="D10" s="41" t="s">
        <v>281</v>
      </c>
      <c r="E10" s="33"/>
      <c r="F10" s="37" t="s">
        <v>282</v>
      </c>
      <c r="G10" s="33"/>
      <c r="H10" s="48" t="s">
        <v>283</v>
      </c>
      <c r="I10" s="33"/>
      <c r="J10" s="45" t="s">
        <v>284</v>
      </c>
      <c r="K10" s="11"/>
      <c r="L10" s="41" t="s">
        <v>285</v>
      </c>
      <c r="M10" s="11"/>
      <c r="N10" s="37" t="s">
        <v>286</v>
      </c>
      <c r="O10" s="11"/>
      <c r="P10" s="56" t="s">
        <v>281</v>
      </c>
      <c r="Q10" s="33"/>
      <c r="R10" s="37" t="s">
        <v>282</v>
      </c>
      <c r="S10" s="33"/>
      <c r="T10" s="48" t="s">
        <v>283</v>
      </c>
      <c r="U10" s="33"/>
      <c r="V10" s="45" t="s">
        <v>284</v>
      </c>
      <c r="W10" s="11"/>
      <c r="X10" s="41" t="s">
        <v>285</v>
      </c>
      <c r="Y10" s="11"/>
      <c r="Z10" s="37" t="s">
        <v>286</v>
      </c>
    </row>
    <row r="11" spans="1:26" ht="16.5" customHeight="1" x14ac:dyDescent="0.3">
      <c r="A11" s="10"/>
      <c r="B11" s="55"/>
      <c r="C11" s="10"/>
      <c r="D11" s="10"/>
      <c r="E11" s="10"/>
      <c r="F11" s="9"/>
      <c r="G11" s="10"/>
      <c r="H11" s="10"/>
      <c r="I11" s="10"/>
      <c r="J11" s="46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6"/>
      <c r="W11" s="10"/>
      <c r="X11" s="10"/>
      <c r="Y11" s="10"/>
      <c r="Z11" s="9"/>
    </row>
    <row r="12" spans="1:26" s="63" customFormat="1" ht="15" customHeight="1" collapsed="1" x14ac:dyDescent="0.3">
      <c r="A12" s="11"/>
      <c r="B12" s="28" t="s">
        <v>287</v>
      </c>
      <c r="C12" s="11"/>
      <c r="D12" s="5" t="e">
        <f ca="1">SUM(_xll.ONESTOP.REPORTPLAYER.OSRFUNCTIONS.OSRREF(D13))</f>
        <v>#NAME?</v>
      </c>
      <c r="E12" s="5"/>
      <c r="F12" s="13"/>
      <c r="G12" s="5"/>
      <c r="H12" s="5" t="e">
        <f ca="1">SUM(_xll.ONESTOP.REPORTPLAYER.OSRFUNCTIONS.OSRREF(H13))</f>
        <v>#NAME?</v>
      </c>
      <c r="I12" s="5"/>
      <c r="J12" s="13"/>
      <c r="K12" s="5"/>
      <c r="L12" s="5" t="e">
        <f ca="1">+D12-H12</f>
        <v>#NAME?</v>
      </c>
      <c r="M12" s="5"/>
      <c r="N12" s="13" t="e">
        <f ca="1">IF(H12=0,0,L12/H12)</f>
        <v>#NAME?</v>
      </c>
      <c r="O12" s="11"/>
      <c r="P12" s="5" t="e">
        <f ca="1">SUM(_xll.ONESTOP.REPORTPLAYER.OSRFUNCTIONS.OSRREF(P13))</f>
        <v>#NAME?</v>
      </c>
      <c r="Q12" s="5"/>
      <c r="R12" s="13"/>
      <c r="S12" s="5"/>
      <c r="T12" s="5" t="e">
        <f ca="1">SUM(_xll.ONESTOP.REPORTPLAYER.OSRFUNCTIONS.OSRREF(T13))</f>
        <v>#NAME?</v>
      </c>
      <c r="U12" s="5"/>
      <c r="V12" s="13"/>
      <c r="W12" s="5"/>
      <c r="X12" s="5" t="e">
        <f ca="1">+P12-T12</f>
        <v>#NAME?</v>
      </c>
      <c r="Y12" s="5"/>
      <c r="Z12" s="13" t="e">
        <f ca="1">IF(T12=0,0,X12/T12)</f>
        <v>#NAME?</v>
      </c>
    </row>
    <row r="13" spans="1:26" s="70" customFormat="1" ht="15" hidden="1" customHeight="1" outlineLevel="1" x14ac:dyDescent="0.3">
      <c r="A13" s="42"/>
      <c r="B13" s="12" t="e">
        <f ca="1">CONCATENATE("          ",_xll.ONESTOP.REPORTPLAYER.OSRFUNCTIONS.OSRGET("d_Account","Code")," - ",_xll.ONESTOP.REPORTPLAYER.OSRFUNCTIONS.OSRGET("d_Account","Description"))</f>
        <v>#NAME?</v>
      </c>
      <c r="C13" s="12"/>
      <c r="D13" s="3" t="e">
        <f ca="1">-_xll.ONESTOP.REPORTPLAYER.OSRFUNCTIONS.OSRGET("GL_F_Trans","Value1")</f>
        <v>#NAME?</v>
      </c>
      <c r="E13" s="3"/>
      <c r="F13" s="20"/>
      <c r="G13" s="3"/>
      <c r="H13" s="3" t="e">
        <f ca="1">_xll.ONESTOP.REPORTPLAYER.OSRFUNCTIONS.OSRGET("GL_F_Trans","Value1")</f>
        <v>#NAME?</v>
      </c>
      <c r="I13" s="3"/>
      <c r="J13" s="20"/>
      <c r="K13" s="3"/>
      <c r="L13" s="3" t="e">
        <f ca="1">+D13-H13</f>
        <v>#NAME?</v>
      </c>
      <c r="M13" s="3"/>
      <c r="N13" s="20" t="e">
        <f ca="1">IF(H13=0,0,L13/H13)</f>
        <v>#NAME?</v>
      </c>
      <c r="O13" s="12"/>
      <c r="P13" s="3" t="e">
        <f ca="1">-_xll.ONESTOP.REPORTPLAYER.OSRFUNCTIONS.OSRGET("GL_F_Trans","Value1")</f>
        <v>#NAME?</v>
      </c>
      <c r="Q13" s="3"/>
      <c r="R13" s="20"/>
      <c r="S13" s="3"/>
      <c r="T13" s="3" t="e">
        <f ca="1">_xll.ONESTOP.REPORTPLAYER.OSRFUNCTIONS.OSRGET("GL_F_Trans","Value1")</f>
        <v>#NAME?</v>
      </c>
      <c r="U13" s="3"/>
      <c r="V13" s="20"/>
      <c r="W13" s="3"/>
      <c r="X13" s="3" t="e">
        <f ca="1">+P13-T13</f>
        <v>#NAME?</v>
      </c>
      <c r="Y13" s="3"/>
      <c r="Z13" s="20" t="e">
        <f ca="1">IF(T13=0,0,X13/T13)</f>
        <v>#NAME?</v>
      </c>
    </row>
    <row r="14" spans="1:26" ht="15" customHeight="1" x14ac:dyDescent="0.3">
      <c r="A14" s="10"/>
      <c r="B14" s="11"/>
      <c r="C14" s="10"/>
      <c r="D14" s="4"/>
      <c r="E14" s="4"/>
      <c r="F14" s="9"/>
      <c r="G14" s="4"/>
      <c r="H14" s="4"/>
      <c r="I14" s="4"/>
      <c r="J14" s="9"/>
      <c r="K14" s="4"/>
      <c r="L14" s="4"/>
      <c r="M14" s="4"/>
      <c r="N14" s="9"/>
      <c r="P14" s="4"/>
      <c r="Q14" s="4"/>
      <c r="R14" s="9"/>
      <c r="S14" s="4"/>
      <c r="T14" s="4"/>
      <c r="U14" s="4"/>
      <c r="V14" s="9"/>
      <c r="W14" s="4"/>
      <c r="X14" s="4"/>
      <c r="Y14" s="4"/>
      <c r="Z14" s="9"/>
    </row>
    <row r="15" spans="1:26" s="63" customFormat="1" ht="15" customHeight="1" collapsed="1" x14ac:dyDescent="0.3">
      <c r="A15" s="11"/>
      <c r="B15" s="28" t="s">
        <v>288</v>
      </c>
      <c r="C15" s="11"/>
      <c r="D15" s="5" t="e">
        <f ca="1">SUM(_xll.ONESTOP.REPORTPLAYER.OSRFUNCTIONS.OSRREF(D16))</f>
        <v>#NAME?</v>
      </c>
      <c r="E15" s="5"/>
      <c r="F15" s="13" t="e">
        <f ca="1">IF(D$12=0,0,D15/D$12)</f>
        <v>#NAME?</v>
      </c>
      <c r="G15" s="5"/>
      <c r="H15" s="5" t="e">
        <f ca="1">SUM(_xll.ONESTOP.REPORTPLAYER.OSRFUNCTIONS.OSRREF(H16))</f>
        <v>#NAME?</v>
      </c>
      <c r="I15" s="5"/>
      <c r="J15" s="13" t="e">
        <f ca="1">IF(H$12=0,0,H15/H$12)</f>
        <v>#NAME?</v>
      </c>
      <c r="K15" s="5"/>
      <c r="L15" s="5" t="e">
        <f ca="1">+D15-H15</f>
        <v>#NAME?</v>
      </c>
      <c r="M15" s="5"/>
      <c r="N15" s="13" t="e">
        <f ca="1">IF(H15=0,0,L15/H15)</f>
        <v>#NAME?</v>
      </c>
      <c r="O15" s="11"/>
      <c r="P15" s="5" t="e">
        <f ca="1">SUM(_xll.ONESTOP.REPORTPLAYER.OSRFUNCTIONS.OSRREF(P16))</f>
        <v>#NAME?</v>
      </c>
      <c r="Q15" s="5"/>
      <c r="R15" s="13" t="e">
        <f ca="1">IF(P$12=0,0,P15/P$12)</f>
        <v>#NAME?</v>
      </c>
      <c r="S15" s="5"/>
      <c r="T15" s="5" t="e">
        <f ca="1">SUM(_xll.ONESTOP.REPORTPLAYER.OSRFUNCTIONS.OSRREF(T16))</f>
        <v>#NAME?</v>
      </c>
      <c r="U15" s="5"/>
      <c r="V15" s="13" t="e">
        <f ca="1">IF(T$12=0,0,T15/T$12)</f>
        <v>#NAME?</v>
      </c>
      <c r="W15" s="5"/>
      <c r="X15" s="5" t="e">
        <f ca="1">+P15-T15</f>
        <v>#NAME?</v>
      </c>
      <c r="Y15" s="5"/>
      <c r="Z15" s="13" t="e">
        <f ca="1">IF(T15=0,0,X15/T15)</f>
        <v>#NAME?</v>
      </c>
    </row>
    <row r="16" spans="1:26" s="70" customFormat="1" ht="15" hidden="1" customHeight="1" outlineLevel="1" x14ac:dyDescent="0.3">
      <c r="A16" s="42"/>
      <c r="B16" s="12" t="e">
        <f ca="1">CONCATENATE("          ",_xll.ONESTOP.REPORTPLAYER.OSRFUNCTIONS.OSRGET("d_Account","Code")," - ",_xll.ONESTOP.REPORTPLAYER.OSRFUNCTIONS.OSRGET("d_Account","Description"))</f>
        <v>#NAME?</v>
      </c>
      <c r="C16" s="12"/>
      <c r="D16" s="3" t="e">
        <f ca="1">_xll.ONESTOP.REPORTPLAYER.OSRFUNCTIONS.OSRGET("GL_F_Trans","Value1")</f>
        <v>#NAME?</v>
      </c>
      <c r="E16" s="3"/>
      <c r="F16" s="20" t="e">
        <f ca="1">IF(D$12=0,0,D16/D$12)</f>
        <v>#NAME?</v>
      </c>
      <c r="G16" s="3"/>
      <c r="H16" s="3" t="e">
        <f ca="1">_xll.ONESTOP.REPORTPLAYER.OSRFUNCTIONS.OSRGET("GL_F_Trans","Value1")</f>
        <v>#NAME?</v>
      </c>
      <c r="I16" s="3"/>
      <c r="J16" s="20" t="e">
        <f ca="1">IF(H$12=0,0,H16/H$12)</f>
        <v>#NAME?</v>
      </c>
      <c r="K16" s="3"/>
      <c r="L16" s="3" t="e">
        <f ca="1">+D16-H16</f>
        <v>#NAME?</v>
      </c>
      <c r="M16" s="3"/>
      <c r="N16" s="20" t="e">
        <f ca="1">IF(H16=0,0,L16/H16)</f>
        <v>#NAME?</v>
      </c>
      <c r="O16" s="12"/>
      <c r="P16" s="3" t="e">
        <f ca="1">_xll.ONESTOP.REPORTPLAYER.OSRFUNCTIONS.OSRGET("GL_F_Trans","Value1")</f>
        <v>#NAME?</v>
      </c>
      <c r="Q16" s="3"/>
      <c r="R16" s="20" t="e">
        <f ca="1">IF(P$12=0,0,P16/P$12)</f>
        <v>#NAME?</v>
      </c>
      <c r="S16" s="3"/>
      <c r="T16" s="3" t="e">
        <f ca="1">_xll.ONESTOP.REPORTPLAYER.OSRFUNCTIONS.OSRGET("GL_F_Trans","Value1")</f>
        <v>#NAME?</v>
      </c>
      <c r="U16" s="3"/>
      <c r="V16" s="20" t="e">
        <f ca="1">IF(T$12=0,0,T16/T$12)</f>
        <v>#NAME?</v>
      </c>
      <c r="W16" s="3"/>
      <c r="X16" s="3" t="e">
        <f ca="1">+P16-T16</f>
        <v>#NAME?</v>
      </c>
      <c r="Y16" s="3"/>
      <c r="Z16" s="20" t="e">
        <f ca="1">IF(T16=0,0,X16/T16)</f>
        <v>#NAME?</v>
      </c>
    </row>
    <row r="17" spans="1:26" ht="15" customHeight="1" x14ac:dyDescent="0.3">
      <c r="A17" s="10"/>
      <c r="B17" s="11"/>
      <c r="C17" s="11"/>
      <c r="D17" s="4"/>
      <c r="E17" s="4"/>
      <c r="F17" s="9"/>
      <c r="G17" s="4"/>
      <c r="H17" s="4"/>
      <c r="I17" s="4"/>
      <c r="J17" s="9"/>
      <c r="K17" s="4"/>
      <c r="L17" s="4"/>
      <c r="M17" s="4"/>
      <c r="N17" s="9"/>
      <c r="O17" s="11"/>
      <c r="P17" s="4"/>
      <c r="Q17" s="4"/>
      <c r="R17" s="9"/>
      <c r="S17" s="4"/>
      <c r="T17" s="4"/>
      <c r="U17" s="4"/>
      <c r="V17" s="9"/>
      <c r="W17" s="4"/>
      <c r="X17" s="4"/>
      <c r="Y17" s="4"/>
      <c r="Z17" s="9"/>
    </row>
    <row r="18" spans="1:26" s="63" customFormat="1" ht="15" customHeight="1" x14ac:dyDescent="0.3">
      <c r="A18" s="11"/>
      <c r="B18" s="27" t="s">
        <v>289</v>
      </c>
      <c r="C18" s="27"/>
      <c r="D18" s="21" t="e">
        <f ca="1">D12-D15</f>
        <v>#NAME?</v>
      </c>
      <c r="E18" s="15"/>
      <c r="F18" s="23" t="e">
        <f ca="1">IF(D$12=0,0,D18/D$12)</f>
        <v>#NAME?</v>
      </c>
      <c r="G18" s="15"/>
      <c r="H18" s="21" t="e">
        <f ca="1">H12-H15</f>
        <v>#NAME?</v>
      </c>
      <c r="I18" s="15"/>
      <c r="J18" s="23" t="e">
        <f ca="1">IF(H$12=0,0,H18/H$12)</f>
        <v>#NAME?</v>
      </c>
      <c r="K18" s="16"/>
      <c r="L18" s="21" t="e">
        <f ca="1">+D18-H18</f>
        <v>#NAME?</v>
      </c>
      <c r="M18" s="16"/>
      <c r="N18" s="23" t="e">
        <f ca="1">IF(H18=0,0,L18/H18)</f>
        <v>#NAME?</v>
      </c>
      <c r="O18" s="28"/>
      <c r="P18" s="21" t="e">
        <f ca="1">P12-P15</f>
        <v>#NAME?</v>
      </c>
      <c r="Q18" s="15"/>
      <c r="R18" s="23" t="e">
        <f ca="1">IF(P$12=0,0,P18/P$12)</f>
        <v>#NAME?</v>
      </c>
      <c r="S18" s="15"/>
      <c r="T18" s="21" t="e">
        <f ca="1">T12-T15</f>
        <v>#NAME?</v>
      </c>
      <c r="U18" s="15"/>
      <c r="V18" s="23" t="e">
        <f ca="1">IF(T$12=0,0,T18/T$12)</f>
        <v>#NAME?</v>
      </c>
      <c r="W18" s="16"/>
      <c r="X18" s="21" t="e">
        <f ca="1">+P18-T18</f>
        <v>#NAME?</v>
      </c>
      <c r="Y18" s="16"/>
      <c r="Z18" s="23" t="e">
        <f ca="1">IF(T18=0,0,X18/T18)</f>
        <v>#NAME?</v>
      </c>
    </row>
    <row r="19" spans="1:26" ht="15" customHeight="1" x14ac:dyDescent="0.3">
      <c r="A19" s="10"/>
      <c r="B19" s="11"/>
      <c r="C19" s="10"/>
      <c r="D19" s="2"/>
      <c r="E19" s="2"/>
      <c r="F19" s="6"/>
      <c r="G19" s="2"/>
      <c r="H19" s="2"/>
      <c r="I19" s="2"/>
      <c r="J19" s="6"/>
      <c r="K19" s="2"/>
      <c r="L19" s="2"/>
      <c r="M19" s="2"/>
      <c r="N19" s="6"/>
      <c r="O19" s="35"/>
      <c r="P19" s="2"/>
      <c r="Q19" s="2"/>
      <c r="R19" s="6"/>
      <c r="S19" s="2"/>
      <c r="T19" s="2"/>
      <c r="U19" s="2"/>
      <c r="V19" s="6"/>
      <c r="W19" s="2"/>
      <c r="X19" s="2"/>
      <c r="Y19" s="2"/>
      <c r="Z19" s="6"/>
    </row>
    <row r="20" spans="1:26" s="63" customFormat="1" ht="15" customHeight="1" x14ac:dyDescent="0.3">
      <c r="A20" s="11"/>
      <c r="B20" s="28" t="s">
        <v>290</v>
      </c>
      <c r="C20" s="11"/>
      <c r="D20" s="22" t="e">
        <f ca="1">SUM(_xll.ONESTOP.REPORTPLAYER.OSRFUNCTIONS.OSRREF(D22))</f>
        <v>#NAME?</v>
      </c>
      <c r="E20" s="22"/>
      <c r="F20" s="30" t="e">
        <f ca="1">IF(D$12=0,0,D20/D$12)</f>
        <v>#NAME?</v>
      </c>
      <c r="G20" s="22"/>
      <c r="H20" s="22" t="e">
        <f ca="1">SUM(_xll.ONESTOP.REPORTPLAYER.OSRFUNCTIONS.OSRREF(H22))</f>
        <v>#NAME?</v>
      </c>
      <c r="I20" s="22"/>
      <c r="J20" s="30" t="e">
        <f ca="1">IF(H$12=0,0,H20/H$12)</f>
        <v>#NAME?</v>
      </c>
      <c r="K20" s="5"/>
      <c r="L20" s="22" t="e">
        <f ca="1">+D20-H20</f>
        <v>#NAME?</v>
      </c>
      <c r="M20" s="5"/>
      <c r="N20" s="30" t="e">
        <f ca="1">IF(H20=0,0,L20/H20)</f>
        <v>#NAME?</v>
      </c>
      <c r="O20" s="11"/>
      <c r="P20" s="22" t="e">
        <f ca="1">SUM(_xll.ONESTOP.REPORTPLAYER.OSRFUNCTIONS.OSRREF(P22))</f>
        <v>#NAME?</v>
      </c>
      <c r="Q20" s="22"/>
      <c r="R20" s="30" t="e">
        <f ca="1">IF(P$12=0,0,P20/P$12)</f>
        <v>#NAME?</v>
      </c>
      <c r="S20" s="22"/>
      <c r="T20" s="22" t="e">
        <f ca="1">SUM(_xll.ONESTOP.REPORTPLAYER.OSRFUNCTIONS.OSRREF(T22))</f>
        <v>#NAME?</v>
      </c>
      <c r="U20" s="22"/>
      <c r="V20" s="30" t="e">
        <f ca="1">IF(T$12=0,0,T20/T$12)</f>
        <v>#NAME?</v>
      </c>
      <c r="W20" s="5"/>
      <c r="X20" s="22" t="e">
        <f ca="1">+P20-T20</f>
        <v>#NAME?</v>
      </c>
      <c r="Y20" s="5"/>
      <c r="Z20" s="30" t="e">
        <f ca="1">IF(T20=0,0,X20/T20)</f>
        <v>#NAME?</v>
      </c>
    </row>
    <row r="21" spans="1:26" s="69" customFormat="1" ht="15" customHeight="1" outlineLevel="1" collapsed="1" x14ac:dyDescent="0.3">
      <c r="A21" s="25"/>
      <c r="B21" s="14" t="e">
        <f ca="1">CONCATENATE("     ",_xll.ONESTOP.REPORTPLAYER.OSRFUNCTIONS.OSRGET("d_Account","AccountCategory"))</f>
        <v>#NAME?</v>
      </c>
      <c r="C21" s="14"/>
      <c r="D21" s="2" t="e">
        <f ca="1">SUM(_xll.ONESTOP.REPORTPLAYER.OSRFUNCTIONS.OSRREF(D22))</f>
        <v>#NAME?</v>
      </c>
      <c r="E21" s="2"/>
      <c r="F21" s="6" t="e">
        <f ca="1">IF(D$12=0,0,D21/D$12)</f>
        <v>#NAME?</v>
      </c>
      <c r="G21" s="2"/>
      <c r="H21" s="2" t="e">
        <f ca="1">SUM(_xll.ONESTOP.REPORTPLAYER.OSRFUNCTIONS.OSRREF(H22))</f>
        <v>#NAME?</v>
      </c>
      <c r="I21" s="2"/>
      <c r="J21" s="6" t="e">
        <f ca="1">IF(H$12=0,0,H21/H$12)</f>
        <v>#NAME?</v>
      </c>
      <c r="K21" s="2"/>
      <c r="L21" s="2" t="e">
        <f ca="1">+D21-H21</f>
        <v>#NAME?</v>
      </c>
      <c r="M21" s="2"/>
      <c r="N21" s="6" t="e">
        <f ca="1">IF(H21=0,0,L21/H21)</f>
        <v>#NAME?</v>
      </c>
      <c r="O21" s="14"/>
      <c r="P21" s="2" t="e">
        <f ca="1">SUM(_xll.ONESTOP.REPORTPLAYER.OSRFUNCTIONS.OSRREF(P22))</f>
        <v>#NAME?</v>
      </c>
      <c r="Q21" s="2"/>
      <c r="R21" s="6" t="e">
        <f ca="1">IF(P$12=0,0,P21/P$12)</f>
        <v>#NAME?</v>
      </c>
      <c r="S21" s="2"/>
      <c r="T21" s="2" t="e">
        <f ca="1">SUM(_xll.ONESTOP.REPORTPLAYER.OSRFUNCTIONS.OSRREF(T22))</f>
        <v>#NAME?</v>
      </c>
      <c r="U21" s="2"/>
      <c r="V21" s="6" t="e">
        <f ca="1">IF(T$12=0,0,T21/T$12)</f>
        <v>#NAME?</v>
      </c>
      <c r="W21" s="2"/>
      <c r="X21" s="2" t="e">
        <f ca="1">+P21-T21</f>
        <v>#NAME?</v>
      </c>
      <c r="Y21" s="2"/>
      <c r="Z21" s="6" t="e">
        <f ca="1">IF(T21=0,0,X21/T21)</f>
        <v>#NAME?</v>
      </c>
    </row>
    <row r="22" spans="1:26" s="70" customFormat="1" ht="15" hidden="1" customHeight="1" outlineLevel="2" x14ac:dyDescent="0.3">
      <c r="A22" s="26"/>
      <c r="B22" s="12" t="e">
        <f ca="1">CONCATENATE("          ",_xll.ONESTOP.REPORTPLAYER.OSRFUNCTIONS.OSRGET("d_Account","Code")," - ",_xll.ONESTOP.REPORTPLAYER.OSRFUNCTIONS.OSRGET("d_Account","Description"))</f>
        <v>#NAME?</v>
      </c>
      <c r="C22" s="12"/>
      <c r="D22" s="7" t="e">
        <f ca="1">_xll.ONESTOP.REPORTPLAYER.OSRFUNCTIONS.OSRGET("GL_F_Trans","Value1")</f>
        <v>#NAME?</v>
      </c>
      <c r="E22" s="3"/>
      <c r="F22" s="8" t="e">
        <f ca="1">IF(D$12=0,0,D22/D$12)</f>
        <v>#NAME?</v>
      </c>
      <c r="G22" s="3"/>
      <c r="H22" s="7" t="e">
        <f ca="1">_xll.ONESTOP.REPORTPLAYER.OSRFUNCTIONS.OSRGET("GL_F_Trans","Value1")</f>
        <v>#NAME?</v>
      </c>
      <c r="I22" s="3"/>
      <c r="J22" s="8" t="e">
        <f ca="1">IF(H$12=0,0,H22/H$12)</f>
        <v>#NAME?</v>
      </c>
      <c r="K22" s="3"/>
      <c r="L22" s="7" t="e">
        <f ca="1">+D22-H22</f>
        <v>#NAME?</v>
      </c>
      <c r="M22" s="3"/>
      <c r="N22" s="8" t="e">
        <f ca="1">IF(H22=0,0,L22/H22)</f>
        <v>#NAME?</v>
      </c>
      <c r="O22" s="12"/>
      <c r="P22" s="7" t="e">
        <f ca="1">_xll.ONESTOP.REPORTPLAYER.OSRFUNCTIONS.OSRGET("GL_F_Trans","Value1")</f>
        <v>#NAME?</v>
      </c>
      <c r="Q22" s="3"/>
      <c r="R22" s="8" t="e">
        <f ca="1">IF(P$12=0,0,P22/P$12)</f>
        <v>#NAME?</v>
      </c>
      <c r="S22" s="3"/>
      <c r="T22" s="7" t="e">
        <f ca="1">_xll.ONESTOP.REPORTPLAYER.OSRFUNCTIONS.OSRGET("GL_F_Trans","Value1")</f>
        <v>#NAME?</v>
      </c>
      <c r="U22" s="3"/>
      <c r="V22" s="8" t="e">
        <f ca="1">IF(T$12=0,0,T22/T$12)</f>
        <v>#NAME?</v>
      </c>
      <c r="W22" s="3"/>
      <c r="X22" s="7" t="e">
        <f ca="1">+P22-T22</f>
        <v>#NAME?</v>
      </c>
      <c r="Y22" s="3"/>
      <c r="Z22" s="8" t="e">
        <f ca="1">IF(T22=0,0,X22/T22)</f>
        <v>#NAME?</v>
      </c>
    </row>
    <row r="23" spans="1:26" s="65" customFormat="1" ht="15" customHeight="1" x14ac:dyDescent="0.3">
      <c r="A23" s="35"/>
      <c r="B23" s="35"/>
      <c r="C23" s="35"/>
      <c r="D23" s="2"/>
      <c r="E23" s="2"/>
      <c r="F23" s="6"/>
      <c r="G23" s="2"/>
      <c r="H23" s="2"/>
      <c r="I23" s="2"/>
      <c r="J23" s="6"/>
      <c r="K23" s="2"/>
      <c r="L23" s="2"/>
      <c r="M23" s="2"/>
      <c r="N23" s="6"/>
      <c r="O23" s="35"/>
      <c r="P23" s="2"/>
      <c r="Q23" s="2"/>
      <c r="R23" s="6"/>
      <c r="S23" s="2"/>
      <c r="T23" s="2"/>
      <c r="U23" s="2"/>
      <c r="V23" s="6"/>
      <c r="W23" s="2"/>
      <c r="X23" s="2"/>
      <c r="Y23" s="2"/>
      <c r="Z23" s="6"/>
    </row>
    <row r="24" spans="1:26" s="63" customFormat="1" ht="15" customHeight="1" collapsed="1" x14ac:dyDescent="0.3">
      <c r="A24" s="11"/>
      <c r="B24" s="28" t="s">
        <v>291</v>
      </c>
      <c r="C24" s="11"/>
      <c r="D24" s="5" t="e">
        <f ca="1">SUM(_xll.ONESTOP.REPORTPLAYER.OSRFUNCTIONS.OSRREF(D25))</f>
        <v>#NAME?</v>
      </c>
      <c r="E24" s="5"/>
      <c r="F24" s="13" t="e">
        <f ca="1">IF(D$12=0,0,D24/D$12)</f>
        <v>#NAME?</v>
      </c>
      <c r="G24" s="5"/>
      <c r="H24" s="5" t="e">
        <f ca="1">SUM(_xll.ONESTOP.REPORTPLAYER.OSRFUNCTIONS.OSRREF(H25))</f>
        <v>#NAME?</v>
      </c>
      <c r="I24" s="5"/>
      <c r="J24" s="13" t="e">
        <f ca="1">IF(H$12=0,0,H24/H$12)</f>
        <v>#NAME?</v>
      </c>
      <c r="K24" s="5"/>
      <c r="L24" s="5" t="e">
        <f ca="1">+D24-H24</f>
        <v>#NAME?</v>
      </c>
      <c r="M24" s="5"/>
      <c r="N24" s="13" t="e">
        <f ca="1">IF(H24=0,0,L24/H24)</f>
        <v>#NAME?</v>
      </c>
      <c r="O24" s="11"/>
      <c r="P24" s="5" t="e">
        <f ca="1">SUM(_xll.ONESTOP.REPORTPLAYER.OSRFUNCTIONS.OSRREF(P25))</f>
        <v>#NAME?</v>
      </c>
      <c r="Q24" s="5"/>
      <c r="R24" s="13" t="e">
        <f ca="1">IF(P$12=0,0,P24/P$12)</f>
        <v>#NAME?</v>
      </c>
      <c r="S24" s="5"/>
      <c r="T24" s="5" t="e">
        <f ca="1">SUM(_xll.ONESTOP.REPORTPLAYER.OSRFUNCTIONS.OSRREF(T25))</f>
        <v>#NAME?</v>
      </c>
      <c r="U24" s="5"/>
      <c r="V24" s="13" t="e">
        <f ca="1">IF(T$12=0,0,T24/T$12)</f>
        <v>#NAME?</v>
      </c>
      <c r="W24" s="5"/>
      <c r="X24" s="5" t="e">
        <f ca="1">+P24-T24</f>
        <v>#NAME?</v>
      </c>
      <c r="Y24" s="5"/>
      <c r="Z24" s="13" t="e">
        <f ca="1">IF(T24=0,0,X24/T24)</f>
        <v>#NAME?</v>
      </c>
    </row>
    <row r="25" spans="1:26" s="70" customFormat="1" ht="15" hidden="1" customHeight="1" outlineLevel="1" x14ac:dyDescent="0.3">
      <c r="A25" s="42"/>
      <c r="B25" s="12" t="e">
        <f ca="1">CONCATENATE("          ",_xll.ONESTOP.REPORTPLAYER.OSRFUNCTIONS.OSRGET("d_Account","Code")," - ",_xll.ONESTOP.REPORTPLAYER.OSRFUNCTIONS.OSRGET("d_Account","Description"))</f>
        <v>#NAME?</v>
      </c>
      <c r="C25" s="12"/>
      <c r="D25" s="3" t="e">
        <f ca="1">-_xll.ONESTOP.REPORTPLAYER.OSRFUNCTIONS.OSRGET("GL_F_Trans","Value1")</f>
        <v>#NAME?</v>
      </c>
      <c r="E25" s="3"/>
      <c r="F25" s="20" t="e">
        <f ca="1">IF(D$12=0,0,D25/D$12)</f>
        <v>#NAME?</v>
      </c>
      <c r="G25" s="3"/>
      <c r="H25" s="3" t="e">
        <f ca="1">_xll.ONESTOP.REPORTPLAYER.OSRFUNCTIONS.OSRGET("GL_F_Trans","Value1")</f>
        <v>#NAME?</v>
      </c>
      <c r="I25" s="3"/>
      <c r="J25" s="20" t="e">
        <f ca="1">IF(H$12=0,0,H25/H$12)</f>
        <v>#NAME?</v>
      </c>
      <c r="K25" s="3"/>
      <c r="L25" s="3" t="e">
        <f ca="1">+D25-H25</f>
        <v>#NAME?</v>
      </c>
      <c r="M25" s="3"/>
      <c r="N25" s="20" t="e">
        <f ca="1">IF(H25=0,0,L25/H25)</f>
        <v>#NAME?</v>
      </c>
      <c r="O25" s="12"/>
      <c r="P25" s="3" t="e">
        <f ca="1">-_xll.ONESTOP.REPORTPLAYER.OSRFUNCTIONS.OSRGET("GL_F_Trans","Value1")</f>
        <v>#NAME?</v>
      </c>
      <c r="Q25" s="3"/>
      <c r="R25" s="20" t="e">
        <f ca="1">IF(P$12=0,0,P25/P$12)</f>
        <v>#NAME?</v>
      </c>
      <c r="S25" s="3"/>
      <c r="T25" s="3" t="e">
        <f ca="1">_xll.ONESTOP.REPORTPLAYER.OSRFUNCTIONS.OSRGET("GL_F_Trans","Value1")</f>
        <v>#NAME?</v>
      </c>
      <c r="U25" s="3"/>
      <c r="V25" s="20" t="e">
        <f ca="1">IF(T$12=0,0,T25/T$12)</f>
        <v>#NAME?</v>
      </c>
      <c r="W25" s="3"/>
      <c r="X25" s="3" t="e">
        <f ca="1">+P25-T25</f>
        <v>#NAME?</v>
      </c>
      <c r="Y25" s="3"/>
      <c r="Z25" s="20" t="e">
        <f ca="1">IF(T25=0,0,X25/T25)</f>
        <v>#NAME?</v>
      </c>
    </row>
    <row r="26" spans="1:26" ht="15" customHeight="1" x14ac:dyDescent="0.3">
      <c r="A26" s="10"/>
      <c r="B26" s="11"/>
      <c r="C26" s="11"/>
      <c r="D26" s="4"/>
      <c r="E26" s="4"/>
      <c r="F26" s="9"/>
      <c r="G26" s="4"/>
      <c r="H26" s="4"/>
      <c r="I26" s="4"/>
      <c r="J26" s="9"/>
      <c r="K26" s="4"/>
      <c r="L26" s="4"/>
      <c r="M26" s="4"/>
      <c r="N26" s="9"/>
      <c r="O26" s="11"/>
      <c r="P26" s="4"/>
      <c r="Q26" s="4"/>
      <c r="R26" s="9"/>
      <c r="S26" s="4"/>
      <c r="T26" s="4"/>
      <c r="U26" s="4"/>
      <c r="V26" s="9"/>
      <c r="W26" s="4"/>
      <c r="X26" s="4"/>
      <c r="Y26" s="4"/>
      <c r="Z26" s="9"/>
    </row>
    <row r="27" spans="1:26" s="63" customFormat="1" ht="15" customHeight="1" x14ac:dyDescent="0.3">
      <c r="A27" s="11"/>
      <c r="B27" s="27" t="s">
        <v>292</v>
      </c>
      <c r="C27" s="27"/>
      <c r="D27" s="21" t="e">
        <f ca="1">+D18-D20+D24</f>
        <v>#NAME?</v>
      </c>
      <c r="E27" s="15"/>
      <c r="F27" s="23" t="e">
        <f ca="1">IF(D$12=0,0,D27/D$12)</f>
        <v>#NAME?</v>
      </c>
      <c r="G27" s="15"/>
      <c r="H27" s="21" t="e">
        <f ca="1">+H18-H20+H24</f>
        <v>#NAME?</v>
      </c>
      <c r="I27" s="15"/>
      <c r="J27" s="23" t="e">
        <f ca="1">IF(H$12=0,0,H27/H$12)</f>
        <v>#NAME?</v>
      </c>
      <c r="K27" s="16"/>
      <c r="L27" s="21" t="e">
        <f ca="1">+D27-H27</f>
        <v>#NAME?</v>
      </c>
      <c r="M27" s="16"/>
      <c r="N27" s="23" t="e">
        <f ca="1">IF(H27=0,0,L27/H27)</f>
        <v>#NAME?</v>
      </c>
      <c r="O27" s="28"/>
      <c r="P27" s="21" t="e">
        <f ca="1">+P18-P20+P24</f>
        <v>#NAME?</v>
      </c>
      <c r="Q27" s="15"/>
      <c r="R27" s="23" t="e">
        <f ca="1">IF(P$12=0,0,P27/P$12)</f>
        <v>#NAME?</v>
      </c>
      <c r="S27" s="15"/>
      <c r="T27" s="21" t="e">
        <f ca="1">+T18-T20+T24</f>
        <v>#NAME?</v>
      </c>
      <c r="U27" s="15"/>
      <c r="V27" s="23" t="e">
        <f ca="1">IF(T$12=0,0,T27/T$12)</f>
        <v>#NAME?</v>
      </c>
      <c r="W27" s="16"/>
      <c r="X27" s="21" t="e">
        <f ca="1">+P27-T27</f>
        <v>#NAME?</v>
      </c>
      <c r="Y27" s="16"/>
      <c r="Z27" s="23" t="e">
        <f ca="1">IF(T27=0,0,X27/T27)</f>
        <v>#NAME?</v>
      </c>
    </row>
    <row r="28" spans="1:26" ht="15" customHeight="1" x14ac:dyDescent="0.3">
      <c r="A28" s="10"/>
      <c r="B28" s="11"/>
      <c r="C28" s="10"/>
      <c r="D28" s="4"/>
      <c r="E28" s="4"/>
      <c r="F28" s="9"/>
      <c r="G28" s="4"/>
      <c r="H28" s="4"/>
      <c r="I28" s="4"/>
      <c r="J28" s="9"/>
      <c r="K28" s="4"/>
      <c r="L28" s="4"/>
      <c r="M28" s="4"/>
      <c r="N28" s="9"/>
      <c r="P28" s="4"/>
      <c r="Q28" s="4"/>
      <c r="R28" s="9"/>
      <c r="S28" s="4"/>
      <c r="T28" s="4"/>
      <c r="U28" s="4"/>
      <c r="V28" s="9"/>
      <c r="W28" s="4"/>
      <c r="X28" s="4"/>
      <c r="Y28" s="4"/>
      <c r="Z28" s="9"/>
    </row>
    <row r="29" spans="1:26" s="63" customFormat="1" ht="15" customHeight="1" x14ac:dyDescent="0.3">
      <c r="A29" s="49"/>
      <c r="B29" s="11" t="s">
        <v>293</v>
      </c>
      <c r="C29" s="11"/>
      <c r="D29" s="5" t="e">
        <f ca="1">_xll.ONESTOP.REPORTPLAYER.OSRFUNCTIONS.OSRGET("GL_F_Trans","Value1")</f>
        <v>#NAME?</v>
      </c>
      <c r="E29" s="5"/>
      <c r="F29" s="13" t="e">
        <f ca="1">IF(D$12=0,0,D29/D$12)</f>
        <v>#NAME?</v>
      </c>
      <c r="G29" s="5"/>
      <c r="H29" s="5" t="e">
        <f ca="1">_xll.ONESTOP.REPORTPLAYER.OSRFUNCTIONS.OSRGET("GL_F_Trans","Value1")</f>
        <v>#NAME?</v>
      </c>
      <c r="I29" s="5"/>
      <c r="J29" s="13" t="e">
        <f ca="1">IF(H$12=0,0,H29/H$12)</f>
        <v>#NAME?</v>
      </c>
      <c r="K29" s="5"/>
      <c r="L29" s="5" t="e">
        <f ca="1">+D29-H29</f>
        <v>#NAME?</v>
      </c>
      <c r="M29" s="5"/>
      <c r="N29" s="13" t="e">
        <f ca="1">IF(H29=0,0,L29/H29)</f>
        <v>#NAME?</v>
      </c>
      <c r="O29" s="11"/>
      <c r="P29" s="5" t="e">
        <f ca="1">_xll.ONESTOP.REPORTPLAYER.OSRFUNCTIONS.OSRGET("GL_F_Trans","Value1")</f>
        <v>#NAME?</v>
      </c>
      <c r="Q29" s="5"/>
      <c r="R29" s="13" t="e">
        <f ca="1">IF(P$12=0,0,P29/P$12)</f>
        <v>#NAME?</v>
      </c>
      <c r="S29" s="5"/>
      <c r="T29" s="5" t="e">
        <f ca="1">_xll.ONESTOP.REPORTPLAYER.OSRFUNCTIONS.OSRGET("GL_F_Trans","Value1")</f>
        <v>#NAME?</v>
      </c>
      <c r="U29" s="5"/>
      <c r="V29" s="13" t="e">
        <f ca="1">IF(T$12=0,0,T29/T$12)</f>
        <v>#NAME?</v>
      </c>
      <c r="W29" s="5"/>
      <c r="X29" s="5" t="e">
        <f ca="1">+P29-T29</f>
        <v>#NAME?</v>
      </c>
      <c r="Y29" s="5"/>
      <c r="Z29" s="13" t="e">
        <f ca="1">IF(T29=0,0,X29/T29)</f>
        <v>#NAME?</v>
      </c>
    </row>
    <row r="30" spans="1:26" ht="15" customHeight="1" x14ac:dyDescent="0.3">
      <c r="A30" s="10"/>
      <c r="B30" s="11"/>
      <c r="C30" s="11"/>
      <c r="D30" s="4"/>
      <c r="E30" s="4"/>
      <c r="F30" s="9"/>
      <c r="G30" s="4"/>
      <c r="H30" s="4"/>
      <c r="I30" s="4"/>
      <c r="J30" s="9"/>
      <c r="K30" s="4"/>
      <c r="L30" s="4"/>
      <c r="M30" s="4"/>
      <c r="N30" s="9"/>
      <c r="O30" s="11"/>
      <c r="P30" s="4"/>
      <c r="Q30" s="4"/>
      <c r="R30" s="9"/>
      <c r="S30" s="4"/>
      <c r="T30" s="4"/>
      <c r="U30" s="4"/>
      <c r="V30" s="9"/>
      <c r="W30" s="4"/>
      <c r="X30" s="4"/>
      <c r="Y30" s="4"/>
      <c r="Z30" s="9"/>
    </row>
    <row r="31" spans="1:26" s="63" customFormat="1" ht="15" customHeight="1" x14ac:dyDescent="0.3">
      <c r="A31" s="11"/>
      <c r="B31" s="27" t="s">
        <v>294</v>
      </c>
      <c r="C31" s="27"/>
      <c r="D31" s="34" t="e">
        <f ca="1">+D27-D29</f>
        <v>#NAME?</v>
      </c>
      <c r="E31" s="15"/>
      <c r="F31" s="29" t="e">
        <f ca="1">IF(D$12=0,0,D31/D$12)</f>
        <v>#NAME?</v>
      </c>
      <c r="G31" s="15"/>
      <c r="H31" s="34" t="e">
        <f ca="1">+H27-H29</f>
        <v>#NAME?</v>
      </c>
      <c r="I31" s="15"/>
      <c r="J31" s="29" t="e">
        <f ca="1">IF(H$12=0,0,H31/H$12)</f>
        <v>#NAME?</v>
      </c>
      <c r="K31" s="16"/>
      <c r="L31" s="34" t="e">
        <f ca="1">D31-H31</f>
        <v>#NAME?</v>
      </c>
      <c r="M31" s="16"/>
      <c r="N31" s="29" t="e">
        <f ca="1">IF(H31=0,0,L31/H31)</f>
        <v>#NAME?</v>
      </c>
      <c r="O31" s="28"/>
      <c r="P31" s="34" t="e">
        <f ca="1">+P27-P29</f>
        <v>#NAME?</v>
      </c>
      <c r="Q31" s="15"/>
      <c r="R31" s="29" t="e">
        <f ca="1">IF(P$12=0,0,P31/P$12)</f>
        <v>#NAME?</v>
      </c>
      <c r="S31" s="15"/>
      <c r="T31" s="34" t="e">
        <f ca="1">+T27-T29</f>
        <v>#NAME?</v>
      </c>
      <c r="U31" s="15"/>
      <c r="V31" s="29" t="e">
        <f ca="1">IF(T$12=0,0,T31/T$12)</f>
        <v>#NAME?</v>
      </c>
      <c r="W31" s="16"/>
      <c r="X31" s="34" t="e">
        <f ca="1">P31-T31</f>
        <v>#NAME?</v>
      </c>
      <c r="Y31" s="16"/>
      <c r="Z31" s="29" t="e">
        <f ca="1">IF(T31=0,0,X31/T31)</f>
        <v>#NAME?</v>
      </c>
    </row>
    <row r="32" spans="1:26" ht="15" customHeight="1" x14ac:dyDescent="0.3">
      <c r="A32" s="10"/>
      <c r="B32" s="10"/>
      <c r="C32" s="10"/>
      <c r="D32" s="4"/>
      <c r="E32" s="4"/>
      <c r="F32" s="9"/>
      <c r="G32" s="4"/>
      <c r="H32" s="4"/>
      <c r="I32" s="4"/>
      <c r="J32" s="9"/>
      <c r="K32" s="4"/>
      <c r="L32" s="4"/>
      <c r="M32" s="4"/>
      <c r="N32" s="9"/>
      <c r="P32" s="4"/>
      <c r="Q32" s="4"/>
      <c r="R32" s="9"/>
      <c r="S32" s="4"/>
      <c r="T32" s="4"/>
      <c r="U32" s="4"/>
      <c r="V32" s="9"/>
      <c r="W32" s="4"/>
      <c r="X32" s="4"/>
      <c r="Y32" s="4"/>
      <c r="Z32" s="9"/>
    </row>
    <row r="33" spans="1:26" s="63" customFormat="1" ht="15" customHeight="1" x14ac:dyDescent="0.3">
      <c r="A33" s="49"/>
      <c r="B33" s="11" t="s">
        <v>295</v>
      </c>
      <c r="C33" s="11"/>
      <c r="D33" s="5" t="e">
        <f ca="1">-_xll.ONESTOP.REPORTPLAYER.OSRFUNCTIONS.OSRGET("GL_F_Trans","Value1")</f>
        <v>#NAME?</v>
      </c>
      <c r="E33" s="5"/>
      <c r="F33" s="13" t="e">
        <f ca="1">IF(D$12=0,0,D33/D$12)</f>
        <v>#NAME?</v>
      </c>
      <c r="G33" s="5"/>
      <c r="H33" s="5" t="e">
        <f ca="1">-_xll.ONESTOP.REPORTPLAYER.OSRFUNCTIONS.OSRGET("GL_F_Trans","Value1")</f>
        <v>#NAME?</v>
      </c>
      <c r="I33" s="5"/>
      <c r="J33" s="13" t="e">
        <f ca="1">IF(H$12=0,0,H33/H$12)</f>
        <v>#NAME?</v>
      </c>
      <c r="K33" s="5"/>
      <c r="L33" s="5" t="e">
        <f ca="1">+D33-H33</f>
        <v>#NAME?</v>
      </c>
      <c r="M33" s="5"/>
      <c r="N33" s="13" t="e">
        <f ca="1">IF(H33=0,0,L33/H33)</f>
        <v>#NAME?</v>
      </c>
      <c r="O33" s="11"/>
      <c r="P33" s="5" t="e">
        <f ca="1">-_xll.ONESTOP.REPORTPLAYER.OSRFUNCTIONS.OSRGET("GL_F_Trans","Value1")</f>
        <v>#NAME?</v>
      </c>
      <c r="Q33" s="5"/>
      <c r="R33" s="13" t="e">
        <f ca="1">IF(P$12=0,0,P33/P$12)</f>
        <v>#NAME?</v>
      </c>
      <c r="S33" s="5"/>
      <c r="T33" s="5" t="e">
        <f ca="1">-_xll.ONESTOP.REPORTPLAYER.OSRFUNCTIONS.OSRGET("GL_F_Trans","Value1")</f>
        <v>#NAME?</v>
      </c>
      <c r="U33" s="5"/>
      <c r="V33" s="13" t="e">
        <f ca="1">IF(T$12=0,0,T33/T$12)</f>
        <v>#NAME?</v>
      </c>
      <c r="W33" s="5"/>
      <c r="X33" s="5" t="e">
        <f ca="1">+P33-T33</f>
        <v>#NAME?</v>
      </c>
      <c r="Y33" s="5"/>
      <c r="Z33" s="13" t="e">
        <f ca="1">IF(T33=0,0,X33/T33)</f>
        <v>#NAME?</v>
      </c>
    </row>
    <row r="34" spans="1:26" s="63" customFormat="1" ht="15" customHeight="1" x14ac:dyDescent="0.3">
      <c r="A34" s="49"/>
      <c r="B34" s="11" t="s">
        <v>296</v>
      </c>
      <c r="C34" s="11"/>
      <c r="D34" s="5" t="e">
        <f ca="1">-_xll.ONESTOP.REPORTPLAYER.OSRFUNCTIONS.OSRGET("GL_F_Trans","Value1")</f>
        <v>#NAME?</v>
      </c>
      <c r="E34" s="5"/>
      <c r="F34" s="13" t="e">
        <f ca="1">IF(D$12=0,0,D34/D$12)</f>
        <v>#NAME?</v>
      </c>
      <c r="G34" s="5"/>
      <c r="H34" s="5" t="e">
        <f ca="1">-_xll.ONESTOP.REPORTPLAYER.OSRFUNCTIONS.OSRGET("GL_F_Trans","Value1")</f>
        <v>#NAME?</v>
      </c>
      <c r="I34" s="5"/>
      <c r="J34" s="13" t="e">
        <f ca="1">IF(H$12=0,0,H34/H$12)</f>
        <v>#NAME?</v>
      </c>
      <c r="K34" s="5"/>
      <c r="L34" s="5" t="e">
        <f ca="1">+D34-H34</f>
        <v>#NAME?</v>
      </c>
      <c r="M34" s="5"/>
      <c r="N34" s="13" t="e">
        <f ca="1">IF(H34=0,0,L34/H34)</f>
        <v>#NAME?</v>
      </c>
      <c r="O34" s="11"/>
      <c r="P34" s="5" t="e">
        <f ca="1">-_xll.ONESTOP.REPORTPLAYER.OSRFUNCTIONS.OSRGET("GL_F_Trans","Value1")</f>
        <v>#NAME?</v>
      </c>
      <c r="Q34" s="5"/>
      <c r="R34" s="13" t="e">
        <f ca="1">IF(P$12=0,0,P34/P$12)</f>
        <v>#NAME?</v>
      </c>
      <c r="S34" s="5"/>
      <c r="T34" s="5" t="e">
        <f ca="1">-_xll.ONESTOP.REPORTPLAYER.OSRFUNCTIONS.OSRGET("GL_F_Trans","Value1")</f>
        <v>#NAME?</v>
      </c>
      <c r="U34" s="5"/>
      <c r="V34" s="13" t="e">
        <f ca="1">IF(T$12=0,0,T34/T$12)</f>
        <v>#NAME?</v>
      </c>
      <c r="W34" s="5"/>
      <c r="X34" s="5" t="e">
        <f ca="1">+P34-T34</f>
        <v>#NAME?</v>
      </c>
      <c r="Y34" s="5"/>
      <c r="Z34" s="13" t="e">
        <f ca="1">IF(T34=0,0,X34/T34)</f>
        <v>#NAME?</v>
      </c>
    </row>
    <row r="35" spans="1:26" ht="15" customHeight="1" x14ac:dyDescent="0.3">
      <c r="A35" s="10"/>
      <c r="B35" s="10"/>
      <c r="C35" s="10"/>
      <c r="D35" s="4"/>
      <c r="E35" s="4"/>
      <c r="F35" s="9"/>
      <c r="G35" s="4"/>
      <c r="H35" s="4"/>
      <c r="I35" s="4"/>
      <c r="J35" s="9"/>
      <c r="K35" s="4"/>
      <c r="L35" s="4"/>
      <c r="M35" s="4"/>
      <c r="N35" s="9"/>
      <c r="P35" s="4"/>
      <c r="Q35" s="4"/>
      <c r="R35" s="9"/>
      <c r="S35" s="4"/>
      <c r="T35" s="4"/>
      <c r="U35" s="4"/>
      <c r="V35" s="9"/>
      <c r="W35" s="4"/>
      <c r="X35" s="4"/>
      <c r="Y35" s="4"/>
      <c r="Z35" s="9"/>
    </row>
    <row r="36" spans="1:26" s="63" customFormat="1" ht="15" customHeight="1" x14ac:dyDescent="0.3">
      <c r="A36" s="11"/>
      <c r="B36" s="27" t="s">
        <v>297</v>
      </c>
      <c r="C36" s="27"/>
      <c r="D36" s="32" t="e">
        <f ca="1">SUM(D31:D35)</f>
        <v>#NAME?</v>
      </c>
      <c r="E36" s="15"/>
      <c r="F36" s="31" t="e">
        <f ca="1">IF(D$12=0,0,D36/D$12)</f>
        <v>#NAME?</v>
      </c>
      <c r="G36" s="15"/>
      <c r="H36" s="32" t="e">
        <f ca="1">SUM(H31:H35)</f>
        <v>#NAME?</v>
      </c>
      <c r="I36" s="15"/>
      <c r="J36" s="31" t="e">
        <f ca="1">IF(H$12=0,0,H36/H$12)</f>
        <v>#NAME?</v>
      </c>
      <c r="K36" s="16"/>
      <c r="L36" s="32" t="e">
        <f ca="1">+D36-H36</f>
        <v>#NAME?</v>
      </c>
      <c r="M36" s="16"/>
      <c r="N36" s="31" t="e">
        <f ca="1">IF(H36=0,0,L36/H36)</f>
        <v>#NAME?</v>
      </c>
      <c r="O36" s="28"/>
      <c r="P36" s="32" t="e">
        <f ca="1">SUM(P31:P35)</f>
        <v>#NAME?</v>
      </c>
      <c r="Q36" s="15"/>
      <c r="R36" s="31" t="e">
        <f ca="1">IF(P$12=0,0,P36/P$12)</f>
        <v>#NAME?</v>
      </c>
      <c r="S36" s="15"/>
      <c r="T36" s="32" t="e">
        <f ca="1">SUM(T31:T35)</f>
        <v>#NAME?</v>
      </c>
      <c r="U36" s="15"/>
      <c r="V36" s="31" t="e">
        <f ca="1">IF(T$12=0,0,T36/T$12)</f>
        <v>#NAME?</v>
      </c>
      <c r="W36" s="16"/>
      <c r="X36" s="32" t="e">
        <f ca="1">+P36-T36</f>
        <v>#NAME?</v>
      </c>
      <c r="Y36" s="16"/>
      <c r="Z36" s="31" t="e">
        <f ca="1">IF(T36=0,0,X36/T36)</f>
        <v>#NAME?</v>
      </c>
    </row>
    <row r="37" spans="1:26" ht="15" customHeight="1" x14ac:dyDescent="0.3">
      <c r="A37" s="10"/>
      <c r="C37" s="10"/>
      <c r="D37" s="19"/>
      <c r="E37" s="19"/>
      <c r="G37" s="19"/>
      <c r="H37" s="19"/>
      <c r="I37" s="19"/>
      <c r="J37" s="40"/>
      <c r="K37" s="19"/>
      <c r="L37" s="19"/>
      <c r="M37" s="19"/>
      <c r="P37" s="19"/>
      <c r="Q37" s="19"/>
      <c r="R37" s="40"/>
      <c r="S37" s="19"/>
      <c r="T37" s="19"/>
      <c r="U37" s="19"/>
      <c r="V37" s="40"/>
      <c r="W37" s="19"/>
      <c r="X37" s="19"/>
    </row>
    <row r="38" spans="1:26" ht="15" customHeight="1" x14ac:dyDescent="0.3">
      <c r="A38" s="10"/>
      <c r="B38" s="51" t="e">
        <f ca="1">_xll.ONESTOP.REPORTPLAYER.OSRFUNCTIONS.OSRGET("CurrentDate","Date")</f>
        <v>#NAME?</v>
      </c>
      <c r="D38" s="19"/>
      <c r="E38" s="19"/>
      <c r="G38" s="19"/>
      <c r="H38" s="19"/>
      <c r="I38" s="19"/>
      <c r="J38" s="40"/>
      <c r="K38" s="19"/>
      <c r="L38" s="19"/>
      <c r="M38" s="19"/>
      <c r="P38" s="19"/>
      <c r="Q38" s="19"/>
      <c r="R38" s="40"/>
      <c r="S38" s="19"/>
      <c r="T38" s="19"/>
      <c r="U38" s="19"/>
      <c r="V38" s="40"/>
      <c r="W38" s="19"/>
      <c r="X38" s="19"/>
    </row>
    <row r="39" spans="1:26" ht="15" customHeight="1" x14ac:dyDescent="0.3">
      <c r="A39" s="10"/>
      <c r="B39" s="58" t="e">
        <f ca="1">_xll.ONESTOP.REPORTPLAYER.OSRFUNCTIONS.OSRGET("User","UserId")</f>
        <v>#NAME?</v>
      </c>
      <c r="D39" s="19"/>
      <c r="E39" s="19"/>
      <c r="G39" s="19"/>
      <c r="H39" s="19"/>
      <c r="I39" s="19"/>
      <c r="J39" s="40"/>
      <c r="K39" s="19"/>
      <c r="L39" s="19"/>
      <c r="M39" s="19"/>
      <c r="P39" s="19"/>
      <c r="Q39" s="19"/>
      <c r="R39" s="40"/>
      <c r="S39" s="19"/>
      <c r="T39" s="19"/>
      <c r="U39" s="19"/>
      <c r="V39" s="40"/>
      <c r="W39" s="19"/>
      <c r="X39" s="19"/>
    </row>
    <row r="40" spans="1:26" ht="15" customHeight="1" x14ac:dyDescent="0.3">
      <c r="A40" s="10"/>
      <c r="B40" s="50"/>
      <c r="D40" s="19"/>
      <c r="E40" s="19"/>
      <c r="G40" s="19"/>
      <c r="H40" s="19"/>
      <c r="I40" s="19"/>
      <c r="J40" s="40"/>
      <c r="K40" s="19"/>
      <c r="L40" s="19"/>
      <c r="M40" s="19"/>
      <c r="P40" s="19"/>
      <c r="Q40" s="19"/>
      <c r="R40" s="40"/>
      <c r="S40" s="19"/>
      <c r="T40" s="19"/>
      <c r="U40" s="19"/>
      <c r="V40" s="40"/>
      <c r="W40" s="19"/>
      <c r="X40" s="19"/>
    </row>
    <row r="41" spans="1:26" ht="15" customHeight="1" x14ac:dyDescent="0.3">
      <c r="D41" s="19"/>
      <c r="E41" s="19"/>
      <c r="G41" s="19"/>
      <c r="H41" s="19"/>
      <c r="I41" s="19"/>
      <c r="J41" s="40"/>
      <c r="K41" s="19"/>
      <c r="L41" s="19"/>
      <c r="M41" s="19"/>
      <c r="P41" s="19"/>
      <c r="Q41" s="19"/>
      <c r="R41" s="40"/>
      <c r="S41" s="19"/>
      <c r="T41" s="19"/>
      <c r="U41" s="19"/>
      <c r="V41" s="40"/>
      <c r="W41" s="19"/>
      <c r="X41" s="19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574C42-69B9-9DB8-58CF-A6F4CB67FBC8}">
  <sheetPr>
    <tabColor rgb="FFFFFF00"/>
    <outlinePr summaryBelow="0" summaryRight="0"/>
  </sheetPr>
  <dimension ref="A2:Z41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6" customWidth="1"/>
    <col min="2" max="2" width="33.44140625" style="66" customWidth="1"/>
    <col min="3" max="3" width="1.88671875" style="66" customWidth="1"/>
    <col min="4" max="4" width="15" style="66" customWidth="1"/>
    <col min="5" max="5" width="1.88671875" style="66" customWidth="1" outlineLevel="1"/>
    <col min="6" max="6" width="15" style="67" customWidth="1" outlineLevel="1"/>
    <col min="7" max="7" width="1.88671875" style="66" customWidth="1" outlineLevel="1"/>
    <col min="8" max="8" width="15" style="66" customWidth="1" outlineLevel="1"/>
    <col min="9" max="9" width="1.88671875" style="66" customWidth="1" outlineLevel="1"/>
    <col min="10" max="10" width="15" style="68" customWidth="1" outlineLevel="1"/>
    <col min="11" max="11" width="1.88671875" style="66" customWidth="1" outlineLevel="1"/>
    <col min="12" max="12" width="15" style="66" customWidth="1" outlineLevel="1"/>
    <col min="13" max="13" width="1.88671875" style="66" customWidth="1" outlineLevel="1"/>
    <col min="14" max="14" width="15" style="67" customWidth="1" outlineLevel="1"/>
    <col min="15" max="15" width="1.88671875" style="64" customWidth="1"/>
    <col min="16" max="16" width="15" style="66" customWidth="1"/>
    <col min="17" max="17" width="1.88671875" style="66" customWidth="1" outlineLevel="1"/>
    <col min="18" max="18" width="15" style="68" customWidth="1" outlineLevel="1"/>
    <col min="19" max="19" width="1.88671875" style="66" customWidth="1" outlineLevel="1"/>
    <col min="20" max="20" width="15" style="66" customWidth="1" outlineLevel="1"/>
    <col min="21" max="21" width="1.88671875" style="66" customWidth="1" outlineLevel="1"/>
    <col min="22" max="22" width="15" style="68" customWidth="1" outlineLevel="1"/>
    <col min="23" max="23" width="1.88671875" style="66" customWidth="1" outlineLevel="1"/>
    <col min="24" max="24" width="15" style="66" customWidth="1" outlineLevel="1"/>
    <col min="25" max="25" width="1.88671875" style="66" customWidth="1" outlineLevel="1"/>
    <col min="26" max="26" width="15" style="68" customWidth="1" outlineLevel="1"/>
  </cols>
  <sheetData>
    <row r="2" spans="1:26" ht="15" customHeight="1" x14ac:dyDescent="0.3">
      <c r="D2" s="54" t="s">
        <v>276</v>
      </c>
    </row>
    <row r="3" spans="1:26" ht="15" customHeight="1" x14ac:dyDescent="0.3">
      <c r="D3" s="54" t="s">
        <v>277</v>
      </c>
      <c r="E3" s="18"/>
      <c r="F3" s="44"/>
      <c r="G3" s="18"/>
      <c r="H3" s="18"/>
      <c r="I3" s="18"/>
      <c r="J3" s="38"/>
      <c r="K3" s="18"/>
      <c r="L3" s="18"/>
      <c r="M3" s="18"/>
      <c r="N3" s="44"/>
      <c r="O3" s="53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ht="15" customHeight="1" x14ac:dyDescent="0.3">
      <c r="D4" s="54" t="e">
        <f ca="1">CONCATENATE("Period ",RIGHT(_xll.ONESTOP.REPORTPLAYER.OSRFUNCTIONS.OSRGET("Period","PeriodId"),2),", ",_xll.ONESTOP.REPORTPLAYER.OSRFUNCTIONS.OSRGET("Period","Year"))</f>
        <v>#NAME?</v>
      </c>
      <c r="E4" s="18"/>
      <c r="F4" s="44"/>
      <c r="G4" s="18"/>
      <c r="H4" s="18"/>
      <c r="I4" s="18"/>
      <c r="J4" s="38"/>
      <c r="K4" s="18"/>
      <c r="L4" s="18"/>
      <c r="M4" s="18"/>
      <c r="N4" s="44"/>
      <c r="O4" s="53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ht="15" customHeight="1" x14ac:dyDescent="0.3">
      <c r="A5" s="24"/>
      <c r="D5" s="61" t="e">
        <f ca="1">_xll.ONESTOP.REPORTPLAYER.OSRFUNCTIONS.OSRGET("Period","PeriodEnd")</f>
        <v>#NAME?</v>
      </c>
      <c r="E5" s="18"/>
      <c r="F5" s="44"/>
      <c r="G5" s="18"/>
      <c r="H5" s="18"/>
      <c r="I5" s="18"/>
      <c r="J5" s="38"/>
      <c r="K5" s="18"/>
      <c r="L5" s="18"/>
      <c r="M5" s="18"/>
      <c r="N5" s="44"/>
      <c r="O5" s="53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ht="15" customHeight="1" x14ac:dyDescent="0.3">
      <c r="A6" s="24"/>
      <c r="B6" s="47"/>
      <c r="C6" s="47"/>
      <c r="D6" s="24" t="s">
        <v>312</v>
      </c>
      <c r="E6" s="18"/>
      <c r="F6" s="44"/>
      <c r="G6" s="18"/>
      <c r="H6" s="18"/>
      <c r="I6" s="18"/>
      <c r="J6" s="38"/>
      <c r="K6" s="18"/>
      <c r="L6" s="18"/>
      <c r="M6" s="18"/>
      <c r="N6" s="44"/>
      <c r="O6" s="59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ht="15" customHeight="1" x14ac:dyDescent="0.3">
      <c r="B7" s="52"/>
    </row>
    <row r="8" spans="1:26" ht="15" customHeight="1" x14ac:dyDescent="0.3">
      <c r="B8" s="52"/>
    </row>
    <row r="9" spans="1:26" ht="15" customHeight="1" x14ac:dyDescent="0.3">
      <c r="B9" s="10"/>
      <c r="C9" s="10"/>
      <c r="D9" s="17" t="s">
        <v>279</v>
      </c>
      <c r="E9" s="17"/>
      <c r="F9" s="36"/>
      <c r="G9" s="17"/>
      <c r="H9" s="17"/>
      <c r="I9" s="17"/>
      <c r="J9" s="43"/>
      <c r="K9" s="17"/>
      <c r="L9" s="17"/>
      <c r="M9" s="17"/>
      <c r="N9" s="36"/>
      <c r="P9" s="17" t="s">
        <v>280</v>
      </c>
      <c r="Q9" s="17"/>
      <c r="R9" s="36"/>
      <c r="S9" s="17"/>
      <c r="T9" s="17"/>
      <c r="U9" s="17"/>
      <c r="V9" s="43"/>
      <c r="W9" s="17"/>
      <c r="X9" s="17"/>
      <c r="Y9" s="17"/>
      <c r="Z9" s="36"/>
    </row>
    <row r="10" spans="1:26" ht="15" customHeight="1" x14ac:dyDescent="0.3">
      <c r="A10" s="11"/>
      <c r="B10" s="57"/>
      <c r="C10" s="11"/>
      <c r="D10" s="41" t="s">
        <v>281</v>
      </c>
      <c r="E10" s="33"/>
      <c r="F10" s="37" t="s">
        <v>282</v>
      </c>
      <c r="G10" s="33"/>
      <c r="H10" s="48" t="s">
        <v>283</v>
      </c>
      <c r="I10" s="33"/>
      <c r="J10" s="45" t="s">
        <v>284</v>
      </c>
      <c r="K10" s="11"/>
      <c r="L10" s="41" t="s">
        <v>285</v>
      </c>
      <c r="M10" s="11"/>
      <c r="N10" s="37" t="s">
        <v>286</v>
      </c>
      <c r="O10" s="11"/>
      <c r="P10" s="56" t="s">
        <v>281</v>
      </c>
      <c r="Q10" s="33"/>
      <c r="R10" s="37" t="s">
        <v>282</v>
      </c>
      <c r="S10" s="33"/>
      <c r="T10" s="48" t="s">
        <v>283</v>
      </c>
      <c r="U10" s="33"/>
      <c r="V10" s="45" t="s">
        <v>284</v>
      </c>
      <c r="W10" s="11"/>
      <c r="X10" s="41" t="s">
        <v>285</v>
      </c>
      <c r="Y10" s="11"/>
      <c r="Z10" s="37" t="s">
        <v>286</v>
      </c>
    </row>
    <row r="11" spans="1:26" ht="16.5" customHeight="1" x14ac:dyDescent="0.3">
      <c r="A11" s="10"/>
      <c r="B11" s="55"/>
      <c r="C11" s="10"/>
      <c r="D11" s="10"/>
      <c r="E11" s="10"/>
      <c r="F11" s="9"/>
      <c r="G11" s="10"/>
      <c r="H11" s="10"/>
      <c r="I11" s="10"/>
      <c r="J11" s="46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6"/>
      <c r="W11" s="10"/>
      <c r="X11" s="10"/>
      <c r="Y11" s="10"/>
      <c r="Z11" s="9"/>
    </row>
    <row r="12" spans="1:26" s="63" customFormat="1" ht="15" customHeight="1" collapsed="1" x14ac:dyDescent="0.3">
      <c r="A12" s="11"/>
      <c r="B12" s="28" t="s">
        <v>287</v>
      </c>
      <c r="C12" s="11"/>
      <c r="D12" s="5" t="e">
        <f ca="1">SUM(_xll.ONESTOP.REPORTPLAYER.OSRFUNCTIONS.OSRREF(D13))</f>
        <v>#NAME?</v>
      </c>
      <c r="E12" s="5"/>
      <c r="F12" s="13"/>
      <c r="G12" s="5"/>
      <c r="H12" s="5" t="e">
        <f ca="1">SUM(_xll.ONESTOP.REPORTPLAYER.OSRFUNCTIONS.OSRREF(H13))</f>
        <v>#NAME?</v>
      </c>
      <c r="I12" s="5"/>
      <c r="J12" s="13"/>
      <c r="K12" s="5"/>
      <c r="L12" s="5" t="e">
        <f ca="1">+D12-H12</f>
        <v>#NAME?</v>
      </c>
      <c r="M12" s="5"/>
      <c r="N12" s="13" t="e">
        <f ca="1">IF(H12=0,0,L12/H12)</f>
        <v>#NAME?</v>
      </c>
      <c r="O12" s="11"/>
      <c r="P12" s="5" t="e">
        <f ca="1">SUM(_xll.ONESTOP.REPORTPLAYER.OSRFUNCTIONS.OSRREF(P13))</f>
        <v>#NAME?</v>
      </c>
      <c r="Q12" s="5"/>
      <c r="R12" s="13"/>
      <c r="S12" s="5"/>
      <c r="T12" s="5" t="e">
        <f ca="1">SUM(_xll.ONESTOP.REPORTPLAYER.OSRFUNCTIONS.OSRREF(T13))</f>
        <v>#NAME?</v>
      </c>
      <c r="U12" s="5"/>
      <c r="V12" s="13"/>
      <c r="W12" s="5"/>
      <c r="X12" s="5" t="e">
        <f ca="1">+P12-T12</f>
        <v>#NAME?</v>
      </c>
      <c r="Y12" s="5"/>
      <c r="Z12" s="13" t="e">
        <f ca="1">IF(T12=0,0,X12/T12)</f>
        <v>#NAME?</v>
      </c>
    </row>
    <row r="13" spans="1:26" s="70" customFormat="1" ht="15" hidden="1" customHeight="1" outlineLevel="1" x14ac:dyDescent="0.3">
      <c r="A13" s="42"/>
      <c r="B13" s="12" t="e">
        <f ca="1">CONCATENATE("          ",_xll.ONESTOP.REPORTPLAYER.OSRFUNCTIONS.OSRGET("d_Account","Code")," - ",_xll.ONESTOP.REPORTPLAYER.OSRFUNCTIONS.OSRGET("d_Account","Description"))</f>
        <v>#NAME?</v>
      </c>
      <c r="C13" s="12"/>
      <c r="D13" s="3" t="e">
        <f ca="1">-_xll.ONESTOP.REPORTPLAYER.OSRFUNCTIONS.OSRGET("GL_F_Trans","Value1")</f>
        <v>#NAME?</v>
      </c>
      <c r="E13" s="3"/>
      <c r="F13" s="20"/>
      <c r="G13" s="3"/>
      <c r="H13" s="3" t="e">
        <f ca="1">_xll.ONESTOP.REPORTPLAYER.OSRFUNCTIONS.OSRGET("GL_F_Trans","Value1")</f>
        <v>#NAME?</v>
      </c>
      <c r="I13" s="3"/>
      <c r="J13" s="20"/>
      <c r="K13" s="3"/>
      <c r="L13" s="3" t="e">
        <f ca="1">+D13-H13</f>
        <v>#NAME?</v>
      </c>
      <c r="M13" s="3"/>
      <c r="N13" s="20" t="e">
        <f ca="1">IF(H13=0,0,L13/H13)</f>
        <v>#NAME?</v>
      </c>
      <c r="O13" s="12"/>
      <c r="P13" s="3" t="e">
        <f ca="1">-_xll.ONESTOP.REPORTPLAYER.OSRFUNCTIONS.OSRGET("GL_F_Trans","Value1")</f>
        <v>#NAME?</v>
      </c>
      <c r="Q13" s="3"/>
      <c r="R13" s="20"/>
      <c r="S13" s="3"/>
      <c r="T13" s="3" t="e">
        <f ca="1">_xll.ONESTOP.REPORTPLAYER.OSRFUNCTIONS.OSRGET("GL_F_Trans","Value1")</f>
        <v>#NAME?</v>
      </c>
      <c r="U13" s="3"/>
      <c r="V13" s="20"/>
      <c r="W13" s="3"/>
      <c r="X13" s="3" t="e">
        <f ca="1">+P13-T13</f>
        <v>#NAME?</v>
      </c>
      <c r="Y13" s="3"/>
      <c r="Z13" s="20" t="e">
        <f ca="1">IF(T13=0,0,X13/T13)</f>
        <v>#NAME?</v>
      </c>
    </row>
    <row r="14" spans="1:26" ht="15" customHeight="1" x14ac:dyDescent="0.3">
      <c r="A14" s="10"/>
      <c r="B14" s="11"/>
      <c r="C14" s="10"/>
      <c r="D14" s="4"/>
      <c r="E14" s="4"/>
      <c r="F14" s="9"/>
      <c r="G14" s="4"/>
      <c r="H14" s="4"/>
      <c r="I14" s="4"/>
      <c r="J14" s="9"/>
      <c r="K14" s="4"/>
      <c r="L14" s="4"/>
      <c r="M14" s="4"/>
      <c r="N14" s="9"/>
      <c r="P14" s="4"/>
      <c r="Q14" s="4"/>
      <c r="R14" s="9"/>
      <c r="S14" s="4"/>
      <c r="T14" s="4"/>
      <c r="U14" s="4"/>
      <c r="V14" s="9"/>
      <c r="W14" s="4"/>
      <c r="X14" s="4"/>
      <c r="Y14" s="4"/>
      <c r="Z14" s="9"/>
    </row>
    <row r="15" spans="1:26" s="63" customFormat="1" ht="15" customHeight="1" collapsed="1" x14ac:dyDescent="0.3">
      <c r="A15" s="11"/>
      <c r="B15" s="28" t="s">
        <v>288</v>
      </c>
      <c r="C15" s="11"/>
      <c r="D15" s="5" t="e">
        <f ca="1">SUM(_xll.ONESTOP.REPORTPLAYER.OSRFUNCTIONS.OSRREF(D16))</f>
        <v>#NAME?</v>
      </c>
      <c r="E15" s="5"/>
      <c r="F15" s="13" t="e">
        <f ca="1">IF(D$12=0,0,D15/D$12)</f>
        <v>#NAME?</v>
      </c>
      <c r="G15" s="5"/>
      <c r="H15" s="5" t="e">
        <f ca="1">SUM(_xll.ONESTOP.REPORTPLAYER.OSRFUNCTIONS.OSRREF(H16))</f>
        <v>#NAME?</v>
      </c>
      <c r="I15" s="5"/>
      <c r="J15" s="13" t="e">
        <f ca="1">IF(H$12=0,0,H15/H$12)</f>
        <v>#NAME?</v>
      </c>
      <c r="K15" s="5"/>
      <c r="L15" s="5" t="e">
        <f ca="1">+D15-H15</f>
        <v>#NAME?</v>
      </c>
      <c r="M15" s="5"/>
      <c r="N15" s="13" t="e">
        <f ca="1">IF(H15=0,0,L15/H15)</f>
        <v>#NAME?</v>
      </c>
      <c r="O15" s="11"/>
      <c r="P15" s="5" t="e">
        <f ca="1">SUM(_xll.ONESTOP.REPORTPLAYER.OSRFUNCTIONS.OSRREF(P16))</f>
        <v>#NAME?</v>
      </c>
      <c r="Q15" s="5"/>
      <c r="R15" s="13" t="e">
        <f ca="1">IF(P$12=0,0,P15/P$12)</f>
        <v>#NAME?</v>
      </c>
      <c r="S15" s="5"/>
      <c r="T15" s="5" t="e">
        <f ca="1">SUM(_xll.ONESTOP.REPORTPLAYER.OSRFUNCTIONS.OSRREF(T16))</f>
        <v>#NAME?</v>
      </c>
      <c r="U15" s="5"/>
      <c r="V15" s="13" t="e">
        <f ca="1">IF(T$12=0,0,T15/T$12)</f>
        <v>#NAME?</v>
      </c>
      <c r="W15" s="5"/>
      <c r="X15" s="5" t="e">
        <f ca="1">+P15-T15</f>
        <v>#NAME?</v>
      </c>
      <c r="Y15" s="5"/>
      <c r="Z15" s="13" t="e">
        <f ca="1">IF(T15=0,0,X15/T15)</f>
        <v>#NAME?</v>
      </c>
    </row>
    <row r="16" spans="1:26" s="70" customFormat="1" ht="15" hidden="1" customHeight="1" outlineLevel="1" x14ac:dyDescent="0.3">
      <c r="A16" s="42"/>
      <c r="B16" s="12" t="e">
        <f ca="1">CONCATENATE("          ",_xll.ONESTOP.REPORTPLAYER.OSRFUNCTIONS.OSRGET("d_Account","Code")," - ",_xll.ONESTOP.REPORTPLAYER.OSRFUNCTIONS.OSRGET("d_Account","Description"))</f>
        <v>#NAME?</v>
      </c>
      <c r="C16" s="12"/>
      <c r="D16" s="3" t="e">
        <f ca="1">_xll.ONESTOP.REPORTPLAYER.OSRFUNCTIONS.OSRGET("GL_F_Trans","Value1")</f>
        <v>#NAME?</v>
      </c>
      <c r="E16" s="3"/>
      <c r="F16" s="20" t="e">
        <f ca="1">IF(D$12=0,0,D16/D$12)</f>
        <v>#NAME?</v>
      </c>
      <c r="G16" s="3"/>
      <c r="H16" s="3" t="e">
        <f ca="1">_xll.ONESTOP.REPORTPLAYER.OSRFUNCTIONS.OSRGET("GL_F_Trans","Value1")</f>
        <v>#NAME?</v>
      </c>
      <c r="I16" s="3"/>
      <c r="J16" s="20" t="e">
        <f ca="1">IF(H$12=0,0,H16/H$12)</f>
        <v>#NAME?</v>
      </c>
      <c r="K16" s="3"/>
      <c r="L16" s="3" t="e">
        <f ca="1">+D16-H16</f>
        <v>#NAME?</v>
      </c>
      <c r="M16" s="3"/>
      <c r="N16" s="20" t="e">
        <f ca="1">IF(H16=0,0,L16/H16)</f>
        <v>#NAME?</v>
      </c>
      <c r="O16" s="12"/>
      <c r="P16" s="3" t="e">
        <f ca="1">_xll.ONESTOP.REPORTPLAYER.OSRFUNCTIONS.OSRGET("GL_F_Trans","Value1")</f>
        <v>#NAME?</v>
      </c>
      <c r="Q16" s="3"/>
      <c r="R16" s="20" t="e">
        <f ca="1">IF(P$12=0,0,P16/P$12)</f>
        <v>#NAME?</v>
      </c>
      <c r="S16" s="3"/>
      <c r="T16" s="3" t="e">
        <f ca="1">_xll.ONESTOP.REPORTPLAYER.OSRFUNCTIONS.OSRGET("GL_F_Trans","Value1")</f>
        <v>#NAME?</v>
      </c>
      <c r="U16" s="3"/>
      <c r="V16" s="20" t="e">
        <f ca="1">IF(T$12=0,0,T16/T$12)</f>
        <v>#NAME?</v>
      </c>
      <c r="W16" s="3"/>
      <c r="X16" s="3" t="e">
        <f ca="1">+P16-T16</f>
        <v>#NAME?</v>
      </c>
      <c r="Y16" s="3"/>
      <c r="Z16" s="20" t="e">
        <f ca="1">IF(T16=0,0,X16/T16)</f>
        <v>#NAME?</v>
      </c>
    </row>
    <row r="17" spans="1:26" ht="15" customHeight="1" x14ac:dyDescent="0.3">
      <c r="A17" s="10"/>
      <c r="B17" s="11"/>
      <c r="C17" s="11"/>
      <c r="D17" s="4"/>
      <c r="E17" s="4"/>
      <c r="F17" s="9"/>
      <c r="G17" s="4"/>
      <c r="H17" s="4"/>
      <c r="I17" s="4"/>
      <c r="J17" s="9"/>
      <c r="K17" s="4"/>
      <c r="L17" s="4"/>
      <c r="M17" s="4"/>
      <c r="N17" s="9"/>
      <c r="O17" s="11"/>
      <c r="P17" s="4"/>
      <c r="Q17" s="4"/>
      <c r="R17" s="9"/>
      <c r="S17" s="4"/>
      <c r="T17" s="4"/>
      <c r="U17" s="4"/>
      <c r="V17" s="9"/>
      <c r="W17" s="4"/>
      <c r="X17" s="4"/>
      <c r="Y17" s="4"/>
      <c r="Z17" s="9"/>
    </row>
    <row r="18" spans="1:26" s="63" customFormat="1" ht="15" customHeight="1" x14ac:dyDescent="0.3">
      <c r="A18" s="11"/>
      <c r="B18" s="27" t="s">
        <v>289</v>
      </c>
      <c r="C18" s="27"/>
      <c r="D18" s="21" t="e">
        <f ca="1">D12-D15</f>
        <v>#NAME?</v>
      </c>
      <c r="E18" s="15"/>
      <c r="F18" s="23" t="e">
        <f ca="1">IF(D$12=0,0,D18/D$12)</f>
        <v>#NAME?</v>
      </c>
      <c r="G18" s="15"/>
      <c r="H18" s="21" t="e">
        <f ca="1">H12-H15</f>
        <v>#NAME?</v>
      </c>
      <c r="I18" s="15"/>
      <c r="J18" s="23" t="e">
        <f ca="1">IF(H$12=0,0,H18/H$12)</f>
        <v>#NAME?</v>
      </c>
      <c r="K18" s="16"/>
      <c r="L18" s="21" t="e">
        <f ca="1">+D18-H18</f>
        <v>#NAME?</v>
      </c>
      <c r="M18" s="16"/>
      <c r="N18" s="23" t="e">
        <f ca="1">IF(H18=0,0,L18/H18)</f>
        <v>#NAME?</v>
      </c>
      <c r="O18" s="28"/>
      <c r="P18" s="21" t="e">
        <f ca="1">P12-P15</f>
        <v>#NAME?</v>
      </c>
      <c r="Q18" s="15"/>
      <c r="R18" s="23" t="e">
        <f ca="1">IF(P$12=0,0,P18/P$12)</f>
        <v>#NAME?</v>
      </c>
      <c r="S18" s="15"/>
      <c r="T18" s="21" t="e">
        <f ca="1">T12-T15</f>
        <v>#NAME?</v>
      </c>
      <c r="U18" s="15"/>
      <c r="V18" s="23" t="e">
        <f ca="1">IF(T$12=0,0,T18/T$12)</f>
        <v>#NAME?</v>
      </c>
      <c r="W18" s="16"/>
      <c r="X18" s="21" t="e">
        <f ca="1">+P18-T18</f>
        <v>#NAME?</v>
      </c>
      <c r="Y18" s="16"/>
      <c r="Z18" s="23" t="e">
        <f ca="1">IF(T18=0,0,X18/T18)</f>
        <v>#NAME?</v>
      </c>
    </row>
    <row r="19" spans="1:26" ht="15" customHeight="1" x14ac:dyDescent="0.3">
      <c r="A19" s="10"/>
      <c r="B19" s="11"/>
      <c r="C19" s="10"/>
      <c r="D19" s="2"/>
      <c r="E19" s="2"/>
      <c r="F19" s="6"/>
      <c r="G19" s="2"/>
      <c r="H19" s="2"/>
      <c r="I19" s="2"/>
      <c r="J19" s="6"/>
      <c r="K19" s="2"/>
      <c r="L19" s="2"/>
      <c r="M19" s="2"/>
      <c r="N19" s="6"/>
      <c r="O19" s="35"/>
      <c r="P19" s="2"/>
      <c r="Q19" s="2"/>
      <c r="R19" s="6"/>
      <c r="S19" s="2"/>
      <c r="T19" s="2"/>
      <c r="U19" s="2"/>
      <c r="V19" s="6"/>
      <c r="W19" s="2"/>
      <c r="X19" s="2"/>
      <c r="Y19" s="2"/>
      <c r="Z19" s="6"/>
    </row>
    <row r="20" spans="1:26" s="63" customFormat="1" ht="15" customHeight="1" x14ac:dyDescent="0.3">
      <c r="A20" s="11"/>
      <c r="B20" s="28" t="s">
        <v>290</v>
      </c>
      <c r="C20" s="11"/>
      <c r="D20" s="22" t="e">
        <f ca="1">SUM(_xll.ONESTOP.REPORTPLAYER.OSRFUNCTIONS.OSRREF(D22))</f>
        <v>#NAME?</v>
      </c>
      <c r="E20" s="22"/>
      <c r="F20" s="30" t="e">
        <f ca="1">IF(D$12=0,0,D20/D$12)</f>
        <v>#NAME?</v>
      </c>
      <c r="G20" s="22"/>
      <c r="H20" s="22" t="e">
        <f ca="1">SUM(_xll.ONESTOP.REPORTPLAYER.OSRFUNCTIONS.OSRREF(H22))</f>
        <v>#NAME?</v>
      </c>
      <c r="I20" s="22"/>
      <c r="J20" s="30" t="e">
        <f ca="1">IF(H$12=0,0,H20/H$12)</f>
        <v>#NAME?</v>
      </c>
      <c r="K20" s="5"/>
      <c r="L20" s="22" t="e">
        <f ca="1">+D20-H20</f>
        <v>#NAME?</v>
      </c>
      <c r="M20" s="5"/>
      <c r="N20" s="30" t="e">
        <f ca="1">IF(H20=0,0,L20/H20)</f>
        <v>#NAME?</v>
      </c>
      <c r="O20" s="11"/>
      <c r="P20" s="22" t="e">
        <f ca="1">SUM(_xll.ONESTOP.REPORTPLAYER.OSRFUNCTIONS.OSRREF(P22))</f>
        <v>#NAME?</v>
      </c>
      <c r="Q20" s="22"/>
      <c r="R20" s="30" t="e">
        <f ca="1">IF(P$12=0,0,P20/P$12)</f>
        <v>#NAME?</v>
      </c>
      <c r="S20" s="22"/>
      <c r="T20" s="22" t="e">
        <f ca="1">SUM(_xll.ONESTOP.REPORTPLAYER.OSRFUNCTIONS.OSRREF(T22))</f>
        <v>#NAME?</v>
      </c>
      <c r="U20" s="22"/>
      <c r="V20" s="30" t="e">
        <f ca="1">IF(T$12=0,0,T20/T$12)</f>
        <v>#NAME?</v>
      </c>
      <c r="W20" s="5"/>
      <c r="X20" s="22" t="e">
        <f ca="1">+P20-T20</f>
        <v>#NAME?</v>
      </c>
      <c r="Y20" s="5"/>
      <c r="Z20" s="30" t="e">
        <f ca="1">IF(T20=0,0,X20/T20)</f>
        <v>#NAME?</v>
      </c>
    </row>
    <row r="21" spans="1:26" s="69" customFormat="1" ht="15" customHeight="1" outlineLevel="1" collapsed="1" x14ac:dyDescent="0.3">
      <c r="A21" s="25"/>
      <c r="B21" s="14" t="e">
        <f ca="1">CONCATENATE("     ",_xll.ONESTOP.REPORTPLAYER.OSRFUNCTIONS.OSRGET("d_Account","AccountCategory"))</f>
        <v>#NAME?</v>
      </c>
      <c r="C21" s="14"/>
      <c r="D21" s="2" t="e">
        <f ca="1">SUM(_xll.ONESTOP.REPORTPLAYER.OSRFUNCTIONS.OSRREF(D22))</f>
        <v>#NAME?</v>
      </c>
      <c r="E21" s="2"/>
      <c r="F21" s="6" t="e">
        <f ca="1">IF(D$12=0,0,D21/D$12)</f>
        <v>#NAME?</v>
      </c>
      <c r="G21" s="2"/>
      <c r="H21" s="2" t="e">
        <f ca="1">SUM(_xll.ONESTOP.REPORTPLAYER.OSRFUNCTIONS.OSRREF(H22))</f>
        <v>#NAME?</v>
      </c>
      <c r="I21" s="2"/>
      <c r="J21" s="6" t="e">
        <f ca="1">IF(H$12=0,0,H21/H$12)</f>
        <v>#NAME?</v>
      </c>
      <c r="K21" s="2"/>
      <c r="L21" s="2" t="e">
        <f ca="1">+D21-H21</f>
        <v>#NAME?</v>
      </c>
      <c r="M21" s="2"/>
      <c r="N21" s="6" t="e">
        <f ca="1">IF(H21=0,0,L21/H21)</f>
        <v>#NAME?</v>
      </c>
      <c r="O21" s="14"/>
      <c r="P21" s="2" t="e">
        <f ca="1">SUM(_xll.ONESTOP.REPORTPLAYER.OSRFUNCTIONS.OSRREF(P22))</f>
        <v>#NAME?</v>
      </c>
      <c r="Q21" s="2"/>
      <c r="R21" s="6" t="e">
        <f ca="1">IF(P$12=0,0,P21/P$12)</f>
        <v>#NAME?</v>
      </c>
      <c r="S21" s="2"/>
      <c r="T21" s="2" t="e">
        <f ca="1">SUM(_xll.ONESTOP.REPORTPLAYER.OSRFUNCTIONS.OSRREF(T22))</f>
        <v>#NAME?</v>
      </c>
      <c r="U21" s="2"/>
      <c r="V21" s="6" t="e">
        <f ca="1">IF(T$12=0,0,T21/T$12)</f>
        <v>#NAME?</v>
      </c>
      <c r="W21" s="2"/>
      <c r="X21" s="2" t="e">
        <f ca="1">+P21-T21</f>
        <v>#NAME?</v>
      </c>
      <c r="Y21" s="2"/>
      <c r="Z21" s="6" t="e">
        <f ca="1">IF(T21=0,0,X21/T21)</f>
        <v>#NAME?</v>
      </c>
    </row>
    <row r="22" spans="1:26" s="70" customFormat="1" ht="15" hidden="1" customHeight="1" outlineLevel="2" x14ac:dyDescent="0.3">
      <c r="A22" s="26"/>
      <c r="B22" s="12" t="e">
        <f ca="1">CONCATENATE("          ",_xll.ONESTOP.REPORTPLAYER.OSRFUNCTIONS.OSRGET("d_Account","Code")," - ",_xll.ONESTOP.REPORTPLAYER.OSRFUNCTIONS.OSRGET("d_Account","Description"))</f>
        <v>#NAME?</v>
      </c>
      <c r="C22" s="12"/>
      <c r="D22" s="7" t="e">
        <f ca="1">_xll.ONESTOP.REPORTPLAYER.OSRFUNCTIONS.OSRGET("GL_F_Trans","Value1")</f>
        <v>#NAME?</v>
      </c>
      <c r="E22" s="3"/>
      <c r="F22" s="8" t="e">
        <f ca="1">IF(D$12=0,0,D22/D$12)</f>
        <v>#NAME?</v>
      </c>
      <c r="G22" s="3"/>
      <c r="H22" s="7" t="e">
        <f ca="1">_xll.ONESTOP.REPORTPLAYER.OSRFUNCTIONS.OSRGET("GL_F_Trans","Value1")</f>
        <v>#NAME?</v>
      </c>
      <c r="I22" s="3"/>
      <c r="J22" s="8" t="e">
        <f ca="1">IF(H$12=0,0,H22/H$12)</f>
        <v>#NAME?</v>
      </c>
      <c r="K22" s="3"/>
      <c r="L22" s="7" t="e">
        <f ca="1">+D22-H22</f>
        <v>#NAME?</v>
      </c>
      <c r="M22" s="3"/>
      <c r="N22" s="8" t="e">
        <f ca="1">IF(H22=0,0,L22/H22)</f>
        <v>#NAME?</v>
      </c>
      <c r="O22" s="12"/>
      <c r="P22" s="7" t="e">
        <f ca="1">_xll.ONESTOP.REPORTPLAYER.OSRFUNCTIONS.OSRGET("GL_F_Trans","Value1")</f>
        <v>#NAME?</v>
      </c>
      <c r="Q22" s="3"/>
      <c r="R22" s="8" t="e">
        <f ca="1">IF(P$12=0,0,P22/P$12)</f>
        <v>#NAME?</v>
      </c>
      <c r="S22" s="3"/>
      <c r="T22" s="7" t="e">
        <f ca="1">_xll.ONESTOP.REPORTPLAYER.OSRFUNCTIONS.OSRGET("GL_F_Trans","Value1")</f>
        <v>#NAME?</v>
      </c>
      <c r="U22" s="3"/>
      <c r="V22" s="8" t="e">
        <f ca="1">IF(T$12=0,0,T22/T$12)</f>
        <v>#NAME?</v>
      </c>
      <c r="W22" s="3"/>
      <c r="X22" s="7" t="e">
        <f ca="1">+P22-T22</f>
        <v>#NAME?</v>
      </c>
      <c r="Y22" s="3"/>
      <c r="Z22" s="8" t="e">
        <f ca="1">IF(T22=0,0,X22/T22)</f>
        <v>#NAME?</v>
      </c>
    </row>
    <row r="23" spans="1:26" s="65" customFormat="1" ht="15" customHeight="1" x14ac:dyDescent="0.3">
      <c r="A23" s="35"/>
      <c r="B23" s="35"/>
      <c r="C23" s="35"/>
      <c r="D23" s="2"/>
      <c r="E23" s="2"/>
      <c r="F23" s="6"/>
      <c r="G23" s="2"/>
      <c r="H23" s="2"/>
      <c r="I23" s="2"/>
      <c r="J23" s="6"/>
      <c r="K23" s="2"/>
      <c r="L23" s="2"/>
      <c r="M23" s="2"/>
      <c r="N23" s="6"/>
      <c r="O23" s="35"/>
      <c r="P23" s="2"/>
      <c r="Q23" s="2"/>
      <c r="R23" s="6"/>
      <c r="S23" s="2"/>
      <c r="T23" s="2"/>
      <c r="U23" s="2"/>
      <c r="V23" s="6"/>
      <c r="W23" s="2"/>
      <c r="X23" s="2"/>
      <c r="Y23" s="2"/>
      <c r="Z23" s="6"/>
    </row>
    <row r="24" spans="1:26" s="63" customFormat="1" ht="15" customHeight="1" collapsed="1" x14ac:dyDescent="0.3">
      <c r="A24" s="11"/>
      <c r="B24" s="28" t="s">
        <v>291</v>
      </c>
      <c r="C24" s="11"/>
      <c r="D24" s="5" t="e">
        <f ca="1">SUM(_xll.ONESTOP.REPORTPLAYER.OSRFUNCTIONS.OSRREF(D25))</f>
        <v>#NAME?</v>
      </c>
      <c r="E24" s="5"/>
      <c r="F24" s="13" t="e">
        <f ca="1">IF(D$12=0,0,D24/D$12)</f>
        <v>#NAME?</v>
      </c>
      <c r="G24" s="5"/>
      <c r="H24" s="5" t="e">
        <f ca="1">SUM(_xll.ONESTOP.REPORTPLAYER.OSRFUNCTIONS.OSRREF(H25))</f>
        <v>#NAME?</v>
      </c>
      <c r="I24" s="5"/>
      <c r="J24" s="13" t="e">
        <f ca="1">IF(H$12=0,0,H24/H$12)</f>
        <v>#NAME?</v>
      </c>
      <c r="K24" s="5"/>
      <c r="L24" s="5" t="e">
        <f ca="1">+D24-H24</f>
        <v>#NAME?</v>
      </c>
      <c r="M24" s="5"/>
      <c r="N24" s="13" t="e">
        <f ca="1">IF(H24=0,0,L24/H24)</f>
        <v>#NAME?</v>
      </c>
      <c r="O24" s="11"/>
      <c r="P24" s="5" t="e">
        <f ca="1">SUM(_xll.ONESTOP.REPORTPLAYER.OSRFUNCTIONS.OSRREF(P25))</f>
        <v>#NAME?</v>
      </c>
      <c r="Q24" s="5"/>
      <c r="R24" s="13" t="e">
        <f ca="1">IF(P$12=0,0,P24/P$12)</f>
        <v>#NAME?</v>
      </c>
      <c r="S24" s="5"/>
      <c r="T24" s="5" t="e">
        <f ca="1">SUM(_xll.ONESTOP.REPORTPLAYER.OSRFUNCTIONS.OSRREF(T25))</f>
        <v>#NAME?</v>
      </c>
      <c r="U24" s="5"/>
      <c r="V24" s="13" t="e">
        <f ca="1">IF(T$12=0,0,T24/T$12)</f>
        <v>#NAME?</v>
      </c>
      <c r="W24" s="5"/>
      <c r="X24" s="5" t="e">
        <f ca="1">+P24-T24</f>
        <v>#NAME?</v>
      </c>
      <c r="Y24" s="5"/>
      <c r="Z24" s="13" t="e">
        <f ca="1">IF(T24=0,0,X24/T24)</f>
        <v>#NAME?</v>
      </c>
    </row>
    <row r="25" spans="1:26" s="70" customFormat="1" ht="15" hidden="1" customHeight="1" outlineLevel="1" x14ac:dyDescent="0.3">
      <c r="A25" s="42"/>
      <c r="B25" s="12" t="e">
        <f ca="1">CONCATENATE("          ",_xll.ONESTOP.REPORTPLAYER.OSRFUNCTIONS.OSRGET("d_Account","Code")," - ",_xll.ONESTOP.REPORTPLAYER.OSRFUNCTIONS.OSRGET("d_Account","Description"))</f>
        <v>#NAME?</v>
      </c>
      <c r="C25" s="12"/>
      <c r="D25" s="3" t="e">
        <f ca="1">-_xll.ONESTOP.REPORTPLAYER.OSRFUNCTIONS.OSRGET("GL_F_Trans","Value1")</f>
        <v>#NAME?</v>
      </c>
      <c r="E25" s="3"/>
      <c r="F25" s="20" t="e">
        <f ca="1">IF(D$12=0,0,D25/D$12)</f>
        <v>#NAME?</v>
      </c>
      <c r="G25" s="3"/>
      <c r="H25" s="3" t="e">
        <f ca="1">_xll.ONESTOP.REPORTPLAYER.OSRFUNCTIONS.OSRGET("GL_F_Trans","Value1")</f>
        <v>#NAME?</v>
      </c>
      <c r="I25" s="3"/>
      <c r="J25" s="20" t="e">
        <f ca="1">IF(H$12=0,0,H25/H$12)</f>
        <v>#NAME?</v>
      </c>
      <c r="K25" s="3"/>
      <c r="L25" s="3" t="e">
        <f ca="1">+D25-H25</f>
        <v>#NAME?</v>
      </c>
      <c r="M25" s="3"/>
      <c r="N25" s="20" t="e">
        <f ca="1">IF(H25=0,0,L25/H25)</f>
        <v>#NAME?</v>
      </c>
      <c r="O25" s="12"/>
      <c r="P25" s="3" t="e">
        <f ca="1">-_xll.ONESTOP.REPORTPLAYER.OSRFUNCTIONS.OSRGET("GL_F_Trans","Value1")</f>
        <v>#NAME?</v>
      </c>
      <c r="Q25" s="3"/>
      <c r="R25" s="20" t="e">
        <f ca="1">IF(P$12=0,0,P25/P$12)</f>
        <v>#NAME?</v>
      </c>
      <c r="S25" s="3"/>
      <c r="T25" s="3" t="e">
        <f ca="1">_xll.ONESTOP.REPORTPLAYER.OSRFUNCTIONS.OSRGET("GL_F_Trans","Value1")</f>
        <v>#NAME?</v>
      </c>
      <c r="U25" s="3"/>
      <c r="V25" s="20" t="e">
        <f ca="1">IF(T$12=0,0,T25/T$12)</f>
        <v>#NAME?</v>
      </c>
      <c r="W25" s="3"/>
      <c r="X25" s="3" t="e">
        <f ca="1">+P25-T25</f>
        <v>#NAME?</v>
      </c>
      <c r="Y25" s="3"/>
      <c r="Z25" s="20" t="e">
        <f ca="1">IF(T25=0,0,X25/T25)</f>
        <v>#NAME?</v>
      </c>
    </row>
    <row r="26" spans="1:26" ht="15" customHeight="1" x14ac:dyDescent="0.3">
      <c r="A26" s="10"/>
      <c r="B26" s="11"/>
      <c r="C26" s="11"/>
      <c r="D26" s="4"/>
      <c r="E26" s="4"/>
      <c r="F26" s="9"/>
      <c r="G26" s="4"/>
      <c r="H26" s="4"/>
      <c r="I26" s="4"/>
      <c r="J26" s="9"/>
      <c r="K26" s="4"/>
      <c r="L26" s="4"/>
      <c r="M26" s="4"/>
      <c r="N26" s="9"/>
      <c r="O26" s="11"/>
      <c r="P26" s="4"/>
      <c r="Q26" s="4"/>
      <c r="R26" s="9"/>
      <c r="S26" s="4"/>
      <c r="T26" s="4"/>
      <c r="U26" s="4"/>
      <c r="V26" s="9"/>
      <c r="W26" s="4"/>
      <c r="X26" s="4"/>
      <c r="Y26" s="4"/>
      <c r="Z26" s="9"/>
    </row>
    <row r="27" spans="1:26" s="63" customFormat="1" ht="15" customHeight="1" x14ac:dyDescent="0.3">
      <c r="A27" s="11"/>
      <c r="B27" s="27" t="s">
        <v>292</v>
      </c>
      <c r="C27" s="27"/>
      <c r="D27" s="21" t="e">
        <f ca="1">+D18-D20+D24</f>
        <v>#NAME?</v>
      </c>
      <c r="E27" s="15"/>
      <c r="F27" s="23" t="e">
        <f ca="1">IF(D$12=0,0,D27/D$12)</f>
        <v>#NAME?</v>
      </c>
      <c r="G27" s="15"/>
      <c r="H27" s="21" t="e">
        <f ca="1">+H18-H20+H24</f>
        <v>#NAME?</v>
      </c>
      <c r="I27" s="15"/>
      <c r="J27" s="23" t="e">
        <f ca="1">IF(H$12=0,0,H27/H$12)</f>
        <v>#NAME?</v>
      </c>
      <c r="K27" s="16"/>
      <c r="L27" s="21" t="e">
        <f ca="1">+D27-H27</f>
        <v>#NAME?</v>
      </c>
      <c r="M27" s="16"/>
      <c r="N27" s="23" t="e">
        <f ca="1">IF(H27=0,0,L27/H27)</f>
        <v>#NAME?</v>
      </c>
      <c r="O27" s="28"/>
      <c r="P27" s="21" t="e">
        <f ca="1">+P18-P20+P24</f>
        <v>#NAME?</v>
      </c>
      <c r="Q27" s="15"/>
      <c r="R27" s="23" t="e">
        <f ca="1">IF(P$12=0,0,P27/P$12)</f>
        <v>#NAME?</v>
      </c>
      <c r="S27" s="15"/>
      <c r="T27" s="21" t="e">
        <f ca="1">+T18-T20+T24</f>
        <v>#NAME?</v>
      </c>
      <c r="U27" s="15"/>
      <c r="V27" s="23" t="e">
        <f ca="1">IF(T$12=0,0,T27/T$12)</f>
        <v>#NAME?</v>
      </c>
      <c r="W27" s="16"/>
      <c r="X27" s="21" t="e">
        <f ca="1">+P27-T27</f>
        <v>#NAME?</v>
      </c>
      <c r="Y27" s="16"/>
      <c r="Z27" s="23" t="e">
        <f ca="1">IF(T27=0,0,X27/T27)</f>
        <v>#NAME?</v>
      </c>
    </row>
    <row r="28" spans="1:26" ht="15" customHeight="1" x14ac:dyDescent="0.3">
      <c r="A28" s="10"/>
      <c r="B28" s="11"/>
      <c r="C28" s="10"/>
      <c r="D28" s="4"/>
      <c r="E28" s="4"/>
      <c r="F28" s="9"/>
      <c r="G28" s="4"/>
      <c r="H28" s="4"/>
      <c r="I28" s="4"/>
      <c r="J28" s="9"/>
      <c r="K28" s="4"/>
      <c r="L28" s="4"/>
      <c r="M28" s="4"/>
      <c r="N28" s="9"/>
      <c r="P28" s="4"/>
      <c r="Q28" s="4"/>
      <c r="R28" s="9"/>
      <c r="S28" s="4"/>
      <c r="T28" s="4"/>
      <c r="U28" s="4"/>
      <c r="V28" s="9"/>
      <c r="W28" s="4"/>
      <c r="X28" s="4"/>
      <c r="Y28" s="4"/>
      <c r="Z28" s="9"/>
    </row>
    <row r="29" spans="1:26" s="63" customFormat="1" ht="15" customHeight="1" x14ac:dyDescent="0.3">
      <c r="A29" s="49"/>
      <c r="B29" s="11" t="s">
        <v>293</v>
      </c>
      <c r="C29" s="11"/>
      <c r="D29" s="5" t="e">
        <f ca="1">_xll.ONESTOP.REPORTPLAYER.OSRFUNCTIONS.OSRGET("GL_F_Trans","Value1")</f>
        <v>#NAME?</v>
      </c>
      <c r="E29" s="5"/>
      <c r="F29" s="13" t="e">
        <f ca="1">IF(D$12=0,0,D29/D$12)</f>
        <v>#NAME?</v>
      </c>
      <c r="G29" s="5"/>
      <c r="H29" s="5" t="e">
        <f ca="1">_xll.ONESTOP.REPORTPLAYER.OSRFUNCTIONS.OSRGET("GL_F_Trans","Value1")</f>
        <v>#NAME?</v>
      </c>
      <c r="I29" s="5"/>
      <c r="J29" s="13" t="e">
        <f ca="1">IF(H$12=0,0,H29/H$12)</f>
        <v>#NAME?</v>
      </c>
      <c r="K29" s="5"/>
      <c r="L29" s="5" t="e">
        <f ca="1">+D29-H29</f>
        <v>#NAME?</v>
      </c>
      <c r="M29" s="5"/>
      <c r="N29" s="13" t="e">
        <f ca="1">IF(H29=0,0,L29/H29)</f>
        <v>#NAME?</v>
      </c>
      <c r="O29" s="11"/>
      <c r="P29" s="5" t="e">
        <f ca="1">_xll.ONESTOP.REPORTPLAYER.OSRFUNCTIONS.OSRGET("GL_F_Trans","Value1")</f>
        <v>#NAME?</v>
      </c>
      <c r="Q29" s="5"/>
      <c r="R29" s="13" t="e">
        <f ca="1">IF(P$12=0,0,P29/P$12)</f>
        <v>#NAME?</v>
      </c>
      <c r="S29" s="5"/>
      <c r="T29" s="5" t="e">
        <f ca="1">_xll.ONESTOP.REPORTPLAYER.OSRFUNCTIONS.OSRGET("GL_F_Trans","Value1")</f>
        <v>#NAME?</v>
      </c>
      <c r="U29" s="5"/>
      <c r="V29" s="13" t="e">
        <f ca="1">IF(T$12=0,0,T29/T$12)</f>
        <v>#NAME?</v>
      </c>
      <c r="W29" s="5"/>
      <c r="X29" s="5" t="e">
        <f ca="1">+P29-T29</f>
        <v>#NAME?</v>
      </c>
      <c r="Y29" s="5"/>
      <c r="Z29" s="13" t="e">
        <f ca="1">IF(T29=0,0,X29/T29)</f>
        <v>#NAME?</v>
      </c>
    </row>
    <row r="30" spans="1:26" ht="15" customHeight="1" x14ac:dyDescent="0.3">
      <c r="A30" s="10"/>
      <c r="B30" s="11"/>
      <c r="C30" s="11"/>
      <c r="D30" s="4"/>
      <c r="E30" s="4"/>
      <c r="F30" s="9"/>
      <c r="G30" s="4"/>
      <c r="H30" s="4"/>
      <c r="I30" s="4"/>
      <c r="J30" s="9"/>
      <c r="K30" s="4"/>
      <c r="L30" s="4"/>
      <c r="M30" s="4"/>
      <c r="N30" s="9"/>
      <c r="O30" s="11"/>
      <c r="P30" s="4"/>
      <c r="Q30" s="4"/>
      <c r="R30" s="9"/>
      <c r="S30" s="4"/>
      <c r="T30" s="4"/>
      <c r="U30" s="4"/>
      <c r="V30" s="9"/>
      <c r="W30" s="4"/>
      <c r="X30" s="4"/>
      <c r="Y30" s="4"/>
      <c r="Z30" s="9"/>
    </row>
    <row r="31" spans="1:26" s="63" customFormat="1" ht="15" customHeight="1" x14ac:dyDescent="0.3">
      <c r="A31" s="11"/>
      <c r="B31" s="27" t="s">
        <v>294</v>
      </c>
      <c r="C31" s="27"/>
      <c r="D31" s="34" t="e">
        <f ca="1">+D27-D29</f>
        <v>#NAME?</v>
      </c>
      <c r="E31" s="15"/>
      <c r="F31" s="29" t="e">
        <f ca="1">IF(D$12=0,0,D31/D$12)</f>
        <v>#NAME?</v>
      </c>
      <c r="G31" s="15"/>
      <c r="H31" s="34" t="e">
        <f ca="1">+H27-H29</f>
        <v>#NAME?</v>
      </c>
      <c r="I31" s="15"/>
      <c r="J31" s="29" t="e">
        <f ca="1">IF(H$12=0,0,H31/H$12)</f>
        <v>#NAME?</v>
      </c>
      <c r="K31" s="16"/>
      <c r="L31" s="34" t="e">
        <f ca="1">D31-H31</f>
        <v>#NAME?</v>
      </c>
      <c r="M31" s="16"/>
      <c r="N31" s="29" t="e">
        <f ca="1">IF(H31=0,0,L31/H31)</f>
        <v>#NAME?</v>
      </c>
      <c r="O31" s="28"/>
      <c r="P31" s="34" t="e">
        <f ca="1">+P27-P29</f>
        <v>#NAME?</v>
      </c>
      <c r="Q31" s="15"/>
      <c r="R31" s="29" t="e">
        <f ca="1">IF(P$12=0,0,P31/P$12)</f>
        <v>#NAME?</v>
      </c>
      <c r="S31" s="15"/>
      <c r="T31" s="34" t="e">
        <f ca="1">+T27-T29</f>
        <v>#NAME?</v>
      </c>
      <c r="U31" s="15"/>
      <c r="V31" s="29" t="e">
        <f ca="1">IF(T$12=0,0,T31/T$12)</f>
        <v>#NAME?</v>
      </c>
      <c r="W31" s="16"/>
      <c r="X31" s="34" t="e">
        <f ca="1">P31-T31</f>
        <v>#NAME?</v>
      </c>
      <c r="Y31" s="16"/>
      <c r="Z31" s="29" t="e">
        <f ca="1">IF(T31=0,0,X31/T31)</f>
        <v>#NAME?</v>
      </c>
    </row>
    <row r="32" spans="1:26" ht="15" customHeight="1" x14ac:dyDescent="0.3">
      <c r="A32" s="10"/>
      <c r="B32" s="10"/>
      <c r="C32" s="10"/>
      <c r="D32" s="4"/>
      <c r="E32" s="4"/>
      <c r="F32" s="9"/>
      <c r="G32" s="4"/>
      <c r="H32" s="4"/>
      <c r="I32" s="4"/>
      <c r="J32" s="9"/>
      <c r="K32" s="4"/>
      <c r="L32" s="4"/>
      <c r="M32" s="4"/>
      <c r="N32" s="9"/>
      <c r="P32" s="4"/>
      <c r="Q32" s="4"/>
      <c r="R32" s="9"/>
      <c r="S32" s="4"/>
      <c r="T32" s="4"/>
      <c r="U32" s="4"/>
      <c r="V32" s="9"/>
      <c r="W32" s="4"/>
      <c r="X32" s="4"/>
      <c r="Y32" s="4"/>
      <c r="Z32" s="9"/>
    </row>
    <row r="33" spans="1:26" s="63" customFormat="1" ht="15" customHeight="1" x14ac:dyDescent="0.3">
      <c r="A33" s="49"/>
      <c r="B33" s="11" t="s">
        <v>295</v>
      </c>
      <c r="C33" s="11"/>
      <c r="D33" s="5" t="e">
        <f ca="1">-_xll.ONESTOP.REPORTPLAYER.OSRFUNCTIONS.OSRGET("GL_F_Trans","Value1")</f>
        <v>#NAME?</v>
      </c>
      <c r="E33" s="5"/>
      <c r="F33" s="13" t="e">
        <f ca="1">IF(D$12=0,0,D33/D$12)</f>
        <v>#NAME?</v>
      </c>
      <c r="G33" s="5"/>
      <c r="H33" s="5" t="e">
        <f ca="1">-_xll.ONESTOP.REPORTPLAYER.OSRFUNCTIONS.OSRGET("GL_F_Trans","Value1")</f>
        <v>#NAME?</v>
      </c>
      <c r="I33" s="5"/>
      <c r="J33" s="13" t="e">
        <f ca="1">IF(H$12=0,0,H33/H$12)</f>
        <v>#NAME?</v>
      </c>
      <c r="K33" s="5"/>
      <c r="L33" s="5" t="e">
        <f ca="1">+D33-H33</f>
        <v>#NAME?</v>
      </c>
      <c r="M33" s="5"/>
      <c r="N33" s="13" t="e">
        <f ca="1">IF(H33=0,0,L33/H33)</f>
        <v>#NAME?</v>
      </c>
      <c r="O33" s="11"/>
      <c r="P33" s="5" t="e">
        <f ca="1">-_xll.ONESTOP.REPORTPLAYER.OSRFUNCTIONS.OSRGET("GL_F_Trans","Value1")</f>
        <v>#NAME?</v>
      </c>
      <c r="Q33" s="5"/>
      <c r="R33" s="13" t="e">
        <f ca="1">IF(P$12=0,0,P33/P$12)</f>
        <v>#NAME?</v>
      </c>
      <c r="S33" s="5"/>
      <c r="T33" s="5" t="e">
        <f ca="1">-_xll.ONESTOP.REPORTPLAYER.OSRFUNCTIONS.OSRGET("GL_F_Trans","Value1")</f>
        <v>#NAME?</v>
      </c>
      <c r="U33" s="5"/>
      <c r="V33" s="13" t="e">
        <f ca="1">IF(T$12=0,0,T33/T$12)</f>
        <v>#NAME?</v>
      </c>
      <c r="W33" s="5"/>
      <c r="X33" s="5" t="e">
        <f ca="1">+P33-T33</f>
        <v>#NAME?</v>
      </c>
      <c r="Y33" s="5"/>
      <c r="Z33" s="13" t="e">
        <f ca="1">IF(T33=0,0,X33/T33)</f>
        <v>#NAME?</v>
      </c>
    </row>
    <row r="34" spans="1:26" s="63" customFormat="1" ht="15" customHeight="1" x14ac:dyDescent="0.3">
      <c r="A34" s="49"/>
      <c r="B34" s="11" t="s">
        <v>296</v>
      </c>
      <c r="C34" s="11"/>
      <c r="D34" s="5" t="e">
        <f ca="1">-_xll.ONESTOP.REPORTPLAYER.OSRFUNCTIONS.OSRGET("GL_F_Trans","Value1")</f>
        <v>#NAME?</v>
      </c>
      <c r="E34" s="5"/>
      <c r="F34" s="13" t="e">
        <f ca="1">IF(D$12=0,0,D34/D$12)</f>
        <v>#NAME?</v>
      </c>
      <c r="G34" s="5"/>
      <c r="H34" s="5" t="e">
        <f ca="1">-_xll.ONESTOP.REPORTPLAYER.OSRFUNCTIONS.OSRGET("GL_F_Trans","Value1")</f>
        <v>#NAME?</v>
      </c>
      <c r="I34" s="5"/>
      <c r="J34" s="13" t="e">
        <f ca="1">IF(H$12=0,0,H34/H$12)</f>
        <v>#NAME?</v>
      </c>
      <c r="K34" s="5"/>
      <c r="L34" s="5" t="e">
        <f ca="1">+D34-H34</f>
        <v>#NAME?</v>
      </c>
      <c r="M34" s="5"/>
      <c r="N34" s="13" t="e">
        <f ca="1">IF(H34=0,0,L34/H34)</f>
        <v>#NAME?</v>
      </c>
      <c r="O34" s="11"/>
      <c r="P34" s="5" t="e">
        <f ca="1">-_xll.ONESTOP.REPORTPLAYER.OSRFUNCTIONS.OSRGET("GL_F_Trans","Value1")</f>
        <v>#NAME?</v>
      </c>
      <c r="Q34" s="5"/>
      <c r="R34" s="13" t="e">
        <f ca="1">IF(P$12=0,0,P34/P$12)</f>
        <v>#NAME?</v>
      </c>
      <c r="S34" s="5"/>
      <c r="T34" s="5" t="e">
        <f ca="1">-_xll.ONESTOP.REPORTPLAYER.OSRFUNCTIONS.OSRGET("GL_F_Trans","Value1")</f>
        <v>#NAME?</v>
      </c>
      <c r="U34" s="5"/>
      <c r="V34" s="13" t="e">
        <f ca="1">IF(T$12=0,0,T34/T$12)</f>
        <v>#NAME?</v>
      </c>
      <c r="W34" s="5"/>
      <c r="X34" s="5" t="e">
        <f ca="1">+P34-T34</f>
        <v>#NAME?</v>
      </c>
      <c r="Y34" s="5"/>
      <c r="Z34" s="13" t="e">
        <f ca="1">IF(T34=0,0,X34/T34)</f>
        <v>#NAME?</v>
      </c>
    </row>
    <row r="35" spans="1:26" ht="15" customHeight="1" x14ac:dyDescent="0.3">
      <c r="A35" s="10"/>
      <c r="B35" s="10"/>
      <c r="C35" s="10"/>
      <c r="D35" s="4"/>
      <c r="E35" s="4"/>
      <c r="F35" s="9"/>
      <c r="G35" s="4"/>
      <c r="H35" s="4"/>
      <c r="I35" s="4"/>
      <c r="J35" s="9"/>
      <c r="K35" s="4"/>
      <c r="L35" s="4"/>
      <c r="M35" s="4"/>
      <c r="N35" s="9"/>
      <c r="P35" s="4"/>
      <c r="Q35" s="4"/>
      <c r="R35" s="9"/>
      <c r="S35" s="4"/>
      <c r="T35" s="4"/>
      <c r="U35" s="4"/>
      <c r="V35" s="9"/>
      <c r="W35" s="4"/>
      <c r="X35" s="4"/>
      <c r="Y35" s="4"/>
      <c r="Z35" s="9"/>
    </row>
    <row r="36" spans="1:26" s="63" customFormat="1" ht="15" customHeight="1" x14ac:dyDescent="0.3">
      <c r="A36" s="11"/>
      <c r="B36" s="27" t="s">
        <v>297</v>
      </c>
      <c r="C36" s="27"/>
      <c r="D36" s="32" t="e">
        <f ca="1">SUM(D31:D35)</f>
        <v>#NAME?</v>
      </c>
      <c r="E36" s="15"/>
      <c r="F36" s="31" t="e">
        <f ca="1">IF(D$12=0,0,D36/D$12)</f>
        <v>#NAME?</v>
      </c>
      <c r="G36" s="15"/>
      <c r="H36" s="32" t="e">
        <f ca="1">SUM(H31:H35)</f>
        <v>#NAME?</v>
      </c>
      <c r="I36" s="15"/>
      <c r="J36" s="31" t="e">
        <f ca="1">IF(H$12=0,0,H36/H$12)</f>
        <v>#NAME?</v>
      </c>
      <c r="K36" s="16"/>
      <c r="L36" s="32" t="e">
        <f ca="1">+D36-H36</f>
        <v>#NAME?</v>
      </c>
      <c r="M36" s="16"/>
      <c r="N36" s="31" t="e">
        <f ca="1">IF(H36=0,0,L36/H36)</f>
        <v>#NAME?</v>
      </c>
      <c r="O36" s="28"/>
      <c r="P36" s="32" t="e">
        <f ca="1">SUM(P31:P35)</f>
        <v>#NAME?</v>
      </c>
      <c r="Q36" s="15"/>
      <c r="R36" s="31" t="e">
        <f ca="1">IF(P$12=0,0,P36/P$12)</f>
        <v>#NAME?</v>
      </c>
      <c r="S36" s="15"/>
      <c r="T36" s="32" t="e">
        <f ca="1">SUM(T31:T35)</f>
        <v>#NAME?</v>
      </c>
      <c r="U36" s="15"/>
      <c r="V36" s="31" t="e">
        <f ca="1">IF(T$12=0,0,T36/T$12)</f>
        <v>#NAME?</v>
      </c>
      <c r="W36" s="16"/>
      <c r="X36" s="32" t="e">
        <f ca="1">+P36-T36</f>
        <v>#NAME?</v>
      </c>
      <c r="Y36" s="16"/>
      <c r="Z36" s="31" t="e">
        <f ca="1">IF(T36=0,0,X36/T36)</f>
        <v>#NAME?</v>
      </c>
    </row>
    <row r="37" spans="1:26" ht="15" customHeight="1" x14ac:dyDescent="0.3">
      <c r="A37" s="10"/>
      <c r="C37" s="10"/>
      <c r="D37" s="19"/>
      <c r="E37" s="19"/>
      <c r="G37" s="19"/>
      <c r="H37" s="19"/>
      <c r="I37" s="19"/>
      <c r="J37" s="40"/>
      <c r="K37" s="19"/>
      <c r="L37" s="19"/>
      <c r="M37" s="19"/>
      <c r="P37" s="19"/>
      <c r="Q37" s="19"/>
      <c r="R37" s="40"/>
      <c r="S37" s="19"/>
      <c r="T37" s="19"/>
      <c r="U37" s="19"/>
      <c r="V37" s="40"/>
      <c r="W37" s="19"/>
      <c r="X37" s="19"/>
    </row>
    <row r="38" spans="1:26" ht="15" customHeight="1" x14ac:dyDescent="0.3">
      <c r="A38" s="10"/>
      <c r="B38" s="51" t="e">
        <f ca="1">_xll.ONESTOP.REPORTPLAYER.OSRFUNCTIONS.OSRGET("CurrentDate","Date")</f>
        <v>#NAME?</v>
      </c>
      <c r="D38" s="19"/>
      <c r="E38" s="19"/>
      <c r="G38" s="19"/>
      <c r="H38" s="19"/>
      <c r="I38" s="19"/>
      <c r="J38" s="40"/>
      <c r="K38" s="19"/>
      <c r="L38" s="19"/>
      <c r="M38" s="19"/>
      <c r="P38" s="19"/>
      <c r="Q38" s="19"/>
      <c r="R38" s="40"/>
      <c r="S38" s="19"/>
      <c r="T38" s="19"/>
      <c r="U38" s="19"/>
      <c r="V38" s="40"/>
      <c r="W38" s="19"/>
      <c r="X38" s="19"/>
    </row>
    <row r="39" spans="1:26" ht="15" customHeight="1" x14ac:dyDescent="0.3">
      <c r="A39" s="10"/>
      <c r="B39" s="58" t="e">
        <f ca="1">_xll.ONESTOP.REPORTPLAYER.OSRFUNCTIONS.OSRGET("User","UserId")</f>
        <v>#NAME?</v>
      </c>
      <c r="D39" s="19"/>
      <c r="E39" s="19"/>
      <c r="G39" s="19"/>
      <c r="H39" s="19"/>
      <c r="I39" s="19"/>
      <c r="J39" s="40"/>
      <c r="K39" s="19"/>
      <c r="L39" s="19"/>
      <c r="M39" s="19"/>
      <c r="P39" s="19"/>
      <c r="Q39" s="19"/>
      <c r="R39" s="40"/>
      <c r="S39" s="19"/>
      <c r="T39" s="19"/>
      <c r="U39" s="19"/>
      <c r="V39" s="40"/>
      <c r="W39" s="19"/>
      <c r="X39" s="19"/>
    </row>
    <row r="40" spans="1:26" ht="15" customHeight="1" x14ac:dyDescent="0.3">
      <c r="A40" s="10"/>
      <c r="B40" s="50"/>
      <c r="D40" s="19"/>
      <c r="E40" s="19"/>
      <c r="G40" s="19"/>
      <c r="H40" s="19"/>
      <c r="I40" s="19"/>
      <c r="J40" s="40"/>
      <c r="K40" s="19"/>
      <c r="L40" s="19"/>
      <c r="M40" s="19"/>
      <c r="P40" s="19"/>
      <c r="Q40" s="19"/>
      <c r="R40" s="40"/>
      <c r="S40" s="19"/>
      <c r="T40" s="19"/>
      <c r="U40" s="19"/>
      <c r="V40" s="40"/>
      <c r="W40" s="19"/>
      <c r="X40" s="19"/>
    </row>
    <row r="41" spans="1:26" ht="15" customHeight="1" x14ac:dyDescent="0.3">
      <c r="D41" s="19"/>
      <c r="E41" s="19"/>
      <c r="G41" s="19"/>
      <c r="H41" s="19"/>
      <c r="I41" s="19"/>
      <c r="J41" s="40"/>
      <c r="K41" s="19"/>
      <c r="L41" s="19"/>
      <c r="M41" s="19"/>
      <c r="P41" s="19"/>
      <c r="Q41" s="19"/>
      <c r="R41" s="40"/>
      <c r="S41" s="19"/>
      <c r="T41" s="19"/>
      <c r="U41" s="19"/>
      <c r="V41" s="40"/>
      <c r="W41" s="19"/>
      <c r="X41" s="19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9E27DA-352D-8582-550C-963114F96064}">
  <sheetPr>
    <tabColor rgb="FFFFFF00"/>
    <outlinePr summaryBelow="0" summaryRight="0"/>
  </sheetPr>
  <dimension ref="A2:Z41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6" customWidth="1"/>
    <col min="2" max="2" width="33.44140625" style="66" customWidth="1"/>
    <col min="3" max="3" width="1.88671875" style="66" customWidth="1"/>
    <col min="4" max="4" width="15" style="66" customWidth="1"/>
    <col min="5" max="5" width="1.88671875" style="66" customWidth="1" outlineLevel="1"/>
    <col min="6" max="6" width="15" style="67" customWidth="1" outlineLevel="1"/>
    <col min="7" max="7" width="1.88671875" style="66" customWidth="1" outlineLevel="1"/>
    <col min="8" max="8" width="15" style="66" customWidth="1" outlineLevel="1"/>
    <col min="9" max="9" width="1.88671875" style="66" customWidth="1" outlineLevel="1"/>
    <col min="10" max="10" width="15" style="68" customWidth="1" outlineLevel="1"/>
    <col min="11" max="11" width="1.88671875" style="66" customWidth="1" outlineLevel="1"/>
    <col min="12" max="12" width="15" style="66" customWidth="1" outlineLevel="1"/>
    <col min="13" max="13" width="1.88671875" style="66" customWidth="1" outlineLevel="1"/>
    <col min="14" max="14" width="15" style="67" customWidth="1" outlineLevel="1"/>
    <col min="15" max="15" width="1.88671875" style="64" customWidth="1"/>
    <col min="16" max="16" width="15" style="66" customWidth="1"/>
    <col min="17" max="17" width="1.88671875" style="66" customWidth="1" outlineLevel="1"/>
    <col min="18" max="18" width="15" style="68" customWidth="1" outlineLevel="1"/>
    <col min="19" max="19" width="1.88671875" style="66" customWidth="1" outlineLevel="1"/>
    <col min="20" max="20" width="15" style="66" customWidth="1" outlineLevel="1"/>
    <col min="21" max="21" width="1.88671875" style="66" customWidth="1" outlineLevel="1"/>
    <col min="22" max="22" width="15" style="68" customWidth="1" outlineLevel="1"/>
    <col min="23" max="23" width="1.88671875" style="66" customWidth="1" outlineLevel="1"/>
    <col min="24" max="24" width="15" style="66" customWidth="1" outlineLevel="1"/>
    <col min="25" max="25" width="1.88671875" style="66" customWidth="1" outlineLevel="1"/>
    <col min="26" max="26" width="15" style="68" customWidth="1" outlineLevel="1"/>
  </cols>
  <sheetData>
    <row r="2" spans="1:26" ht="15" customHeight="1" x14ac:dyDescent="0.3">
      <c r="D2" s="54" t="s">
        <v>276</v>
      </c>
    </row>
    <row r="3" spans="1:26" ht="15" customHeight="1" x14ac:dyDescent="0.3">
      <c r="D3" s="54" t="s">
        <v>277</v>
      </c>
      <c r="E3" s="18"/>
      <c r="F3" s="44"/>
      <c r="G3" s="18"/>
      <c r="H3" s="18"/>
      <c r="I3" s="18"/>
      <c r="J3" s="38"/>
      <c r="K3" s="18"/>
      <c r="L3" s="18"/>
      <c r="M3" s="18"/>
      <c r="N3" s="44"/>
      <c r="O3" s="53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ht="15" customHeight="1" x14ac:dyDescent="0.3">
      <c r="D4" s="54" t="e">
        <f ca="1">CONCATENATE("Period ",RIGHT(_xll.ONESTOP.REPORTPLAYER.OSRFUNCTIONS.OSRGET("Period","PeriodId"),2),", ",_xll.ONESTOP.REPORTPLAYER.OSRFUNCTIONS.OSRGET("Period","Year"))</f>
        <v>#NAME?</v>
      </c>
      <c r="E4" s="18"/>
      <c r="F4" s="44"/>
      <c r="G4" s="18"/>
      <c r="H4" s="18"/>
      <c r="I4" s="18"/>
      <c r="J4" s="38"/>
      <c r="K4" s="18"/>
      <c r="L4" s="18"/>
      <c r="M4" s="18"/>
      <c r="N4" s="44"/>
      <c r="O4" s="53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ht="15" customHeight="1" x14ac:dyDescent="0.3">
      <c r="A5" s="24"/>
      <c r="D5" s="61" t="e">
        <f ca="1">_xll.ONESTOP.REPORTPLAYER.OSRFUNCTIONS.OSRGET("Period","PeriodEnd")</f>
        <v>#NAME?</v>
      </c>
      <c r="E5" s="18"/>
      <c r="F5" s="44"/>
      <c r="G5" s="18"/>
      <c r="H5" s="18"/>
      <c r="I5" s="18"/>
      <c r="J5" s="38"/>
      <c r="K5" s="18"/>
      <c r="L5" s="18"/>
      <c r="M5" s="18"/>
      <c r="N5" s="44"/>
      <c r="O5" s="53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ht="15" customHeight="1" x14ac:dyDescent="0.3">
      <c r="A6" s="24"/>
      <c r="B6" s="47"/>
      <c r="C6" s="47"/>
      <c r="D6" s="24" t="s">
        <v>312</v>
      </c>
      <c r="E6" s="18"/>
      <c r="F6" s="44"/>
      <c r="G6" s="18"/>
      <c r="H6" s="18"/>
      <c r="I6" s="18"/>
      <c r="J6" s="38"/>
      <c r="K6" s="18"/>
      <c r="L6" s="18"/>
      <c r="M6" s="18"/>
      <c r="N6" s="44"/>
      <c r="O6" s="59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ht="15" customHeight="1" x14ac:dyDescent="0.3">
      <c r="B7" s="52"/>
    </row>
    <row r="8" spans="1:26" ht="15" customHeight="1" x14ac:dyDescent="0.3">
      <c r="B8" s="52"/>
    </row>
    <row r="9" spans="1:26" ht="15" customHeight="1" x14ac:dyDescent="0.3">
      <c r="B9" s="10"/>
      <c r="C9" s="10"/>
      <c r="D9" s="17" t="s">
        <v>279</v>
      </c>
      <c r="E9" s="17"/>
      <c r="F9" s="36"/>
      <c r="G9" s="17"/>
      <c r="H9" s="17"/>
      <c r="I9" s="17"/>
      <c r="J9" s="43"/>
      <c r="K9" s="17"/>
      <c r="L9" s="17"/>
      <c r="M9" s="17"/>
      <c r="N9" s="36"/>
      <c r="P9" s="17" t="s">
        <v>280</v>
      </c>
      <c r="Q9" s="17"/>
      <c r="R9" s="36"/>
      <c r="S9" s="17"/>
      <c r="T9" s="17"/>
      <c r="U9" s="17"/>
      <c r="V9" s="43"/>
      <c r="W9" s="17"/>
      <c r="X9" s="17"/>
      <c r="Y9" s="17"/>
      <c r="Z9" s="36"/>
    </row>
    <row r="10" spans="1:26" ht="15" customHeight="1" x14ac:dyDescent="0.3">
      <c r="A10" s="11"/>
      <c r="B10" s="57"/>
      <c r="C10" s="11"/>
      <c r="D10" s="41" t="s">
        <v>281</v>
      </c>
      <c r="E10" s="33"/>
      <c r="F10" s="37" t="s">
        <v>282</v>
      </c>
      <c r="G10" s="33"/>
      <c r="H10" s="48" t="s">
        <v>283</v>
      </c>
      <c r="I10" s="33"/>
      <c r="J10" s="45" t="s">
        <v>284</v>
      </c>
      <c r="K10" s="11"/>
      <c r="L10" s="41" t="s">
        <v>285</v>
      </c>
      <c r="M10" s="11"/>
      <c r="N10" s="37" t="s">
        <v>286</v>
      </c>
      <c r="O10" s="11"/>
      <c r="P10" s="56" t="s">
        <v>281</v>
      </c>
      <c r="Q10" s="33"/>
      <c r="R10" s="37" t="s">
        <v>282</v>
      </c>
      <c r="S10" s="33"/>
      <c r="T10" s="48" t="s">
        <v>283</v>
      </c>
      <c r="U10" s="33"/>
      <c r="V10" s="45" t="s">
        <v>284</v>
      </c>
      <c r="W10" s="11"/>
      <c r="X10" s="41" t="s">
        <v>285</v>
      </c>
      <c r="Y10" s="11"/>
      <c r="Z10" s="37" t="s">
        <v>286</v>
      </c>
    </row>
    <row r="11" spans="1:26" ht="16.5" customHeight="1" x14ac:dyDescent="0.3">
      <c r="A11" s="10"/>
      <c r="B11" s="55"/>
      <c r="C11" s="10"/>
      <c r="D11" s="10"/>
      <c r="E11" s="10"/>
      <c r="F11" s="9"/>
      <c r="G11" s="10"/>
      <c r="H11" s="10"/>
      <c r="I11" s="10"/>
      <c r="J11" s="46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6"/>
      <c r="W11" s="10"/>
      <c r="X11" s="10"/>
      <c r="Y11" s="10"/>
      <c r="Z11" s="9"/>
    </row>
    <row r="12" spans="1:26" s="63" customFormat="1" ht="15" customHeight="1" collapsed="1" x14ac:dyDescent="0.3">
      <c r="A12" s="11"/>
      <c r="B12" s="28" t="s">
        <v>287</v>
      </c>
      <c r="C12" s="11"/>
      <c r="D12" s="5" t="e">
        <f ca="1">SUM(_xll.ONESTOP.REPORTPLAYER.OSRFUNCTIONS.OSRREF(D13))</f>
        <v>#NAME?</v>
      </c>
      <c r="E12" s="5"/>
      <c r="F12" s="13"/>
      <c r="G12" s="5"/>
      <c r="H12" s="5" t="e">
        <f ca="1">SUM(_xll.ONESTOP.REPORTPLAYER.OSRFUNCTIONS.OSRREF(H13))</f>
        <v>#NAME?</v>
      </c>
      <c r="I12" s="5"/>
      <c r="J12" s="13"/>
      <c r="K12" s="5"/>
      <c r="L12" s="5" t="e">
        <f ca="1">+D12-H12</f>
        <v>#NAME?</v>
      </c>
      <c r="M12" s="5"/>
      <c r="N12" s="13" t="e">
        <f ca="1">IF(H12=0,0,L12/H12)</f>
        <v>#NAME?</v>
      </c>
      <c r="O12" s="11"/>
      <c r="P12" s="5" t="e">
        <f ca="1">SUM(_xll.ONESTOP.REPORTPLAYER.OSRFUNCTIONS.OSRREF(P13))</f>
        <v>#NAME?</v>
      </c>
      <c r="Q12" s="5"/>
      <c r="R12" s="13"/>
      <c r="S12" s="5"/>
      <c r="T12" s="5" t="e">
        <f ca="1">SUM(_xll.ONESTOP.REPORTPLAYER.OSRFUNCTIONS.OSRREF(T13))</f>
        <v>#NAME?</v>
      </c>
      <c r="U12" s="5"/>
      <c r="V12" s="13"/>
      <c r="W12" s="5"/>
      <c r="X12" s="5" t="e">
        <f ca="1">+P12-T12</f>
        <v>#NAME?</v>
      </c>
      <c r="Y12" s="5"/>
      <c r="Z12" s="13" t="e">
        <f ca="1">IF(T12=0,0,X12/T12)</f>
        <v>#NAME?</v>
      </c>
    </row>
    <row r="13" spans="1:26" s="70" customFormat="1" ht="15" hidden="1" customHeight="1" outlineLevel="1" x14ac:dyDescent="0.3">
      <c r="A13" s="42"/>
      <c r="B13" s="12" t="e">
        <f ca="1">CONCATENATE("          ",_xll.ONESTOP.REPORTPLAYER.OSRFUNCTIONS.OSRGET("d_Account","Code")," - ",_xll.ONESTOP.REPORTPLAYER.OSRFUNCTIONS.OSRGET("d_Account","Description"))</f>
        <v>#NAME?</v>
      </c>
      <c r="C13" s="12"/>
      <c r="D13" s="3" t="e">
        <f ca="1">-_xll.ONESTOP.REPORTPLAYER.OSRFUNCTIONS.OSRGET("GL_F_Trans","Value1")</f>
        <v>#NAME?</v>
      </c>
      <c r="E13" s="3"/>
      <c r="F13" s="20"/>
      <c r="G13" s="3"/>
      <c r="H13" s="3" t="e">
        <f ca="1">_xll.ONESTOP.REPORTPLAYER.OSRFUNCTIONS.OSRGET("GL_F_Trans","Value1")</f>
        <v>#NAME?</v>
      </c>
      <c r="I13" s="3"/>
      <c r="J13" s="20"/>
      <c r="K13" s="3"/>
      <c r="L13" s="3" t="e">
        <f ca="1">+D13-H13</f>
        <v>#NAME?</v>
      </c>
      <c r="M13" s="3"/>
      <c r="N13" s="20" t="e">
        <f ca="1">IF(H13=0,0,L13/H13)</f>
        <v>#NAME?</v>
      </c>
      <c r="O13" s="12"/>
      <c r="P13" s="3" t="e">
        <f ca="1">-_xll.ONESTOP.REPORTPLAYER.OSRFUNCTIONS.OSRGET("GL_F_Trans","Value1")</f>
        <v>#NAME?</v>
      </c>
      <c r="Q13" s="3"/>
      <c r="R13" s="20"/>
      <c r="S13" s="3"/>
      <c r="T13" s="3" t="e">
        <f ca="1">_xll.ONESTOP.REPORTPLAYER.OSRFUNCTIONS.OSRGET("GL_F_Trans","Value1")</f>
        <v>#NAME?</v>
      </c>
      <c r="U13" s="3"/>
      <c r="V13" s="20"/>
      <c r="W13" s="3"/>
      <c r="X13" s="3" t="e">
        <f ca="1">+P13-T13</f>
        <v>#NAME?</v>
      </c>
      <c r="Y13" s="3"/>
      <c r="Z13" s="20" t="e">
        <f ca="1">IF(T13=0,0,X13/T13)</f>
        <v>#NAME?</v>
      </c>
    </row>
    <row r="14" spans="1:26" ht="15" customHeight="1" x14ac:dyDescent="0.3">
      <c r="A14" s="10"/>
      <c r="B14" s="11"/>
      <c r="C14" s="10"/>
      <c r="D14" s="4"/>
      <c r="E14" s="4"/>
      <c r="F14" s="9"/>
      <c r="G14" s="4"/>
      <c r="H14" s="4"/>
      <c r="I14" s="4"/>
      <c r="J14" s="9"/>
      <c r="K14" s="4"/>
      <c r="L14" s="4"/>
      <c r="M14" s="4"/>
      <c r="N14" s="9"/>
      <c r="P14" s="4"/>
      <c r="Q14" s="4"/>
      <c r="R14" s="9"/>
      <c r="S14" s="4"/>
      <c r="T14" s="4"/>
      <c r="U14" s="4"/>
      <c r="V14" s="9"/>
      <c r="W14" s="4"/>
      <c r="X14" s="4"/>
      <c r="Y14" s="4"/>
      <c r="Z14" s="9"/>
    </row>
    <row r="15" spans="1:26" s="63" customFormat="1" ht="15" customHeight="1" collapsed="1" x14ac:dyDescent="0.3">
      <c r="A15" s="11"/>
      <c r="B15" s="28" t="s">
        <v>288</v>
      </c>
      <c r="C15" s="11"/>
      <c r="D15" s="5" t="e">
        <f ca="1">SUM(_xll.ONESTOP.REPORTPLAYER.OSRFUNCTIONS.OSRREF(D16))</f>
        <v>#NAME?</v>
      </c>
      <c r="E15" s="5"/>
      <c r="F15" s="13" t="e">
        <f ca="1">IF(D$12=0,0,D15/D$12)</f>
        <v>#NAME?</v>
      </c>
      <c r="G15" s="5"/>
      <c r="H15" s="5" t="e">
        <f ca="1">SUM(_xll.ONESTOP.REPORTPLAYER.OSRFUNCTIONS.OSRREF(H16))</f>
        <v>#NAME?</v>
      </c>
      <c r="I15" s="5"/>
      <c r="J15" s="13" t="e">
        <f ca="1">IF(H$12=0,0,H15/H$12)</f>
        <v>#NAME?</v>
      </c>
      <c r="K15" s="5"/>
      <c r="L15" s="5" t="e">
        <f ca="1">+D15-H15</f>
        <v>#NAME?</v>
      </c>
      <c r="M15" s="5"/>
      <c r="N15" s="13" t="e">
        <f ca="1">IF(H15=0,0,L15/H15)</f>
        <v>#NAME?</v>
      </c>
      <c r="O15" s="11"/>
      <c r="P15" s="5" t="e">
        <f ca="1">SUM(_xll.ONESTOP.REPORTPLAYER.OSRFUNCTIONS.OSRREF(P16))</f>
        <v>#NAME?</v>
      </c>
      <c r="Q15" s="5"/>
      <c r="R15" s="13" t="e">
        <f ca="1">IF(P$12=0,0,P15/P$12)</f>
        <v>#NAME?</v>
      </c>
      <c r="S15" s="5"/>
      <c r="T15" s="5" t="e">
        <f ca="1">SUM(_xll.ONESTOP.REPORTPLAYER.OSRFUNCTIONS.OSRREF(T16))</f>
        <v>#NAME?</v>
      </c>
      <c r="U15" s="5"/>
      <c r="V15" s="13" t="e">
        <f ca="1">IF(T$12=0,0,T15/T$12)</f>
        <v>#NAME?</v>
      </c>
      <c r="W15" s="5"/>
      <c r="X15" s="5" t="e">
        <f ca="1">+P15-T15</f>
        <v>#NAME?</v>
      </c>
      <c r="Y15" s="5"/>
      <c r="Z15" s="13" t="e">
        <f ca="1">IF(T15=0,0,X15/T15)</f>
        <v>#NAME?</v>
      </c>
    </row>
    <row r="16" spans="1:26" s="70" customFormat="1" ht="15" hidden="1" customHeight="1" outlineLevel="1" x14ac:dyDescent="0.3">
      <c r="A16" s="42"/>
      <c r="B16" s="12" t="e">
        <f ca="1">CONCATENATE("          ",_xll.ONESTOP.REPORTPLAYER.OSRFUNCTIONS.OSRGET("d_Account","Code")," - ",_xll.ONESTOP.REPORTPLAYER.OSRFUNCTIONS.OSRGET("d_Account","Description"))</f>
        <v>#NAME?</v>
      </c>
      <c r="C16" s="12"/>
      <c r="D16" s="3" t="e">
        <f ca="1">_xll.ONESTOP.REPORTPLAYER.OSRFUNCTIONS.OSRGET("GL_F_Trans","Value1")</f>
        <v>#NAME?</v>
      </c>
      <c r="E16" s="3"/>
      <c r="F16" s="20" t="e">
        <f ca="1">IF(D$12=0,0,D16/D$12)</f>
        <v>#NAME?</v>
      </c>
      <c r="G16" s="3"/>
      <c r="H16" s="3" t="e">
        <f ca="1">_xll.ONESTOP.REPORTPLAYER.OSRFUNCTIONS.OSRGET("GL_F_Trans","Value1")</f>
        <v>#NAME?</v>
      </c>
      <c r="I16" s="3"/>
      <c r="J16" s="20" t="e">
        <f ca="1">IF(H$12=0,0,H16/H$12)</f>
        <v>#NAME?</v>
      </c>
      <c r="K16" s="3"/>
      <c r="L16" s="3" t="e">
        <f ca="1">+D16-H16</f>
        <v>#NAME?</v>
      </c>
      <c r="M16" s="3"/>
      <c r="N16" s="20" t="e">
        <f ca="1">IF(H16=0,0,L16/H16)</f>
        <v>#NAME?</v>
      </c>
      <c r="O16" s="12"/>
      <c r="P16" s="3" t="e">
        <f ca="1">_xll.ONESTOP.REPORTPLAYER.OSRFUNCTIONS.OSRGET("GL_F_Trans","Value1")</f>
        <v>#NAME?</v>
      </c>
      <c r="Q16" s="3"/>
      <c r="R16" s="20" t="e">
        <f ca="1">IF(P$12=0,0,P16/P$12)</f>
        <v>#NAME?</v>
      </c>
      <c r="S16" s="3"/>
      <c r="T16" s="3" t="e">
        <f ca="1">_xll.ONESTOP.REPORTPLAYER.OSRFUNCTIONS.OSRGET("GL_F_Trans","Value1")</f>
        <v>#NAME?</v>
      </c>
      <c r="U16" s="3"/>
      <c r="V16" s="20" t="e">
        <f ca="1">IF(T$12=0,0,T16/T$12)</f>
        <v>#NAME?</v>
      </c>
      <c r="W16" s="3"/>
      <c r="X16" s="3" t="e">
        <f ca="1">+P16-T16</f>
        <v>#NAME?</v>
      </c>
      <c r="Y16" s="3"/>
      <c r="Z16" s="20" t="e">
        <f ca="1">IF(T16=0,0,X16/T16)</f>
        <v>#NAME?</v>
      </c>
    </row>
    <row r="17" spans="1:26" ht="15" customHeight="1" x14ac:dyDescent="0.3">
      <c r="A17" s="10"/>
      <c r="B17" s="11"/>
      <c r="C17" s="11"/>
      <c r="D17" s="4"/>
      <c r="E17" s="4"/>
      <c r="F17" s="9"/>
      <c r="G17" s="4"/>
      <c r="H17" s="4"/>
      <c r="I17" s="4"/>
      <c r="J17" s="9"/>
      <c r="K17" s="4"/>
      <c r="L17" s="4"/>
      <c r="M17" s="4"/>
      <c r="N17" s="9"/>
      <c r="O17" s="11"/>
      <c r="P17" s="4"/>
      <c r="Q17" s="4"/>
      <c r="R17" s="9"/>
      <c r="S17" s="4"/>
      <c r="T17" s="4"/>
      <c r="U17" s="4"/>
      <c r="V17" s="9"/>
      <c r="W17" s="4"/>
      <c r="X17" s="4"/>
      <c r="Y17" s="4"/>
      <c r="Z17" s="9"/>
    </row>
    <row r="18" spans="1:26" s="63" customFormat="1" ht="15" customHeight="1" x14ac:dyDescent="0.3">
      <c r="A18" s="11"/>
      <c r="B18" s="27" t="s">
        <v>289</v>
      </c>
      <c r="C18" s="27"/>
      <c r="D18" s="21" t="e">
        <f ca="1">D12-D15</f>
        <v>#NAME?</v>
      </c>
      <c r="E18" s="15"/>
      <c r="F18" s="23" t="e">
        <f ca="1">IF(D$12=0,0,D18/D$12)</f>
        <v>#NAME?</v>
      </c>
      <c r="G18" s="15"/>
      <c r="H18" s="21" t="e">
        <f ca="1">H12-H15</f>
        <v>#NAME?</v>
      </c>
      <c r="I18" s="15"/>
      <c r="J18" s="23" t="e">
        <f ca="1">IF(H$12=0,0,H18/H$12)</f>
        <v>#NAME?</v>
      </c>
      <c r="K18" s="16"/>
      <c r="L18" s="21" t="e">
        <f ca="1">+D18-H18</f>
        <v>#NAME?</v>
      </c>
      <c r="M18" s="16"/>
      <c r="N18" s="23" t="e">
        <f ca="1">IF(H18=0,0,L18/H18)</f>
        <v>#NAME?</v>
      </c>
      <c r="O18" s="28"/>
      <c r="P18" s="21" t="e">
        <f ca="1">P12-P15</f>
        <v>#NAME?</v>
      </c>
      <c r="Q18" s="15"/>
      <c r="R18" s="23" t="e">
        <f ca="1">IF(P$12=0,0,P18/P$12)</f>
        <v>#NAME?</v>
      </c>
      <c r="S18" s="15"/>
      <c r="T18" s="21" t="e">
        <f ca="1">T12-T15</f>
        <v>#NAME?</v>
      </c>
      <c r="U18" s="15"/>
      <c r="V18" s="23" t="e">
        <f ca="1">IF(T$12=0,0,T18/T$12)</f>
        <v>#NAME?</v>
      </c>
      <c r="W18" s="16"/>
      <c r="X18" s="21" t="e">
        <f ca="1">+P18-T18</f>
        <v>#NAME?</v>
      </c>
      <c r="Y18" s="16"/>
      <c r="Z18" s="23" t="e">
        <f ca="1">IF(T18=0,0,X18/T18)</f>
        <v>#NAME?</v>
      </c>
    </row>
    <row r="19" spans="1:26" ht="15" customHeight="1" x14ac:dyDescent="0.3">
      <c r="A19" s="10"/>
      <c r="B19" s="11"/>
      <c r="C19" s="10"/>
      <c r="D19" s="2"/>
      <c r="E19" s="2"/>
      <c r="F19" s="6"/>
      <c r="G19" s="2"/>
      <c r="H19" s="2"/>
      <c r="I19" s="2"/>
      <c r="J19" s="6"/>
      <c r="K19" s="2"/>
      <c r="L19" s="2"/>
      <c r="M19" s="2"/>
      <c r="N19" s="6"/>
      <c r="O19" s="35"/>
      <c r="P19" s="2"/>
      <c r="Q19" s="2"/>
      <c r="R19" s="6"/>
      <c r="S19" s="2"/>
      <c r="T19" s="2"/>
      <c r="U19" s="2"/>
      <c r="V19" s="6"/>
      <c r="W19" s="2"/>
      <c r="X19" s="2"/>
      <c r="Y19" s="2"/>
      <c r="Z19" s="6"/>
    </row>
    <row r="20" spans="1:26" s="63" customFormat="1" ht="15" customHeight="1" x14ac:dyDescent="0.3">
      <c r="A20" s="11"/>
      <c r="B20" s="28" t="s">
        <v>290</v>
      </c>
      <c r="C20" s="11"/>
      <c r="D20" s="22" t="e">
        <f ca="1">SUM(_xll.ONESTOP.REPORTPLAYER.OSRFUNCTIONS.OSRREF(D22))</f>
        <v>#NAME?</v>
      </c>
      <c r="E20" s="22"/>
      <c r="F20" s="30" t="e">
        <f ca="1">IF(D$12=0,0,D20/D$12)</f>
        <v>#NAME?</v>
      </c>
      <c r="G20" s="22"/>
      <c r="H20" s="22" t="e">
        <f ca="1">SUM(_xll.ONESTOP.REPORTPLAYER.OSRFUNCTIONS.OSRREF(H22))</f>
        <v>#NAME?</v>
      </c>
      <c r="I20" s="22"/>
      <c r="J20" s="30" t="e">
        <f ca="1">IF(H$12=0,0,H20/H$12)</f>
        <v>#NAME?</v>
      </c>
      <c r="K20" s="5"/>
      <c r="L20" s="22" t="e">
        <f ca="1">+D20-H20</f>
        <v>#NAME?</v>
      </c>
      <c r="M20" s="5"/>
      <c r="N20" s="30" t="e">
        <f ca="1">IF(H20=0,0,L20/H20)</f>
        <v>#NAME?</v>
      </c>
      <c r="O20" s="11"/>
      <c r="P20" s="22" t="e">
        <f ca="1">SUM(_xll.ONESTOP.REPORTPLAYER.OSRFUNCTIONS.OSRREF(P22))</f>
        <v>#NAME?</v>
      </c>
      <c r="Q20" s="22"/>
      <c r="R20" s="30" t="e">
        <f ca="1">IF(P$12=0,0,P20/P$12)</f>
        <v>#NAME?</v>
      </c>
      <c r="S20" s="22"/>
      <c r="T20" s="22" t="e">
        <f ca="1">SUM(_xll.ONESTOP.REPORTPLAYER.OSRFUNCTIONS.OSRREF(T22))</f>
        <v>#NAME?</v>
      </c>
      <c r="U20" s="22"/>
      <c r="V20" s="30" t="e">
        <f ca="1">IF(T$12=0,0,T20/T$12)</f>
        <v>#NAME?</v>
      </c>
      <c r="W20" s="5"/>
      <c r="X20" s="22" t="e">
        <f ca="1">+P20-T20</f>
        <v>#NAME?</v>
      </c>
      <c r="Y20" s="5"/>
      <c r="Z20" s="30" t="e">
        <f ca="1">IF(T20=0,0,X20/T20)</f>
        <v>#NAME?</v>
      </c>
    </row>
    <row r="21" spans="1:26" s="69" customFormat="1" ht="15" customHeight="1" outlineLevel="1" collapsed="1" x14ac:dyDescent="0.3">
      <c r="A21" s="25"/>
      <c r="B21" s="14" t="e">
        <f ca="1">CONCATENATE("     ",_xll.ONESTOP.REPORTPLAYER.OSRFUNCTIONS.OSRGET("d_Account","AccountCategory"))</f>
        <v>#NAME?</v>
      </c>
      <c r="C21" s="14"/>
      <c r="D21" s="2" t="e">
        <f ca="1">SUM(_xll.ONESTOP.REPORTPLAYER.OSRFUNCTIONS.OSRREF(D22))</f>
        <v>#NAME?</v>
      </c>
      <c r="E21" s="2"/>
      <c r="F21" s="6" t="e">
        <f ca="1">IF(D$12=0,0,D21/D$12)</f>
        <v>#NAME?</v>
      </c>
      <c r="G21" s="2"/>
      <c r="H21" s="2" t="e">
        <f ca="1">SUM(_xll.ONESTOP.REPORTPLAYER.OSRFUNCTIONS.OSRREF(H22))</f>
        <v>#NAME?</v>
      </c>
      <c r="I21" s="2"/>
      <c r="J21" s="6" t="e">
        <f ca="1">IF(H$12=0,0,H21/H$12)</f>
        <v>#NAME?</v>
      </c>
      <c r="K21" s="2"/>
      <c r="L21" s="2" t="e">
        <f ca="1">+D21-H21</f>
        <v>#NAME?</v>
      </c>
      <c r="M21" s="2"/>
      <c r="N21" s="6" t="e">
        <f ca="1">IF(H21=0,0,L21/H21)</f>
        <v>#NAME?</v>
      </c>
      <c r="O21" s="14"/>
      <c r="P21" s="2" t="e">
        <f ca="1">SUM(_xll.ONESTOP.REPORTPLAYER.OSRFUNCTIONS.OSRREF(P22))</f>
        <v>#NAME?</v>
      </c>
      <c r="Q21" s="2"/>
      <c r="R21" s="6" t="e">
        <f ca="1">IF(P$12=0,0,P21/P$12)</f>
        <v>#NAME?</v>
      </c>
      <c r="S21" s="2"/>
      <c r="T21" s="2" t="e">
        <f ca="1">SUM(_xll.ONESTOP.REPORTPLAYER.OSRFUNCTIONS.OSRREF(T22))</f>
        <v>#NAME?</v>
      </c>
      <c r="U21" s="2"/>
      <c r="V21" s="6" t="e">
        <f ca="1">IF(T$12=0,0,T21/T$12)</f>
        <v>#NAME?</v>
      </c>
      <c r="W21" s="2"/>
      <c r="X21" s="2" t="e">
        <f ca="1">+P21-T21</f>
        <v>#NAME?</v>
      </c>
      <c r="Y21" s="2"/>
      <c r="Z21" s="6" t="e">
        <f ca="1">IF(T21=0,0,X21/T21)</f>
        <v>#NAME?</v>
      </c>
    </row>
    <row r="22" spans="1:26" s="70" customFormat="1" ht="15" hidden="1" customHeight="1" outlineLevel="2" x14ac:dyDescent="0.3">
      <c r="A22" s="26"/>
      <c r="B22" s="12" t="e">
        <f ca="1">CONCATENATE("          ",_xll.ONESTOP.REPORTPLAYER.OSRFUNCTIONS.OSRGET("d_Account","Code")," - ",_xll.ONESTOP.REPORTPLAYER.OSRFUNCTIONS.OSRGET("d_Account","Description"))</f>
        <v>#NAME?</v>
      </c>
      <c r="C22" s="12"/>
      <c r="D22" s="7" t="e">
        <f ca="1">_xll.ONESTOP.REPORTPLAYER.OSRFUNCTIONS.OSRGET("GL_F_Trans","Value1")</f>
        <v>#NAME?</v>
      </c>
      <c r="E22" s="3"/>
      <c r="F22" s="8" t="e">
        <f ca="1">IF(D$12=0,0,D22/D$12)</f>
        <v>#NAME?</v>
      </c>
      <c r="G22" s="3"/>
      <c r="H22" s="7" t="e">
        <f ca="1">_xll.ONESTOP.REPORTPLAYER.OSRFUNCTIONS.OSRGET("GL_F_Trans","Value1")</f>
        <v>#NAME?</v>
      </c>
      <c r="I22" s="3"/>
      <c r="J22" s="8" t="e">
        <f ca="1">IF(H$12=0,0,H22/H$12)</f>
        <v>#NAME?</v>
      </c>
      <c r="K22" s="3"/>
      <c r="L22" s="7" t="e">
        <f ca="1">+D22-H22</f>
        <v>#NAME?</v>
      </c>
      <c r="M22" s="3"/>
      <c r="N22" s="8" t="e">
        <f ca="1">IF(H22=0,0,L22/H22)</f>
        <v>#NAME?</v>
      </c>
      <c r="O22" s="12"/>
      <c r="P22" s="7" t="e">
        <f ca="1">_xll.ONESTOP.REPORTPLAYER.OSRFUNCTIONS.OSRGET("GL_F_Trans","Value1")</f>
        <v>#NAME?</v>
      </c>
      <c r="Q22" s="3"/>
      <c r="R22" s="8" t="e">
        <f ca="1">IF(P$12=0,0,P22/P$12)</f>
        <v>#NAME?</v>
      </c>
      <c r="S22" s="3"/>
      <c r="T22" s="7" t="e">
        <f ca="1">_xll.ONESTOP.REPORTPLAYER.OSRFUNCTIONS.OSRGET("GL_F_Trans","Value1")</f>
        <v>#NAME?</v>
      </c>
      <c r="U22" s="3"/>
      <c r="V22" s="8" t="e">
        <f ca="1">IF(T$12=0,0,T22/T$12)</f>
        <v>#NAME?</v>
      </c>
      <c r="W22" s="3"/>
      <c r="X22" s="7" t="e">
        <f ca="1">+P22-T22</f>
        <v>#NAME?</v>
      </c>
      <c r="Y22" s="3"/>
      <c r="Z22" s="8" t="e">
        <f ca="1">IF(T22=0,0,X22/T22)</f>
        <v>#NAME?</v>
      </c>
    </row>
    <row r="23" spans="1:26" s="65" customFormat="1" ht="15" customHeight="1" x14ac:dyDescent="0.3">
      <c r="A23" s="35"/>
      <c r="B23" s="35"/>
      <c r="C23" s="35"/>
      <c r="D23" s="2"/>
      <c r="E23" s="2"/>
      <c r="F23" s="6"/>
      <c r="G23" s="2"/>
      <c r="H23" s="2"/>
      <c r="I23" s="2"/>
      <c r="J23" s="6"/>
      <c r="K23" s="2"/>
      <c r="L23" s="2"/>
      <c r="M23" s="2"/>
      <c r="N23" s="6"/>
      <c r="O23" s="35"/>
      <c r="P23" s="2"/>
      <c r="Q23" s="2"/>
      <c r="R23" s="6"/>
      <c r="S23" s="2"/>
      <c r="T23" s="2"/>
      <c r="U23" s="2"/>
      <c r="V23" s="6"/>
      <c r="W23" s="2"/>
      <c r="X23" s="2"/>
      <c r="Y23" s="2"/>
      <c r="Z23" s="6"/>
    </row>
    <row r="24" spans="1:26" s="63" customFormat="1" ht="15" customHeight="1" collapsed="1" x14ac:dyDescent="0.3">
      <c r="A24" s="11"/>
      <c r="B24" s="28" t="s">
        <v>291</v>
      </c>
      <c r="C24" s="11"/>
      <c r="D24" s="5" t="e">
        <f ca="1">SUM(_xll.ONESTOP.REPORTPLAYER.OSRFUNCTIONS.OSRREF(D25))</f>
        <v>#NAME?</v>
      </c>
      <c r="E24" s="5"/>
      <c r="F24" s="13" t="e">
        <f ca="1">IF(D$12=0,0,D24/D$12)</f>
        <v>#NAME?</v>
      </c>
      <c r="G24" s="5"/>
      <c r="H24" s="5" t="e">
        <f ca="1">SUM(_xll.ONESTOP.REPORTPLAYER.OSRFUNCTIONS.OSRREF(H25))</f>
        <v>#NAME?</v>
      </c>
      <c r="I24" s="5"/>
      <c r="J24" s="13" t="e">
        <f ca="1">IF(H$12=0,0,H24/H$12)</f>
        <v>#NAME?</v>
      </c>
      <c r="K24" s="5"/>
      <c r="L24" s="5" t="e">
        <f ca="1">+D24-H24</f>
        <v>#NAME?</v>
      </c>
      <c r="M24" s="5"/>
      <c r="N24" s="13" t="e">
        <f ca="1">IF(H24=0,0,L24/H24)</f>
        <v>#NAME?</v>
      </c>
      <c r="O24" s="11"/>
      <c r="P24" s="5" t="e">
        <f ca="1">SUM(_xll.ONESTOP.REPORTPLAYER.OSRFUNCTIONS.OSRREF(P25))</f>
        <v>#NAME?</v>
      </c>
      <c r="Q24" s="5"/>
      <c r="R24" s="13" t="e">
        <f ca="1">IF(P$12=0,0,P24/P$12)</f>
        <v>#NAME?</v>
      </c>
      <c r="S24" s="5"/>
      <c r="T24" s="5" t="e">
        <f ca="1">SUM(_xll.ONESTOP.REPORTPLAYER.OSRFUNCTIONS.OSRREF(T25))</f>
        <v>#NAME?</v>
      </c>
      <c r="U24" s="5"/>
      <c r="V24" s="13" t="e">
        <f ca="1">IF(T$12=0,0,T24/T$12)</f>
        <v>#NAME?</v>
      </c>
      <c r="W24" s="5"/>
      <c r="X24" s="5" t="e">
        <f ca="1">+P24-T24</f>
        <v>#NAME?</v>
      </c>
      <c r="Y24" s="5"/>
      <c r="Z24" s="13" t="e">
        <f ca="1">IF(T24=0,0,X24/T24)</f>
        <v>#NAME?</v>
      </c>
    </row>
    <row r="25" spans="1:26" s="70" customFormat="1" ht="15" hidden="1" customHeight="1" outlineLevel="1" x14ac:dyDescent="0.3">
      <c r="A25" s="42"/>
      <c r="B25" s="12" t="e">
        <f ca="1">CONCATENATE("          ",_xll.ONESTOP.REPORTPLAYER.OSRFUNCTIONS.OSRGET("d_Account","Code")," - ",_xll.ONESTOP.REPORTPLAYER.OSRFUNCTIONS.OSRGET("d_Account","Description"))</f>
        <v>#NAME?</v>
      </c>
      <c r="C25" s="12"/>
      <c r="D25" s="3" t="e">
        <f ca="1">-_xll.ONESTOP.REPORTPLAYER.OSRFUNCTIONS.OSRGET("GL_F_Trans","Value1")</f>
        <v>#NAME?</v>
      </c>
      <c r="E25" s="3"/>
      <c r="F25" s="20" t="e">
        <f ca="1">IF(D$12=0,0,D25/D$12)</f>
        <v>#NAME?</v>
      </c>
      <c r="G25" s="3"/>
      <c r="H25" s="3" t="e">
        <f ca="1">_xll.ONESTOP.REPORTPLAYER.OSRFUNCTIONS.OSRGET("GL_F_Trans","Value1")</f>
        <v>#NAME?</v>
      </c>
      <c r="I25" s="3"/>
      <c r="J25" s="20" t="e">
        <f ca="1">IF(H$12=0,0,H25/H$12)</f>
        <v>#NAME?</v>
      </c>
      <c r="K25" s="3"/>
      <c r="L25" s="3" t="e">
        <f ca="1">+D25-H25</f>
        <v>#NAME?</v>
      </c>
      <c r="M25" s="3"/>
      <c r="N25" s="20" t="e">
        <f ca="1">IF(H25=0,0,L25/H25)</f>
        <v>#NAME?</v>
      </c>
      <c r="O25" s="12"/>
      <c r="P25" s="3" t="e">
        <f ca="1">-_xll.ONESTOP.REPORTPLAYER.OSRFUNCTIONS.OSRGET("GL_F_Trans","Value1")</f>
        <v>#NAME?</v>
      </c>
      <c r="Q25" s="3"/>
      <c r="R25" s="20" t="e">
        <f ca="1">IF(P$12=0,0,P25/P$12)</f>
        <v>#NAME?</v>
      </c>
      <c r="S25" s="3"/>
      <c r="T25" s="3" t="e">
        <f ca="1">_xll.ONESTOP.REPORTPLAYER.OSRFUNCTIONS.OSRGET("GL_F_Trans","Value1")</f>
        <v>#NAME?</v>
      </c>
      <c r="U25" s="3"/>
      <c r="V25" s="20" t="e">
        <f ca="1">IF(T$12=0,0,T25/T$12)</f>
        <v>#NAME?</v>
      </c>
      <c r="W25" s="3"/>
      <c r="X25" s="3" t="e">
        <f ca="1">+P25-T25</f>
        <v>#NAME?</v>
      </c>
      <c r="Y25" s="3"/>
      <c r="Z25" s="20" t="e">
        <f ca="1">IF(T25=0,0,X25/T25)</f>
        <v>#NAME?</v>
      </c>
    </row>
    <row r="26" spans="1:26" ht="15" customHeight="1" x14ac:dyDescent="0.3">
      <c r="A26" s="10"/>
      <c r="B26" s="11"/>
      <c r="C26" s="11"/>
      <c r="D26" s="4"/>
      <c r="E26" s="4"/>
      <c r="F26" s="9"/>
      <c r="G26" s="4"/>
      <c r="H26" s="4"/>
      <c r="I26" s="4"/>
      <c r="J26" s="9"/>
      <c r="K26" s="4"/>
      <c r="L26" s="4"/>
      <c r="M26" s="4"/>
      <c r="N26" s="9"/>
      <c r="O26" s="11"/>
      <c r="P26" s="4"/>
      <c r="Q26" s="4"/>
      <c r="R26" s="9"/>
      <c r="S26" s="4"/>
      <c r="T26" s="4"/>
      <c r="U26" s="4"/>
      <c r="V26" s="9"/>
      <c r="W26" s="4"/>
      <c r="X26" s="4"/>
      <c r="Y26" s="4"/>
      <c r="Z26" s="9"/>
    </row>
    <row r="27" spans="1:26" s="63" customFormat="1" ht="15" customHeight="1" x14ac:dyDescent="0.3">
      <c r="A27" s="11"/>
      <c r="B27" s="27" t="s">
        <v>292</v>
      </c>
      <c r="C27" s="27"/>
      <c r="D27" s="21" t="e">
        <f ca="1">+D18-D20+D24</f>
        <v>#NAME?</v>
      </c>
      <c r="E27" s="15"/>
      <c r="F27" s="23" t="e">
        <f ca="1">IF(D$12=0,0,D27/D$12)</f>
        <v>#NAME?</v>
      </c>
      <c r="G27" s="15"/>
      <c r="H27" s="21" t="e">
        <f ca="1">+H18-H20+H24</f>
        <v>#NAME?</v>
      </c>
      <c r="I27" s="15"/>
      <c r="J27" s="23" t="e">
        <f ca="1">IF(H$12=0,0,H27/H$12)</f>
        <v>#NAME?</v>
      </c>
      <c r="K27" s="16"/>
      <c r="L27" s="21" t="e">
        <f ca="1">+D27-H27</f>
        <v>#NAME?</v>
      </c>
      <c r="M27" s="16"/>
      <c r="N27" s="23" t="e">
        <f ca="1">IF(H27=0,0,L27/H27)</f>
        <v>#NAME?</v>
      </c>
      <c r="O27" s="28"/>
      <c r="P27" s="21" t="e">
        <f ca="1">+P18-P20+P24</f>
        <v>#NAME?</v>
      </c>
      <c r="Q27" s="15"/>
      <c r="R27" s="23" t="e">
        <f ca="1">IF(P$12=0,0,P27/P$12)</f>
        <v>#NAME?</v>
      </c>
      <c r="S27" s="15"/>
      <c r="T27" s="21" t="e">
        <f ca="1">+T18-T20+T24</f>
        <v>#NAME?</v>
      </c>
      <c r="U27" s="15"/>
      <c r="V27" s="23" t="e">
        <f ca="1">IF(T$12=0,0,T27/T$12)</f>
        <v>#NAME?</v>
      </c>
      <c r="W27" s="16"/>
      <c r="X27" s="21" t="e">
        <f ca="1">+P27-T27</f>
        <v>#NAME?</v>
      </c>
      <c r="Y27" s="16"/>
      <c r="Z27" s="23" t="e">
        <f ca="1">IF(T27=0,0,X27/T27)</f>
        <v>#NAME?</v>
      </c>
    </row>
    <row r="28" spans="1:26" ht="15" customHeight="1" x14ac:dyDescent="0.3">
      <c r="A28" s="10"/>
      <c r="B28" s="11"/>
      <c r="C28" s="10"/>
      <c r="D28" s="4"/>
      <c r="E28" s="4"/>
      <c r="F28" s="9"/>
      <c r="G28" s="4"/>
      <c r="H28" s="4"/>
      <c r="I28" s="4"/>
      <c r="J28" s="9"/>
      <c r="K28" s="4"/>
      <c r="L28" s="4"/>
      <c r="M28" s="4"/>
      <c r="N28" s="9"/>
      <c r="P28" s="4"/>
      <c r="Q28" s="4"/>
      <c r="R28" s="9"/>
      <c r="S28" s="4"/>
      <c r="T28" s="4"/>
      <c r="U28" s="4"/>
      <c r="V28" s="9"/>
      <c r="W28" s="4"/>
      <c r="X28" s="4"/>
      <c r="Y28" s="4"/>
      <c r="Z28" s="9"/>
    </row>
    <row r="29" spans="1:26" s="63" customFormat="1" ht="15" customHeight="1" x14ac:dyDescent="0.3">
      <c r="A29" s="49"/>
      <c r="B29" s="11" t="s">
        <v>293</v>
      </c>
      <c r="C29" s="11"/>
      <c r="D29" s="5" t="e">
        <f ca="1">_xll.ONESTOP.REPORTPLAYER.OSRFUNCTIONS.OSRGET("GL_F_Trans","Value1")</f>
        <v>#NAME?</v>
      </c>
      <c r="E29" s="5"/>
      <c r="F29" s="13" t="e">
        <f ca="1">IF(D$12=0,0,D29/D$12)</f>
        <v>#NAME?</v>
      </c>
      <c r="G29" s="5"/>
      <c r="H29" s="5" t="e">
        <f ca="1">_xll.ONESTOP.REPORTPLAYER.OSRFUNCTIONS.OSRGET("GL_F_Trans","Value1")</f>
        <v>#NAME?</v>
      </c>
      <c r="I29" s="5"/>
      <c r="J29" s="13" t="e">
        <f ca="1">IF(H$12=0,0,H29/H$12)</f>
        <v>#NAME?</v>
      </c>
      <c r="K29" s="5"/>
      <c r="L29" s="5" t="e">
        <f ca="1">+D29-H29</f>
        <v>#NAME?</v>
      </c>
      <c r="M29" s="5"/>
      <c r="N29" s="13" t="e">
        <f ca="1">IF(H29=0,0,L29/H29)</f>
        <v>#NAME?</v>
      </c>
      <c r="O29" s="11"/>
      <c r="P29" s="5" t="e">
        <f ca="1">_xll.ONESTOP.REPORTPLAYER.OSRFUNCTIONS.OSRGET("GL_F_Trans","Value1")</f>
        <v>#NAME?</v>
      </c>
      <c r="Q29" s="5"/>
      <c r="R29" s="13" t="e">
        <f ca="1">IF(P$12=0,0,P29/P$12)</f>
        <v>#NAME?</v>
      </c>
      <c r="S29" s="5"/>
      <c r="T29" s="5" t="e">
        <f ca="1">_xll.ONESTOP.REPORTPLAYER.OSRFUNCTIONS.OSRGET("GL_F_Trans","Value1")</f>
        <v>#NAME?</v>
      </c>
      <c r="U29" s="5"/>
      <c r="V29" s="13" t="e">
        <f ca="1">IF(T$12=0,0,T29/T$12)</f>
        <v>#NAME?</v>
      </c>
      <c r="W29" s="5"/>
      <c r="X29" s="5" t="e">
        <f ca="1">+P29-T29</f>
        <v>#NAME?</v>
      </c>
      <c r="Y29" s="5"/>
      <c r="Z29" s="13" t="e">
        <f ca="1">IF(T29=0,0,X29/T29)</f>
        <v>#NAME?</v>
      </c>
    </row>
    <row r="30" spans="1:26" ht="15" customHeight="1" x14ac:dyDescent="0.3">
      <c r="A30" s="10"/>
      <c r="B30" s="11"/>
      <c r="C30" s="11"/>
      <c r="D30" s="4"/>
      <c r="E30" s="4"/>
      <c r="F30" s="9"/>
      <c r="G30" s="4"/>
      <c r="H30" s="4"/>
      <c r="I30" s="4"/>
      <c r="J30" s="9"/>
      <c r="K30" s="4"/>
      <c r="L30" s="4"/>
      <c r="M30" s="4"/>
      <c r="N30" s="9"/>
      <c r="O30" s="11"/>
      <c r="P30" s="4"/>
      <c r="Q30" s="4"/>
      <c r="R30" s="9"/>
      <c r="S30" s="4"/>
      <c r="T30" s="4"/>
      <c r="U30" s="4"/>
      <c r="V30" s="9"/>
      <c r="W30" s="4"/>
      <c r="X30" s="4"/>
      <c r="Y30" s="4"/>
      <c r="Z30" s="9"/>
    </row>
    <row r="31" spans="1:26" s="63" customFormat="1" ht="15" customHeight="1" x14ac:dyDescent="0.3">
      <c r="A31" s="11"/>
      <c r="B31" s="27" t="s">
        <v>294</v>
      </c>
      <c r="C31" s="27"/>
      <c r="D31" s="34" t="e">
        <f ca="1">+D27-D29</f>
        <v>#NAME?</v>
      </c>
      <c r="E31" s="15"/>
      <c r="F31" s="29" t="e">
        <f ca="1">IF(D$12=0,0,D31/D$12)</f>
        <v>#NAME?</v>
      </c>
      <c r="G31" s="15"/>
      <c r="H31" s="34" t="e">
        <f ca="1">+H27-H29</f>
        <v>#NAME?</v>
      </c>
      <c r="I31" s="15"/>
      <c r="J31" s="29" t="e">
        <f ca="1">IF(H$12=0,0,H31/H$12)</f>
        <v>#NAME?</v>
      </c>
      <c r="K31" s="16"/>
      <c r="L31" s="34" t="e">
        <f ca="1">D31-H31</f>
        <v>#NAME?</v>
      </c>
      <c r="M31" s="16"/>
      <c r="N31" s="29" t="e">
        <f ca="1">IF(H31=0,0,L31/H31)</f>
        <v>#NAME?</v>
      </c>
      <c r="O31" s="28"/>
      <c r="P31" s="34" t="e">
        <f ca="1">+P27-P29</f>
        <v>#NAME?</v>
      </c>
      <c r="Q31" s="15"/>
      <c r="R31" s="29" t="e">
        <f ca="1">IF(P$12=0,0,P31/P$12)</f>
        <v>#NAME?</v>
      </c>
      <c r="S31" s="15"/>
      <c r="T31" s="34" t="e">
        <f ca="1">+T27-T29</f>
        <v>#NAME?</v>
      </c>
      <c r="U31" s="15"/>
      <c r="V31" s="29" t="e">
        <f ca="1">IF(T$12=0,0,T31/T$12)</f>
        <v>#NAME?</v>
      </c>
      <c r="W31" s="16"/>
      <c r="X31" s="34" t="e">
        <f ca="1">P31-T31</f>
        <v>#NAME?</v>
      </c>
      <c r="Y31" s="16"/>
      <c r="Z31" s="29" t="e">
        <f ca="1">IF(T31=0,0,X31/T31)</f>
        <v>#NAME?</v>
      </c>
    </row>
    <row r="32" spans="1:26" ht="15" customHeight="1" x14ac:dyDescent="0.3">
      <c r="A32" s="10"/>
      <c r="B32" s="10"/>
      <c r="C32" s="10"/>
      <c r="D32" s="4"/>
      <c r="E32" s="4"/>
      <c r="F32" s="9"/>
      <c r="G32" s="4"/>
      <c r="H32" s="4"/>
      <c r="I32" s="4"/>
      <c r="J32" s="9"/>
      <c r="K32" s="4"/>
      <c r="L32" s="4"/>
      <c r="M32" s="4"/>
      <c r="N32" s="9"/>
      <c r="P32" s="4"/>
      <c r="Q32" s="4"/>
      <c r="R32" s="9"/>
      <c r="S32" s="4"/>
      <c r="T32" s="4"/>
      <c r="U32" s="4"/>
      <c r="V32" s="9"/>
      <c r="W32" s="4"/>
      <c r="X32" s="4"/>
      <c r="Y32" s="4"/>
      <c r="Z32" s="9"/>
    </row>
    <row r="33" spans="1:26" s="63" customFormat="1" ht="15" customHeight="1" x14ac:dyDescent="0.3">
      <c r="A33" s="49"/>
      <c r="B33" s="11" t="s">
        <v>295</v>
      </c>
      <c r="C33" s="11"/>
      <c r="D33" s="5" t="e">
        <f ca="1">-_xll.ONESTOP.REPORTPLAYER.OSRFUNCTIONS.OSRGET("GL_F_Trans","Value1")</f>
        <v>#NAME?</v>
      </c>
      <c r="E33" s="5"/>
      <c r="F33" s="13" t="e">
        <f ca="1">IF(D$12=0,0,D33/D$12)</f>
        <v>#NAME?</v>
      </c>
      <c r="G33" s="5"/>
      <c r="H33" s="5" t="e">
        <f ca="1">-_xll.ONESTOP.REPORTPLAYER.OSRFUNCTIONS.OSRGET("GL_F_Trans","Value1")</f>
        <v>#NAME?</v>
      </c>
      <c r="I33" s="5"/>
      <c r="J33" s="13" t="e">
        <f ca="1">IF(H$12=0,0,H33/H$12)</f>
        <v>#NAME?</v>
      </c>
      <c r="K33" s="5"/>
      <c r="L33" s="5" t="e">
        <f ca="1">+D33-H33</f>
        <v>#NAME?</v>
      </c>
      <c r="M33" s="5"/>
      <c r="N33" s="13" t="e">
        <f ca="1">IF(H33=0,0,L33/H33)</f>
        <v>#NAME?</v>
      </c>
      <c r="O33" s="11"/>
      <c r="P33" s="5" t="e">
        <f ca="1">-_xll.ONESTOP.REPORTPLAYER.OSRFUNCTIONS.OSRGET("GL_F_Trans","Value1")</f>
        <v>#NAME?</v>
      </c>
      <c r="Q33" s="5"/>
      <c r="R33" s="13" t="e">
        <f ca="1">IF(P$12=0,0,P33/P$12)</f>
        <v>#NAME?</v>
      </c>
      <c r="S33" s="5"/>
      <c r="T33" s="5" t="e">
        <f ca="1">-_xll.ONESTOP.REPORTPLAYER.OSRFUNCTIONS.OSRGET("GL_F_Trans","Value1")</f>
        <v>#NAME?</v>
      </c>
      <c r="U33" s="5"/>
      <c r="V33" s="13" t="e">
        <f ca="1">IF(T$12=0,0,T33/T$12)</f>
        <v>#NAME?</v>
      </c>
      <c r="W33" s="5"/>
      <c r="X33" s="5" t="e">
        <f ca="1">+P33-T33</f>
        <v>#NAME?</v>
      </c>
      <c r="Y33" s="5"/>
      <c r="Z33" s="13" t="e">
        <f ca="1">IF(T33=0,0,X33/T33)</f>
        <v>#NAME?</v>
      </c>
    </row>
    <row r="34" spans="1:26" s="63" customFormat="1" ht="15" customHeight="1" x14ac:dyDescent="0.3">
      <c r="A34" s="49"/>
      <c r="B34" s="11" t="s">
        <v>296</v>
      </c>
      <c r="C34" s="11"/>
      <c r="D34" s="5" t="e">
        <f ca="1">-_xll.ONESTOP.REPORTPLAYER.OSRFUNCTIONS.OSRGET("GL_F_Trans","Value1")</f>
        <v>#NAME?</v>
      </c>
      <c r="E34" s="5"/>
      <c r="F34" s="13" t="e">
        <f ca="1">IF(D$12=0,0,D34/D$12)</f>
        <v>#NAME?</v>
      </c>
      <c r="G34" s="5"/>
      <c r="H34" s="5" t="e">
        <f ca="1">-_xll.ONESTOP.REPORTPLAYER.OSRFUNCTIONS.OSRGET("GL_F_Trans","Value1")</f>
        <v>#NAME?</v>
      </c>
      <c r="I34" s="5"/>
      <c r="J34" s="13" t="e">
        <f ca="1">IF(H$12=0,0,H34/H$12)</f>
        <v>#NAME?</v>
      </c>
      <c r="K34" s="5"/>
      <c r="L34" s="5" t="e">
        <f ca="1">+D34-H34</f>
        <v>#NAME?</v>
      </c>
      <c r="M34" s="5"/>
      <c r="N34" s="13" t="e">
        <f ca="1">IF(H34=0,0,L34/H34)</f>
        <v>#NAME?</v>
      </c>
      <c r="O34" s="11"/>
      <c r="P34" s="5" t="e">
        <f ca="1">-_xll.ONESTOP.REPORTPLAYER.OSRFUNCTIONS.OSRGET("GL_F_Trans","Value1")</f>
        <v>#NAME?</v>
      </c>
      <c r="Q34" s="5"/>
      <c r="R34" s="13" t="e">
        <f ca="1">IF(P$12=0,0,P34/P$12)</f>
        <v>#NAME?</v>
      </c>
      <c r="S34" s="5"/>
      <c r="T34" s="5" t="e">
        <f ca="1">-_xll.ONESTOP.REPORTPLAYER.OSRFUNCTIONS.OSRGET("GL_F_Trans","Value1")</f>
        <v>#NAME?</v>
      </c>
      <c r="U34" s="5"/>
      <c r="V34" s="13" t="e">
        <f ca="1">IF(T$12=0,0,T34/T$12)</f>
        <v>#NAME?</v>
      </c>
      <c r="W34" s="5"/>
      <c r="X34" s="5" t="e">
        <f ca="1">+P34-T34</f>
        <v>#NAME?</v>
      </c>
      <c r="Y34" s="5"/>
      <c r="Z34" s="13" t="e">
        <f ca="1">IF(T34=0,0,X34/T34)</f>
        <v>#NAME?</v>
      </c>
    </row>
    <row r="35" spans="1:26" ht="15" customHeight="1" x14ac:dyDescent="0.3">
      <c r="A35" s="10"/>
      <c r="B35" s="10"/>
      <c r="C35" s="10"/>
      <c r="D35" s="4"/>
      <c r="E35" s="4"/>
      <c r="F35" s="9"/>
      <c r="G35" s="4"/>
      <c r="H35" s="4"/>
      <c r="I35" s="4"/>
      <c r="J35" s="9"/>
      <c r="K35" s="4"/>
      <c r="L35" s="4"/>
      <c r="M35" s="4"/>
      <c r="N35" s="9"/>
      <c r="P35" s="4"/>
      <c r="Q35" s="4"/>
      <c r="R35" s="9"/>
      <c r="S35" s="4"/>
      <c r="T35" s="4"/>
      <c r="U35" s="4"/>
      <c r="V35" s="9"/>
      <c r="W35" s="4"/>
      <c r="X35" s="4"/>
      <c r="Y35" s="4"/>
      <c r="Z35" s="9"/>
    </row>
    <row r="36" spans="1:26" s="63" customFormat="1" ht="15" customHeight="1" x14ac:dyDescent="0.3">
      <c r="A36" s="11"/>
      <c r="B36" s="27" t="s">
        <v>297</v>
      </c>
      <c r="C36" s="27"/>
      <c r="D36" s="32" t="e">
        <f ca="1">SUM(D31:D35)</f>
        <v>#NAME?</v>
      </c>
      <c r="E36" s="15"/>
      <c r="F36" s="31" t="e">
        <f ca="1">IF(D$12=0,0,D36/D$12)</f>
        <v>#NAME?</v>
      </c>
      <c r="G36" s="15"/>
      <c r="H36" s="32" t="e">
        <f ca="1">SUM(H31:H35)</f>
        <v>#NAME?</v>
      </c>
      <c r="I36" s="15"/>
      <c r="J36" s="31" t="e">
        <f ca="1">IF(H$12=0,0,H36/H$12)</f>
        <v>#NAME?</v>
      </c>
      <c r="K36" s="16"/>
      <c r="L36" s="32" t="e">
        <f ca="1">+D36-H36</f>
        <v>#NAME?</v>
      </c>
      <c r="M36" s="16"/>
      <c r="N36" s="31" t="e">
        <f ca="1">IF(H36=0,0,L36/H36)</f>
        <v>#NAME?</v>
      </c>
      <c r="O36" s="28"/>
      <c r="P36" s="32" t="e">
        <f ca="1">SUM(P31:P35)</f>
        <v>#NAME?</v>
      </c>
      <c r="Q36" s="15"/>
      <c r="R36" s="31" t="e">
        <f ca="1">IF(P$12=0,0,P36/P$12)</f>
        <v>#NAME?</v>
      </c>
      <c r="S36" s="15"/>
      <c r="T36" s="32" t="e">
        <f ca="1">SUM(T31:T35)</f>
        <v>#NAME?</v>
      </c>
      <c r="U36" s="15"/>
      <c r="V36" s="31" t="e">
        <f ca="1">IF(T$12=0,0,T36/T$12)</f>
        <v>#NAME?</v>
      </c>
      <c r="W36" s="16"/>
      <c r="X36" s="32" t="e">
        <f ca="1">+P36-T36</f>
        <v>#NAME?</v>
      </c>
      <c r="Y36" s="16"/>
      <c r="Z36" s="31" t="e">
        <f ca="1">IF(T36=0,0,X36/T36)</f>
        <v>#NAME?</v>
      </c>
    </row>
    <row r="37" spans="1:26" ht="15" customHeight="1" x14ac:dyDescent="0.3">
      <c r="A37" s="10"/>
      <c r="C37" s="10"/>
      <c r="D37" s="19"/>
      <c r="E37" s="19"/>
      <c r="G37" s="19"/>
      <c r="H37" s="19"/>
      <c r="I37" s="19"/>
      <c r="J37" s="40"/>
      <c r="K37" s="19"/>
      <c r="L37" s="19"/>
      <c r="M37" s="19"/>
      <c r="P37" s="19"/>
      <c r="Q37" s="19"/>
      <c r="R37" s="40"/>
      <c r="S37" s="19"/>
      <c r="T37" s="19"/>
      <c r="U37" s="19"/>
      <c r="V37" s="40"/>
      <c r="W37" s="19"/>
      <c r="X37" s="19"/>
    </row>
    <row r="38" spans="1:26" ht="15" customHeight="1" x14ac:dyDescent="0.3">
      <c r="A38" s="10"/>
      <c r="B38" s="51" t="e">
        <f ca="1">_xll.ONESTOP.REPORTPLAYER.OSRFUNCTIONS.OSRGET("CurrentDate","Date")</f>
        <v>#NAME?</v>
      </c>
      <c r="D38" s="19"/>
      <c r="E38" s="19"/>
      <c r="G38" s="19"/>
      <c r="H38" s="19"/>
      <c r="I38" s="19"/>
      <c r="J38" s="40"/>
      <c r="K38" s="19"/>
      <c r="L38" s="19"/>
      <c r="M38" s="19"/>
      <c r="P38" s="19"/>
      <c r="Q38" s="19"/>
      <c r="R38" s="40"/>
      <c r="S38" s="19"/>
      <c r="T38" s="19"/>
      <c r="U38" s="19"/>
      <c r="V38" s="40"/>
      <c r="W38" s="19"/>
      <c r="X38" s="19"/>
    </row>
    <row r="39" spans="1:26" ht="15" customHeight="1" x14ac:dyDescent="0.3">
      <c r="A39" s="10"/>
      <c r="B39" s="58" t="e">
        <f ca="1">_xll.ONESTOP.REPORTPLAYER.OSRFUNCTIONS.OSRGET("User","UserId")</f>
        <v>#NAME?</v>
      </c>
      <c r="D39" s="19"/>
      <c r="E39" s="19"/>
      <c r="G39" s="19"/>
      <c r="H39" s="19"/>
      <c r="I39" s="19"/>
      <c r="J39" s="40"/>
      <c r="K39" s="19"/>
      <c r="L39" s="19"/>
      <c r="M39" s="19"/>
      <c r="P39" s="19"/>
      <c r="Q39" s="19"/>
      <c r="R39" s="40"/>
      <c r="S39" s="19"/>
      <c r="T39" s="19"/>
      <c r="U39" s="19"/>
      <c r="V39" s="40"/>
      <c r="W39" s="19"/>
      <c r="X39" s="19"/>
    </row>
    <row r="40" spans="1:26" ht="15" customHeight="1" x14ac:dyDescent="0.3">
      <c r="A40" s="10"/>
      <c r="B40" s="50"/>
      <c r="D40" s="19"/>
      <c r="E40" s="19"/>
      <c r="G40" s="19"/>
      <c r="H40" s="19"/>
      <c r="I40" s="19"/>
      <c r="J40" s="40"/>
      <c r="K40" s="19"/>
      <c r="L40" s="19"/>
      <c r="M40" s="19"/>
      <c r="P40" s="19"/>
      <c r="Q40" s="19"/>
      <c r="R40" s="40"/>
      <c r="S40" s="19"/>
      <c r="T40" s="19"/>
      <c r="U40" s="19"/>
      <c r="V40" s="40"/>
      <c r="W40" s="19"/>
      <c r="X40" s="19"/>
    </row>
    <row r="41" spans="1:26" ht="15" customHeight="1" x14ac:dyDescent="0.3">
      <c r="D41" s="19"/>
      <c r="E41" s="19"/>
      <c r="G41" s="19"/>
      <c r="H41" s="19"/>
      <c r="I41" s="19"/>
      <c r="J41" s="40"/>
      <c r="K41" s="19"/>
      <c r="L41" s="19"/>
      <c r="M41" s="19"/>
      <c r="P41" s="19"/>
      <c r="Q41" s="19"/>
      <c r="R41" s="40"/>
      <c r="S41" s="19"/>
      <c r="T41" s="19"/>
      <c r="U41" s="19"/>
      <c r="V41" s="40"/>
      <c r="W41" s="19"/>
      <c r="X41" s="19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22646A-7836-F87C-7568-75E91225DCA7}">
  <sheetPr>
    <tabColor rgb="FFFFFF00"/>
    <outlinePr summaryBelow="0" summaryRight="0"/>
  </sheetPr>
  <dimension ref="A2:Z41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6" customWidth="1"/>
    <col min="2" max="2" width="33.44140625" style="66" customWidth="1"/>
    <col min="3" max="3" width="1.88671875" style="66" customWidth="1"/>
    <col min="4" max="4" width="15" style="66" customWidth="1"/>
    <col min="5" max="5" width="1.88671875" style="66" customWidth="1" outlineLevel="1"/>
    <col min="6" max="6" width="15" style="67" customWidth="1" outlineLevel="1"/>
    <col min="7" max="7" width="1.88671875" style="66" customWidth="1" outlineLevel="1"/>
    <col min="8" max="8" width="15" style="66" customWidth="1" outlineLevel="1"/>
    <col min="9" max="9" width="1.88671875" style="66" customWidth="1" outlineLevel="1"/>
    <col min="10" max="10" width="15" style="68" customWidth="1" outlineLevel="1"/>
    <col min="11" max="11" width="1.88671875" style="66" customWidth="1" outlineLevel="1"/>
    <col min="12" max="12" width="15" style="66" customWidth="1" outlineLevel="1"/>
    <col min="13" max="13" width="1.88671875" style="66" customWidth="1" outlineLevel="1"/>
    <col min="14" max="14" width="15" style="67" customWidth="1" outlineLevel="1"/>
    <col min="15" max="15" width="1.88671875" style="64" customWidth="1"/>
    <col min="16" max="16" width="15" style="66" customWidth="1"/>
    <col min="17" max="17" width="1.88671875" style="66" customWidth="1" outlineLevel="1"/>
    <col min="18" max="18" width="15" style="68" customWidth="1" outlineLevel="1"/>
    <col min="19" max="19" width="1.88671875" style="66" customWidth="1" outlineLevel="1"/>
    <col min="20" max="20" width="15" style="66" customWidth="1" outlineLevel="1"/>
    <col min="21" max="21" width="1.88671875" style="66" customWidth="1" outlineLevel="1"/>
    <col min="22" max="22" width="15" style="68" customWidth="1" outlineLevel="1"/>
    <col min="23" max="23" width="1.88671875" style="66" customWidth="1" outlineLevel="1"/>
    <col min="24" max="24" width="15" style="66" customWidth="1" outlineLevel="1"/>
    <col min="25" max="25" width="1.88671875" style="66" customWidth="1" outlineLevel="1"/>
    <col min="26" max="26" width="15" style="68" customWidth="1" outlineLevel="1"/>
  </cols>
  <sheetData>
    <row r="2" spans="1:26" ht="15" customHeight="1" x14ac:dyDescent="0.3">
      <c r="D2" s="54" t="s">
        <v>276</v>
      </c>
    </row>
    <row r="3" spans="1:26" ht="15" customHeight="1" x14ac:dyDescent="0.3">
      <c r="D3" s="54" t="s">
        <v>277</v>
      </c>
      <c r="E3" s="18"/>
      <c r="F3" s="44"/>
      <c r="G3" s="18"/>
      <c r="H3" s="18"/>
      <c r="I3" s="18"/>
      <c r="J3" s="38"/>
      <c r="K3" s="18"/>
      <c r="L3" s="18"/>
      <c r="M3" s="18"/>
      <c r="N3" s="44"/>
      <c r="O3" s="53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ht="15" customHeight="1" x14ac:dyDescent="0.3">
      <c r="D4" s="54" t="e">
        <f ca="1">CONCATENATE("Period ",RIGHT(_xll.ONESTOP.REPORTPLAYER.OSRFUNCTIONS.OSRGET("Period","PeriodId"),2),", ",_xll.ONESTOP.REPORTPLAYER.OSRFUNCTIONS.OSRGET("Period","Year"))</f>
        <v>#NAME?</v>
      </c>
      <c r="E4" s="18"/>
      <c r="F4" s="44"/>
      <c r="G4" s="18"/>
      <c r="H4" s="18"/>
      <c r="I4" s="18"/>
      <c r="J4" s="38"/>
      <c r="K4" s="18"/>
      <c r="L4" s="18"/>
      <c r="M4" s="18"/>
      <c r="N4" s="44"/>
      <c r="O4" s="53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ht="15" customHeight="1" x14ac:dyDescent="0.3">
      <c r="A5" s="24"/>
      <c r="D5" s="61" t="e">
        <f ca="1">_xll.ONESTOP.REPORTPLAYER.OSRFUNCTIONS.OSRGET("Period","PeriodEnd")</f>
        <v>#NAME?</v>
      </c>
      <c r="E5" s="18"/>
      <c r="F5" s="44"/>
      <c r="G5" s="18"/>
      <c r="H5" s="18"/>
      <c r="I5" s="18"/>
      <c r="J5" s="38"/>
      <c r="K5" s="18"/>
      <c r="L5" s="18"/>
      <c r="M5" s="18"/>
      <c r="N5" s="44"/>
      <c r="O5" s="53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ht="15" customHeight="1" x14ac:dyDescent="0.3">
      <c r="A6" s="24"/>
      <c r="B6" s="47"/>
      <c r="C6" s="47"/>
      <c r="D6" s="24" t="s">
        <v>313</v>
      </c>
      <c r="E6" s="18"/>
      <c r="F6" s="44"/>
      <c r="G6" s="18"/>
      <c r="H6" s="18"/>
      <c r="I6" s="18"/>
      <c r="J6" s="38"/>
      <c r="K6" s="18"/>
      <c r="L6" s="18"/>
      <c r="M6" s="18"/>
      <c r="N6" s="44"/>
      <c r="O6" s="59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ht="15" customHeight="1" x14ac:dyDescent="0.3">
      <c r="B7" s="52"/>
    </row>
    <row r="8" spans="1:26" ht="15" customHeight="1" x14ac:dyDescent="0.3">
      <c r="B8" s="52"/>
    </row>
    <row r="9" spans="1:26" ht="15" customHeight="1" x14ac:dyDescent="0.3">
      <c r="B9" s="10"/>
      <c r="C9" s="10"/>
      <c r="D9" s="17" t="s">
        <v>279</v>
      </c>
      <c r="E9" s="17"/>
      <c r="F9" s="36"/>
      <c r="G9" s="17"/>
      <c r="H9" s="17"/>
      <c r="I9" s="17"/>
      <c r="J9" s="43"/>
      <c r="K9" s="17"/>
      <c r="L9" s="17"/>
      <c r="M9" s="17"/>
      <c r="N9" s="36"/>
      <c r="P9" s="17" t="s">
        <v>280</v>
      </c>
      <c r="Q9" s="17"/>
      <c r="R9" s="36"/>
      <c r="S9" s="17"/>
      <c r="T9" s="17"/>
      <c r="U9" s="17"/>
      <c r="V9" s="43"/>
      <c r="W9" s="17"/>
      <c r="X9" s="17"/>
      <c r="Y9" s="17"/>
      <c r="Z9" s="36"/>
    </row>
    <row r="10" spans="1:26" ht="15" customHeight="1" x14ac:dyDescent="0.3">
      <c r="A10" s="11"/>
      <c r="B10" s="57"/>
      <c r="C10" s="11"/>
      <c r="D10" s="41" t="s">
        <v>281</v>
      </c>
      <c r="E10" s="33"/>
      <c r="F10" s="37" t="s">
        <v>282</v>
      </c>
      <c r="G10" s="33"/>
      <c r="H10" s="48" t="s">
        <v>283</v>
      </c>
      <c r="I10" s="33"/>
      <c r="J10" s="45" t="s">
        <v>284</v>
      </c>
      <c r="K10" s="11"/>
      <c r="L10" s="41" t="s">
        <v>285</v>
      </c>
      <c r="M10" s="11"/>
      <c r="N10" s="37" t="s">
        <v>286</v>
      </c>
      <c r="O10" s="11"/>
      <c r="P10" s="56" t="s">
        <v>281</v>
      </c>
      <c r="Q10" s="33"/>
      <c r="R10" s="37" t="s">
        <v>282</v>
      </c>
      <c r="S10" s="33"/>
      <c r="T10" s="48" t="s">
        <v>283</v>
      </c>
      <c r="U10" s="33"/>
      <c r="V10" s="45" t="s">
        <v>284</v>
      </c>
      <c r="W10" s="11"/>
      <c r="X10" s="41" t="s">
        <v>285</v>
      </c>
      <c r="Y10" s="11"/>
      <c r="Z10" s="37" t="s">
        <v>286</v>
      </c>
    </row>
    <row r="11" spans="1:26" ht="16.5" customHeight="1" x14ac:dyDescent="0.3">
      <c r="A11" s="10"/>
      <c r="B11" s="55"/>
      <c r="C11" s="10"/>
      <c r="D11" s="10"/>
      <c r="E11" s="10"/>
      <c r="F11" s="9"/>
      <c r="G11" s="10"/>
      <c r="H11" s="10"/>
      <c r="I11" s="10"/>
      <c r="J11" s="46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6"/>
      <c r="W11" s="10"/>
      <c r="X11" s="10"/>
      <c r="Y11" s="10"/>
      <c r="Z11" s="9"/>
    </row>
    <row r="12" spans="1:26" s="63" customFormat="1" ht="15" customHeight="1" collapsed="1" x14ac:dyDescent="0.3">
      <c r="A12" s="11"/>
      <c r="B12" s="28" t="s">
        <v>287</v>
      </c>
      <c r="C12" s="11"/>
      <c r="D12" s="5" t="e">
        <f ca="1">SUM(_xll.ONESTOP.REPORTPLAYER.OSRFUNCTIONS.OSRREF(D13))</f>
        <v>#NAME?</v>
      </c>
      <c r="E12" s="5"/>
      <c r="F12" s="13"/>
      <c r="G12" s="5"/>
      <c r="H12" s="5" t="e">
        <f ca="1">SUM(_xll.ONESTOP.REPORTPLAYER.OSRFUNCTIONS.OSRREF(H13))</f>
        <v>#NAME?</v>
      </c>
      <c r="I12" s="5"/>
      <c r="J12" s="13"/>
      <c r="K12" s="5"/>
      <c r="L12" s="5" t="e">
        <f ca="1">+D12-H12</f>
        <v>#NAME?</v>
      </c>
      <c r="M12" s="5"/>
      <c r="N12" s="13" t="e">
        <f ca="1">IF(H12=0,0,L12/H12)</f>
        <v>#NAME?</v>
      </c>
      <c r="O12" s="11"/>
      <c r="P12" s="5" t="e">
        <f ca="1">SUM(_xll.ONESTOP.REPORTPLAYER.OSRFUNCTIONS.OSRREF(P13))</f>
        <v>#NAME?</v>
      </c>
      <c r="Q12" s="5"/>
      <c r="R12" s="13"/>
      <c r="S12" s="5"/>
      <c r="T12" s="5" t="e">
        <f ca="1">SUM(_xll.ONESTOP.REPORTPLAYER.OSRFUNCTIONS.OSRREF(T13))</f>
        <v>#NAME?</v>
      </c>
      <c r="U12" s="5"/>
      <c r="V12" s="13"/>
      <c r="W12" s="5"/>
      <c r="X12" s="5" t="e">
        <f ca="1">+P12-T12</f>
        <v>#NAME?</v>
      </c>
      <c r="Y12" s="5"/>
      <c r="Z12" s="13" t="e">
        <f ca="1">IF(T12=0,0,X12/T12)</f>
        <v>#NAME?</v>
      </c>
    </row>
    <row r="13" spans="1:26" s="70" customFormat="1" ht="15" hidden="1" customHeight="1" outlineLevel="1" x14ac:dyDescent="0.3">
      <c r="A13" s="42"/>
      <c r="B13" s="12" t="e">
        <f ca="1">CONCATENATE("          ",_xll.ONESTOP.REPORTPLAYER.OSRFUNCTIONS.OSRGET("d_Account","Code")," - ",_xll.ONESTOP.REPORTPLAYER.OSRFUNCTIONS.OSRGET("d_Account","Description"))</f>
        <v>#NAME?</v>
      </c>
      <c r="C13" s="12"/>
      <c r="D13" s="3" t="e">
        <f ca="1">-_xll.ONESTOP.REPORTPLAYER.OSRFUNCTIONS.OSRGET("GL_F_Trans","Value1")</f>
        <v>#NAME?</v>
      </c>
      <c r="E13" s="3"/>
      <c r="F13" s="20"/>
      <c r="G13" s="3"/>
      <c r="H13" s="3" t="e">
        <f ca="1">_xll.ONESTOP.REPORTPLAYER.OSRFUNCTIONS.OSRGET("GL_F_Trans","Value1")</f>
        <v>#NAME?</v>
      </c>
      <c r="I13" s="3"/>
      <c r="J13" s="20"/>
      <c r="K13" s="3"/>
      <c r="L13" s="3" t="e">
        <f ca="1">+D13-H13</f>
        <v>#NAME?</v>
      </c>
      <c r="M13" s="3"/>
      <c r="N13" s="20" t="e">
        <f ca="1">IF(H13=0,0,L13/H13)</f>
        <v>#NAME?</v>
      </c>
      <c r="O13" s="12"/>
      <c r="P13" s="3" t="e">
        <f ca="1">-_xll.ONESTOP.REPORTPLAYER.OSRFUNCTIONS.OSRGET("GL_F_Trans","Value1")</f>
        <v>#NAME?</v>
      </c>
      <c r="Q13" s="3"/>
      <c r="R13" s="20"/>
      <c r="S13" s="3"/>
      <c r="T13" s="3" t="e">
        <f ca="1">_xll.ONESTOP.REPORTPLAYER.OSRFUNCTIONS.OSRGET("GL_F_Trans","Value1")</f>
        <v>#NAME?</v>
      </c>
      <c r="U13" s="3"/>
      <c r="V13" s="20"/>
      <c r="W13" s="3"/>
      <c r="X13" s="3" t="e">
        <f ca="1">+P13-T13</f>
        <v>#NAME?</v>
      </c>
      <c r="Y13" s="3"/>
      <c r="Z13" s="20" t="e">
        <f ca="1">IF(T13=0,0,X13/T13)</f>
        <v>#NAME?</v>
      </c>
    </row>
    <row r="14" spans="1:26" ht="15" customHeight="1" x14ac:dyDescent="0.3">
      <c r="A14" s="10"/>
      <c r="B14" s="11"/>
      <c r="C14" s="10"/>
      <c r="D14" s="4"/>
      <c r="E14" s="4"/>
      <c r="F14" s="9"/>
      <c r="G14" s="4"/>
      <c r="H14" s="4"/>
      <c r="I14" s="4"/>
      <c r="J14" s="9"/>
      <c r="K14" s="4"/>
      <c r="L14" s="4"/>
      <c r="M14" s="4"/>
      <c r="N14" s="9"/>
      <c r="P14" s="4"/>
      <c r="Q14" s="4"/>
      <c r="R14" s="9"/>
      <c r="S14" s="4"/>
      <c r="T14" s="4"/>
      <c r="U14" s="4"/>
      <c r="V14" s="9"/>
      <c r="W14" s="4"/>
      <c r="X14" s="4"/>
      <c r="Y14" s="4"/>
      <c r="Z14" s="9"/>
    </row>
    <row r="15" spans="1:26" s="63" customFormat="1" ht="15" customHeight="1" collapsed="1" x14ac:dyDescent="0.3">
      <c r="A15" s="11"/>
      <c r="B15" s="28" t="s">
        <v>288</v>
      </c>
      <c r="C15" s="11"/>
      <c r="D15" s="5" t="e">
        <f ca="1">SUM(_xll.ONESTOP.REPORTPLAYER.OSRFUNCTIONS.OSRREF(D16))</f>
        <v>#NAME?</v>
      </c>
      <c r="E15" s="5"/>
      <c r="F15" s="13" t="e">
        <f ca="1">IF(D$12=0,0,D15/D$12)</f>
        <v>#NAME?</v>
      </c>
      <c r="G15" s="5"/>
      <c r="H15" s="5" t="e">
        <f ca="1">SUM(_xll.ONESTOP.REPORTPLAYER.OSRFUNCTIONS.OSRREF(H16))</f>
        <v>#NAME?</v>
      </c>
      <c r="I15" s="5"/>
      <c r="J15" s="13" t="e">
        <f ca="1">IF(H$12=0,0,H15/H$12)</f>
        <v>#NAME?</v>
      </c>
      <c r="K15" s="5"/>
      <c r="L15" s="5" t="e">
        <f ca="1">+D15-H15</f>
        <v>#NAME?</v>
      </c>
      <c r="M15" s="5"/>
      <c r="N15" s="13" t="e">
        <f ca="1">IF(H15=0,0,L15/H15)</f>
        <v>#NAME?</v>
      </c>
      <c r="O15" s="11"/>
      <c r="P15" s="5" t="e">
        <f ca="1">SUM(_xll.ONESTOP.REPORTPLAYER.OSRFUNCTIONS.OSRREF(P16))</f>
        <v>#NAME?</v>
      </c>
      <c r="Q15" s="5"/>
      <c r="R15" s="13" t="e">
        <f ca="1">IF(P$12=0,0,P15/P$12)</f>
        <v>#NAME?</v>
      </c>
      <c r="S15" s="5"/>
      <c r="T15" s="5" t="e">
        <f ca="1">SUM(_xll.ONESTOP.REPORTPLAYER.OSRFUNCTIONS.OSRREF(T16))</f>
        <v>#NAME?</v>
      </c>
      <c r="U15" s="5"/>
      <c r="V15" s="13" t="e">
        <f ca="1">IF(T$12=0,0,T15/T$12)</f>
        <v>#NAME?</v>
      </c>
      <c r="W15" s="5"/>
      <c r="X15" s="5" t="e">
        <f ca="1">+P15-T15</f>
        <v>#NAME?</v>
      </c>
      <c r="Y15" s="5"/>
      <c r="Z15" s="13" t="e">
        <f ca="1">IF(T15=0,0,X15/T15)</f>
        <v>#NAME?</v>
      </c>
    </row>
    <row r="16" spans="1:26" s="70" customFormat="1" ht="15" hidden="1" customHeight="1" outlineLevel="1" x14ac:dyDescent="0.3">
      <c r="A16" s="42"/>
      <c r="B16" s="12" t="e">
        <f ca="1">CONCATENATE("          ",_xll.ONESTOP.REPORTPLAYER.OSRFUNCTIONS.OSRGET("d_Account","Code")," - ",_xll.ONESTOP.REPORTPLAYER.OSRFUNCTIONS.OSRGET("d_Account","Description"))</f>
        <v>#NAME?</v>
      </c>
      <c r="C16" s="12"/>
      <c r="D16" s="3" t="e">
        <f ca="1">_xll.ONESTOP.REPORTPLAYER.OSRFUNCTIONS.OSRGET("GL_F_Trans","Value1")</f>
        <v>#NAME?</v>
      </c>
      <c r="E16" s="3"/>
      <c r="F16" s="20" t="e">
        <f ca="1">IF(D$12=0,0,D16/D$12)</f>
        <v>#NAME?</v>
      </c>
      <c r="G16" s="3"/>
      <c r="H16" s="3" t="e">
        <f ca="1">_xll.ONESTOP.REPORTPLAYER.OSRFUNCTIONS.OSRGET("GL_F_Trans","Value1")</f>
        <v>#NAME?</v>
      </c>
      <c r="I16" s="3"/>
      <c r="J16" s="20" t="e">
        <f ca="1">IF(H$12=0,0,H16/H$12)</f>
        <v>#NAME?</v>
      </c>
      <c r="K16" s="3"/>
      <c r="L16" s="3" t="e">
        <f ca="1">+D16-H16</f>
        <v>#NAME?</v>
      </c>
      <c r="M16" s="3"/>
      <c r="N16" s="20" t="e">
        <f ca="1">IF(H16=0,0,L16/H16)</f>
        <v>#NAME?</v>
      </c>
      <c r="O16" s="12"/>
      <c r="P16" s="3" t="e">
        <f ca="1">_xll.ONESTOP.REPORTPLAYER.OSRFUNCTIONS.OSRGET("GL_F_Trans","Value1")</f>
        <v>#NAME?</v>
      </c>
      <c r="Q16" s="3"/>
      <c r="R16" s="20" t="e">
        <f ca="1">IF(P$12=0,0,P16/P$12)</f>
        <v>#NAME?</v>
      </c>
      <c r="S16" s="3"/>
      <c r="T16" s="3" t="e">
        <f ca="1">_xll.ONESTOP.REPORTPLAYER.OSRFUNCTIONS.OSRGET("GL_F_Trans","Value1")</f>
        <v>#NAME?</v>
      </c>
      <c r="U16" s="3"/>
      <c r="V16" s="20" t="e">
        <f ca="1">IF(T$12=0,0,T16/T$12)</f>
        <v>#NAME?</v>
      </c>
      <c r="W16" s="3"/>
      <c r="X16" s="3" t="e">
        <f ca="1">+P16-T16</f>
        <v>#NAME?</v>
      </c>
      <c r="Y16" s="3"/>
      <c r="Z16" s="20" t="e">
        <f ca="1">IF(T16=0,0,X16/T16)</f>
        <v>#NAME?</v>
      </c>
    </row>
    <row r="17" spans="1:26" ht="15" customHeight="1" x14ac:dyDescent="0.3">
      <c r="A17" s="10"/>
      <c r="B17" s="11"/>
      <c r="C17" s="11"/>
      <c r="D17" s="4"/>
      <c r="E17" s="4"/>
      <c r="F17" s="9"/>
      <c r="G17" s="4"/>
      <c r="H17" s="4"/>
      <c r="I17" s="4"/>
      <c r="J17" s="9"/>
      <c r="K17" s="4"/>
      <c r="L17" s="4"/>
      <c r="M17" s="4"/>
      <c r="N17" s="9"/>
      <c r="O17" s="11"/>
      <c r="P17" s="4"/>
      <c r="Q17" s="4"/>
      <c r="R17" s="9"/>
      <c r="S17" s="4"/>
      <c r="T17" s="4"/>
      <c r="U17" s="4"/>
      <c r="V17" s="9"/>
      <c r="W17" s="4"/>
      <c r="X17" s="4"/>
      <c r="Y17" s="4"/>
      <c r="Z17" s="9"/>
    </row>
    <row r="18" spans="1:26" s="63" customFormat="1" ht="15" customHeight="1" x14ac:dyDescent="0.3">
      <c r="A18" s="11"/>
      <c r="B18" s="27" t="s">
        <v>289</v>
      </c>
      <c r="C18" s="27"/>
      <c r="D18" s="21" t="e">
        <f ca="1">D12-D15</f>
        <v>#NAME?</v>
      </c>
      <c r="E18" s="15"/>
      <c r="F18" s="23" t="e">
        <f ca="1">IF(D$12=0,0,D18/D$12)</f>
        <v>#NAME?</v>
      </c>
      <c r="G18" s="15"/>
      <c r="H18" s="21" t="e">
        <f ca="1">H12-H15</f>
        <v>#NAME?</v>
      </c>
      <c r="I18" s="15"/>
      <c r="J18" s="23" t="e">
        <f ca="1">IF(H$12=0,0,H18/H$12)</f>
        <v>#NAME?</v>
      </c>
      <c r="K18" s="16"/>
      <c r="L18" s="21" t="e">
        <f ca="1">+D18-H18</f>
        <v>#NAME?</v>
      </c>
      <c r="M18" s="16"/>
      <c r="N18" s="23" t="e">
        <f ca="1">IF(H18=0,0,L18/H18)</f>
        <v>#NAME?</v>
      </c>
      <c r="O18" s="28"/>
      <c r="P18" s="21" t="e">
        <f ca="1">P12-P15</f>
        <v>#NAME?</v>
      </c>
      <c r="Q18" s="15"/>
      <c r="R18" s="23" t="e">
        <f ca="1">IF(P$12=0,0,P18/P$12)</f>
        <v>#NAME?</v>
      </c>
      <c r="S18" s="15"/>
      <c r="T18" s="21" t="e">
        <f ca="1">T12-T15</f>
        <v>#NAME?</v>
      </c>
      <c r="U18" s="15"/>
      <c r="V18" s="23" t="e">
        <f ca="1">IF(T$12=0,0,T18/T$12)</f>
        <v>#NAME?</v>
      </c>
      <c r="W18" s="16"/>
      <c r="X18" s="21" t="e">
        <f ca="1">+P18-T18</f>
        <v>#NAME?</v>
      </c>
      <c r="Y18" s="16"/>
      <c r="Z18" s="23" t="e">
        <f ca="1">IF(T18=0,0,X18/T18)</f>
        <v>#NAME?</v>
      </c>
    </row>
    <row r="19" spans="1:26" ht="15" customHeight="1" x14ac:dyDescent="0.3">
      <c r="A19" s="10"/>
      <c r="B19" s="11"/>
      <c r="C19" s="10"/>
      <c r="D19" s="2"/>
      <c r="E19" s="2"/>
      <c r="F19" s="6"/>
      <c r="G19" s="2"/>
      <c r="H19" s="2"/>
      <c r="I19" s="2"/>
      <c r="J19" s="6"/>
      <c r="K19" s="2"/>
      <c r="L19" s="2"/>
      <c r="M19" s="2"/>
      <c r="N19" s="6"/>
      <c r="O19" s="35"/>
      <c r="P19" s="2"/>
      <c r="Q19" s="2"/>
      <c r="R19" s="6"/>
      <c r="S19" s="2"/>
      <c r="T19" s="2"/>
      <c r="U19" s="2"/>
      <c r="V19" s="6"/>
      <c r="W19" s="2"/>
      <c r="X19" s="2"/>
      <c r="Y19" s="2"/>
      <c r="Z19" s="6"/>
    </row>
    <row r="20" spans="1:26" s="63" customFormat="1" ht="15" customHeight="1" x14ac:dyDescent="0.3">
      <c r="A20" s="11"/>
      <c r="B20" s="28" t="s">
        <v>290</v>
      </c>
      <c r="C20" s="11"/>
      <c r="D20" s="22" t="e">
        <f ca="1">SUM(_xll.ONESTOP.REPORTPLAYER.OSRFUNCTIONS.OSRREF(D22))</f>
        <v>#NAME?</v>
      </c>
      <c r="E20" s="22"/>
      <c r="F20" s="30" t="e">
        <f ca="1">IF(D$12=0,0,D20/D$12)</f>
        <v>#NAME?</v>
      </c>
      <c r="G20" s="22"/>
      <c r="H20" s="22" t="e">
        <f ca="1">SUM(_xll.ONESTOP.REPORTPLAYER.OSRFUNCTIONS.OSRREF(H22))</f>
        <v>#NAME?</v>
      </c>
      <c r="I20" s="22"/>
      <c r="J20" s="30" t="e">
        <f ca="1">IF(H$12=0,0,H20/H$12)</f>
        <v>#NAME?</v>
      </c>
      <c r="K20" s="5"/>
      <c r="L20" s="22" t="e">
        <f ca="1">+D20-H20</f>
        <v>#NAME?</v>
      </c>
      <c r="M20" s="5"/>
      <c r="N20" s="30" t="e">
        <f ca="1">IF(H20=0,0,L20/H20)</f>
        <v>#NAME?</v>
      </c>
      <c r="O20" s="11"/>
      <c r="P20" s="22" t="e">
        <f ca="1">SUM(_xll.ONESTOP.REPORTPLAYER.OSRFUNCTIONS.OSRREF(P22))</f>
        <v>#NAME?</v>
      </c>
      <c r="Q20" s="22"/>
      <c r="R20" s="30" t="e">
        <f ca="1">IF(P$12=0,0,P20/P$12)</f>
        <v>#NAME?</v>
      </c>
      <c r="S20" s="22"/>
      <c r="T20" s="22" t="e">
        <f ca="1">SUM(_xll.ONESTOP.REPORTPLAYER.OSRFUNCTIONS.OSRREF(T22))</f>
        <v>#NAME?</v>
      </c>
      <c r="U20" s="22"/>
      <c r="V20" s="30" t="e">
        <f ca="1">IF(T$12=0,0,T20/T$12)</f>
        <v>#NAME?</v>
      </c>
      <c r="W20" s="5"/>
      <c r="X20" s="22" t="e">
        <f ca="1">+P20-T20</f>
        <v>#NAME?</v>
      </c>
      <c r="Y20" s="5"/>
      <c r="Z20" s="30" t="e">
        <f ca="1">IF(T20=0,0,X20/T20)</f>
        <v>#NAME?</v>
      </c>
    </row>
    <row r="21" spans="1:26" s="69" customFormat="1" ht="15" customHeight="1" outlineLevel="1" collapsed="1" x14ac:dyDescent="0.3">
      <c r="A21" s="25"/>
      <c r="B21" s="14" t="e">
        <f ca="1">CONCATENATE("     ",_xll.ONESTOP.REPORTPLAYER.OSRFUNCTIONS.OSRGET("d_Account","AccountCategory"))</f>
        <v>#NAME?</v>
      </c>
      <c r="C21" s="14"/>
      <c r="D21" s="2" t="e">
        <f ca="1">SUM(_xll.ONESTOP.REPORTPLAYER.OSRFUNCTIONS.OSRREF(D22))</f>
        <v>#NAME?</v>
      </c>
      <c r="E21" s="2"/>
      <c r="F21" s="6" t="e">
        <f ca="1">IF(D$12=0,0,D21/D$12)</f>
        <v>#NAME?</v>
      </c>
      <c r="G21" s="2"/>
      <c r="H21" s="2" t="e">
        <f ca="1">SUM(_xll.ONESTOP.REPORTPLAYER.OSRFUNCTIONS.OSRREF(H22))</f>
        <v>#NAME?</v>
      </c>
      <c r="I21" s="2"/>
      <c r="J21" s="6" t="e">
        <f ca="1">IF(H$12=0,0,H21/H$12)</f>
        <v>#NAME?</v>
      </c>
      <c r="K21" s="2"/>
      <c r="L21" s="2" t="e">
        <f ca="1">+D21-H21</f>
        <v>#NAME?</v>
      </c>
      <c r="M21" s="2"/>
      <c r="N21" s="6" t="e">
        <f ca="1">IF(H21=0,0,L21/H21)</f>
        <v>#NAME?</v>
      </c>
      <c r="O21" s="14"/>
      <c r="P21" s="2" t="e">
        <f ca="1">SUM(_xll.ONESTOP.REPORTPLAYER.OSRFUNCTIONS.OSRREF(P22))</f>
        <v>#NAME?</v>
      </c>
      <c r="Q21" s="2"/>
      <c r="R21" s="6" t="e">
        <f ca="1">IF(P$12=0,0,P21/P$12)</f>
        <v>#NAME?</v>
      </c>
      <c r="S21" s="2"/>
      <c r="T21" s="2" t="e">
        <f ca="1">SUM(_xll.ONESTOP.REPORTPLAYER.OSRFUNCTIONS.OSRREF(T22))</f>
        <v>#NAME?</v>
      </c>
      <c r="U21" s="2"/>
      <c r="V21" s="6" t="e">
        <f ca="1">IF(T$12=0,0,T21/T$12)</f>
        <v>#NAME?</v>
      </c>
      <c r="W21" s="2"/>
      <c r="X21" s="2" t="e">
        <f ca="1">+P21-T21</f>
        <v>#NAME?</v>
      </c>
      <c r="Y21" s="2"/>
      <c r="Z21" s="6" t="e">
        <f ca="1">IF(T21=0,0,X21/T21)</f>
        <v>#NAME?</v>
      </c>
    </row>
    <row r="22" spans="1:26" s="70" customFormat="1" ht="15" hidden="1" customHeight="1" outlineLevel="2" x14ac:dyDescent="0.3">
      <c r="A22" s="26"/>
      <c r="B22" s="12" t="e">
        <f ca="1">CONCATENATE("          ",_xll.ONESTOP.REPORTPLAYER.OSRFUNCTIONS.OSRGET("d_Account","Code")," - ",_xll.ONESTOP.REPORTPLAYER.OSRFUNCTIONS.OSRGET("d_Account","Description"))</f>
        <v>#NAME?</v>
      </c>
      <c r="C22" s="12"/>
      <c r="D22" s="7" t="e">
        <f ca="1">_xll.ONESTOP.REPORTPLAYER.OSRFUNCTIONS.OSRGET("GL_F_Trans","Value1")</f>
        <v>#NAME?</v>
      </c>
      <c r="E22" s="3"/>
      <c r="F22" s="8" t="e">
        <f ca="1">IF(D$12=0,0,D22/D$12)</f>
        <v>#NAME?</v>
      </c>
      <c r="G22" s="3"/>
      <c r="H22" s="7" t="e">
        <f ca="1">_xll.ONESTOP.REPORTPLAYER.OSRFUNCTIONS.OSRGET("GL_F_Trans","Value1")</f>
        <v>#NAME?</v>
      </c>
      <c r="I22" s="3"/>
      <c r="J22" s="8" t="e">
        <f ca="1">IF(H$12=0,0,H22/H$12)</f>
        <v>#NAME?</v>
      </c>
      <c r="K22" s="3"/>
      <c r="L22" s="7" t="e">
        <f ca="1">+D22-H22</f>
        <v>#NAME?</v>
      </c>
      <c r="M22" s="3"/>
      <c r="N22" s="8" t="e">
        <f ca="1">IF(H22=0,0,L22/H22)</f>
        <v>#NAME?</v>
      </c>
      <c r="O22" s="12"/>
      <c r="P22" s="7" t="e">
        <f ca="1">_xll.ONESTOP.REPORTPLAYER.OSRFUNCTIONS.OSRGET("GL_F_Trans","Value1")</f>
        <v>#NAME?</v>
      </c>
      <c r="Q22" s="3"/>
      <c r="R22" s="8" t="e">
        <f ca="1">IF(P$12=0,0,P22/P$12)</f>
        <v>#NAME?</v>
      </c>
      <c r="S22" s="3"/>
      <c r="T22" s="7" t="e">
        <f ca="1">_xll.ONESTOP.REPORTPLAYER.OSRFUNCTIONS.OSRGET("GL_F_Trans","Value1")</f>
        <v>#NAME?</v>
      </c>
      <c r="U22" s="3"/>
      <c r="V22" s="8" t="e">
        <f ca="1">IF(T$12=0,0,T22/T$12)</f>
        <v>#NAME?</v>
      </c>
      <c r="W22" s="3"/>
      <c r="X22" s="7" t="e">
        <f ca="1">+P22-T22</f>
        <v>#NAME?</v>
      </c>
      <c r="Y22" s="3"/>
      <c r="Z22" s="8" t="e">
        <f ca="1">IF(T22=0,0,X22/T22)</f>
        <v>#NAME?</v>
      </c>
    </row>
    <row r="23" spans="1:26" s="65" customFormat="1" ht="15" customHeight="1" x14ac:dyDescent="0.3">
      <c r="A23" s="35"/>
      <c r="B23" s="35"/>
      <c r="C23" s="35"/>
      <c r="D23" s="2"/>
      <c r="E23" s="2"/>
      <c r="F23" s="6"/>
      <c r="G23" s="2"/>
      <c r="H23" s="2"/>
      <c r="I23" s="2"/>
      <c r="J23" s="6"/>
      <c r="K23" s="2"/>
      <c r="L23" s="2"/>
      <c r="M23" s="2"/>
      <c r="N23" s="6"/>
      <c r="O23" s="35"/>
      <c r="P23" s="2"/>
      <c r="Q23" s="2"/>
      <c r="R23" s="6"/>
      <c r="S23" s="2"/>
      <c r="T23" s="2"/>
      <c r="U23" s="2"/>
      <c r="V23" s="6"/>
      <c r="W23" s="2"/>
      <c r="X23" s="2"/>
      <c r="Y23" s="2"/>
      <c r="Z23" s="6"/>
    </row>
    <row r="24" spans="1:26" s="63" customFormat="1" ht="15" customHeight="1" collapsed="1" x14ac:dyDescent="0.3">
      <c r="A24" s="11"/>
      <c r="B24" s="28" t="s">
        <v>291</v>
      </c>
      <c r="C24" s="11"/>
      <c r="D24" s="5" t="e">
        <f ca="1">SUM(_xll.ONESTOP.REPORTPLAYER.OSRFUNCTIONS.OSRREF(D25))</f>
        <v>#NAME?</v>
      </c>
      <c r="E24" s="5"/>
      <c r="F24" s="13" t="e">
        <f ca="1">IF(D$12=0,0,D24/D$12)</f>
        <v>#NAME?</v>
      </c>
      <c r="G24" s="5"/>
      <c r="H24" s="5" t="e">
        <f ca="1">SUM(_xll.ONESTOP.REPORTPLAYER.OSRFUNCTIONS.OSRREF(H25))</f>
        <v>#NAME?</v>
      </c>
      <c r="I24" s="5"/>
      <c r="J24" s="13" t="e">
        <f ca="1">IF(H$12=0,0,H24/H$12)</f>
        <v>#NAME?</v>
      </c>
      <c r="K24" s="5"/>
      <c r="L24" s="5" t="e">
        <f ca="1">+D24-H24</f>
        <v>#NAME?</v>
      </c>
      <c r="M24" s="5"/>
      <c r="N24" s="13" t="e">
        <f ca="1">IF(H24=0,0,L24/H24)</f>
        <v>#NAME?</v>
      </c>
      <c r="O24" s="11"/>
      <c r="P24" s="5" t="e">
        <f ca="1">SUM(_xll.ONESTOP.REPORTPLAYER.OSRFUNCTIONS.OSRREF(P25))</f>
        <v>#NAME?</v>
      </c>
      <c r="Q24" s="5"/>
      <c r="R24" s="13" t="e">
        <f ca="1">IF(P$12=0,0,P24/P$12)</f>
        <v>#NAME?</v>
      </c>
      <c r="S24" s="5"/>
      <c r="T24" s="5" t="e">
        <f ca="1">SUM(_xll.ONESTOP.REPORTPLAYER.OSRFUNCTIONS.OSRREF(T25))</f>
        <v>#NAME?</v>
      </c>
      <c r="U24" s="5"/>
      <c r="V24" s="13" t="e">
        <f ca="1">IF(T$12=0,0,T24/T$12)</f>
        <v>#NAME?</v>
      </c>
      <c r="W24" s="5"/>
      <c r="X24" s="5" t="e">
        <f ca="1">+P24-T24</f>
        <v>#NAME?</v>
      </c>
      <c r="Y24" s="5"/>
      <c r="Z24" s="13" t="e">
        <f ca="1">IF(T24=0,0,X24/T24)</f>
        <v>#NAME?</v>
      </c>
    </row>
    <row r="25" spans="1:26" s="70" customFormat="1" ht="15" hidden="1" customHeight="1" outlineLevel="1" x14ac:dyDescent="0.3">
      <c r="A25" s="42"/>
      <c r="B25" s="12" t="e">
        <f ca="1">CONCATENATE("          ",_xll.ONESTOP.REPORTPLAYER.OSRFUNCTIONS.OSRGET("d_Account","Code")," - ",_xll.ONESTOP.REPORTPLAYER.OSRFUNCTIONS.OSRGET("d_Account","Description"))</f>
        <v>#NAME?</v>
      </c>
      <c r="C25" s="12"/>
      <c r="D25" s="3" t="e">
        <f ca="1">-_xll.ONESTOP.REPORTPLAYER.OSRFUNCTIONS.OSRGET("GL_F_Trans","Value1")</f>
        <v>#NAME?</v>
      </c>
      <c r="E25" s="3"/>
      <c r="F25" s="20" t="e">
        <f ca="1">IF(D$12=0,0,D25/D$12)</f>
        <v>#NAME?</v>
      </c>
      <c r="G25" s="3"/>
      <c r="H25" s="3" t="e">
        <f ca="1">_xll.ONESTOP.REPORTPLAYER.OSRFUNCTIONS.OSRGET("GL_F_Trans","Value1")</f>
        <v>#NAME?</v>
      </c>
      <c r="I25" s="3"/>
      <c r="J25" s="20" t="e">
        <f ca="1">IF(H$12=0,0,H25/H$12)</f>
        <v>#NAME?</v>
      </c>
      <c r="K25" s="3"/>
      <c r="L25" s="3" t="e">
        <f ca="1">+D25-H25</f>
        <v>#NAME?</v>
      </c>
      <c r="M25" s="3"/>
      <c r="N25" s="20" t="e">
        <f ca="1">IF(H25=0,0,L25/H25)</f>
        <v>#NAME?</v>
      </c>
      <c r="O25" s="12"/>
      <c r="P25" s="3" t="e">
        <f ca="1">-_xll.ONESTOP.REPORTPLAYER.OSRFUNCTIONS.OSRGET("GL_F_Trans","Value1")</f>
        <v>#NAME?</v>
      </c>
      <c r="Q25" s="3"/>
      <c r="R25" s="20" t="e">
        <f ca="1">IF(P$12=0,0,P25/P$12)</f>
        <v>#NAME?</v>
      </c>
      <c r="S25" s="3"/>
      <c r="T25" s="3" t="e">
        <f ca="1">_xll.ONESTOP.REPORTPLAYER.OSRFUNCTIONS.OSRGET("GL_F_Trans","Value1")</f>
        <v>#NAME?</v>
      </c>
      <c r="U25" s="3"/>
      <c r="V25" s="20" t="e">
        <f ca="1">IF(T$12=0,0,T25/T$12)</f>
        <v>#NAME?</v>
      </c>
      <c r="W25" s="3"/>
      <c r="X25" s="3" t="e">
        <f ca="1">+P25-T25</f>
        <v>#NAME?</v>
      </c>
      <c r="Y25" s="3"/>
      <c r="Z25" s="20" t="e">
        <f ca="1">IF(T25=0,0,X25/T25)</f>
        <v>#NAME?</v>
      </c>
    </row>
    <row r="26" spans="1:26" ht="15" customHeight="1" x14ac:dyDescent="0.3">
      <c r="A26" s="10"/>
      <c r="B26" s="11"/>
      <c r="C26" s="11"/>
      <c r="D26" s="4"/>
      <c r="E26" s="4"/>
      <c r="F26" s="9"/>
      <c r="G26" s="4"/>
      <c r="H26" s="4"/>
      <c r="I26" s="4"/>
      <c r="J26" s="9"/>
      <c r="K26" s="4"/>
      <c r="L26" s="4"/>
      <c r="M26" s="4"/>
      <c r="N26" s="9"/>
      <c r="O26" s="11"/>
      <c r="P26" s="4"/>
      <c r="Q26" s="4"/>
      <c r="R26" s="9"/>
      <c r="S26" s="4"/>
      <c r="T26" s="4"/>
      <c r="U26" s="4"/>
      <c r="V26" s="9"/>
      <c r="W26" s="4"/>
      <c r="X26" s="4"/>
      <c r="Y26" s="4"/>
      <c r="Z26" s="9"/>
    </row>
    <row r="27" spans="1:26" s="63" customFormat="1" ht="15" customHeight="1" x14ac:dyDescent="0.3">
      <c r="A27" s="11"/>
      <c r="B27" s="27" t="s">
        <v>292</v>
      </c>
      <c r="C27" s="27"/>
      <c r="D27" s="21" t="e">
        <f ca="1">+D18-D20+D24</f>
        <v>#NAME?</v>
      </c>
      <c r="E27" s="15"/>
      <c r="F27" s="23" t="e">
        <f ca="1">IF(D$12=0,0,D27/D$12)</f>
        <v>#NAME?</v>
      </c>
      <c r="G27" s="15"/>
      <c r="H27" s="21" t="e">
        <f ca="1">+H18-H20+H24</f>
        <v>#NAME?</v>
      </c>
      <c r="I27" s="15"/>
      <c r="J27" s="23" t="e">
        <f ca="1">IF(H$12=0,0,H27/H$12)</f>
        <v>#NAME?</v>
      </c>
      <c r="K27" s="16"/>
      <c r="L27" s="21" t="e">
        <f ca="1">+D27-H27</f>
        <v>#NAME?</v>
      </c>
      <c r="M27" s="16"/>
      <c r="N27" s="23" t="e">
        <f ca="1">IF(H27=0,0,L27/H27)</f>
        <v>#NAME?</v>
      </c>
      <c r="O27" s="28"/>
      <c r="P27" s="21" t="e">
        <f ca="1">+P18-P20+P24</f>
        <v>#NAME?</v>
      </c>
      <c r="Q27" s="15"/>
      <c r="R27" s="23" t="e">
        <f ca="1">IF(P$12=0,0,P27/P$12)</f>
        <v>#NAME?</v>
      </c>
      <c r="S27" s="15"/>
      <c r="T27" s="21" t="e">
        <f ca="1">+T18-T20+T24</f>
        <v>#NAME?</v>
      </c>
      <c r="U27" s="15"/>
      <c r="V27" s="23" t="e">
        <f ca="1">IF(T$12=0,0,T27/T$12)</f>
        <v>#NAME?</v>
      </c>
      <c r="W27" s="16"/>
      <c r="X27" s="21" t="e">
        <f ca="1">+P27-T27</f>
        <v>#NAME?</v>
      </c>
      <c r="Y27" s="16"/>
      <c r="Z27" s="23" t="e">
        <f ca="1">IF(T27=0,0,X27/T27)</f>
        <v>#NAME?</v>
      </c>
    </row>
    <row r="28" spans="1:26" ht="15" customHeight="1" x14ac:dyDescent="0.3">
      <c r="A28" s="10"/>
      <c r="B28" s="11"/>
      <c r="C28" s="10"/>
      <c r="D28" s="4"/>
      <c r="E28" s="4"/>
      <c r="F28" s="9"/>
      <c r="G28" s="4"/>
      <c r="H28" s="4"/>
      <c r="I28" s="4"/>
      <c r="J28" s="9"/>
      <c r="K28" s="4"/>
      <c r="L28" s="4"/>
      <c r="M28" s="4"/>
      <c r="N28" s="9"/>
      <c r="P28" s="4"/>
      <c r="Q28" s="4"/>
      <c r="R28" s="9"/>
      <c r="S28" s="4"/>
      <c r="T28" s="4"/>
      <c r="U28" s="4"/>
      <c r="V28" s="9"/>
      <c r="W28" s="4"/>
      <c r="X28" s="4"/>
      <c r="Y28" s="4"/>
      <c r="Z28" s="9"/>
    </row>
    <row r="29" spans="1:26" s="63" customFormat="1" ht="15" customHeight="1" x14ac:dyDescent="0.3">
      <c r="A29" s="49"/>
      <c r="B29" s="11" t="s">
        <v>293</v>
      </c>
      <c r="C29" s="11"/>
      <c r="D29" s="5" t="e">
        <f ca="1">_xll.ONESTOP.REPORTPLAYER.OSRFUNCTIONS.OSRGET("GL_F_Trans","Value1")</f>
        <v>#NAME?</v>
      </c>
      <c r="E29" s="5"/>
      <c r="F29" s="13" t="e">
        <f ca="1">IF(D$12=0,0,D29/D$12)</f>
        <v>#NAME?</v>
      </c>
      <c r="G29" s="5"/>
      <c r="H29" s="5" t="e">
        <f ca="1">_xll.ONESTOP.REPORTPLAYER.OSRFUNCTIONS.OSRGET("GL_F_Trans","Value1")</f>
        <v>#NAME?</v>
      </c>
      <c r="I29" s="5"/>
      <c r="J29" s="13" t="e">
        <f ca="1">IF(H$12=0,0,H29/H$12)</f>
        <v>#NAME?</v>
      </c>
      <c r="K29" s="5"/>
      <c r="L29" s="5" t="e">
        <f ca="1">+D29-H29</f>
        <v>#NAME?</v>
      </c>
      <c r="M29" s="5"/>
      <c r="N29" s="13" t="e">
        <f ca="1">IF(H29=0,0,L29/H29)</f>
        <v>#NAME?</v>
      </c>
      <c r="O29" s="11"/>
      <c r="P29" s="5" t="e">
        <f ca="1">_xll.ONESTOP.REPORTPLAYER.OSRFUNCTIONS.OSRGET("GL_F_Trans","Value1")</f>
        <v>#NAME?</v>
      </c>
      <c r="Q29" s="5"/>
      <c r="R29" s="13" t="e">
        <f ca="1">IF(P$12=0,0,P29/P$12)</f>
        <v>#NAME?</v>
      </c>
      <c r="S29" s="5"/>
      <c r="T29" s="5" t="e">
        <f ca="1">_xll.ONESTOP.REPORTPLAYER.OSRFUNCTIONS.OSRGET("GL_F_Trans","Value1")</f>
        <v>#NAME?</v>
      </c>
      <c r="U29" s="5"/>
      <c r="V29" s="13" t="e">
        <f ca="1">IF(T$12=0,0,T29/T$12)</f>
        <v>#NAME?</v>
      </c>
      <c r="W29" s="5"/>
      <c r="X29" s="5" t="e">
        <f ca="1">+P29-T29</f>
        <v>#NAME?</v>
      </c>
      <c r="Y29" s="5"/>
      <c r="Z29" s="13" t="e">
        <f ca="1">IF(T29=0,0,X29/T29)</f>
        <v>#NAME?</v>
      </c>
    </row>
    <row r="30" spans="1:26" ht="15" customHeight="1" x14ac:dyDescent="0.3">
      <c r="A30" s="10"/>
      <c r="B30" s="11"/>
      <c r="C30" s="11"/>
      <c r="D30" s="4"/>
      <c r="E30" s="4"/>
      <c r="F30" s="9"/>
      <c r="G30" s="4"/>
      <c r="H30" s="4"/>
      <c r="I30" s="4"/>
      <c r="J30" s="9"/>
      <c r="K30" s="4"/>
      <c r="L30" s="4"/>
      <c r="M30" s="4"/>
      <c r="N30" s="9"/>
      <c r="O30" s="11"/>
      <c r="P30" s="4"/>
      <c r="Q30" s="4"/>
      <c r="R30" s="9"/>
      <c r="S30" s="4"/>
      <c r="T30" s="4"/>
      <c r="U30" s="4"/>
      <c r="V30" s="9"/>
      <c r="W30" s="4"/>
      <c r="X30" s="4"/>
      <c r="Y30" s="4"/>
      <c r="Z30" s="9"/>
    </row>
    <row r="31" spans="1:26" s="63" customFormat="1" ht="15" customHeight="1" x14ac:dyDescent="0.3">
      <c r="A31" s="11"/>
      <c r="B31" s="27" t="s">
        <v>294</v>
      </c>
      <c r="C31" s="27"/>
      <c r="D31" s="34" t="e">
        <f ca="1">+D27-D29</f>
        <v>#NAME?</v>
      </c>
      <c r="E31" s="15"/>
      <c r="F31" s="29" t="e">
        <f ca="1">IF(D$12=0,0,D31/D$12)</f>
        <v>#NAME?</v>
      </c>
      <c r="G31" s="15"/>
      <c r="H31" s="34" t="e">
        <f ca="1">+H27-H29</f>
        <v>#NAME?</v>
      </c>
      <c r="I31" s="15"/>
      <c r="J31" s="29" t="e">
        <f ca="1">IF(H$12=0,0,H31/H$12)</f>
        <v>#NAME?</v>
      </c>
      <c r="K31" s="16"/>
      <c r="L31" s="34" t="e">
        <f ca="1">D31-H31</f>
        <v>#NAME?</v>
      </c>
      <c r="M31" s="16"/>
      <c r="N31" s="29" t="e">
        <f ca="1">IF(H31=0,0,L31/H31)</f>
        <v>#NAME?</v>
      </c>
      <c r="O31" s="28"/>
      <c r="P31" s="34" t="e">
        <f ca="1">+P27-P29</f>
        <v>#NAME?</v>
      </c>
      <c r="Q31" s="15"/>
      <c r="R31" s="29" t="e">
        <f ca="1">IF(P$12=0,0,P31/P$12)</f>
        <v>#NAME?</v>
      </c>
      <c r="S31" s="15"/>
      <c r="T31" s="34" t="e">
        <f ca="1">+T27-T29</f>
        <v>#NAME?</v>
      </c>
      <c r="U31" s="15"/>
      <c r="V31" s="29" t="e">
        <f ca="1">IF(T$12=0,0,T31/T$12)</f>
        <v>#NAME?</v>
      </c>
      <c r="W31" s="16"/>
      <c r="X31" s="34" t="e">
        <f ca="1">P31-T31</f>
        <v>#NAME?</v>
      </c>
      <c r="Y31" s="16"/>
      <c r="Z31" s="29" t="e">
        <f ca="1">IF(T31=0,0,X31/T31)</f>
        <v>#NAME?</v>
      </c>
    </row>
    <row r="32" spans="1:26" ht="15" customHeight="1" x14ac:dyDescent="0.3">
      <c r="A32" s="10"/>
      <c r="B32" s="10"/>
      <c r="C32" s="10"/>
      <c r="D32" s="4"/>
      <c r="E32" s="4"/>
      <c r="F32" s="9"/>
      <c r="G32" s="4"/>
      <c r="H32" s="4"/>
      <c r="I32" s="4"/>
      <c r="J32" s="9"/>
      <c r="K32" s="4"/>
      <c r="L32" s="4"/>
      <c r="M32" s="4"/>
      <c r="N32" s="9"/>
      <c r="P32" s="4"/>
      <c r="Q32" s="4"/>
      <c r="R32" s="9"/>
      <c r="S32" s="4"/>
      <c r="T32" s="4"/>
      <c r="U32" s="4"/>
      <c r="V32" s="9"/>
      <c r="W32" s="4"/>
      <c r="X32" s="4"/>
      <c r="Y32" s="4"/>
      <c r="Z32" s="9"/>
    </row>
    <row r="33" spans="1:26" s="63" customFormat="1" ht="15" customHeight="1" x14ac:dyDescent="0.3">
      <c r="A33" s="49"/>
      <c r="B33" s="11" t="s">
        <v>295</v>
      </c>
      <c r="C33" s="11"/>
      <c r="D33" s="5" t="e">
        <f ca="1">-_xll.ONESTOP.REPORTPLAYER.OSRFUNCTIONS.OSRGET("GL_F_Trans","Value1")</f>
        <v>#NAME?</v>
      </c>
      <c r="E33" s="5"/>
      <c r="F33" s="13" t="e">
        <f ca="1">IF(D$12=0,0,D33/D$12)</f>
        <v>#NAME?</v>
      </c>
      <c r="G33" s="5"/>
      <c r="H33" s="5" t="e">
        <f ca="1">-_xll.ONESTOP.REPORTPLAYER.OSRFUNCTIONS.OSRGET("GL_F_Trans","Value1")</f>
        <v>#NAME?</v>
      </c>
      <c r="I33" s="5"/>
      <c r="J33" s="13" t="e">
        <f ca="1">IF(H$12=0,0,H33/H$12)</f>
        <v>#NAME?</v>
      </c>
      <c r="K33" s="5"/>
      <c r="L33" s="5" t="e">
        <f ca="1">+D33-H33</f>
        <v>#NAME?</v>
      </c>
      <c r="M33" s="5"/>
      <c r="N33" s="13" t="e">
        <f ca="1">IF(H33=0,0,L33/H33)</f>
        <v>#NAME?</v>
      </c>
      <c r="O33" s="11"/>
      <c r="P33" s="5" t="e">
        <f ca="1">-_xll.ONESTOP.REPORTPLAYER.OSRFUNCTIONS.OSRGET("GL_F_Trans","Value1")</f>
        <v>#NAME?</v>
      </c>
      <c r="Q33" s="5"/>
      <c r="R33" s="13" t="e">
        <f ca="1">IF(P$12=0,0,P33/P$12)</f>
        <v>#NAME?</v>
      </c>
      <c r="S33" s="5"/>
      <c r="T33" s="5" t="e">
        <f ca="1">-_xll.ONESTOP.REPORTPLAYER.OSRFUNCTIONS.OSRGET("GL_F_Trans","Value1")</f>
        <v>#NAME?</v>
      </c>
      <c r="U33" s="5"/>
      <c r="V33" s="13" t="e">
        <f ca="1">IF(T$12=0,0,T33/T$12)</f>
        <v>#NAME?</v>
      </c>
      <c r="W33" s="5"/>
      <c r="X33" s="5" t="e">
        <f ca="1">+P33-T33</f>
        <v>#NAME?</v>
      </c>
      <c r="Y33" s="5"/>
      <c r="Z33" s="13" t="e">
        <f ca="1">IF(T33=0,0,X33/T33)</f>
        <v>#NAME?</v>
      </c>
    </row>
    <row r="34" spans="1:26" s="63" customFormat="1" ht="15" customHeight="1" x14ac:dyDescent="0.3">
      <c r="A34" s="49"/>
      <c r="B34" s="11" t="s">
        <v>296</v>
      </c>
      <c r="C34" s="11"/>
      <c r="D34" s="5" t="e">
        <f ca="1">-_xll.ONESTOP.REPORTPLAYER.OSRFUNCTIONS.OSRGET("GL_F_Trans","Value1")</f>
        <v>#NAME?</v>
      </c>
      <c r="E34" s="5"/>
      <c r="F34" s="13" t="e">
        <f ca="1">IF(D$12=0,0,D34/D$12)</f>
        <v>#NAME?</v>
      </c>
      <c r="G34" s="5"/>
      <c r="H34" s="5" t="e">
        <f ca="1">-_xll.ONESTOP.REPORTPLAYER.OSRFUNCTIONS.OSRGET("GL_F_Trans","Value1")</f>
        <v>#NAME?</v>
      </c>
      <c r="I34" s="5"/>
      <c r="J34" s="13" t="e">
        <f ca="1">IF(H$12=0,0,H34/H$12)</f>
        <v>#NAME?</v>
      </c>
      <c r="K34" s="5"/>
      <c r="L34" s="5" t="e">
        <f ca="1">+D34-H34</f>
        <v>#NAME?</v>
      </c>
      <c r="M34" s="5"/>
      <c r="N34" s="13" t="e">
        <f ca="1">IF(H34=0,0,L34/H34)</f>
        <v>#NAME?</v>
      </c>
      <c r="O34" s="11"/>
      <c r="P34" s="5" t="e">
        <f ca="1">-_xll.ONESTOP.REPORTPLAYER.OSRFUNCTIONS.OSRGET("GL_F_Trans","Value1")</f>
        <v>#NAME?</v>
      </c>
      <c r="Q34" s="5"/>
      <c r="R34" s="13" t="e">
        <f ca="1">IF(P$12=0,0,P34/P$12)</f>
        <v>#NAME?</v>
      </c>
      <c r="S34" s="5"/>
      <c r="T34" s="5" t="e">
        <f ca="1">-_xll.ONESTOP.REPORTPLAYER.OSRFUNCTIONS.OSRGET("GL_F_Trans","Value1")</f>
        <v>#NAME?</v>
      </c>
      <c r="U34" s="5"/>
      <c r="V34" s="13" t="e">
        <f ca="1">IF(T$12=0,0,T34/T$12)</f>
        <v>#NAME?</v>
      </c>
      <c r="W34" s="5"/>
      <c r="X34" s="5" t="e">
        <f ca="1">+P34-T34</f>
        <v>#NAME?</v>
      </c>
      <c r="Y34" s="5"/>
      <c r="Z34" s="13" t="e">
        <f ca="1">IF(T34=0,0,X34/T34)</f>
        <v>#NAME?</v>
      </c>
    </row>
    <row r="35" spans="1:26" ht="15" customHeight="1" x14ac:dyDescent="0.3">
      <c r="A35" s="10"/>
      <c r="B35" s="10"/>
      <c r="C35" s="10"/>
      <c r="D35" s="4"/>
      <c r="E35" s="4"/>
      <c r="F35" s="9"/>
      <c r="G35" s="4"/>
      <c r="H35" s="4"/>
      <c r="I35" s="4"/>
      <c r="J35" s="9"/>
      <c r="K35" s="4"/>
      <c r="L35" s="4"/>
      <c r="M35" s="4"/>
      <c r="N35" s="9"/>
      <c r="P35" s="4"/>
      <c r="Q35" s="4"/>
      <c r="R35" s="9"/>
      <c r="S35" s="4"/>
      <c r="T35" s="4"/>
      <c r="U35" s="4"/>
      <c r="V35" s="9"/>
      <c r="W35" s="4"/>
      <c r="X35" s="4"/>
      <c r="Y35" s="4"/>
      <c r="Z35" s="9"/>
    </row>
    <row r="36" spans="1:26" s="63" customFormat="1" ht="15" customHeight="1" x14ac:dyDescent="0.3">
      <c r="A36" s="11"/>
      <c r="B36" s="27" t="s">
        <v>297</v>
      </c>
      <c r="C36" s="27"/>
      <c r="D36" s="32" t="e">
        <f ca="1">SUM(D31:D35)</f>
        <v>#NAME?</v>
      </c>
      <c r="E36" s="15"/>
      <c r="F36" s="31" t="e">
        <f ca="1">IF(D$12=0,0,D36/D$12)</f>
        <v>#NAME?</v>
      </c>
      <c r="G36" s="15"/>
      <c r="H36" s="32" t="e">
        <f ca="1">SUM(H31:H35)</f>
        <v>#NAME?</v>
      </c>
      <c r="I36" s="15"/>
      <c r="J36" s="31" t="e">
        <f ca="1">IF(H$12=0,0,H36/H$12)</f>
        <v>#NAME?</v>
      </c>
      <c r="K36" s="16"/>
      <c r="L36" s="32" t="e">
        <f ca="1">+D36-H36</f>
        <v>#NAME?</v>
      </c>
      <c r="M36" s="16"/>
      <c r="N36" s="31" t="e">
        <f ca="1">IF(H36=0,0,L36/H36)</f>
        <v>#NAME?</v>
      </c>
      <c r="O36" s="28"/>
      <c r="P36" s="32" t="e">
        <f ca="1">SUM(P31:P35)</f>
        <v>#NAME?</v>
      </c>
      <c r="Q36" s="15"/>
      <c r="R36" s="31" t="e">
        <f ca="1">IF(P$12=0,0,P36/P$12)</f>
        <v>#NAME?</v>
      </c>
      <c r="S36" s="15"/>
      <c r="T36" s="32" t="e">
        <f ca="1">SUM(T31:T35)</f>
        <v>#NAME?</v>
      </c>
      <c r="U36" s="15"/>
      <c r="V36" s="31" t="e">
        <f ca="1">IF(T$12=0,0,T36/T$12)</f>
        <v>#NAME?</v>
      </c>
      <c r="W36" s="16"/>
      <c r="X36" s="32" t="e">
        <f ca="1">+P36-T36</f>
        <v>#NAME?</v>
      </c>
      <c r="Y36" s="16"/>
      <c r="Z36" s="31" t="e">
        <f ca="1">IF(T36=0,0,X36/T36)</f>
        <v>#NAME?</v>
      </c>
    </row>
    <row r="37" spans="1:26" ht="15" customHeight="1" x14ac:dyDescent="0.3">
      <c r="A37" s="10"/>
      <c r="C37" s="10"/>
      <c r="D37" s="19"/>
      <c r="E37" s="19"/>
      <c r="G37" s="19"/>
      <c r="H37" s="19"/>
      <c r="I37" s="19"/>
      <c r="J37" s="40"/>
      <c r="K37" s="19"/>
      <c r="L37" s="19"/>
      <c r="M37" s="19"/>
      <c r="P37" s="19"/>
      <c r="Q37" s="19"/>
      <c r="R37" s="40"/>
      <c r="S37" s="19"/>
      <c r="T37" s="19"/>
      <c r="U37" s="19"/>
      <c r="V37" s="40"/>
      <c r="W37" s="19"/>
      <c r="X37" s="19"/>
    </row>
    <row r="38" spans="1:26" ht="15" customHeight="1" x14ac:dyDescent="0.3">
      <c r="A38" s="10"/>
      <c r="B38" s="51" t="e">
        <f ca="1">_xll.ONESTOP.REPORTPLAYER.OSRFUNCTIONS.OSRGET("CurrentDate","Date")</f>
        <v>#NAME?</v>
      </c>
      <c r="D38" s="19"/>
      <c r="E38" s="19"/>
      <c r="G38" s="19"/>
      <c r="H38" s="19"/>
      <c r="I38" s="19"/>
      <c r="J38" s="40"/>
      <c r="K38" s="19"/>
      <c r="L38" s="19"/>
      <c r="M38" s="19"/>
      <c r="P38" s="19"/>
      <c r="Q38" s="19"/>
      <c r="R38" s="40"/>
      <c r="S38" s="19"/>
      <c r="T38" s="19"/>
      <c r="U38" s="19"/>
      <c r="V38" s="40"/>
      <c r="W38" s="19"/>
      <c r="X38" s="19"/>
    </row>
    <row r="39" spans="1:26" ht="15" customHeight="1" x14ac:dyDescent="0.3">
      <c r="A39" s="10"/>
      <c r="B39" s="58" t="e">
        <f ca="1">_xll.ONESTOP.REPORTPLAYER.OSRFUNCTIONS.OSRGET("User","UserId")</f>
        <v>#NAME?</v>
      </c>
      <c r="D39" s="19"/>
      <c r="E39" s="19"/>
      <c r="G39" s="19"/>
      <c r="H39" s="19"/>
      <c r="I39" s="19"/>
      <c r="J39" s="40"/>
      <c r="K39" s="19"/>
      <c r="L39" s="19"/>
      <c r="M39" s="19"/>
      <c r="P39" s="19"/>
      <c r="Q39" s="19"/>
      <c r="R39" s="40"/>
      <c r="S39" s="19"/>
      <c r="T39" s="19"/>
      <c r="U39" s="19"/>
      <c r="V39" s="40"/>
      <c r="W39" s="19"/>
      <c r="X39" s="19"/>
    </row>
    <row r="40" spans="1:26" ht="15" customHeight="1" x14ac:dyDescent="0.3">
      <c r="A40" s="10"/>
      <c r="B40" s="50"/>
      <c r="D40" s="19"/>
      <c r="E40" s="19"/>
      <c r="G40" s="19"/>
      <c r="H40" s="19"/>
      <c r="I40" s="19"/>
      <c r="J40" s="40"/>
      <c r="K40" s="19"/>
      <c r="L40" s="19"/>
      <c r="M40" s="19"/>
      <c r="P40" s="19"/>
      <c r="Q40" s="19"/>
      <c r="R40" s="40"/>
      <c r="S40" s="19"/>
      <c r="T40" s="19"/>
      <c r="U40" s="19"/>
      <c r="V40" s="40"/>
      <c r="W40" s="19"/>
      <c r="X40" s="19"/>
    </row>
    <row r="41" spans="1:26" ht="15" customHeight="1" x14ac:dyDescent="0.3">
      <c r="D41" s="19"/>
      <c r="E41" s="19"/>
      <c r="G41" s="19"/>
      <c r="H41" s="19"/>
      <c r="I41" s="19"/>
      <c r="J41" s="40"/>
      <c r="K41" s="19"/>
      <c r="L41" s="19"/>
      <c r="M41" s="19"/>
      <c r="P41" s="19"/>
      <c r="Q41" s="19"/>
      <c r="R41" s="40"/>
      <c r="S41" s="19"/>
      <c r="T41" s="19"/>
      <c r="U41" s="19"/>
      <c r="V41" s="40"/>
      <c r="W41" s="19"/>
      <c r="X41" s="19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9A92D2-6A88-6CB9-F6C9-DA044D844BB3}">
  <sheetPr>
    <tabColor rgb="FFFFFF00"/>
    <outlinePr summaryBelow="0" summaryRight="0"/>
  </sheetPr>
  <dimension ref="A2:Z41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6" customWidth="1"/>
    <col min="2" max="2" width="33.44140625" style="66" customWidth="1"/>
    <col min="3" max="3" width="1.88671875" style="66" customWidth="1"/>
    <col min="4" max="4" width="15" style="66" customWidth="1"/>
    <col min="5" max="5" width="1.88671875" style="66" customWidth="1" outlineLevel="1"/>
    <col min="6" max="6" width="15" style="67" customWidth="1" outlineLevel="1"/>
    <col min="7" max="7" width="1.88671875" style="66" customWidth="1" outlineLevel="1"/>
    <col min="8" max="8" width="15" style="66" customWidth="1" outlineLevel="1"/>
    <col min="9" max="9" width="1.88671875" style="66" customWidth="1" outlineLevel="1"/>
    <col min="10" max="10" width="15" style="68" customWidth="1" outlineLevel="1"/>
    <col min="11" max="11" width="1.88671875" style="66" customWidth="1" outlineLevel="1"/>
    <col min="12" max="12" width="15" style="66" customWidth="1" outlineLevel="1"/>
    <col min="13" max="13" width="1.88671875" style="66" customWidth="1" outlineLevel="1"/>
    <col min="14" max="14" width="15" style="67" customWidth="1" outlineLevel="1"/>
    <col min="15" max="15" width="1.88671875" style="64" customWidth="1"/>
    <col min="16" max="16" width="15" style="66" customWidth="1"/>
    <col min="17" max="17" width="1.88671875" style="66" customWidth="1" outlineLevel="1"/>
    <col min="18" max="18" width="15" style="68" customWidth="1" outlineLevel="1"/>
    <col min="19" max="19" width="1.88671875" style="66" customWidth="1" outlineLevel="1"/>
    <col min="20" max="20" width="15" style="66" customWidth="1" outlineLevel="1"/>
    <col min="21" max="21" width="1.88671875" style="66" customWidth="1" outlineLevel="1"/>
    <col min="22" max="22" width="15" style="68" customWidth="1" outlineLevel="1"/>
    <col min="23" max="23" width="1.88671875" style="66" customWidth="1" outlineLevel="1"/>
    <col min="24" max="24" width="15" style="66" customWidth="1" outlineLevel="1"/>
    <col min="25" max="25" width="1.88671875" style="66" customWidth="1" outlineLevel="1"/>
    <col min="26" max="26" width="15" style="68" customWidth="1" outlineLevel="1"/>
  </cols>
  <sheetData>
    <row r="2" spans="1:26" ht="15" customHeight="1" x14ac:dyDescent="0.3">
      <c r="D2" s="54" t="s">
        <v>276</v>
      </c>
    </row>
    <row r="3" spans="1:26" ht="15" customHeight="1" x14ac:dyDescent="0.3">
      <c r="D3" s="54" t="s">
        <v>277</v>
      </c>
      <c r="E3" s="18"/>
      <c r="F3" s="44"/>
      <c r="G3" s="18"/>
      <c r="H3" s="18"/>
      <c r="I3" s="18"/>
      <c r="J3" s="38"/>
      <c r="K3" s="18"/>
      <c r="L3" s="18"/>
      <c r="M3" s="18"/>
      <c r="N3" s="44"/>
      <c r="O3" s="53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ht="15" customHeight="1" x14ac:dyDescent="0.3">
      <c r="D4" s="54" t="e">
        <f ca="1">CONCATENATE("Period ",RIGHT(_xll.ONESTOP.REPORTPLAYER.OSRFUNCTIONS.OSRGET("Period","PeriodId"),2),", ",_xll.ONESTOP.REPORTPLAYER.OSRFUNCTIONS.OSRGET("Period","Year"))</f>
        <v>#NAME?</v>
      </c>
      <c r="E4" s="18"/>
      <c r="F4" s="44"/>
      <c r="G4" s="18"/>
      <c r="H4" s="18"/>
      <c r="I4" s="18"/>
      <c r="J4" s="38"/>
      <c r="K4" s="18"/>
      <c r="L4" s="18"/>
      <c r="M4" s="18"/>
      <c r="N4" s="44"/>
      <c r="O4" s="53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ht="15" customHeight="1" x14ac:dyDescent="0.3">
      <c r="A5" s="24"/>
      <c r="D5" s="61" t="e">
        <f ca="1">_xll.ONESTOP.REPORTPLAYER.OSRFUNCTIONS.OSRGET("Period","PeriodEnd")</f>
        <v>#NAME?</v>
      </c>
      <c r="E5" s="18"/>
      <c r="F5" s="44"/>
      <c r="G5" s="18"/>
      <c r="H5" s="18"/>
      <c r="I5" s="18"/>
      <c r="J5" s="38"/>
      <c r="K5" s="18"/>
      <c r="L5" s="18"/>
      <c r="M5" s="18"/>
      <c r="N5" s="44"/>
      <c r="O5" s="53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ht="15" customHeight="1" x14ac:dyDescent="0.3">
      <c r="A6" s="24"/>
      <c r="B6" s="47"/>
      <c r="C6" s="47"/>
      <c r="D6" s="24" t="s">
        <v>313</v>
      </c>
      <c r="E6" s="18"/>
      <c r="F6" s="44"/>
      <c r="G6" s="18"/>
      <c r="H6" s="18"/>
      <c r="I6" s="18"/>
      <c r="J6" s="38"/>
      <c r="K6" s="18"/>
      <c r="L6" s="18"/>
      <c r="M6" s="18"/>
      <c r="N6" s="44"/>
      <c r="O6" s="59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ht="15" customHeight="1" x14ac:dyDescent="0.3">
      <c r="B7" s="52"/>
    </row>
    <row r="8" spans="1:26" ht="15" customHeight="1" x14ac:dyDescent="0.3">
      <c r="B8" s="52"/>
    </row>
    <row r="9" spans="1:26" ht="15" customHeight="1" x14ac:dyDescent="0.3">
      <c r="B9" s="10"/>
      <c r="C9" s="10"/>
      <c r="D9" s="17" t="s">
        <v>279</v>
      </c>
      <c r="E9" s="17"/>
      <c r="F9" s="36"/>
      <c r="G9" s="17"/>
      <c r="H9" s="17"/>
      <c r="I9" s="17"/>
      <c r="J9" s="43"/>
      <c r="K9" s="17"/>
      <c r="L9" s="17"/>
      <c r="M9" s="17"/>
      <c r="N9" s="36"/>
      <c r="P9" s="17" t="s">
        <v>280</v>
      </c>
      <c r="Q9" s="17"/>
      <c r="R9" s="36"/>
      <c r="S9" s="17"/>
      <c r="T9" s="17"/>
      <c r="U9" s="17"/>
      <c r="V9" s="43"/>
      <c r="W9" s="17"/>
      <c r="X9" s="17"/>
      <c r="Y9" s="17"/>
      <c r="Z9" s="36"/>
    </row>
    <row r="10" spans="1:26" ht="15" customHeight="1" x14ac:dyDescent="0.3">
      <c r="A10" s="11"/>
      <c r="B10" s="57"/>
      <c r="C10" s="11"/>
      <c r="D10" s="41" t="s">
        <v>281</v>
      </c>
      <c r="E10" s="33"/>
      <c r="F10" s="37" t="s">
        <v>282</v>
      </c>
      <c r="G10" s="33"/>
      <c r="H10" s="48" t="s">
        <v>283</v>
      </c>
      <c r="I10" s="33"/>
      <c r="J10" s="45" t="s">
        <v>284</v>
      </c>
      <c r="K10" s="11"/>
      <c r="L10" s="41" t="s">
        <v>285</v>
      </c>
      <c r="M10" s="11"/>
      <c r="N10" s="37" t="s">
        <v>286</v>
      </c>
      <c r="O10" s="11"/>
      <c r="P10" s="56" t="s">
        <v>281</v>
      </c>
      <c r="Q10" s="33"/>
      <c r="R10" s="37" t="s">
        <v>282</v>
      </c>
      <c r="S10" s="33"/>
      <c r="T10" s="48" t="s">
        <v>283</v>
      </c>
      <c r="U10" s="33"/>
      <c r="V10" s="45" t="s">
        <v>284</v>
      </c>
      <c r="W10" s="11"/>
      <c r="X10" s="41" t="s">
        <v>285</v>
      </c>
      <c r="Y10" s="11"/>
      <c r="Z10" s="37" t="s">
        <v>286</v>
      </c>
    </row>
    <row r="11" spans="1:26" ht="16.5" customHeight="1" x14ac:dyDescent="0.3">
      <c r="A11" s="10"/>
      <c r="B11" s="55"/>
      <c r="C11" s="10"/>
      <c r="D11" s="10"/>
      <c r="E11" s="10"/>
      <c r="F11" s="9"/>
      <c r="G11" s="10"/>
      <c r="H11" s="10"/>
      <c r="I11" s="10"/>
      <c r="J11" s="46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6"/>
      <c r="W11" s="10"/>
      <c r="X11" s="10"/>
      <c r="Y11" s="10"/>
      <c r="Z11" s="9"/>
    </row>
    <row r="12" spans="1:26" s="63" customFormat="1" ht="15" customHeight="1" collapsed="1" x14ac:dyDescent="0.3">
      <c r="A12" s="11"/>
      <c r="B12" s="28" t="s">
        <v>287</v>
      </c>
      <c r="C12" s="11"/>
      <c r="D12" s="5" t="e">
        <f ca="1">SUM(_xll.ONESTOP.REPORTPLAYER.OSRFUNCTIONS.OSRREF(D13))</f>
        <v>#NAME?</v>
      </c>
      <c r="E12" s="5"/>
      <c r="F12" s="13"/>
      <c r="G12" s="5"/>
      <c r="H12" s="5" t="e">
        <f ca="1">SUM(_xll.ONESTOP.REPORTPLAYER.OSRFUNCTIONS.OSRREF(H13))</f>
        <v>#NAME?</v>
      </c>
      <c r="I12" s="5"/>
      <c r="J12" s="13"/>
      <c r="K12" s="5"/>
      <c r="L12" s="5" t="e">
        <f ca="1">+D12-H12</f>
        <v>#NAME?</v>
      </c>
      <c r="M12" s="5"/>
      <c r="N12" s="13" t="e">
        <f ca="1">IF(H12=0,0,L12/H12)</f>
        <v>#NAME?</v>
      </c>
      <c r="O12" s="11"/>
      <c r="P12" s="5" t="e">
        <f ca="1">SUM(_xll.ONESTOP.REPORTPLAYER.OSRFUNCTIONS.OSRREF(P13))</f>
        <v>#NAME?</v>
      </c>
      <c r="Q12" s="5"/>
      <c r="R12" s="13"/>
      <c r="S12" s="5"/>
      <c r="T12" s="5" t="e">
        <f ca="1">SUM(_xll.ONESTOP.REPORTPLAYER.OSRFUNCTIONS.OSRREF(T13))</f>
        <v>#NAME?</v>
      </c>
      <c r="U12" s="5"/>
      <c r="V12" s="13"/>
      <c r="W12" s="5"/>
      <c r="X12" s="5" t="e">
        <f ca="1">+P12-T12</f>
        <v>#NAME?</v>
      </c>
      <c r="Y12" s="5"/>
      <c r="Z12" s="13" t="e">
        <f ca="1">IF(T12=0,0,X12/T12)</f>
        <v>#NAME?</v>
      </c>
    </row>
    <row r="13" spans="1:26" s="70" customFormat="1" ht="15" hidden="1" customHeight="1" outlineLevel="1" x14ac:dyDescent="0.3">
      <c r="A13" s="42"/>
      <c r="B13" s="12" t="e">
        <f ca="1">CONCATENATE("          ",_xll.ONESTOP.REPORTPLAYER.OSRFUNCTIONS.OSRGET("d_Account","Code")," - ",_xll.ONESTOP.REPORTPLAYER.OSRFUNCTIONS.OSRGET("d_Account","Description"))</f>
        <v>#NAME?</v>
      </c>
      <c r="C13" s="12"/>
      <c r="D13" s="3" t="e">
        <f ca="1">-_xll.ONESTOP.REPORTPLAYER.OSRFUNCTIONS.OSRGET("GL_F_Trans","Value1")</f>
        <v>#NAME?</v>
      </c>
      <c r="E13" s="3"/>
      <c r="F13" s="20"/>
      <c r="G13" s="3"/>
      <c r="H13" s="3" t="e">
        <f ca="1">_xll.ONESTOP.REPORTPLAYER.OSRFUNCTIONS.OSRGET("GL_F_Trans","Value1")</f>
        <v>#NAME?</v>
      </c>
      <c r="I13" s="3"/>
      <c r="J13" s="20"/>
      <c r="K13" s="3"/>
      <c r="L13" s="3" t="e">
        <f ca="1">+D13-H13</f>
        <v>#NAME?</v>
      </c>
      <c r="M13" s="3"/>
      <c r="N13" s="20" t="e">
        <f ca="1">IF(H13=0,0,L13/H13)</f>
        <v>#NAME?</v>
      </c>
      <c r="O13" s="12"/>
      <c r="P13" s="3" t="e">
        <f ca="1">-_xll.ONESTOP.REPORTPLAYER.OSRFUNCTIONS.OSRGET("GL_F_Trans","Value1")</f>
        <v>#NAME?</v>
      </c>
      <c r="Q13" s="3"/>
      <c r="R13" s="20"/>
      <c r="S13" s="3"/>
      <c r="T13" s="3" t="e">
        <f ca="1">_xll.ONESTOP.REPORTPLAYER.OSRFUNCTIONS.OSRGET("GL_F_Trans","Value1")</f>
        <v>#NAME?</v>
      </c>
      <c r="U13" s="3"/>
      <c r="V13" s="20"/>
      <c r="W13" s="3"/>
      <c r="X13" s="3" t="e">
        <f ca="1">+P13-T13</f>
        <v>#NAME?</v>
      </c>
      <c r="Y13" s="3"/>
      <c r="Z13" s="20" t="e">
        <f ca="1">IF(T13=0,0,X13/T13)</f>
        <v>#NAME?</v>
      </c>
    </row>
    <row r="14" spans="1:26" ht="15" customHeight="1" x14ac:dyDescent="0.3">
      <c r="A14" s="10"/>
      <c r="B14" s="11"/>
      <c r="C14" s="10"/>
      <c r="D14" s="4"/>
      <c r="E14" s="4"/>
      <c r="F14" s="9"/>
      <c r="G14" s="4"/>
      <c r="H14" s="4"/>
      <c r="I14" s="4"/>
      <c r="J14" s="9"/>
      <c r="K14" s="4"/>
      <c r="L14" s="4"/>
      <c r="M14" s="4"/>
      <c r="N14" s="9"/>
      <c r="P14" s="4"/>
      <c r="Q14" s="4"/>
      <c r="R14" s="9"/>
      <c r="S14" s="4"/>
      <c r="T14" s="4"/>
      <c r="U14" s="4"/>
      <c r="V14" s="9"/>
      <c r="W14" s="4"/>
      <c r="X14" s="4"/>
      <c r="Y14" s="4"/>
      <c r="Z14" s="9"/>
    </row>
    <row r="15" spans="1:26" s="63" customFormat="1" ht="15" customHeight="1" collapsed="1" x14ac:dyDescent="0.3">
      <c r="A15" s="11"/>
      <c r="B15" s="28" t="s">
        <v>288</v>
      </c>
      <c r="C15" s="11"/>
      <c r="D15" s="5" t="e">
        <f ca="1">SUM(_xll.ONESTOP.REPORTPLAYER.OSRFUNCTIONS.OSRREF(D16))</f>
        <v>#NAME?</v>
      </c>
      <c r="E15" s="5"/>
      <c r="F15" s="13" t="e">
        <f ca="1">IF(D$12=0,0,D15/D$12)</f>
        <v>#NAME?</v>
      </c>
      <c r="G15" s="5"/>
      <c r="H15" s="5" t="e">
        <f ca="1">SUM(_xll.ONESTOP.REPORTPLAYER.OSRFUNCTIONS.OSRREF(H16))</f>
        <v>#NAME?</v>
      </c>
      <c r="I15" s="5"/>
      <c r="J15" s="13" t="e">
        <f ca="1">IF(H$12=0,0,H15/H$12)</f>
        <v>#NAME?</v>
      </c>
      <c r="K15" s="5"/>
      <c r="L15" s="5" t="e">
        <f ca="1">+D15-H15</f>
        <v>#NAME?</v>
      </c>
      <c r="M15" s="5"/>
      <c r="N15" s="13" t="e">
        <f ca="1">IF(H15=0,0,L15/H15)</f>
        <v>#NAME?</v>
      </c>
      <c r="O15" s="11"/>
      <c r="P15" s="5" t="e">
        <f ca="1">SUM(_xll.ONESTOP.REPORTPLAYER.OSRFUNCTIONS.OSRREF(P16))</f>
        <v>#NAME?</v>
      </c>
      <c r="Q15" s="5"/>
      <c r="R15" s="13" t="e">
        <f ca="1">IF(P$12=0,0,P15/P$12)</f>
        <v>#NAME?</v>
      </c>
      <c r="S15" s="5"/>
      <c r="T15" s="5" t="e">
        <f ca="1">SUM(_xll.ONESTOP.REPORTPLAYER.OSRFUNCTIONS.OSRREF(T16))</f>
        <v>#NAME?</v>
      </c>
      <c r="U15" s="5"/>
      <c r="V15" s="13" t="e">
        <f ca="1">IF(T$12=0,0,T15/T$12)</f>
        <v>#NAME?</v>
      </c>
      <c r="W15" s="5"/>
      <c r="X15" s="5" t="e">
        <f ca="1">+P15-T15</f>
        <v>#NAME?</v>
      </c>
      <c r="Y15" s="5"/>
      <c r="Z15" s="13" t="e">
        <f ca="1">IF(T15=0,0,X15/T15)</f>
        <v>#NAME?</v>
      </c>
    </row>
    <row r="16" spans="1:26" s="70" customFormat="1" ht="15" hidden="1" customHeight="1" outlineLevel="1" x14ac:dyDescent="0.3">
      <c r="A16" s="42"/>
      <c r="B16" s="12" t="e">
        <f ca="1">CONCATENATE("          ",_xll.ONESTOP.REPORTPLAYER.OSRFUNCTIONS.OSRGET("d_Account","Code")," - ",_xll.ONESTOP.REPORTPLAYER.OSRFUNCTIONS.OSRGET("d_Account","Description"))</f>
        <v>#NAME?</v>
      </c>
      <c r="C16" s="12"/>
      <c r="D16" s="3" t="e">
        <f ca="1">_xll.ONESTOP.REPORTPLAYER.OSRFUNCTIONS.OSRGET("GL_F_Trans","Value1")</f>
        <v>#NAME?</v>
      </c>
      <c r="E16" s="3"/>
      <c r="F16" s="20" t="e">
        <f ca="1">IF(D$12=0,0,D16/D$12)</f>
        <v>#NAME?</v>
      </c>
      <c r="G16" s="3"/>
      <c r="H16" s="3" t="e">
        <f ca="1">_xll.ONESTOP.REPORTPLAYER.OSRFUNCTIONS.OSRGET("GL_F_Trans","Value1")</f>
        <v>#NAME?</v>
      </c>
      <c r="I16" s="3"/>
      <c r="J16" s="20" t="e">
        <f ca="1">IF(H$12=0,0,H16/H$12)</f>
        <v>#NAME?</v>
      </c>
      <c r="K16" s="3"/>
      <c r="L16" s="3" t="e">
        <f ca="1">+D16-H16</f>
        <v>#NAME?</v>
      </c>
      <c r="M16" s="3"/>
      <c r="N16" s="20" t="e">
        <f ca="1">IF(H16=0,0,L16/H16)</f>
        <v>#NAME?</v>
      </c>
      <c r="O16" s="12"/>
      <c r="P16" s="3" t="e">
        <f ca="1">_xll.ONESTOP.REPORTPLAYER.OSRFUNCTIONS.OSRGET("GL_F_Trans","Value1")</f>
        <v>#NAME?</v>
      </c>
      <c r="Q16" s="3"/>
      <c r="R16" s="20" t="e">
        <f ca="1">IF(P$12=0,0,P16/P$12)</f>
        <v>#NAME?</v>
      </c>
      <c r="S16" s="3"/>
      <c r="T16" s="3" t="e">
        <f ca="1">_xll.ONESTOP.REPORTPLAYER.OSRFUNCTIONS.OSRGET("GL_F_Trans","Value1")</f>
        <v>#NAME?</v>
      </c>
      <c r="U16" s="3"/>
      <c r="V16" s="20" t="e">
        <f ca="1">IF(T$12=0,0,T16/T$12)</f>
        <v>#NAME?</v>
      </c>
      <c r="W16" s="3"/>
      <c r="X16" s="3" t="e">
        <f ca="1">+P16-T16</f>
        <v>#NAME?</v>
      </c>
      <c r="Y16" s="3"/>
      <c r="Z16" s="20" t="e">
        <f ca="1">IF(T16=0,0,X16/T16)</f>
        <v>#NAME?</v>
      </c>
    </row>
    <row r="17" spans="1:26" ht="15" customHeight="1" x14ac:dyDescent="0.3">
      <c r="A17" s="10"/>
      <c r="B17" s="11"/>
      <c r="C17" s="11"/>
      <c r="D17" s="4"/>
      <c r="E17" s="4"/>
      <c r="F17" s="9"/>
      <c r="G17" s="4"/>
      <c r="H17" s="4"/>
      <c r="I17" s="4"/>
      <c r="J17" s="9"/>
      <c r="K17" s="4"/>
      <c r="L17" s="4"/>
      <c r="M17" s="4"/>
      <c r="N17" s="9"/>
      <c r="O17" s="11"/>
      <c r="P17" s="4"/>
      <c r="Q17" s="4"/>
      <c r="R17" s="9"/>
      <c r="S17" s="4"/>
      <c r="T17" s="4"/>
      <c r="U17" s="4"/>
      <c r="V17" s="9"/>
      <c r="W17" s="4"/>
      <c r="X17" s="4"/>
      <c r="Y17" s="4"/>
      <c r="Z17" s="9"/>
    </row>
    <row r="18" spans="1:26" s="63" customFormat="1" ht="15" customHeight="1" x14ac:dyDescent="0.3">
      <c r="A18" s="11"/>
      <c r="B18" s="27" t="s">
        <v>289</v>
      </c>
      <c r="C18" s="27"/>
      <c r="D18" s="21" t="e">
        <f ca="1">D12-D15</f>
        <v>#NAME?</v>
      </c>
      <c r="E18" s="15"/>
      <c r="F18" s="23" t="e">
        <f ca="1">IF(D$12=0,0,D18/D$12)</f>
        <v>#NAME?</v>
      </c>
      <c r="G18" s="15"/>
      <c r="H18" s="21" t="e">
        <f ca="1">H12-H15</f>
        <v>#NAME?</v>
      </c>
      <c r="I18" s="15"/>
      <c r="J18" s="23" t="e">
        <f ca="1">IF(H$12=0,0,H18/H$12)</f>
        <v>#NAME?</v>
      </c>
      <c r="K18" s="16"/>
      <c r="L18" s="21" t="e">
        <f ca="1">+D18-H18</f>
        <v>#NAME?</v>
      </c>
      <c r="M18" s="16"/>
      <c r="N18" s="23" t="e">
        <f ca="1">IF(H18=0,0,L18/H18)</f>
        <v>#NAME?</v>
      </c>
      <c r="O18" s="28"/>
      <c r="P18" s="21" t="e">
        <f ca="1">P12-P15</f>
        <v>#NAME?</v>
      </c>
      <c r="Q18" s="15"/>
      <c r="R18" s="23" t="e">
        <f ca="1">IF(P$12=0,0,P18/P$12)</f>
        <v>#NAME?</v>
      </c>
      <c r="S18" s="15"/>
      <c r="T18" s="21" t="e">
        <f ca="1">T12-T15</f>
        <v>#NAME?</v>
      </c>
      <c r="U18" s="15"/>
      <c r="V18" s="23" t="e">
        <f ca="1">IF(T$12=0,0,T18/T$12)</f>
        <v>#NAME?</v>
      </c>
      <c r="W18" s="16"/>
      <c r="X18" s="21" t="e">
        <f ca="1">+P18-T18</f>
        <v>#NAME?</v>
      </c>
      <c r="Y18" s="16"/>
      <c r="Z18" s="23" t="e">
        <f ca="1">IF(T18=0,0,X18/T18)</f>
        <v>#NAME?</v>
      </c>
    </row>
    <row r="19" spans="1:26" ht="15" customHeight="1" x14ac:dyDescent="0.3">
      <c r="A19" s="10"/>
      <c r="B19" s="11"/>
      <c r="C19" s="10"/>
      <c r="D19" s="2"/>
      <c r="E19" s="2"/>
      <c r="F19" s="6"/>
      <c r="G19" s="2"/>
      <c r="H19" s="2"/>
      <c r="I19" s="2"/>
      <c r="J19" s="6"/>
      <c r="K19" s="2"/>
      <c r="L19" s="2"/>
      <c r="M19" s="2"/>
      <c r="N19" s="6"/>
      <c r="O19" s="35"/>
      <c r="P19" s="2"/>
      <c r="Q19" s="2"/>
      <c r="R19" s="6"/>
      <c r="S19" s="2"/>
      <c r="T19" s="2"/>
      <c r="U19" s="2"/>
      <c r="V19" s="6"/>
      <c r="W19" s="2"/>
      <c r="X19" s="2"/>
      <c r="Y19" s="2"/>
      <c r="Z19" s="6"/>
    </row>
    <row r="20" spans="1:26" s="63" customFormat="1" ht="15" customHeight="1" x14ac:dyDescent="0.3">
      <c r="A20" s="11"/>
      <c r="B20" s="28" t="s">
        <v>290</v>
      </c>
      <c r="C20" s="11"/>
      <c r="D20" s="22" t="e">
        <f ca="1">SUM(_xll.ONESTOP.REPORTPLAYER.OSRFUNCTIONS.OSRREF(D22))</f>
        <v>#NAME?</v>
      </c>
      <c r="E20" s="22"/>
      <c r="F20" s="30" t="e">
        <f ca="1">IF(D$12=0,0,D20/D$12)</f>
        <v>#NAME?</v>
      </c>
      <c r="G20" s="22"/>
      <c r="H20" s="22" t="e">
        <f ca="1">SUM(_xll.ONESTOP.REPORTPLAYER.OSRFUNCTIONS.OSRREF(H22))</f>
        <v>#NAME?</v>
      </c>
      <c r="I20" s="22"/>
      <c r="J20" s="30" t="e">
        <f ca="1">IF(H$12=0,0,H20/H$12)</f>
        <v>#NAME?</v>
      </c>
      <c r="K20" s="5"/>
      <c r="L20" s="22" t="e">
        <f ca="1">+D20-H20</f>
        <v>#NAME?</v>
      </c>
      <c r="M20" s="5"/>
      <c r="N20" s="30" t="e">
        <f ca="1">IF(H20=0,0,L20/H20)</f>
        <v>#NAME?</v>
      </c>
      <c r="O20" s="11"/>
      <c r="P20" s="22" t="e">
        <f ca="1">SUM(_xll.ONESTOP.REPORTPLAYER.OSRFUNCTIONS.OSRREF(P22))</f>
        <v>#NAME?</v>
      </c>
      <c r="Q20" s="22"/>
      <c r="R20" s="30" t="e">
        <f ca="1">IF(P$12=0,0,P20/P$12)</f>
        <v>#NAME?</v>
      </c>
      <c r="S20" s="22"/>
      <c r="T20" s="22" t="e">
        <f ca="1">SUM(_xll.ONESTOP.REPORTPLAYER.OSRFUNCTIONS.OSRREF(T22))</f>
        <v>#NAME?</v>
      </c>
      <c r="U20" s="22"/>
      <c r="V20" s="30" t="e">
        <f ca="1">IF(T$12=0,0,T20/T$12)</f>
        <v>#NAME?</v>
      </c>
      <c r="W20" s="5"/>
      <c r="X20" s="22" t="e">
        <f ca="1">+P20-T20</f>
        <v>#NAME?</v>
      </c>
      <c r="Y20" s="5"/>
      <c r="Z20" s="30" t="e">
        <f ca="1">IF(T20=0,0,X20/T20)</f>
        <v>#NAME?</v>
      </c>
    </row>
    <row r="21" spans="1:26" s="69" customFormat="1" ht="15" customHeight="1" outlineLevel="1" collapsed="1" x14ac:dyDescent="0.3">
      <c r="A21" s="25"/>
      <c r="B21" s="14" t="e">
        <f ca="1">CONCATENATE("     ",_xll.ONESTOP.REPORTPLAYER.OSRFUNCTIONS.OSRGET("d_Account","AccountCategory"))</f>
        <v>#NAME?</v>
      </c>
      <c r="C21" s="14"/>
      <c r="D21" s="2" t="e">
        <f ca="1">SUM(_xll.ONESTOP.REPORTPLAYER.OSRFUNCTIONS.OSRREF(D22))</f>
        <v>#NAME?</v>
      </c>
      <c r="E21" s="2"/>
      <c r="F21" s="6" t="e">
        <f ca="1">IF(D$12=0,0,D21/D$12)</f>
        <v>#NAME?</v>
      </c>
      <c r="G21" s="2"/>
      <c r="H21" s="2" t="e">
        <f ca="1">SUM(_xll.ONESTOP.REPORTPLAYER.OSRFUNCTIONS.OSRREF(H22))</f>
        <v>#NAME?</v>
      </c>
      <c r="I21" s="2"/>
      <c r="J21" s="6" t="e">
        <f ca="1">IF(H$12=0,0,H21/H$12)</f>
        <v>#NAME?</v>
      </c>
      <c r="K21" s="2"/>
      <c r="L21" s="2" t="e">
        <f ca="1">+D21-H21</f>
        <v>#NAME?</v>
      </c>
      <c r="M21" s="2"/>
      <c r="N21" s="6" t="e">
        <f ca="1">IF(H21=0,0,L21/H21)</f>
        <v>#NAME?</v>
      </c>
      <c r="O21" s="14"/>
      <c r="P21" s="2" t="e">
        <f ca="1">SUM(_xll.ONESTOP.REPORTPLAYER.OSRFUNCTIONS.OSRREF(P22))</f>
        <v>#NAME?</v>
      </c>
      <c r="Q21" s="2"/>
      <c r="R21" s="6" t="e">
        <f ca="1">IF(P$12=0,0,P21/P$12)</f>
        <v>#NAME?</v>
      </c>
      <c r="S21" s="2"/>
      <c r="T21" s="2" t="e">
        <f ca="1">SUM(_xll.ONESTOP.REPORTPLAYER.OSRFUNCTIONS.OSRREF(T22))</f>
        <v>#NAME?</v>
      </c>
      <c r="U21" s="2"/>
      <c r="V21" s="6" t="e">
        <f ca="1">IF(T$12=0,0,T21/T$12)</f>
        <v>#NAME?</v>
      </c>
      <c r="W21" s="2"/>
      <c r="X21" s="2" t="e">
        <f ca="1">+P21-T21</f>
        <v>#NAME?</v>
      </c>
      <c r="Y21" s="2"/>
      <c r="Z21" s="6" t="e">
        <f ca="1">IF(T21=0,0,X21/T21)</f>
        <v>#NAME?</v>
      </c>
    </row>
    <row r="22" spans="1:26" s="70" customFormat="1" ht="15" hidden="1" customHeight="1" outlineLevel="2" x14ac:dyDescent="0.3">
      <c r="A22" s="26"/>
      <c r="B22" s="12" t="e">
        <f ca="1">CONCATENATE("          ",_xll.ONESTOP.REPORTPLAYER.OSRFUNCTIONS.OSRGET("d_Account","Code")," - ",_xll.ONESTOP.REPORTPLAYER.OSRFUNCTIONS.OSRGET("d_Account","Description"))</f>
        <v>#NAME?</v>
      </c>
      <c r="C22" s="12"/>
      <c r="D22" s="7" t="e">
        <f ca="1">_xll.ONESTOP.REPORTPLAYER.OSRFUNCTIONS.OSRGET("GL_F_Trans","Value1")</f>
        <v>#NAME?</v>
      </c>
      <c r="E22" s="3"/>
      <c r="F22" s="8" t="e">
        <f ca="1">IF(D$12=0,0,D22/D$12)</f>
        <v>#NAME?</v>
      </c>
      <c r="G22" s="3"/>
      <c r="H22" s="7" t="e">
        <f ca="1">_xll.ONESTOP.REPORTPLAYER.OSRFUNCTIONS.OSRGET("GL_F_Trans","Value1")</f>
        <v>#NAME?</v>
      </c>
      <c r="I22" s="3"/>
      <c r="J22" s="8" t="e">
        <f ca="1">IF(H$12=0,0,H22/H$12)</f>
        <v>#NAME?</v>
      </c>
      <c r="K22" s="3"/>
      <c r="L22" s="7" t="e">
        <f ca="1">+D22-H22</f>
        <v>#NAME?</v>
      </c>
      <c r="M22" s="3"/>
      <c r="N22" s="8" t="e">
        <f ca="1">IF(H22=0,0,L22/H22)</f>
        <v>#NAME?</v>
      </c>
      <c r="O22" s="12"/>
      <c r="P22" s="7" t="e">
        <f ca="1">_xll.ONESTOP.REPORTPLAYER.OSRFUNCTIONS.OSRGET("GL_F_Trans","Value1")</f>
        <v>#NAME?</v>
      </c>
      <c r="Q22" s="3"/>
      <c r="R22" s="8" t="e">
        <f ca="1">IF(P$12=0,0,P22/P$12)</f>
        <v>#NAME?</v>
      </c>
      <c r="S22" s="3"/>
      <c r="T22" s="7" t="e">
        <f ca="1">_xll.ONESTOP.REPORTPLAYER.OSRFUNCTIONS.OSRGET("GL_F_Trans","Value1")</f>
        <v>#NAME?</v>
      </c>
      <c r="U22" s="3"/>
      <c r="V22" s="8" t="e">
        <f ca="1">IF(T$12=0,0,T22/T$12)</f>
        <v>#NAME?</v>
      </c>
      <c r="W22" s="3"/>
      <c r="X22" s="7" t="e">
        <f ca="1">+P22-T22</f>
        <v>#NAME?</v>
      </c>
      <c r="Y22" s="3"/>
      <c r="Z22" s="8" t="e">
        <f ca="1">IF(T22=0,0,X22/T22)</f>
        <v>#NAME?</v>
      </c>
    </row>
    <row r="23" spans="1:26" s="65" customFormat="1" ht="15" customHeight="1" x14ac:dyDescent="0.3">
      <c r="A23" s="35"/>
      <c r="B23" s="35"/>
      <c r="C23" s="35"/>
      <c r="D23" s="2"/>
      <c r="E23" s="2"/>
      <c r="F23" s="6"/>
      <c r="G23" s="2"/>
      <c r="H23" s="2"/>
      <c r="I23" s="2"/>
      <c r="J23" s="6"/>
      <c r="K23" s="2"/>
      <c r="L23" s="2"/>
      <c r="M23" s="2"/>
      <c r="N23" s="6"/>
      <c r="O23" s="35"/>
      <c r="P23" s="2"/>
      <c r="Q23" s="2"/>
      <c r="R23" s="6"/>
      <c r="S23" s="2"/>
      <c r="T23" s="2"/>
      <c r="U23" s="2"/>
      <c r="V23" s="6"/>
      <c r="W23" s="2"/>
      <c r="X23" s="2"/>
      <c r="Y23" s="2"/>
      <c r="Z23" s="6"/>
    </row>
    <row r="24" spans="1:26" s="63" customFormat="1" ht="15" customHeight="1" collapsed="1" x14ac:dyDescent="0.3">
      <c r="A24" s="11"/>
      <c r="B24" s="28" t="s">
        <v>291</v>
      </c>
      <c r="C24" s="11"/>
      <c r="D24" s="5" t="e">
        <f ca="1">SUM(_xll.ONESTOP.REPORTPLAYER.OSRFUNCTIONS.OSRREF(D25))</f>
        <v>#NAME?</v>
      </c>
      <c r="E24" s="5"/>
      <c r="F24" s="13" t="e">
        <f ca="1">IF(D$12=0,0,D24/D$12)</f>
        <v>#NAME?</v>
      </c>
      <c r="G24" s="5"/>
      <c r="H24" s="5" t="e">
        <f ca="1">SUM(_xll.ONESTOP.REPORTPLAYER.OSRFUNCTIONS.OSRREF(H25))</f>
        <v>#NAME?</v>
      </c>
      <c r="I24" s="5"/>
      <c r="J24" s="13" t="e">
        <f ca="1">IF(H$12=0,0,H24/H$12)</f>
        <v>#NAME?</v>
      </c>
      <c r="K24" s="5"/>
      <c r="L24" s="5" t="e">
        <f ca="1">+D24-H24</f>
        <v>#NAME?</v>
      </c>
      <c r="M24" s="5"/>
      <c r="N24" s="13" t="e">
        <f ca="1">IF(H24=0,0,L24/H24)</f>
        <v>#NAME?</v>
      </c>
      <c r="O24" s="11"/>
      <c r="P24" s="5" t="e">
        <f ca="1">SUM(_xll.ONESTOP.REPORTPLAYER.OSRFUNCTIONS.OSRREF(P25))</f>
        <v>#NAME?</v>
      </c>
      <c r="Q24" s="5"/>
      <c r="R24" s="13" t="e">
        <f ca="1">IF(P$12=0,0,P24/P$12)</f>
        <v>#NAME?</v>
      </c>
      <c r="S24" s="5"/>
      <c r="T24" s="5" t="e">
        <f ca="1">SUM(_xll.ONESTOP.REPORTPLAYER.OSRFUNCTIONS.OSRREF(T25))</f>
        <v>#NAME?</v>
      </c>
      <c r="U24" s="5"/>
      <c r="V24" s="13" t="e">
        <f ca="1">IF(T$12=0,0,T24/T$12)</f>
        <v>#NAME?</v>
      </c>
      <c r="W24" s="5"/>
      <c r="X24" s="5" t="e">
        <f ca="1">+P24-T24</f>
        <v>#NAME?</v>
      </c>
      <c r="Y24" s="5"/>
      <c r="Z24" s="13" t="e">
        <f ca="1">IF(T24=0,0,X24/T24)</f>
        <v>#NAME?</v>
      </c>
    </row>
    <row r="25" spans="1:26" s="70" customFormat="1" ht="15" hidden="1" customHeight="1" outlineLevel="1" x14ac:dyDescent="0.3">
      <c r="A25" s="42"/>
      <c r="B25" s="12" t="e">
        <f ca="1">CONCATENATE("          ",_xll.ONESTOP.REPORTPLAYER.OSRFUNCTIONS.OSRGET("d_Account","Code")," - ",_xll.ONESTOP.REPORTPLAYER.OSRFUNCTIONS.OSRGET("d_Account","Description"))</f>
        <v>#NAME?</v>
      </c>
      <c r="C25" s="12"/>
      <c r="D25" s="3" t="e">
        <f ca="1">-_xll.ONESTOP.REPORTPLAYER.OSRFUNCTIONS.OSRGET("GL_F_Trans","Value1")</f>
        <v>#NAME?</v>
      </c>
      <c r="E25" s="3"/>
      <c r="F25" s="20" t="e">
        <f ca="1">IF(D$12=0,0,D25/D$12)</f>
        <v>#NAME?</v>
      </c>
      <c r="G25" s="3"/>
      <c r="H25" s="3" t="e">
        <f ca="1">_xll.ONESTOP.REPORTPLAYER.OSRFUNCTIONS.OSRGET("GL_F_Trans","Value1")</f>
        <v>#NAME?</v>
      </c>
      <c r="I25" s="3"/>
      <c r="J25" s="20" t="e">
        <f ca="1">IF(H$12=0,0,H25/H$12)</f>
        <v>#NAME?</v>
      </c>
      <c r="K25" s="3"/>
      <c r="L25" s="3" t="e">
        <f ca="1">+D25-H25</f>
        <v>#NAME?</v>
      </c>
      <c r="M25" s="3"/>
      <c r="N25" s="20" t="e">
        <f ca="1">IF(H25=0,0,L25/H25)</f>
        <v>#NAME?</v>
      </c>
      <c r="O25" s="12"/>
      <c r="P25" s="3" t="e">
        <f ca="1">-_xll.ONESTOP.REPORTPLAYER.OSRFUNCTIONS.OSRGET("GL_F_Trans","Value1")</f>
        <v>#NAME?</v>
      </c>
      <c r="Q25" s="3"/>
      <c r="R25" s="20" t="e">
        <f ca="1">IF(P$12=0,0,P25/P$12)</f>
        <v>#NAME?</v>
      </c>
      <c r="S25" s="3"/>
      <c r="T25" s="3" t="e">
        <f ca="1">_xll.ONESTOP.REPORTPLAYER.OSRFUNCTIONS.OSRGET("GL_F_Trans","Value1")</f>
        <v>#NAME?</v>
      </c>
      <c r="U25" s="3"/>
      <c r="V25" s="20" t="e">
        <f ca="1">IF(T$12=0,0,T25/T$12)</f>
        <v>#NAME?</v>
      </c>
      <c r="W25" s="3"/>
      <c r="X25" s="3" t="e">
        <f ca="1">+P25-T25</f>
        <v>#NAME?</v>
      </c>
      <c r="Y25" s="3"/>
      <c r="Z25" s="20" t="e">
        <f ca="1">IF(T25=0,0,X25/T25)</f>
        <v>#NAME?</v>
      </c>
    </row>
    <row r="26" spans="1:26" ht="15" customHeight="1" x14ac:dyDescent="0.3">
      <c r="A26" s="10"/>
      <c r="B26" s="11"/>
      <c r="C26" s="11"/>
      <c r="D26" s="4"/>
      <c r="E26" s="4"/>
      <c r="F26" s="9"/>
      <c r="G26" s="4"/>
      <c r="H26" s="4"/>
      <c r="I26" s="4"/>
      <c r="J26" s="9"/>
      <c r="K26" s="4"/>
      <c r="L26" s="4"/>
      <c r="M26" s="4"/>
      <c r="N26" s="9"/>
      <c r="O26" s="11"/>
      <c r="P26" s="4"/>
      <c r="Q26" s="4"/>
      <c r="R26" s="9"/>
      <c r="S26" s="4"/>
      <c r="T26" s="4"/>
      <c r="U26" s="4"/>
      <c r="V26" s="9"/>
      <c r="W26" s="4"/>
      <c r="X26" s="4"/>
      <c r="Y26" s="4"/>
      <c r="Z26" s="9"/>
    </row>
    <row r="27" spans="1:26" s="63" customFormat="1" ht="15" customHeight="1" x14ac:dyDescent="0.3">
      <c r="A27" s="11"/>
      <c r="B27" s="27" t="s">
        <v>292</v>
      </c>
      <c r="C27" s="27"/>
      <c r="D27" s="21" t="e">
        <f ca="1">+D18-D20+D24</f>
        <v>#NAME?</v>
      </c>
      <c r="E27" s="15"/>
      <c r="F27" s="23" t="e">
        <f ca="1">IF(D$12=0,0,D27/D$12)</f>
        <v>#NAME?</v>
      </c>
      <c r="G27" s="15"/>
      <c r="H27" s="21" t="e">
        <f ca="1">+H18-H20+H24</f>
        <v>#NAME?</v>
      </c>
      <c r="I27" s="15"/>
      <c r="J27" s="23" t="e">
        <f ca="1">IF(H$12=0,0,H27/H$12)</f>
        <v>#NAME?</v>
      </c>
      <c r="K27" s="16"/>
      <c r="L27" s="21" t="e">
        <f ca="1">+D27-H27</f>
        <v>#NAME?</v>
      </c>
      <c r="M27" s="16"/>
      <c r="N27" s="23" t="e">
        <f ca="1">IF(H27=0,0,L27/H27)</f>
        <v>#NAME?</v>
      </c>
      <c r="O27" s="28"/>
      <c r="P27" s="21" t="e">
        <f ca="1">+P18-P20+P24</f>
        <v>#NAME?</v>
      </c>
      <c r="Q27" s="15"/>
      <c r="R27" s="23" t="e">
        <f ca="1">IF(P$12=0,0,P27/P$12)</f>
        <v>#NAME?</v>
      </c>
      <c r="S27" s="15"/>
      <c r="T27" s="21" t="e">
        <f ca="1">+T18-T20+T24</f>
        <v>#NAME?</v>
      </c>
      <c r="U27" s="15"/>
      <c r="V27" s="23" t="e">
        <f ca="1">IF(T$12=0,0,T27/T$12)</f>
        <v>#NAME?</v>
      </c>
      <c r="W27" s="16"/>
      <c r="X27" s="21" t="e">
        <f ca="1">+P27-T27</f>
        <v>#NAME?</v>
      </c>
      <c r="Y27" s="16"/>
      <c r="Z27" s="23" t="e">
        <f ca="1">IF(T27=0,0,X27/T27)</f>
        <v>#NAME?</v>
      </c>
    </row>
    <row r="28" spans="1:26" ht="15" customHeight="1" x14ac:dyDescent="0.3">
      <c r="A28" s="10"/>
      <c r="B28" s="11"/>
      <c r="C28" s="10"/>
      <c r="D28" s="4"/>
      <c r="E28" s="4"/>
      <c r="F28" s="9"/>
      <c r="G28" s="4"/>
      <c r="H28" s="4"/>
      <c r="I28" s="4"/>
      <c r="J28" s="9"/>
      <c r="K28" s="4"/>
      <c r="L28" s="4"/>
      <c r="M28" s="4"/>
      <c r="N28" s="9"/>
      <c r="P28" s="4"/>
      <c r="Q28" s="4"/>
      <c r="R28" s="9"/>
      <c r="S28" s="4"/>
      <c r="T28" s="4"/>
      <c r="U28" s="4"/>
      <c r="V28" s="9"/>
      <c r="W28" s="4"/>
      <c r="X28" s="4"/>
      <c r="Y28" s="4"/>
      <c r="Z28" s="9"/>
    </row>
    <row r="29" spans="1:26" s="63" customFormat="1" ht="15" customHeight="1" x14ac:dyDescent="0.3">
      <c r="A29" s="49"/>
      <c r="B29" s="11" t="s">
        <v>293</v>
      </c>
      <c r="C29" s="11"/>
      <c r="D29" s="5" t="e">
        <f ca="1">_xll.ONESTOP.REPORTPLAYER.OSRFUNCTIONS.OSRGET("GL_F_Trans","Value1")</f>
        <v>#NAME?</v>
      </c>
      <c r="E29" s="5"/>
      <c r="F29" s="13" t="e">
        <f ca="1">IF(D$12=0,0,D29/D$12)</f>
        <v>#NAME?</v>
      </c>
      <c r="G29" s="5"/>
      <c r="H29" s="5" t="e">
        <f ca="1">_xll.ONESTOP.REPORTPLAYER.OSRFUNCTIONS.OSRGET("GL_F_Trans","Value1")</f>
        <v>#NAME?</v>
      </c>
      <c r="I29" s="5"/>
      <c r="J29" s="13" t="e">
        <f ca="1">IF(H$12=0,0,H29/H$12)</f>
        <v>#NAME?</v>
      </c>
      <c r="K29" s="5"/>
      <c r="L29" s="5" t="e">
        <f ca="1">+D29-H29</f>
        <v>#NAME?</v>
      </c>
      <c r="M29" s="5"/>
      <c r="N29" s="13" t="e">
        <f ca="1">IF(H29=0,0,L29/H29)</f>
        <v>#NAME?</v>
      </c>
      <c r="O29" s="11"/>
      <c r="P29" s="5" t="e">
        <f ca="1">_xll.ONESTOP.REPORTPLAYER.OSRFUNCTIONS.OSRGET("GL_F_Trans","Value1")</f>
        <v>#NAME?</v>
      </c>
      <c r="Q29" s="5"/>
      <c r="R29" s="13" t="e">
        <f ca="1">IF(P$12=0,0,P29/P$12)</f>
        <v>#NAME?</v>
      </c>
      <c r="S29" s="5"/>
      <c r="T29" s="5" t="e">
        <f ca="1">_xll.ONESTOP.REPORTPLAYER.OSRFUNCTIONS.OSRGET("GL_F_Trans","Value1")</f>
        <v>#NAME?</v>
      </c>
      <c r="U29" s="5"/>
      <c r="V29" s="13" t="e">
        <f ca="1">IF(T$12=0,0,T29/T$12)</f>
        <v>#NAME?</v>
      </c>
      <c r="W29" s="5"/>
      <c r="X29" s="5" t="e">
        <f ca="1">+P29-T29</f>
        <v>#NAME?</v>
      </c>
      <c r="Y29" s="5"/>
      <c r="Z29" s="13" t="e">
        <f ca="1">IF(T29=0,0,X29/T29)</f>
        <v>#NAME?</v>
      </c>
    </row>
    <row r="30" spans="1:26" ht="15" customHeight="1" x14ac:dyDescent="0.3">
      <c r="A30" s="10"/>
      <c r="B30" s="11"/>
      <c r="C30" s="11"/>
      <c r="D30" s="4"/>
      <c r="E30" s="4"/>
      <c r="F30" s="9"/>
      <c r="G30" s="4"/>
      <c r="H30" s="4"/>
      <c r="I30" s="4"/>
      <c r="J30" s="9"/>
      <c r="K30" s="4"/>
      <c r="L30" s="4"/>
      <c r="M30" s="4"/>
      <c r="N30" s="9"/>
      <c r="O30" s="11"/>
      <c r="P30" s="4"/>
      <c r="Q30" s="4"/>
      <c r="R30" s="9"/>
      <c r="S30" s="4"/>
      <c r="T30" s="4"/>
      <c r="U30" s="4"/>
      <c r="V30" s="9"/>
      <c r="W30" s="4"/>
      <c r="X30" s="4"/>
      <c r="Y30" s="4"/>
      <c r="Z30" s="9"/>
    </row>
    <row r="31" spans="1:26" s="63" customFormat="1" ht="15" customHeight="1" x14ac:dyDescent="0.3">
      <c r="A31" s="11"/>
      <c r="B31" s="27" t="s">
        <v>294</v>
      </c>
      <c r="C31" s="27"/>
      <c r="D31" s="34" t="e">
        <f ca="1">+D27-D29</f>
        <v>#NAME?</v>
      </c>
      <c r="E31" s="15"/>
      <c r="F31" s="29" t="e">
        <f ca="1">IF(D$12=0,0,D31/D$12)</f>
        <v>#NAME?</v>
      </c>
      <c r="G31" s="15"/>
      <c r="H31" s="34" t="e">
        <f ca="1">+H27-H29</f>
        <v>#NAME?</v>
      </c>
      <c r="I31" s="15"/>
      <c r="J31" s="29" t="e">
        <f ca="1">IF(H$12=0,0,H31/H$12)</f>
        <v>#NAME?</v>
      </c>
      <c r="K31" s="16"/>
      <c r="L31" s="34" t="e">
        <f ca="1">D31-H31</f>
        <v>#NAME?</v>
      </c>
      <c r="M31" s="16"/>
      <c r="N31" s="29" t="e">
        <f ca="1">IF(H31=0,0,L31/H31)</f>
        <v>#NAME?</v>
      </c>
      <c r="O31" s="28"/>
      <c r="P31" s="34" t="e">
        <f ca="1">+P27-P29</f>
        <v>#NAME?</v>
      </c>
      <c r="Q31" s="15"/>
      <c r="R31" s="29" t="e">
        <f ca="1">IF(P$12=0,0,P31/P$12)</f>
        <v>#NAME?</v>
      </c>
      <c r="S31" s="15"/>
      <c r="T31" s="34" t="e">
        <f ca="1">+T27-T29</f>
        <v>#NAME?</v>
      </c>
      <c r="U31" s="15"/>
      <c r="V31" s="29" t="e">
        <f ca="1">IF(T$12=0,0,T31/T$12)</f>
        <v>#NAME?</v>
      </c>
      <c r="W31" s="16"/>
      <c r="X31" s="34" t="e">
        <f ca="1">P31-T31</f>
        <v>#NAME?</v>
      </c>
      <c r="Y31" s="16"/>
      <c r="Z31" s="29" t="e">
        <f ca="1">IF(T31=0,0,X31/T31)</f>
        <v>#NAME?</v>
      </c>
    </row>
    <row r="32" spans="1:26" ht="15" customHeight="1" x14ac:dyDescent="0.3">
      <c r="A32" s="10"/>
      <c r="B32" s="10"/>
      <c r="C32" s="10"/>
      <c r="D32" s="4"/>
      <c r="E32" s="4"/>
      <c r="F32" s="9"/>
      <c r="G32" s="4"/>
      <c r="H32" s="4"/>
      <c r="I32" s="4"/>
      <c r="J32" s="9"/>
      <c r="K32" s="4"/>
      <c r="L32" s="4"/>
      <c r="M32" s="4"/>
      <c r="N32" s="9"/>
      <c r="P32" s="4"/>
      <c r="Q32" s="4"/>
      <c r="R32" s="9"/>
      <c r="S32" s="4"/>
      <c r="T32" s="4"/>
      <c r="U32" s="4"/>
      <c r="V32" s="9"/>
      <c r="W32" s="4"/>
      <c r="X32" s="4"/>
      <c r="Y32" s="4"/>
      <c r="Z32" s="9"/>
    </row>
    <row r="33" spans="1:26" s="63" customFormat="1" ht="15" customHeight="1" x14ac:dyDescent="0.3">
      <c r="A33" s="49"/>
      <c r="B33" s="11" t="s">
        <v>295</v>
      </c>
      <c r="C33" s="11"/>
      <c r="D33" s="5" t="e">
        <f ca="1">-_xll.ONESTOP.REPORTPLAYER.OSRFUNCTIONS.OSRGET("GL_F_Trans","Value1")</f>
        <v>#NAME?</v>
      </c>
      <c r="E33" s="5"/>
      <c r="F33" s="13" t="e">
        <f ca="1">IF(D$12=0,0,D33/D$12)</f>
        <v>#NAME?</v>
      </c>
      <c r="G33" s="5"/>
      <c r="H33" s="5" t="e">
        <f ca="1">-_xll.ONESTOP.REPORTPLAYER.OSRFUNCTIONS.OSRGET("GL_F_Trans","Value1")</f>
        <v>#NAME?</v>
      </c>
      <c r="I33" s="5"/>
      <c r="J33" s="13" t="e">
        <f ca="1">IF(H$12=0,0,H33/H$12)</f>
        <v>#NAME?</v>
      </c>
      <c r="K33" s="5"/>
      <c r="L33" s="5" t="e">
        <f ca="1">+D33-H33</f>
        <v>#NAME?</v>
      </c>
      <c r="M33" s="5"/>
      <c r="N33" s="13" t="e">
        <f ca="1">IF(H33=0,0,L33/H33)</f>
        <v>#NAME?</v>
      </c>
      <c r="O33" s="11"/>
      <c r="P33" s="5" t="e">
        <f ca="1">-_xll.ONESTOP.REPORTPLAYER.OSRFUNCTIONS.OSRGET("GL_F_Trans","Value1")</f>
        <v>#NAME?</v>
      </c>
      <c r="Q33" s="5"/>
      <c r="R33" s="13" t="e">
        <f ca="1">IF(P$12=0,0,P33/P$12)</f>
        <v>#NAME?</v>
      </c>
      <c r="S33" s="5"/>
      <c r="T33" s="5" t="e">
        <f ca="1">-_xll.ONESTOP.REPORTPLAYER.OSRFUNCTIONS.OSRGET("GL_F_Trans","Value1")</f>
        <v>#NAME?</v>
      </c>
      <c r="U33" s="5"/>
      <c r="V33" s="13" t="e">
        <f ca="1">IF(T$12=0,0,T33/T$12)</f>
        <v>#NAME?</v>
      </c>
      <c r="W33" s="5"/>
      <c r="X33" s="5" t="e">
        <f ca="1">+P33-T33</f>
        <v>#NAME?</v>
      </c>
      <c r="Y33" s="5"/>
      <c r="Z33" s="13" t="e">
        <f ca="1">IF(T33=0,0,X33/T33)</f>
        <v>#NAME?</v>
      </c>
    </row>
    <row r="34" spans="1:26" s="63" customFormat="1" ht="15" customHeight="1" x14ac:dyDescent="0.3">
      <c r="A34" s="49"/>
      <c r="B34" s="11" t="s">
        <v>296</v>
      </c>
      <c r="C34" s="11"/>
      <c r="D34" s="5" t="e">
        <f ca="1">-_xll.ONESTOP.REPORTPLAYER.OSRFUNCTIONS.OSRGET("GL_F_Trans","Value1")</f>
        <v>#NAME?</v>
      </c>
      <c r="E34" s="5"/>
      <c r="F34" s="13" t="e">
        <f ca="1">IF(D$12=0,0,D34/D$12)</f>
        <v>#NAME?</v>
      </c>
      <c r="G34" s="5"/>
      <c r="H34" s="5" t="e">
        <f ca="1">-_xll.ONESTOP.REPORTPLAYER.OSRFUNCTIONS.OSRGET("GL_F_Trans","Value1")</f>
        <v>#NAME?</v>
      </c>
      <c r="I34" s="5"/>
      <c r="J34" s="13" t="e">
        <f ca="1">IF(H$12=0,0,H34/H$12)</f>
        <v>#NAME?</v>
      </c>
      <c r="K34" s="5"/>
      <c r="L34" s="5" t="e">
        <f ca="1">+D34-H34</f>
        <v>#NAME?</v>
      </c>
      <c r="M34" s="5"/>
      <c r="N34" s="13" t="e">
        <f ca="1">IF(H34=0,0,L34/H34)</f>
        <v>#NAME?</v>
      </c>
      <c r="O34" s="11"/>
      <c r="P34" s="5" t="e">
        <f ca="1">-_xll.ONESTOP.REPORTPLAYER.OSRFUNCTIONS.OSRGET("GL_F_Trans","Value1")</f>
        <v>#NAME?</v>
      </c>
      <c r="Q34" s="5"/>
      <c r="R34" s="13" t="e">
        <f ca="1">IF(P$12=0,0,P34/P$12)</f>
        <v>#NAME?</v>
      </c>
      <c r="S34" s="5"/>
      <c r="T34" s="5" t="e">
        <f ca="1">-_xll.ONESTOP.REPORTPLAYER.OSRFUNCTIONS.OSRGET("GL_F_Trans","Value1")</f>
        <v>#NAME?</v>
      </c>
      <c r="U34" s="5"/>
      <c r="V34" s="13" t="e">
        <f ca="1">IF(T$12=0,0,T34/T$12)</f>
        <v>#NAME?</v>
      </c>
      <c r="W34" s="5"/>
      <c r="X34" s="5" t="e">
        <f ca="1">+P34-T34</f>
        <v>#NAME?</v>
      </c>
      <c r="Y34" s="5"/>
      <c r="Z34" s="13" t="e">
        <f ca="1">IF(T34=0,0,X34/T34)</f>
        <v>#NAME?</v>
      </c>
    </row>
    <row r="35" spans="1:26" ht="15" customHeight="1" x14ac:dyDescent="0.3">
      <c r="A35" s="10"/>
      <c r="B35" s="10"/>
      <c r="C35" s="10"/>
      <c r="D35" s="4"/>
      <c r="E35" s="4"/>
      <c r="F35" s="9"/>
      <c r="G35" s="4"/>
      <c r="H35" s="4"/>
      <c r="I35" s="4"/>
      <c r="J35" s="9"/>
      <c r="K35" s="4"/>
      <c r="L35" s="4"/>
      <c r="M35" s="4"/>
      <c r="N35" s="9"/>
      <c r="P35" s="4"/>
      <c r="Q35" s="4"/>
      <c r="R35" s="9"/>
      <c r="S35" s="4"/>
      <c r="T35" s="4"/>
      <c r="U35" s="4"/>
      <c r="V35" s="9"/>
      <c r="W35" s="4"/>
      <c r="X35" s="4"/>
      <c r="Y35" s="4"/>
      <c r="Z35" s="9"/>
    </row>
    <row r="36" spans="1:26" s="63" customFormat="1" ht="15" customHeight="1" x14ac:dyDescent="0.3">
      <c r="A36" s="11"/>
      <c r="B36" s="27" t="s">
        <v>297</v>
      </c>
      <c r="C36" s="27"/>
      <c r="D36" s="32" t="e">
        <f ca="1">SUM(D31:D35)</f>
        <v>#NAME?</v>
      </c>
      <c r="E36" s="15"/>
      <c r="F36" s="31" t="e">
        <f ca="1">IF(D$12=0,0,D36/D$12)</f>
        <v>#NAME?</v>
      </c>
      <c r="G36" s="15"/>
      <c r="H36" s="32" t="e">
        <f ca="1">SUM(H31:H35)</f>
        <v>#NAME?</v>
      </c>
      <c r="I36" s="15"/>
      <c r="J36" s="31" t="e">
        <f ca="1">IF(H$12=0,0,H36/H$12)</f>
        <v>#NAME?</v>
      </c>
      <c r="K36" s="16"/>
      <c r="L36" s="32" t="e">
        <f ca="1">+D36-H36</f>
        <v>#NAME?</v>
      </c>
      <c r="M36" s="16"/>
      <c r="N36" s="31" t="e">
        <f ca="1">IF(H36=0,0,L36/H36)</f>
        <v>#NAME?</v>
      </c>
      <c r="O36" s="28"/>
      <c r="P36" s="32" t="e">
        <f ca="1">SUM(P31:P35)</f>
        <v>#NAME?</v>
      </c>
      <c r="Q36" s="15"/>
      <c r="R36" s="31" t="e">
        <f ca="1">IF(P$12=0,0,P36/P$12)</f>
        <v>#NAME?</v>
      </c>
      <c r="S36" s="15"/>
      <c r="T36" s="32" t="e">
        <f ca="1">SUM(T31:T35)</f>
        <v>#NAME?</v>
      </c>
      <c r="U36" s="15"/>
      <c r="V36" s="31" t="e">
        <f ca="1">IF(T$12=0,0,T36/T$12)</f>
        <v>#NAME?</v>
      </c>
      <c r="W36" s="16"/>
      <c r="X36" s="32" t="e">
        <f ca="1">+P36-T36</f>
        <v>#NAME?</v>
      </c>
      <c r="Y36" s="16"/>
      <c r="Z36" s="31" t="e">
        <f ca="1">IF(T36=0,0,X36/T36)</f>
        <v>#NAME?</v>
      </c>
    </row>
    <row r="37" spans="1:26" ht="15" customHeight="1" x14ac:dyDescent="0.3">
      <c r="A37" s="10"/>
      <c r="C37" s="10"/>
      <c r="D37" s="19"/>
      <c r="E37" s="19"/>
      <c r="G37" s="19"/>
      <c r="H37" s="19"/>
      <c r="I37" s="19"/>
      <c r="J37" s="40"/>
      <c r="K37" s="19"/>
      <c r="L37" s="19"/>
      <c r="M37" s="19"/>
      <c r="P37" s="19"/>
      <c r="Q37" s="19"/>
      <c r="R37" s="40"/>
      <c r="S37" s="19"/>
      <c r="T37" s="19"/>
      <c r="U37" s="19"/>
      <c r="V37" s="40"/>
      <c r="W37" s="19"/>
      <c r="X37" s="19"/>
    </row>
    <row r="38" spans="1:26" ht="15" customHeight="1" x14ac:dyDescent="0.3">
      <c r="A38" s="10"/>
      <c r="B38" s="51" t="e">
        <f ca="1">_xll.ONESTOP.REPORTPLAYER.OSRFUNCTIONS.OSRGET("CurrentDate","Date")</f>
        <v>#NAME?</v>
      </c>
      <c r="D38" s="19"/>
      <c r="E38" s="19"/>
      <c r="G38" s="19"/>
      <c r="H38" s="19"/>
      <c r="I38" s="19"/>
      <c r="J38" s="40"/>
      <c r="K38" s="19"/>
      <c r="L38" s="19"/>
      <c r="M38" s="19"/>
      <c r="P38" s="19"/>
      <c r="Q38" s="19"/>
      <c r="R38" s="40"/>
      <c r="S38" s="19"/>
      <c r="T38" s="19"/>
      <c r="U38" s="19"/>
      <c r="V38" s="40"/>
      <c r="W38" s="19"/>
      <c r="X38" s="19"/>
    </row>
    <row r="39" spans="1:26" ht="15" customHeight="1" x14ac:dyDescent="0.3">
      <c r="A39" s="10"/>
      <c r="B39" s="58" t="e">
        <f ca="1">_xll.ONESTOP.REPORTPLAYER.OSRFUNCTIONS.OSRGET("User","UserId")</f>
        <v>#NAME?</v>
      </c>
      <c r="D39" s="19"/>
      <c r="E39" s="19"/>
      <c r="G39" s="19"/>
      <c r="H39" s="19"/>
      <c r="I39" s="19"/>
      <c r="J39" s="40"/>
      <c r="K39" s="19"/>
      <c r="L39" s="19"/>
      <c r="M39" s="19"/>
      <c r="P39" s="19"/>
      <c r="Q39" s="19"/>
      <c r="R39" s="40"/>
      <c r="S39" s="19"/>
      <c r="T39" s="19"/>
      <c r="U39" s="19"/>
      <c r="V39" s="40"/>
      <c r="W39" s="19"/>
      <c r="X39" s="19"/>
    </row>
    <row r="40" spans="1:26" ht="15" customHeight="1" x14ac:dyDescent="0.3">
      <c r="A40" s="10"/>
      <c r="B40" s="50"/>
      <c r="D40" s="19"/>
      <c r="E40" s="19"/>
      <c r="G40" s="19"/>
      <c r="H40" s="19"/>
      <c r="I40" s="19"/>
      <c r="J40" s="40"/>
      <c r="K40" s="19"/>
      <c r="L40" s="19"/>
      <c r="M40" s="19"/>
      <c r="P40" s="19"/>
      <c r="Q40" s="19"/>
      <c r="R40" s="40"/>
      <c r="S40" s="19"/>
      <c r="T40" s="19"/>
      <c r="U40" s="19"/>
      <c r="V40" s="40"/>
      <c r="W40" s="19"/>
      <c r="X40" s="19"/>
    </row>
    <row r="41" spans="1:26" ht="15" customHeight="1" x14ac:dyDescent="0.3">
      <c r="D41" s="19"/>
      <c r="E41" s="19"/>
      <c r="G41" s="19"/>
      <c r="H41" s="19"/>
      <c r="I41" s="19"/>
      <c r="J41" s="40"/>
      <c r="K41" s="19"/>
      <c r="L41" s="19"/>
      <c r="M41" s="19"/>
      <c r="P41" s="19"/>
      <c r="Q41" s="19"/>
      <c r="R41" s="40"/>
      <c r="S41" s="19"/>
      <c r="T41" s="19"/>
      <c r="U41" s="19"/>
      <c r="V41" s="40"/>
      <c r="W41" s="19"/>
      <c r="X41" s="19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329627-063A-E6C4-0F6C-16F9CEEE9B72}">
  <sheetPr>
    <tabColor rgb="FFFFC000"/>
    <outlinePr summaryBelow="0" summaryRight="0"/>
  </sheetPr>
  <dimension ref="A2:Z41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6" customWidth="1"/>
    <col min="2" max="2" width="33.44140625" style="66" customWidth="1"/>
    <col min="3" max="3" width="1.88671875" style="66" customWidth="1"/>
    <col min="4" max="4" width="15" style="66" customWidth="1"/>
    <col min="5" max="5" width="1.88671875" style="66" customWidth="1" outlineLevel="1"/>
    <col min="6" max="6" width="15" style="67" customWidth="1" outlineLevel="1"/>
    <col min="7" max="7" width="1.88671875" style="66" customWidth="1" outlineLevel="1"/>
    <col min="8" max="8" width="15" style="66" customWidth="1" outlineLevel="1"/>
    <col min="9" max="9" width="1.88671875" style="66" customWidth="1" outlineLevel="1"/>
    <col min="10" max="10" width="15" style="68" customWidth="1" outlineLevel="1"/>
    <col min="11" max="11" width="1.88671875" style="66" customWidth="1" outlineLevel="1"/>
    <col min="12" max="12" width="15" style="66" customWidth="1" outlineLevel="1"/>
    <col min="13" max="13" width="1.88671875" style="66" customWidth="1" outlineLevel="1"/>
    <col min="14" max="14" width="15" style="67" customWidth="1" outlineLevel="1"/>
    <col min="15" max="15" width="1.88671875" style="64" customWidth="1"/>
    <col min="16" max="16" width="15" style="66" customWidth="1"/>
    <col min="17" max="17" width="1.88671875" style="66" customWidth="1" outlineLevel="1"/>
    <col min="18" max="18" width="15" style="68" customWidth="1" outlineLevel="1"/>
    <col min="19" max="19" width="1.88671875" style="66" customWidth="1" outlineLevel="1"/>
    <col min="20" max="20" width="15" style="66" customWidth="1" outlineLevel="1"/>
    <col min="21" max="21" width="1.88671875" style="66" customWidth="1" outlineLevel="1"/>
    <col min="22" max="22" width="15" style="68" customWidth="1" outlineLevel="1"/>
    <col min="23" max="23" width="1.88671875" style="66" customWidth="1" outlineLevel="1"/>
    <col min="24" max="24" width="15" style="66" customWidth="1" outlineLevel="1"/>
    <col min="25" max="25" width="1.88671875" style="66" customWidth="1" outlineLevel="1"/>
    <col min="26" max="26" width="15" style="68" customWidth="1" outlineLevel="1"/>
  </cols>
  <sheetData>
    <row r="2" spans="1:26" ht="15" customHeight="1" x14ac:dyDescent="0.3">
      <c r="D2" s="54" t="s">
        <v>276</v>
      </c>
    </row>
    <row r="3" spans="1:26" ht="15" customHeight="1" x14ac:dyDescent="0.3">
      <c r="D3" s="54" t="s">
        <v>277</v>
      </c>
      <c r="E3" s="18"/>
      <c r="F3" s="44"/>
      <c r="G3" s="18"/>
      <c r="H3" s="18"/>
      <c r="I3" s="18"/>
      <c r="J3" s="38"/>
      <c r="K3" s="18"/>
      <c r="L3" s="18"/>
      <c r="M3" s="18"/>
      <c r="N3" s="44"/>
      <c r="O3" s="53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ht="15" customHeight="1" x14ac:dyDescent="0.3">
      <c r="D4" s="54" t="e">
        <f ca="1">CONCATENATE("Period ",RIGHT(_xll.ONESTOP.REPORTPLAYER.OSRFUNCTIONS.OSRGET("Period","PeriodId"),2),", ",_xll.ONESTOP.REPORTPLAYER.OSRFUNCTIONS.OSRGET("Period","Year"))</f>
        <v>#NAME?</v>
      </c>
      <c r="E4" s="18"/>
      <c r="F4" s="44"/>
      <c r="G4" s="18"/>
      <c r="H4" s="18"/>
      <c r="I4" s="18"/>
      <c r="J4" s="38"/>
      <c r="K4" s="18"/>
      <c r="L4" s="18"/>
      <c r="M4" s="18"/>
      <c r="N4" s="44"/>
      <c r="O4" s="53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ht="15" customHeight="1" x14ac:dyDescent="0.3">
      <c r="A5" s="24"/>
      <c r="D5" s="61" t="e">
        <f ca="1">_xll.ONESTOP.REPORTPLAYER.OSRFUNCTIONS.OSRGET("Period","PeriodEnd")</f>
        <v>#NAME?</v>
      </c>
      <c r="E5" s="18"/>
      <c r="F5" s="44"/>
      <c r="G5" s="18"/>
      <c r="H5" s="18"/>
      <c r="I5" s="18"/>
      <c r="J5" s="38"/>
      <c r="K5" s="18"/>
      <c r="L5" s="18"/>
      <c r="M5" s="18"/>
      <c r="N5" s="44"/>
      <c r="O5" s="53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ht="15" customHeight="1" x14ac:dyDescent="0.3">
      <c r="A6" s="24"/>
      <c r="B6" s="47"/>
      <c r="C6" s="47"/>
      <c r="D6" s="24" t="s">
        <v>314</v>
      </c>
      <c r="E6" s="18"/>
      <c r="F6" s="44"/>
      <c r="G6" s="18"/>
      <c r="H6" s="18"/>
      <c r="I6" s="18"/>
      <c r="J6" s="38"/>
      <c r="K6" s="18"/>
      <c r="L6" s="18"/>
      <c r="M6" s="18"/>
      <c r="N6" s="44"/>
      <c r="O6" s="59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ht="15" customHeight="1" x14ac:dyDescent="0.3">
      <c r="B7" s="52"/>
    </row>
    <row r="8" spans="1:26" ht="15" customHeight="1" x14ac:dyDescent="0.3">
      <c r="B8" s="52"/>
    </row>
    <row r="9" spans="1:26" ht="15" customHeight="1" x14ac:dyDescent="0.3">
      <c r="B9" s="10"/>
      <c r="C9" s="10"/>
      <c r="D9" s="17" t="s">
        <v>279</v>
      </c>
      <c r="E9" s="17"/>
      <c r="F9" s="36"/>
      <c r="G9" s="17"/>
      <c r="H9" s="17"/>
      <c r="I9" s="17"/>
      <c r="J9" s="43"/>
      <c r="K9" s="17"/>
      <c r="L9" s="17"/>
      <c r="M9" s="17"/>
      <c r="N9" s="36"/>
      <c r="P9" s="17" t="s">
        <v>280</v>
      </c>
      <c r="Q9" s="17"/>
      <c r="R9" s="36"/>
      <c r="S9" s="17"/>
      <c r="T9" s="17"/>
      <c r="U9" s="17"/>
      <c r="V9" s="43"/>
      <c r="W9" s="17"/>
      <c r="X9" s="17"/>
      <c r="Y9" s="17"/>
      <c r="Z9" s="36"/>
    </row>
    <row r="10" spans="1:26" ht="15" customHeight="1" x14ac:dyDescent="0.3">
      <c r="A10" s="11"/>
      <c r="B10" s="57"/>
      <c r="C10" s="11"/>
      <c r="D10" s="41" t="s">
        <v>281</v>
      </c>
      <c r="E10" s="33"/>
      <c r="F10" s="37" t="s">
        <v>282</v>
      </c>
      <c r="G10" s="33"/>
      <c r="H10" s="48" t="s">
        <v>283</v>
      </c>
      <c r="I10" s="33"/>
      <c r="J10" s="45" t="s">
        <v>284</v>
      </c>
      <c r="K10" s="11"/>
      <c r="L10" s="41" t="s">
        <v>285</v>
      </c>
      <c r="M10" s="11"/>
      <c r="N10" s="37" t="s">
        <v>286</v>
      </c>
      <c r="O10" s="11"/>
      <c r="P10" s="56" t="s">
        <v>281</v>
      </c>
      <c r="Q10" s="33"/>
      <c r="R10" s="37" t="s">
        <v>282</v>
      </c>
      <c r="S10" s="33"/>
      <c r="T10" s="48" t="s">
        <v>283</v>
      </c>
      <c r="U10" s="33"/>
      <c r="V10" s="45" t="s">
        <v>284</v>
      </c>
      <c r="W10" s="11"/>
      <c r="X10" s="41" t="s">
        <v>285</v>
      </c>
      <c r="Y10" s="11"/>
      <c r="Z10" s="37" t="s">
        <v>286</v>
      </c>
    </row>
    <row r="11" spans="1:26" ht="16.5" customHeight="1" x14ac:dyDescent="0.3">
      <c r="A11" s="10"/>
      <c r="B11" s="55"/>
      <c r="C11" s="10"/>
      <c r="D11" s="10"/>
      <c r="E11" s="10"/>
      <c r="F11" s="9"/>
      <c r="G11" s="10"/>
      <c r="H11" s="10"/>
      <c r="I11" s="10"/>
      <c r="J11" s="46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6"/>
      <c r="W11" s="10"/>
      <c r="X11" s="10"/>
      <c r="Y11" s="10"/>
      <c r="Z11" s="9"/>
    </row>
    <row r="12" spans="1:26" s="63" customFormat="1" ht="15" customHeight="1" collapsed="1" x14ac:dyDescent="0.3">
      <c r="A12" s="11"/>
      <c r="B12" s="28" t="s">
        <v>287</v>
      </c>
      <c r="C12" s="11"/>
      <c r="D12" s="5" t="e">
        <f ca="1">SUM(_xll.ONESTOP.REPORTPLAYER.OSRFUNCTIONS.OSRREF(D13))</f>
        <v>#NAME?</v>
      </c>
      <c r="E12" s="5"/>
      <c r="F12" s="13"/>
      <c r="G12" s="5"/>
      <c r="H12" s="5" t="e">
        <f ca="1">SUM(_xll.ONESTOP.REPORTPLAYER.OSRFUNCTIONS.OSRREF(H13))</f>
        <v>#NAME?</v>
      </c>
      <c r="I12" s="5"/>
      <c r="J12" s="13"/>
      <c r="K12" s="5"/>
      <c r="L12" s="5" t="e">
        <f ca="1">+D12-H12</f>
        <v>#NAME?</v>
      </c>
      <c r="M12" s="5"/>
      <c r="N12" s="13" t="e">
        <f ca="1">IF(H12=0,0,L12/H12)</f>
        <v>#NAME?</v>
      </c>
      <c r="O12" s="11"/>
      <c r="P12" s="5" t="e">
        <f ca="1">SUM(_xll.ONESTOP.REPORTPLAYER.OSRFUNCTIONS.OSRREF(P13))</f>
        <v>#NAME?</v>
      </c>
      <c r="Q12" s="5"/>
      <c r="R12" s="13"/>
      <c r="S12" s="5"/>
      <c r="T12" s="5" t="e">
        <f ca="1">SUM(_xll.ONESTOP.REPORTPLAYER.OSRFUNCTIONS.OSRREF(T13))</f>
        <v>#NAME?</v>
      </c>
      <c r="U12" s="5"/>
      <c r="V12" s="13"/>
      <c r="W12" s="5"/>
      <c r="X12" s="5" t="e">
        <f ca="1">+P12-T12</f>
        <v>#NAME?</v>
      </c>
      <c r="Y12" s="5"/>
      <c r="Z12" s="13" t="e">
        <f ca="1">IF(T12=0,0,X12/T12)</f>
        <v>#NAME?</v>
      </c>
    </row>
    <row r="13" spans="1:26" s="70" customFormat="1" ht="15" hidden="1" customHeight="1" outlineLevel="1" x14ac:dyDescent="0.3">
      <c r="A13" s="42"/>
      <c r="B13" s="12" t="e">
        <f ca="1">CONCATENATE("          ",_xll.ONESTOP.REPORTPLAYER.OSRFUNCTIONS.OSRGET("d_Account","Code")," - ",_xll.ONESTOP.REPORTPLAYER.OSRFUNCTIONS.OSRGET("d_Account","Description"))</f>
        <v>#NAME?</v>
      </c>
      <c r="C13" s="12"/>
      <c r="D13" s="3" t="e">
        <f ca="1">-_xll.ONESTOP.REPORTPLAYER.OSRFUNCTIONS.OSRGET("GL_F_Trans","Value1")</f>
        <v>#NAME?</v>
      </c>
      <c r="E13" s="3"/>
      <c r="F13" s="20"/>
      <c r="G13" s="3"/>
      <c r="H13" s="3" t="e">
        <f ca="1">_xll.ONESTOP.REPORTPLAYER.OSRFUNCTIONS.OSRGET("GL_F_Trans","Value1")</f>
        <v>#NAME?</v>
      </c>
      <c r="I13" s="3"/>
      <c r="J13" s="20"/>
      <c r="K13" s="3"/>
      <c r="L13" s="3" t="e">
        <f ca="1">+D13-H13</f>
        <v>#NAME?</v>
      </c>
      <c r="M13" s="3"/>
      <c r="N13" s="20" t="e">
        <f ca="1">IF(H13=0,0,L13/H13)</f>
        <v>#NAME?</v>
      </c>
      <c r="O13" s="12"/>
      <c r="P13" s="3" t="e">
        <f ca="1">-_xll.ONESTOP.REPORTPLAYER.OSRFUNCTIONS.OSRGET("GL_F_Trans","Value1")</f>
        <v>#NAME?</v>
      </c>
      <c r="Q13" s="3"/>
      <c r="R13" s="20"/>
      <c r="S13" s="3"/>
      <c r="T13" s="3" t="e">
        <f ca="1">_xll.ONESTOP.REPORTPLAYER.OSRFUNCTIONS.OSRGET("GL_F_Trans","Value1")</f>
        <v>#NAME?</v>
      </c>
      <c r="U13" s="3"/>
      <c r="V13" s="20"/>
      <c r="W13" s="3"/>
      <c r="X13" s="3" t="e">
        <f ca="1">+P13-T13</f>
        <v>#NAME?</v>
      </c>
      <c r="Y13" s="3"/>
      <c r="Z13" s="20" t="e">
        <f ca="1">IF(T13=0,0,X13/T13)</f>
        <v>#NAME?</v>
      </c>
    </row>
    <row r="14" spans="1:26" ht="15" customHeight="1" x14ac:dyDescent="0.3">
      <c r="A14" s="10"/>
      <c r="B14" s="11"/>
      <c r="C14" s="10"/>
      <c r="D14" s="4"/>
      <c r="E14" s="4"/>
      <c r="F14" s="9"/>
      <c r="G14" s="4"/>
      <c r="H14" s="4"/>
      <c r="I14" s="4"/>
      <c r="J14" s="9"/>
      <c r="K14" s="4"/>
      <c r="L14" s="4"/>
      <c r="M14" s="4"/>
      <c r="N14" s="9"/>
      <c r="P14" s="4"/>
      <c r="Q14" s="4"/>
      <c r="R14" s="9"/>
      <c r="S14" s="4"/>
      <c r="T14" s="4"/>
      <c r="U14" s="4"/>
      <c r="V14" s="9"/>
      <c r="W14" s="4"/>
      <c r="X14" s="4"/>
      <c r="Y14" s="4"/>
      <c r="Z14" s="9"/>
    </row>
    <row r="15" spans="1:26" s="63" customFormat="1" ht="15" customHeight="1" collapsed="1" x14ac:dyDescent="0.3">
      <c r="A15" s="11"/>
      <c r="B15" s="28" t="s">
        <v>288</v>
      </c>
      <c r="C15" s="11"/>
      <c r="D15" s="5" t="e">
        <f ca="1">SUM(_xll.ONESTOP.REPORTPLAYER.OSRFUNCTIONS.OSRREF(D16))</f>
        <v>#NAME?</v>
      </c>
      <c r="E15" s="5"/>
      <c r="F15" s="13" t="e">
        <f ca="1">IF(D$12=0,0,D15/D$12)</f>
        <v>#NAME?</v>
      </c>
      <c r="G15" s="5"/>
      <c r="H15" s="5" t="e">
        <f ca="1">SUM(_xll.ONESTOP.REPORTPLAYER.OSRFUNCTIONS.OSRREF(H16))</f>
        <v>#NAME?</v>
      </c>
      <c r="I15" s="5"/>
      <c r="J15" s="13" t="e">
        <f ca="1">IF(H$12=0,0,H15/H$12)</f>
        <v>#NAME?</v>
      </c>
      <c r="K15" s="5"/>
      <c r="L15" s="5" t="e">
        <f ca="1">+D15-H15</f>
        <v>#NAME?</v>
      </c>
      <c r="M15" s="5"/>
      <c r="N15" s="13" t="e">
        <f ca="1">IF(H15=0,0,L15/H15)</f>
        <v>#NAME?</v>
      </c>
      <c r="O15" s="11"/>
      <c r="P15" s="5" t="e">
        <f ca="1">SUM(_xll.ONESTOP.REPORTPLAYER.OSRFUNCTIONS.OSRREF(P16))</f>
        <v>#NAME?</v>
      </c>
      <c r="Q15" s="5"/>
      <c r="R15" s="13" t="e">
        <f ca="1">IF(P$12=0,0,P15/P$12)</f>
        <v>#NAME?</v>
      </c>
      <c r="S15" s="5"/>
      <c r="T15" s="5" t="e">
        <f ca="1">SUM(_xll.ONESTOP.REPORTPLAYER.OSRFUNCTIONS.OSRREF(T16))</f>
        <v>#NAME?</v>
      </c>
      <c r="U15" s="5"/>
      <c r="V15" s="13" t="e">
        <f ca="1">IF(T$12=0,0,T15/T$12)</f>
        <v>#NAME?</v>
      </c>
      <c r="W15" s="5"/>
      <c r="X15" s="5" t="e">
        <f ca="1">+P15-T15</f>
        <v>#NAME?</v>
      </c>
      <c r="Y15" s="5"/>
      <c r="Z15" s="13" t="e">
        <f ca="1">IF(T15=0,0,X15/T15)</f>
        <v>#NAME?</v>
      </c>
    </row>
    <row r="16" spans="1:26" s="70" customFormat="1" ht="15" hidden="1" customHeight="1" outlineLevel="1" x14ac:dyDescent="0.3">
      <c r="A16" s="42"/>
      <c r="B16" s="12" t="e">
        <f ca="1">CONCATENATE("          ",_xll.ONESTOP.REPORTPLAYER.OSRFUNCTIONS.OSRGET("d_Account","Code")," - ",_xll.ONESTOP.REPORTPLAYER.OSRFUNCTIONS.OSRGET("d_Account","Description"))</f>
        <v>#NAME?</v>
      </c>
      <c r="C16" s="12"/>
      <c r="D16" s="3" t="e">
        <f ca="1">_xll.ONESTOP.REPORTPLAYER.OSRFUNCTIONS.OSRGET("GL_F_Trans","Value1")</f>
        <v>#NAME?</v>
      </c>
      <c r="E16" s="3"/>
      <c r="F16" s="20" t="e">
        <f ca="1">IF(D$12=0,0,D16/D$12)</f>
        <v>#NAME?</v>
      </c>
      <c r="G16" s="3"/>
      <c r="H16" s="3" t="e">
        <f ca="1">_xll.ONESTOP.REPORTPLAYER.OSRFUNCTIONS.OSRGET("GL_F_Trans","Value1")</f>
        <v>#NAME?</v>
      </c>
      <c r="I16" s="3"/>
      <c r="J16" s="20" t="e">
        <f ca="1">IF(H$12=0,0,H16/H$12)</f>
        <v>#NAME?</v>
      </c>
      <c r="K16" s="3"/>
      <c r="L16" s="3" t="e">
        <f ca="1">+D16-H16</f>
        <v>#NAME?</v>
      </c>
      <c r="M16" s="3"/>
      <c r="N16" s="20" t="e">
        <f ca="1">IF(H16=0,0,L16/H16)</f>
        <v>#NAME?</v>
      </c>
      <c r="O16" s="12"/>
      <c r="P16" s="3" t="e">
        <f ca="1">_xll.ONESTOP.REPORTPLAYER.OSRFUNCTIONS.OSRGET("GL_F_Trans","Value1")</f>
        <v>#NAME?</v>
      </c>
      <c r="Q16" s="3"/>
      <c r="R16" s="20" t="e">
        <f ca="1">IF(P$12=0,0,P16/P$12)</f>
        <v>#NAME?</v>
      </c>
      <c r="S16" s="3"/>
      <c r="T16" s="3" t="e">
        <f ca="1">_xll.ONESTOP.REPORTPLAYER.OSRFUNCTIONS.OSRGET("GL_F_Trans","Value1")</f>
        <v>#NAME?</v>
      </c>
      <c r="U16" s="3"/>
      <c r="V16" s="20" t="e">
        <f ca="1">IF(T$12=0,0,T16/T$12)</f>
        <v>#NAME?</v>
      </c>
      <c r="W16" s="3"/>
      <c r="X16" s="3" t="e">
        <f ca="1">+P16-T16</f>
        <v>#NAME?</v>
      </c>
      <c r="Y16" s="3"/>
      <c r="Z16" s="20" t="e">
        <f ca="1">IF(T16=0,0,X16/T16)</f>
        <v>#NAME?</v>
      </c>
    </row>
    <row r="17" spans="1:26" ht="15" customHeight="1" x14ac:dyDescent="0.3">
      <c r="A17" s="10"/>
      <c r="B17" s="11"/>
      <c r="C17" s="11"/>
      <c r="D17" s="4"/>
      <c r="E17" s="4"/>
      <c r="F17" s="9"/>
      <c r="G17" s="4"/>
      <c r="H17" s="4"/>
      <c r="I17" s="4"/>
      <c r="J17" s="9"/>
      <c r="K17" s="4"/>
      <c r="L17" s="4"/>
      <c r="M17" s="4"/>
      <c r="N17" s="9"/>
      <c r="O17" s="11"/>
      <c r="P17" s="4"/>
      <c r="Q17" s="4"/>
      <c r="R17" s="9"/>
      <c r="S17" s="4"/>
      <c r="T17" s="4"/>
      <c r="U17" s="4"/>
      <c r="V17" s="9"/>
      <c r="W17" s="4"/>
      <c r="X17" s="4"/>
      <c r="Y17" s="4"/>
      <c r="Z17" s="9"/>
    </row>
    <row r="18" spans="1:26" s="63" customFormat="1" ht="15" customHeight="1" x14ac:dyDescent="0.3">
      <c r="A18" s="11"/>
      <c r="B18" s="27" t="s">
        <v>289</v>
      </c>
      <c r="C18" s="27"/>
      <c r="D18" s="21" t="e">
        <f ca="1">D12-D15</f>
        <v>#NAME?</v>
      </c>
      <c r="E18" s="15"/>
      <c r="F18" s="23" t="e">
        <f ca="1">IF(D$12=0,0,D18/D$12)</f>
        <v>#NAME?</v>
      </c>
      <c r="G18" s="15"/>
      <c r="H18" s="21" t="e">
        <f ca="1">H12-H15</f>
        <v>#NAME?</v>
      </c>
      <c r="I18" s="15"/>
      <c r="J18" s="23" t="e">
        <f ca="1">IF(H$12=0,0,H18/H$12)</f>
        <v>#NAME?</v>
      </c>
      <c r="K18" s="16"/>
      <c r="L18" s="21" t="e">
        <f ca="1">+D18-H18</f>
        <v>#NAME?</v>
      </c>
      <c r="M18" s="16"/>
      <c r="N18" s="23" t="e">
        <f ca="1">IF(H18=0,0,L18/H18)</f>
        <v>#NAME?</v>
      </c>
      <c r="O18" s="28"/>
      <c r="P18" s="21" t="e">
        <f ca="1">P12-P15</f>
        <v>#NAME?</v>
      </c>
      <c r="Q18" s="15"/>
      <c r="R18" s="23" t="e">
        <f ca="1">IF(P$12=0,0,P18/P$12)</f>
        <v>#NAME?</v>
      </c>
      <c r="S18" s="15"/>
      <c r="T18" s="21" t="e">
        <f ca="1">T12-T15</f>
        <v>#NAME?</v>
      </c>
      <c r="U18" s="15"/>
      <c r="V18" s="23" t="e">
        <f ca="1">IF(T$12=0,0,T18/T$12)</f>
        <v>#NAME?</v>
      </c>
      <c r="W18" s="16"/>
      <c r="X18" s="21" t="e">
        <f ca="1">+P18-T18</f>
        <v>#NAME?</v>
      </c>
      <c r="Y18" s="16"/>
      <c r="Z18" s="23" t="e">
        <f ca="1">IF(T18=0,0,X18/T18)</f>
        <v>#NAME?</v>
      </c>
    </row>
    <row r="19" spans="1:26" ht="15" customHeight="1" x14ac:dyDescent="0.3">
      <c r="A19" s="10"/>
      <c r="B19" s="11"/>
      <c r="C19" s="10"/>
      <c r="D19" s="2"/>
      <c r="E19" s="2"/>
      <c r="F19" s="6"/>
      <c r="G19" s="2"/>
      <c r="H19" s="2"/>
      <c r="I19" s="2"/>
      <c r="J19" s="6"/>
      <c r="K19" s="2"/>
      <c r="L19" s="2"/>
      <c r="M19" s="2"/>
      <c r="N19" s="6"/>
      <c r="O19" s="35"/>
      <c r="P19" s="2"/>
      <c r="Q19" s="2"/>
      <c r="R19" s="6"/>
      <c r="S19" s="2"/>
      <c r="T19" s="2"/>
      <c r="U19" s="2"/>
      <c r="V19" s="6"/>
      <c r="W19" s="2"/>
      <c r="X19" s="2"/>
      <c r="Y19" s="2"/>
      <c r="Z19" s="6"/>
    </row>
    <row r="20" spans="1:26" s="63" customFormat="1" ht="15" customHeight="1" x14ac:dyDescent="0.3">
      <c r="A20" s="11"/>
      <c r="B20" s="28" t="s">
        <v>290</v>
      </c>
      <c r="C20" s="11"/>
      <c r="D20" s="22" t="e">
        <f ca="1">SUM(_xll.ONESTOP.REPORTPLAYER.OSRFUNCTIONS.OSRREF(D22))</f>
        <v>#NAME?</v>
      </c>
      <c r="E20" s="22"/>
      <c r="F20" s="30" t="e">
        <f ca="1">IF(D$12=0,0,D20/D$12)</f>
        <v>#NAME?</v>
      </c>
      <c r="G20" s="22"/>
      <c r="H20" s="22" t="e">
        <f ca="1">SUM(_xll.ONESTOP.REPORTPLAYER.OSRFUNCTIONS.OSRREF(H22))</f>
        <v>#NAME?</v>
      </c>
      <c r="I20" s="22"/>
      <c r="J20" s="30" t="e">
        <f ca="1">IF(H$12=0,0,H20/H$12)</f>
        <v>#NAME?</v>
      </c>
      <c r="K20" s="5"/>
      <c r="L20" s="22" t="e">
        <f ca="1">+D20-H20</f>
        <v>#NAME?</v>
      </c>
      <c r="M20" s="5"/>
      <c r="N20" s="30" t="e">
        <f ca="1">IF(H20=0,0,L20/H20)</f>
        <v>#NAME?</v>
      </c>
      <c r="O20" s="11"/>
      <c r="P20" s="22" t="e">
        <f ca="1">SUM(_xll.ONESTOP.REPORTPLAYER.OSRFUNCTIONS.OSRREF(P22))</f>
        <v>#NAME?</v>
      </c>
      <c r="Q20" s="22"/>
      <c r="R20" s="30" t="e">
        <f ca="1">IF(P$12=0,0,P20/P$12)</f>
        <v>#NAME?</v>
      </c>
      <c r="S20" s="22"/>
      <c r="T20" s="22" t="e">
        <f ca="1">SUM(_xll.ONESTOP.REPORTPLAYER.OSRFUNCTIONS.OSRREF(T22))</f>
        <v>#NAME?</v>
      </c>
      <c r="U20" s="22"/>
      <c r="V20" s="30" t="e">
        <f ca="1">IF(T$12=0,0,T20/T$12)</f>
        <v>#NAME?</v>
      </c>
      <c r="W20" s="5"/>
      <c r="X20" s="22" t="e">
        <f ca="1">+P20-T20</f>
        <v>#NAME?</v>
      </c>
      <c r="Y20" s="5"/>
      <c r="Z20" s="30" t="e">
        <f ca="1">IF(T20=0,0,X20/T20)</f>
        <v>#NAME?</v>
      </c>
    </row>
    <row r="21" spans="1:26" s="69" customFormat="1" ht="15" customHeight="1" outlineLevel="1" collapsed="1" x14ac:dyDescent="0.3">
      <c r="A21" s="25"/>
      <c r="B21" s="14" t="e">
        <f ca="1">CONCATENATE("     ",_xll.ONESTOP.REPORTPLAYER.OSRFUNCTIONS.OSRGET("d_Account","AccountCategory"))</f>
        <v>#NAME?</v>
      </c>
      <c r="C21" s="14"/>
      <c r="D21" s="2" t="e">
        <f ca="1">SUM(_xll.ONESTOP.REPORTPLAYER.OSRFUNCTIONS.OSRREF(D22))</f>
        <v>#NAME?</v>
      </c>
      <c r="E21" s="2"/>
      <c r="F21" s="6" t="e">
        <f ca="1">IF(D$12=0,0,D21/D$12)</f>
        <v>#NAME?</v>
      </c>
      <c r="G21" s="2"/>
      <c r="H21" s="2" t="e">
        <f ca="1">SUM(_xll.ONESTOP.REPORTPLAYER.OSRFUNCTIONS.OSRREF(H22))</f>
        <v>#NAME?</v>
      </c>
      <c r="I21" s="2"/>
      <c r="J21" s="6" t="e">
        <f ca="1">IF(H$12=0,0,H21/H$12)</f>
        <v>#NAME?</v>
      </c>
      <c r="K21" s="2"/>
      <c r="L21" s="2" t="e">
        <f ca="1">+D21-H21</f>
        <v>#NAME?</v>
      </c>
      <c r="M21" s="2"/>
      <c r="N21" s="6" t="e">
        <f ca="1">IF(H21=0,0,L21/H21)</f>
        <v>#NAME?</v>
      </c>
      <c r="O21" s="14"/>
      <c r="P21" s="2" t="e">
        <f ca="1">SUM(_xll.ONESTOP.REPORTPLAYER.OSRFUNCTIONS.OSRREF(P22))</f>
        <v>#NAME?</v>
      </c>
      <c r="Q21" s="2"/>
      <c r="R21" s="6" t="e">
        <f ca="1">IF(P$12=0,0,P21/P$12)</f>
        <v>#NAME?</v>
      </c>
      <c r="S21" s="2"/>
      <c r="T21" s="2" t="e">
        <f ca="1">SUM(_xll.ONESTOP.REPORTPLAYER.OSRFUNCTIONS.OSRREF(T22))</f>
        <v>#NAME?</v>
      </c>
      <c r="U21" s="2"/>
      <c r="V21" s="6" t="e">
        <f ca="1">IF(T$12=0,0,T21/T$12)</f>
        <v>#NAME?</v>
      </c>
      <c r="W21" s="2"/>
      <c r="X21" s="2" t="e">
        <f ca="1">+P21-T21</f>
        <v>#NAME?</v>
      </c>
      <c r="Y21" s="2"/>
      <c r="Z21" s="6" t="e">
        <f ca="1">IF(T21=0,0,X21/T21)</f>
        <v>#NAME?</v>
      </c>
    </row>
    <row r="22" spans="1:26" s="70" customFormat="1" ht="15" hidden="1" customHeight="1" outlineLevel="2" x14ac:dyDescent="0.3">
      <c r="A22" s="26"/>
      <c r="B22" s="12" t="e">
        <f ca="1">CONCATENATE("          ",_xll.ONESTOP.REPORTPLAYER.OSRFUNCTIONS.OSRGET("d_Account","Code")," - ",_xll.ONESTOP.REPORTPLAYER.OSRFUNCTIONS.OSRGET("d_Account","Description"))</f>
        <v>#NAME?</v>
      </c>
      <c r="C22" s="12"/>
      <c r="D22" s="7" t="e">
        <f ca="1">_xll.ONESTOP.REPORTPLAYER.OSRFUNCTIONS.OSRGET("GL_F_Trans","Value1")</f>
        <v>#NAME?</v>
      </c>
      <c r="E22" s="3"/>
      <c r="F22" s="8" t="e">
        <f ca="1">IF(D$12=0,0,D22/D$12)</f>
        <v>#NAME?</v>
      </c>
      <c r="G22" s="3"/>
      <c r="H22" s="7" t="e">
        <f ca="1">_xll.ONESTOP.REPORTPLAYER.OSRFUNCTIONS.OSRGET("GL_F_Trans","Value1")</f>
        <v>#NAME?</v>
      </c>
      <c r="I22" s="3"/>
      <c r="J22" s="8" t="e">
        <f ca="1">IF(H$12=0,0,H22/H$12)</f>
        <v>#NAME?</v>
      </c>
      <c r="K22" s="3"/>
      <c r="L22" s="7" t="e">
        <f ca="1">+D22-H22</f>
        <v>#NAME?</v>
      </c>
      <c r="M22" s="3"/>
      <c r="N22" s="8" t="e">
        <f ca="1">IF(H22=0,0,L22/H22)</f>
        <v>#NAME?</v>
      </c>
      <c r="O22" s="12"/>
      <c r="P22" s="7" t="e">
        <f ca="1">_xll.ONESTOP.REPORTPLAYER.OSRFUNCTIONS.OSRGET("GL_F_Trans","Value1")</f>
        <v>#NAME?</v>
      </c>
      <c r="Q22" s="3"/>
      <c r="R22" s="8" t="e">
        <f ca="1">IF(P$12=0,0,P22/P$12)</f>
        <v>#NAME?</v>
      </c>
      <c r="S22" s="3"/>
      <c r="T22" s="7" t="e">
        <f ca="1">_xll.ONESTOP.REPORTPLAYER.OSRFUNCTIONS.OSRGET("GL_F_Trans","Value1")</f>
        <v>#NAME?</v>
      </c>
      <c r="U22" s="3"/>
      <c r="V22" s="8" t="e">
        <f ca="1">IF(T$12=0,0,T22/T$12)</f>
        <v>#NAME?</v>
      </c>
      <c r="W22" s="3"/>
      <c r="X22" s="7" t="e">
        <f ca="1">+P22-T22</f>
        <v>#NAME?</v>
      </c>
      <c r="Y22" s="3"/>
      <c r="Z22" s="8" t="e">
        <f ca="1">IF(T22=0,0,X22/T22)</f>
        <v>#NAME?</v>
      </c>
    </row>
    <row r="23" spans="1:26" s="65" customFormat="1" ht="15" customHeight="1" x14ac:dyDescent="0.3">
      <c r="A23" s="35"/>
      <c r="B23" s="35"/>
      <c r="C23" s="35"/>
      <c r="D23" s="2"/>
      <c r="E23" s="2"/>
      <c r="F23" s="6"/>
      <c r="G23" s="2"/>
      <c r="H23" s="2"/>
      <c r="I23" s="2"/>
      <c r="J23" s="6"/>
      <c r="K23" s="2"/>
      <c r="L23" s="2"/>
      <c r="M23" s="2"/>
      <c r="N23" s="6"/>
      <c r="O23" s="35"/>
      <c r="P23" s="2"/>
      <c r="Q23" s="2"/>
      <c r="R23" s="6"/>
      <c r="S23" s="2"/>
      <c r="T23" s="2"/>
      <c r="U23" s="2"/>
      <c r="V23" s="6"/>
      <c r="W23" s="2"/>
      <c r="X23" s="2"/>
      <c r="Y23" s="2"/>
      <c r="Z23" s="6"/>
    </row>
    <row r="24" spans="1:26" s="63" customFormat="1" ht="15" customHeight="1" collapsed="1" x14ac:dyDescent="0.3">
      <c r="A24" s="11"/>
      <c r="B24" s="28" t="s">
        <v>291</v>
      </c>
      <c r="C24" s="11"/>
      <c r="D24" s="5" t="e">
        <f ca="1">SUM(_xll.ONESTOP.REPORTPLAYER.OSRFUNCTIONS.OSRREF(D25))</f>
        <v>#NAME?</v>
      </c>
      <c r="E24" s="5"/>
      <c r="F24" s="13" t="e">
        <f ca="1">IF(D$12=0,0,D24/D$12)</f>
        <v>#NAME?</v>
      </c>
      <c r="G24" s="5"/>
      <c r="H24" s="5" t="e">
        <f ca="1">SUM(_xll.ONESTOP.REPORTPLAYER.OSRFUNCTIONS.OSRREF(H25))</f>
        <v>#NAME?</v>
      </c>
      <c r="I24" s="5"/>
      <c r="J24" s="13" t="e">
        <f ca="1">IF(H$12=0,0,H24/H$12)</f>
        <v>#NAME?</v>
      </c>
      <c r="K24" s="5"/>
      <c r="L24" s="5" t="e">
        <f ca="1">+D24-H24</f>
        <v>#NAME?</v>
      </c>
      <c r="M24" s="5"/>
      <c r="N24" s="13" t="e">
        <f ca="1">IF(H24=0,0,L24/H24)</f>
        <v>#NAME?</v>
      </c>
      <c r="O24" s="11"/>
      <c r="P24" s="5" t="e">
        <f ca="1">SUM(_xll.ONESTOP.REPORTPLAYER.OSRFUNCTIONS.OSRREF(P25))</f>
        <v>#NAME?</v>
      </c>
      <c r="Q24" s="5"/>
      <c r="R24" s="13" t="e">
        <f ca="1">IF(P$12=0,0,P24/P$12)</f>
        <v>#NAME?</v>
      </c>
      <c r="S24" s="5"/>
      <c r="T24" s="5" t="e">
        <f ca="1">SUM(_xll.ONESTOP.REPORTPLAYER.OSRFUNCTIONS.OSRREF(T25))</f>
        <v>#NAME?</v>
      </c>
      <c r="U24" s="5"/>
      <c r="V24" s="13" t="e">
        <f ca="1">IF(T$12=0,0,T24/T$12)</f>
        <v>#NAME?</v>
      </c>
      <c r="W24" s="5"/>
      <c r="X24" s="5" t="e">
        <f ca="1">+P24-T24</f>
        <v>#NAME?</v>
      </c>
      <c r="Y24" s="5"/>
      <c r="Z24" s="13" t="e">
        <f ca="1">IF(T24=0,0,X24/T24)</f>
        <v>#NAME?</v>
      </c>
    </row>
    <row r="25" spans="1:26" s="70" customFormat="1" ht="15" hidden="1" customHeight="1" outlineLevel="1" x14ac:dyDescent="0.3">
      <c r="A25" s="42"/>
      <c r="B25" s="12" t="e">
        <f ca="1">CONCATENATE("          ",_xll.ONESTOP.REPORTPLAYER.OSRFUNCTIONS.OSRGET("d_Account","Code")," - ",_xll.ONESTOP.REPORTPLAYER.OSRFUNCTIONS.OSRGET("d_Account","Description"))</f>
        <v>#NAME?</v>
      </c>
      <c r="C25" s="12"/>
      <c r="D25" s="3" t="e">
        <f ca="1">-_xll.ONESTOP.REPORTPLAYER.OSRFUNCTIONS.OSRGET("GL_F_Trans","Value1")</f>
        <v>#NAME?</v>
      </c>
      <c r="E25" s="3"/>
      <c r="F25" s="20" t="e">
        <f ca="1">IF(D$12=0,0,D25/D$12)</f>
        <v>#NAME?</v>
      </c>
      <c r="G25" s="3"/>
      <c r="H25" s="3" t="e">
        <f ca="1">_xll.ONESTOP.REPORTPLAYER.OSRFUNCTIONS.OSRGET("GL_F_Trans","Value1")</f>
        <v>#NAME?</v>
      </c>
      <c r="I25" s="3"/>
      <c r="J25" s="20" t="e">
        <f ca="1">IF(H$12=0,0,H25/H$12)</f>
        <v>#NAME?</v>
      </c>
      <c r="K25" s="3"/>
      <c r="L25" s="3" t="e">
        <f ca="1">+D25-H25</f>
        <v>#NAME?</v>
      </c>
      <c r="M25" s="3"/>
      <c r="N25" s="20" t="e">
        <f ca="1">IF(H25=0,0,L25/H25)</f>
        <v>#NAME?</v>
      </c>
      <c r="O25" s="12"/>
      <c r="P25" s="3" t="e">
        <f ca="1">-_xll.ONESTOP.REPORTPLAYER.OSRFUNCTIONS.OSRGET("GL_F_Trans","Value1")</f>
        <v>#NAME?</v>
      </c>
      <c r="Q25" s="3"/>
      <c r="R25" s="20" t="e">
        <f ca="1">IF(P$12=0,0,P25/P$12)</f>
        <v>#NAME?</v>
      </c>
      <c r="S25" s="3"/>
      <c r="T25" s="3" t="e">
        <f ca="1">_xll.ONESTOP.REPORTPLAYER.OSRFUNCTIONS.OSRGET("GL_F_Trans","Value1")</f>
        <v>#NAME?</v>
      </c>
      <c r="U25" s="3"/>
      <c r="V25" s="20" t="e">
        <f ca="1">IF(T$12=0,0,T25/T$12)</f>
        <v>#NAME?</v>
      </c>
      <c r="W25" s="3"/>
      <c r="X25" s="3" t="e">
        <f ca="1">+P25-T25</f>
        <v>#NAME?</v>
      </c>
      <c r="Y25" s="3"/>
      <c r="Z25" s="20" t="e">
        <f ca="1">IF(T25=0,0,X25/T25)</f>
        <v>#NAME?</v>
      </c>
    </row>
    <row r="26" spans="1:26" ht="15" customHeight="1" x14ac:dyDescent="0.3">
      <c r="A26" s="10"/>
      <c r="B26" s="11"/>
      <c r="C26" s="11"/>
      <c r="D26" s="4"/>
      <c r="E26" s="4"/>
      <c r="F26" s="9"/>
      <c r="G26" s="4"/>
      <c r="H26" s="4"/>
      <c r="I26" s="4"/>
      <c r="J26" s="9"/>
      <c r="K26" s="4"/>
      <c r="L26" s="4"/>
      <c r="M26" s="4"/>
      <c r="N26" s="9"/>
      <c r="O26" s="11"/>
      <c r="P26" s="4"/>
      <c r="Q26" s="4"/>
      <c r="R26" s="9"/>
      <c r="S26" s="4"/>
      <c r="T26" s="4"/>
      <c r="U26" s="4"/>
      <c r="V26" s="9"/>
      <c r="W26" s="4"/>
      <c r="X26" s="4"/>
      <c r="Y26" s="4"/>
      <c r="Z26" s="9"/>
    </row>
    <row r="27" spans="1:26" s="63" customFormat="1" ht="15" customHeight="1" x14ac:dyDescent="0.3">
      <c r="A27" s="11"/>
      <c r="B27" s="27" t="s">
        <v>292</v>
      </c>
      <c r="C27" s="27"/>
      <c r="D27" s="21" t="e">
        <f ca="1">+D18-D20+D24</f>
        <v>#NAME?</v>
      </c>
      <c r="E27" s="15"/>
      <c r="F27" s="23" t="e">
        <f ca="1">IF(D$12=0,0,D27/D$12)</f>
        <v>#NAME?</v>
      </c>
      <c r="G27" s="15"/>
      <c r="H27" s="21" t="e">
        <f ca="1">+H18-H20+H24</f>
        <v>#NAME?</v>
      </c>
      <c r="I27" s="15"/>
      <c r="J27" s="23" t="e">
        <f ca="1">IF(H$12=0,0,H27/H$12)</f>
        <v>#NAME?</v>
      </c>
      <c r="K27" s="16"/>
      <c r="L27" s="21" t="e">
        <f ca="1">+D27-H27</f>
        <v>#NAME?</v>
      </c>
      <c r="M27" s="16"/>
      <c r="N27" s="23" t="e">
        <f ca="1">IF(H27=0,0,L27/H27)</f>
        <v>#NAME?</v>
      </c>
      <c r="O27" s="28"/>
      <c r="P27" s="21" t="e">
        <f ca="1">+P18-P20+P24</f>
        <v>#NAME?</v>
      </c>
      <c r="Q27" s="15"/>
      <c r="R27" s="23" t="e">
        <f ca="1">IF(P$12=0,0,P27/P$12)</f>
        <v>#NAME?</v>
      </c>
      <c r="S27" s="15"/>
      <c r="T27" s="21" t="e">
        <f ca="1">+T18-T20+T24</f>
        <v>#NAME?</v>
      </c>
      <c r="U27" s="15"/>
      <c r="V27" s="23" t="e">
        <f ca="1">IF(T$12=0,0,T27/T$12)</f>
        <v>#NAME?</v>
      </c>
      <c r="W27" s="16"/>
      <c r="X27" s="21" t="e">
        <f ca="1">+P27-T27</f>
        <v>#NAME?</v>
      </c>
      <c r="Y27" s="16"/>
      <c r="Z27" s="23" t="e">
        <f ca="1">IF(T27=0,0,X27/T27)</f>
        <v>#NAME?</v>
      </c>
    </row>
    <row r="28" spans="1:26" ht="15" customHeight="1" x14ac:dyDescent="0.3">
      <c r="A28" s="10"/>
      <c r="B28" s="11"/>
      <c r="C28" s="10"/>
      <c r="D28" s="4"/>
      <c r="E28" s="4"/>
      <c r="F28" s="9"/>
      <c r="G28" s="4"/>
      <c r="H28" s="4"/>
      <c r="I28" s="4"/>
      <c r="J28" s="9"/>
      <c r="K28" s="4"/>
      <c r="L28" s="4"/>
      <c r="M28" s="4"/>
      <c r="N28" s="9"/>
      <c r="P28" s="4"/>
      <c r="Q28" s="4"/>
      <c r="R28" s="9"/>
      <c r="S28" s="4"/>
      <c r="T28" s="4"/>
      <c r="U28" s="4"/>
      <c r="V28" s="9"/>
      <c r="W28" s="4"/>
      <c r="X28" s="4"/>
      <c r="Y28" s="4"/>
      <c r="Z28" s="9"/>
    </row>
    <row r="29" spans="1:26" s="63" customFormat="1" ht="15" customHeight="1" x14ac:dyDescent="0.3">
      <c r="A29" s="49"/>
      <c r="B29" s="11" t="s">
        <v>293</v>
      </c>
      <c r="C29" s="11"/>
      <c r="D29" s="5" t="e">
        <f ca="1">_xll.ONESTOP.REPORTPLAYER.OSRFUNCTIONS.OSRGET("GL_F_Trans","Value1")</f>
        <v>#NAME?</v>
      </c>
      <c r="E29" s="5"/>
      <c r="F29" s="13" t="e">
        <f ca="1">IF(D$12=0,0,D29/D$12)</f>
        <v>#NAME?</v>
      </c>
      <c r="G29" s="5"/>
      <c r="H29" s="5" t="e">
        <f ca="1">_xll.ONESTOP.REPORTPLAYER.OSRFUNCTIONS.OSRGET("GL_F_Trans","Value1")</f>
        <v>#NAME?</v>
      </c>
      <c r="I29" s="5"/>
      <c r="J29" s="13" t="e">
        <f ca="1">IF(H$12=0,0,H29/H$12)</f>
        <v>#NAME?</v>
      </c>
      <c r="K29" s="5"/>
      <c r="L29" s="5" t="e">
        <f ca="1">+D29-H29</f>
        <v>#NAME?</v>
      </c>
      <c r="M29" s="5"/>
      <c r="N29" s="13" t="e">
        <f ca="1">IF(H29=0,0,L29/H29)</f>
        <v>#NAME?</v>
      </c>
      <c r="O29" s="11"/>
      <c r="P29" s="5" t="e">
        <f ca="1">_xll.ONESTOP.REPORTPLAYER.OSRFUNCTIONS.OSRGET("GL_F_Trans","Value1")</f>
        <v>#NAME?</v>
      </c>
      <c r="Q29" s="5"/>
      <c r="R29" s="13" t="e">
        <f ca="1">IF(P$12=0,0,P29/P$12)</f>
        <v>#NAME?</v>
      </c>
      <c r="S29" s="5"/>
      <c r="T29" s="5" t="e">
        <f ca="1">_xll.ONESTOP.REPORTPLAYER.OSRFUNCTIONS.OSRGET("GL_F_Trans","Value1")</f>
        <v>#NAME?</v>
      </c>
      <c r="U29" s="5"/>
      <c r="V29" s="13" t="e">
        <f ca="1">IF(T$12=0,0,T29/T$12)</f>
        <v>#NAME?</v>
      </c>
      <c r="W29" s="5"/>
      <c r="X29" s="5" t="e">
        <f ca="1">+P29-T29</f>
        <v>#NAME?</v>
      </c>
      <c r="Y29" s="5"/>
      <c r="Z29" s="13" t="e">
        <f ca="1">IF(T29=0,0,X29/T29)</f>
        <v>#NAME?</v>
      </c>
    </row>
    <row r="30" spans="1:26" ht="15" customHeight="1" x14ac:dyDescent="0.3">
      <c r="A30" s="10"/>
      <c r="B30" s="11"/>
      <c r="C30" s="11"/>
      <c r="D30" s="4"/>
      <c r="E30" s="4"/>
      <c r="F30" s="9"/>
      <c r="G30" s="4"/>
      <c r="H30" s="4"/>
      <c r="I30" s="4"/>
      <c r="J30" s="9"/>
      <c r="K30" s="4"/>
      <c r="L30" s="4"/>
      <c r="M30" s="4"/>
      <c r="N30" s="9"/>
      <c r="O30" s="11"/>
      <c r="P30" s="4"/>
      <c r="Q30" s="4"/>
      <c r="R30" s="9"/>
      <c r="S30" s="4"/>
      <c r="T30" s="4"/>
      <c r="U30" s="4"/>
      <c r="V30" s="9"/>
      <c r="W30" s="4"/>
      <c r="X30" s="4"/>
      <c r="Y30" s="4"/>
      <c r="Z30" s="9"/>
    </row>
    <row r="31" spans="1:26" s="63" customFormat="1" ht="15" customHeight="1" x14ac:dyDescent="0.3">
      <c r="A31" s="11"/>
      <c r="B31" s="27" t="s">
        <v>294</v>
      </c>
      <c r="C31" s="27"/>
      <c r="D31" s="34" t="e">
        <f ca="1">+D27-D29</f>
        <v>#NAME?</v>
      </c>
      <c r="E31" s="15"/>
      <c r="F31" s="29" t="e">
        <f ca="1">IF(D$12=0,0,D31/D$12)</f>
        <v>#NAME?</v>
      </c>
      <c r="G31" s="15"/>
      <c r="H31" s="34" t="e">
        <f ca="1">+H27-H29</f>
        <v>#NAME?</v>
      </c>
      <c r="I31" s="15"/>
      <c r="J31" s="29" t="e">
        <f ca="1">IF(H$12=0,0,H31/H$12)</f>
        <v>#NAME?</v>
      </c>
      <c r="K31" s="16"/>
      <c r="L31" s="34" t="e">
        <f ca="1">D31-H31</f>
        <v>#NAME?</v>
      </c>
      <c r="M31" s="16"/>
      <c r="N31" s="29" t="e">
        <f ca="1">IF(H31=0,0,L31/H31)</f>
        <v>#NAME?</v>
      </c>
      <c r="O31" s="28"/>
      <c r="P31" s="34" t="e">
        <f ca="1">+P27-P29</f>
        <v>#NAME?</v>
      </c>
      <c r="Q31" s="15"/>
      <c r="R31" s="29" t="e">
        <f ca="1">IF(P$12=0,0,P31/P$12)</f>
        <v>#NAME?</v>
      </c>
      <c r="S31" s="15"/>
      <c r="T31" s="34" t="e">
        <f ca="1">+T27-T29</f>
        <v>#NAME?</v>
      </c>
      <c r="U31" s="15"/>
      <c r="V31" s="29" t="e">
        <f ca="1">IF(T$12=0,0,T31/T$12)</f>
        <v>#NAME?</v>
      </c>
      <c r="W31" s="16"/>
      <c r="X31" s="34" t="e">
        <f ca="1">P31-T31</f>
        <v>#NAME?</v>
      </c>
      <c r="Y31" s="16"/>
      <c r="Z31" s="29" t="e">
        <f ca="1">IF(T31=0,0,X31/T31)</f>
        <v>#NAME?</v>
      </c>
    </row>
    <row r="32" spans="1:26" ht="15" customHeight="1" x14ac:dyDescent="0.3">
      <c r="A32" s="10"/>
      <c r="B32" s="10"/>
      <c r="C32" s="10"/>
      <c r="D32" s="4"/>
      <c r="E32" s="4"/>
      <c r="F32" s="9"/>
      <c r="G32" s="4"/>
      <c r="H32" s="4"/>
      <c r="I32" s="4"/>
      <c r="J32" s="9"/>
      <c r="K32" s="4"/>
      <c r="L32" s="4"/>
      <c r="M32" s="4"/>
      <c r="N32" s="9"/>
      <c r="P32" s="4"/>
      <c r="Q32" s="4"/>
      <c r="R32" s="9"/>
      <c r="S32" s="4"/>
      <c r="T32" s="4"/>
      <c r="U32" s="4"/>
      <c r="V32" s="9"/>
      <c r="W32" s="4"/>
      <c r="X32" s="4"/>
      <c r="Y32" s="4"/>
      <c r="Z32" s="9"/>
    </row>
    <row r="33" spans="1:26" s="63" customFormat="1" ht="15" customHeight="1" x14ac:dyDescent="0.3">
      <c r="A33" s="49"/>
      <c r="B33" s="11" t="s">
        <v>295</v>
      </c>
      <c r="C33" s="11"/>
      <c r="D33" s="5" t="e">
        <f ca="1">-_xll.ONESTOP.REPORTPLAYER.OSRFUNCTIONS.OSRGET("GL_F_Trans","Value1")</f>
        <v>#NAME?</v>
      </c>
      <c r="E33" s="5"/>
      <c r="F33" s="13" t="e">
        <f ca="1">IF(D$12=0,0,D33/D$12)</f>
        <v>#NAME?</v>
      </c>
      <c r="G33" s="5"/>
      <c r="H33" s="5" t="e">
        <f ca="1">-_xll.ONESTOP.REPORTPLAYER.OSRFUNCTIONS.OSRGET("GL_F_Trans","Value1")</f>
        <v>#NAME?</v>
      </c>
      <c r="I33" s="5"/>
      <c r="J33" s="13" t="e">
        <f ca="1">IF(H$12=0,0,H33/H$12)</f>
        <v>#NAME?</v>
      </c>
      <c r="K33" s="5"/>
      <c r="L33" s="5" t="e">
        <f ca="1">+D33-H33</f>
        <v>#NAME?</v>
      </c>
      <c r="M33" s="5"/>
      <c r="N33" s="13" t="e">
        <f ca="1">IF(H33=0,0,L33/H33)</f>
        <v>#NAME?</v>
      </c>
      <c r="O33" s="11"/>
      <c r="P33" s="5" t="e">
        <f ca="1">-_xll.ONESTOP.REPORTPLAYER.OSRFUNCTIONS.OSRGET("GL_F_Trans","Value1")</f>
        <v>#NAME?</v>
      </c>
      <c r="Q33" s="5"/>
      <c r="R33" s="13" t="e">
        <f ca="1">IF(P$12=0,0,P33/P$12)</f>
        <v>#NAME?</v>
      </c>
      <c r="S33" s="5"/>
      <c r="T33" s="5" t="e">
        <f ca="1">-_xll.ONESTOP.REPORTPLAYER.OSRFUNCTIONS.OSRGET("GL_F_Trans","Value1")</f>
        <v>#NAME?</v>
      </c>
      <c r="U33" s="5"/>
      <c r="V33" s="13" t="e">
        <f ca="1">IF(T$12=0,0,T33/T$12)</f>
        <v>#NAME?</v>
      </c>
      <c r="W33" s="5"/>
      <c r="X33" s="5" t="e">
        <f ca="1">+P33-T33</f>
        <v>#NAME?</v>
      </c>
      <c r="Y33" s="5"/>
      <c r="Z33" s="13" t="e">
        <f ca="1">IF(T33=0,0,X33/T33)</f>
        <v>#NAME?</v>
      </c>
    </row>
    <row r="34" spans="1:26" s="63" customFormat="1" ht="15" customHeight="1" x14ac:dyDescent="0.3">
      <c r="A34" s="49"/>
      <c r="B34" s="11" t="s">
        <v>296</v>
      </c>
      <c r="C34" s="11"/>
      <c r="D34" s="5" t="e">
        <f ca="1">-_xll.ONESTOP.REPORTPLAYER.OSRFUNCTIONS.OSRGET("GL_F_Trans","Value1")</f>
        <v>#NAME?</v>
      </c>
      <c r="E34" s="5"/>
      <c r="F34" s="13" t="e">
        <f ca="1">IF(D$12=0,0,D34/D$12)</f>
        <v>#NAME?</v>
      </c>
      <c r="G34" s="5"/>
      <c r="H34" s="5" t="e">
        <f ca="1">-_xll.ONESTOP.REPORTPLAYER.OSRFUNCTIONS.OSRGET("GL_F_Trans","Value1")</f>
        <v>#NAME?</v>
      </c>
      <c r="I34" s="5"/>
      <c r="J34" s="13" t="e">
        <f ca="1">IF(H$12=0,0,H34/H$12)</f>
        <v>#NAME?</v>
      </c>
      <c r="K34" s="5"/>
      <c r="L34" s="5" t="e">
        <f ca="1">+D34-H34</f>
        <v>#NAME?</v>
      </c>
      <c r="M34" s="5"/>
      <c r="N34" s="13" t="e">
        <f ca="1">IF(H34=0,0,L34/H34)</f>
        <v>#NAME?</v>
      </c>
      <c r="O34" s="11"/>
      <c r="P34" s="5" t="e">
        <f ca="1">-_xll.ONESTOP.REPORTPLAYER.OSRFUNCTIONS.OSRGET("GL_F_Trans","Value1")</f>
        <v>#NAME?</v>
      </c>
      <c r="Q34" s="5"/>
      <c r="R34" s="13" t="e">
        <f ca="1">IF(P$12=0,0,P34/P$12)</f>
        <v>#NAME?</v>
      </c>
      <c r="S34" s="5"/>
      <c r="T34" s="5" t="e">
        <f ca="1">-_xll.ONESTOP.REPORTPLAYER.OSRFUNCTIONS.OSRGET("GL_F_Trans","Value1")</f>
        <v>#NAME?</v>
      </c>
      <c r="U34" s="5"/>
      <c r="V34" s="13" t="e">
        <f ca="1">IF(T$12=0,0,T34/T$12)</f>
        <v>#NAME?</v>
      </c>
      <c r="W34" s="5"/>
      <c r="X34" s="5" t="e">
        <f ca="1">+P34-T34</f>
        <v>#NAME?</v>
      </c>
      <c r="Y34" s="5"/>
      <c r="Z34" s="13" t="e">
        <f ca="1">IF(T34=0,0,X34/T34)</f>
        <v>#NAME?</v>
      </c>
    </row>
    <row r="35" spans="1:26" ht="15" customHeight="1" x14ac:dyDescent="0.3">
      <c r="A35" s="10"/>
      <c r="B35" s="10"/>
      <c r="C35" s="10"/>
      <c r="D35" s="4"/>
      <c r="E35" s="4"/>
      <c r="F35" s="9"/>
      <c r="G35" s="4"/>
      <c r="H35" s="4"/>
      <c r="I35" s="4"/>
      <c r="J35" s="9"/>
      <c r="K35" s="4"/>
      <c r="L35" s="4"/>
      <c r="M35" s="4"/>
      <c r="N35" s="9"/>
      <c r="P35" s="4"/>
      <c r="Q35" s="4"/>
      <c r="R35" s="9"/>
      <c r="S35" s="4"/>
      <c r="T35" s="4"/>
      <c r="U35" s="4"/>
      <c r="V35" s="9"/>
      <c r="W35" s="4"/>
      <c r="X35" s="4"/>
      <c r="Y35" s="4"/>
      <c r="Z35" s="9"/>
    </row>
    <row r="36" spans="1:26" s="63" customFormat="1" ht="15" customHeight="1" x14ac:dyDescent="0.3">
      <c r="A36" s="11"/>
      <c r="B36" s="27" t="s">
        <v>297</v>
      </c>
      <c r="C36" s="27"/>
      <c r="D36" s="32" t="e">
        <f ca="1">SUM(D31:D35)</f>
        <v>#NAME?</v>
      </c>
      <c r="E36" s="15"/>
      <c r="F36" s="31" t="e">
        <f ca="1">IF(D$12=0,0,D36/D$12)</f>
        <v>#NAME?</v>
      </c>
      <c r="G36" s="15"/>
      <c r="H36" s="32" t="e">
        <f ca="1">SUM(H31:H35)</f>
        <v>#NAME?</v>
      </c>
      <c r="I36" s="15"/>
      <c r="J36" s="31" t="e">
        <f ca="1">IF(H$12=0,0,H36/H$12)</f>
        <v>#NAME?</v>
      </c>
      <c r="K36" s="16"/>
      <c r="L36" s="32" t="e">
        <f ca="1">+D36-H36</f>
        <v>#NAME?</v>
      </c>
      <c r="M36" s="16"/>
      <c r="N36" s="31" t="e">
        <f ca="1">IF(H36=0,0,L36/H36)</f>
        <v>#NAME?</v>
      </c>
      <c r="O36" s="28"/>
      <c r="P36" s="32" t="e">
        <f ca="1">SUM(P31:P35)</f>
        <v>#NAME?</v>
      </c>
      <c r="Q36" s="15"/>
      <c r="R36" s="31" t="e">
        <f ca="1">IF(P$12=0,0,P36/P$12)</f>
        <v>#NAME?</v>
      </c>
      <c r="S36" s="15"/>
      <c r="T36" s="32" t="e">
        <f ca="1">SUM(T31:T35)</f>
        <v>#NAME?</v>
      </c>
      <c r="U36" s="15"/>
      <c r="V36" s="31" t="e">
        <f ca="1">IF(T$12=0,0,T36/T$12)</f>
        <v>#NAME?</v>
      </c>
      <c r="W36" s="16"/>
      <c r="X36" s="32" t="e">
        <f ca="1">+P36-T36</f>
        <v>#NAME?</v>
      </c>
      <c r="Y36" s="16"/>
      <c r="Z36" s="31" t="e">
        <f ca="1">IF(T36=0,0,X36/T36)</f>
        <v>#NAME?</v>
      </c>
    </row>
    <row r="37" spans="1:26" ht="15" customHeight="1" x14ac:dyDescent="0.3">
      <c r="A37" s="10"/>
      <c r="C37" s="10"/>
      <c r="D37" s="19"/>
      <c r="E37" s="19"/>
      <c r="G37" s="19"/>
      <c r="H37" s="19"/>
      <c r="I37" s="19"/>
      <c r="J37" s="40"/>
      <c r="K37" s="19"/>
      <c r="L37" s="19"/>
      <c r="M37" s="19"/>
      <c r="P37" s="19"/>
      <c r="Q37" s="19"/>
      <c r="R37" s="40"/>
      <c r="S37" s="19"/>
      <c r="T37" s="19"/>
      <c r="U37" s="19"/>
      <c r="V37" s="40"/>
      <c r="W37" s="19"/>
      <c r="X37" s="19"/>
    </row>
    <row r="38" spans="1:26" ht="15" customHeight="1" x14ac:dyDescent="0.3">
      <c r="A38" s="10"/>
      <c r="B38" s="51" t="e">
        <f ca="1">_xll.ONESTOP.REPORTPLAYER.OSRFUNCTIONS.OSRGET("CurrentDate","Date")</f>
        <v>#NAME?</v>
      </c>
      <c r="D38" s="19"/>
      <c r="E38" s="19"/>
      <c r="G38" s="19"/>
      <c r="H38" s="19"/>
      <c r="I38" s="19"/>
      <c r="J38" s="40"/>
      <c r="K38" s="19"/>
      <c r="L38" s="19"/>
      <c r="M38" s="19"/>
      <c r="P38" s="19"/>
      <c r="Q38" s="19"/>
      <c r="R38" s="40"/>
      <c r="S38" s="19"/>
      <c r="T38" s="19"/>
      <c r="U38" s="19"/>
      <c r="V38" s="40"/>
      <c r="W38" s="19"/>
      <c r="X38" s="19"/>
    </row>
    <row r="39" spans="1:26" ht="15" customHeight="1" x14ac:dyDescent="0.3">
      <c r="A39" s="10"/>
      <c r="B39" s="58" t="e">
        <f ca="1">_xll.ONESTOP.REPORTPLAYER.OSRFUNCTIONS.OSRGET("User","UserId")</f>
        <v>#NAME?</v>
      </c>
      <c r="D39" s="19"/>
      <c r="E39" s="19"/>
      <c r="G39" s="19"/>
      <c r="H39" s="19"/>
      <c r="I39" s="19"/>
      <c r="J39" s="40"/>
      <c r="K39" s="19"/>
      <c r="L39" s="19"/>
      <c r="M39" s="19"/>
      <c r="P39" s="19"/>
      <c r="Q39" s="19"/>
      <c r="R39" s="40"/>
      <c r="S39" s="19"/>
      <c r="T39" s="19"/>
      <c r="U39" s="19"/>
      <c r="V39" s="40"/>
      <c r="W39" s="19"/>
      <c r="X39" s="19"/>
    </row>
    <row r="40" spans="1:26" ht="15" customHeight="1" x14ac:dyDescent="0.3">
      <c r="A40" s="10"/>
      <c r="B40" s="50"/>
      <c r="D40" s="19"/>
      <c r="E40" s="19"/>
      <c r="G40" s="19"/>
      <c r="H40" s="19"/>
      <c r="I40" s="19"/>
      <c r="J40" s="40"/>
      <c r="K40" s="19"/>
      <c r="L40" s="19"/>
      <c r="M40" s="19"/>
      <c r="P40" s="19"/>
      <c r="Q40" s="19"/>
      <c r="R40" s="40"/>
      <c r="S40" s="19"/>
      <c r="T40" s="19"/>
      <c r="U40" s="19"/>
      <c r="V40" s="40"/>
      <c r="W40" s="19"/>
      <c r="X40" s="19"/>
    </row>
    <row r="41" spans="1:26" ht="15" customHeight="1" x14ac:dyDescent="0.3">
      <c r="D41" s="19"/>
      <c r="E41" s="19"/>
      <c r="G41" s="19"/>
      <c r="H41" s="19"/>
      <c r="I41" s="19"/>
      <c r="J41" s="40"/>
      <c r="K41" s="19"/>
      <c r="L41" s="19"/>
      <c r="M41" s="19"/>
      <c r="P41" s="19"/>
      <c r="Q41" s="19"/>
      <c r="R41" s="40"/>
      <c r="S41" s="19"/>
      <c r="T41" s="19"/>
      <c r="U41" s="19"/>
      <c r="V41" s="40"/>
      <c r="W41" s="19"/>
      <c r="X41" s="19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18822F-C239-334A-3E14-060C4B2BECAC}">
  <sheetPr>
    <tabColor rgb="FFFFC000"/>
    <outlinePr summaryBelow="0" summaryRight="0"/>
  </sheetPr>
  <dimension ref="A2:Z41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6" customWidth="1"/>
    <col min="2" max="2" width="33.44140625" style="66" customWidth="1"/>
    <col min="3" max="3" width="1.88671875" style="66" customWidth="1"/>
    <col min="4" max="4" width="15" style="66" customWidth="1"/>
    <col min="5" max="5" width="1.88671875" style="66" customWidth="1" outlineLevel="1"/>
    <col min="6" max="6" width="15" style="67" customWidth="1" outlineLevel="1"/>
    <col min="7" max="7" width="1.88671875" style="66" customWidth="1" outlineLevel="1"/>
    <col min="8" max="8" width="15" style="66" customWidth="1" outlineLevel="1"/>
    <col min="9" max="9" width="1.88671875" style="66" customWidth="1" outlineLevel="1"/>
    <col min="10" max="10" width="15" style="68" customWidth="1" outlineLevel="1"/>
    <col min="11" max="11" width="1.88671875" style="66" customWidth="1" outlineLevel="1"/>
    <col min="12" max="12" width="15" style="66" customWidth="1" outlineLevel="1"/>
    <col min="13" max="13" width="1.88671875" style="66" customWidth="1" outlineLevel="1"/>
    <col min="14" max="14" width="15" style="67" customWidth="1" outlineLevel="1"/>
    <col min="15" max="15" width="1.88671875" style="64" customWidth="1"/>
    <col min="16" max="16" width="15" style="66" customWidth="1"/>
    <col min="17" max="17" width="1.88671875" style="66" customWidth="1" outlineLevel="1"/>
    <col min="18" max="18" width="15" style="68" customWidth="1" outlineLevel="1"/>
    <col min="19" max="19" width="1.88671875" style="66" customWidth="1" outlineLevel="1"/>
    <col min="20" max="20" width="15" style="66" customWidth="1" outlineLevel="1"/>
    <col min="21" max="21" width="1.88671875" style="66" customWidth="1" outlineLevel="1"/>
    <col min="22" max="22" width="15" style="68" customWidth="1" outlineLevel="1"/>
    <col min="23" max="23" width="1.88671875" style="66" customWidth="1" outlineLevel="1"/>
    <col min="24" max="24" width="15" style="66" customWidth="1" outlineLevel="1"/>
    <col min="25" max="25" width="1.88671875" style="66" customWidth="1" outlineLevel="1"/>
    <col min="26" max="26" width="15" style="68" customWidth="1" outlineLevel="1"/>
  </cols>
  <sheetData>
    <row r="2" spans="1:26" ht="15" customHeight="1" x14ac:dyDescent="0.3">
      <c r="D2" s="54" t="s">
        <v>276</v>
      </c>
    </row>
    <row r="3" spans="1:26" ht="15" customHeight="1" x14ac:dyDescent="0.3">
      <c r="D3" s="54" t="s">
        <v>277</v>
      </c>
      <c r="E3" s="18"/>
      <c r="F3" s="44"/>
      <c r="G3" s="18"/>
      <c r="H3" s="18"/>
      <c r="I3" s="18"/>
      <c r="J3" s="38"/>
      <c r="K3" s="18"/>
      <c r="L3" s="18"/>
      <c r="M3" s="18"/>
      <c r="N3" s="44"/>
      <c r="O3" s="53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ht="15" customHeight="1" x14ac:dyDescent="0.3">
      <c r="D4" s="54" t="e">
        <f ca="1">CONCATENATE("Period ",RIGHT(_xll.ONESTOP.REPORTPLAYER.OSRFUNCTIONS.OSRGET("Period","PeriodId"),2),", ",_xll.ONESTOP.REPORTPLAYER.OSRFUNCTIONS.OSRGET("Period","Year"))</f>
        <v>#NAME?</v>
      </c>
      <c r="E4" s="18"/>
      <c r="F4" s="44"/>
      <c r="G4" s="18"/>
      <c r="H4" s="18"/>
      <c r="I4" s="18"/>
      <c r="J4" s="38"/>
      <c r="K4" s="18"/>
      <c r="L4" s="18"/>
      <c r="M4" s="18"/>
      <c r="N4" s="44"/>
      <c r="O4" s="53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ht="15" customHeight="1" x14ac:dyDescent="0.3">
      <c r="A5" s="24"/>
      <c r="D5" s="61" t="e">
        <f ca="1">_xll.ONESTOP.REPORTPLAYER.OSRFUNCTIONS.OSRGET("Period","PeriodEnd")</f>
        <v>#NAME?</v>
      </c>
      <c r="E5" s="18"/>
      <c r="F5" s="44"/>
      <c r="G5" s="18"/>
      <c r="H5" s="18"/>
      <c r="I5" s="18"/>
      <c r="J5" s="38"/>
      <c r="K5" s="18"/>
      <c r="L5" s="18"/>
      <c r="M5" s="18"/>
      <c r="N5" s="44"/>
      <c r="O5" s="53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ht="15" customHeight="1" x14ac:dyDescent="0.3">
      <c r="A6" s="24"/>
      <c r="B6" s="47"/>
      <c r="C6" s="47"/>
      <c r="D6" s="24" t="s">
        <v>314</v>
      </c>
      <c r="E6" s="18"/>
      <c r="F6" s="44"/>
      <c r="G6" s="18"/>
      <c r="H6" s="18"/>
      <c r="I6" s="18"/>
      <c r="J6" s="38"/>
      <c r="K6" s="18"/>
      <c r="L6" s="18"/>
      <c r="M6" s="18"/>
      <c r="N6" s="44"/>
      <c r="O6" s="59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ht="15" customHeight="1" x14ac:dyDescent="0.3">
      <c r="B7" s="52"/>
    </row>
    <row r="8" spans="1:26" ht="15" customHeight="1" x14ac:dyDescent="0.3">
      <c r="B8" s="52"/>
    </row>
    <row r="9" spans="1:26" ht="15" customHeight="1" x14ac:dyDescent="0.3">
      <c r="B9" s="10"/>
      <c r="C9" s="10"/>
      <c r="D9" s="17" t="s">
        <v>279</v>
      </c>
      <c r="E9" s="17"/>
      <c r="F9" s="36"/>
      <c r="G9" s="17"/>
      <c r="H9" s="17"/>
      <c r="I9" s="17"/>
      <c r="J9" s="43"/>
      <c r="K9" s="17"/>
      <c r="L9" s="17"/>
      <c r="M9" s="17"/>
      <c r="N9" s="36"/>
      <c r="P9" s="17" t="s">
        <v>280</v>
      </c>
      <c r="Q9" s="17"/>
      <c r="R9" s="36"/>
      <c r="S9" s="17"/>
      <c r="T9" s="17"/>
      <c r="U9" s="17"/>
      <c r="V9" s="43"/>
      <c r="W9" s="17"/>
      <c r="X9" s="17"/>
      <c r="Y9" s="17"/>
      <c r="Z9" s="36"/>
    </row>
    <row r="10" spans="1:26" ht="15" customHeight="1" x14ac:dyDescent="0.3">
      <c r="A10" s="11"/>
      <c r="B10" s="57"/>
      <c r="C10" s="11"/>
      <c r="D10" s="41" t="s">
        <v>281</v>
      </c>
      <c r="E10" s="33"/>
      <c r="F10" s="37" t="s">
        <v>282</v>
      </c>
      <c r="G10" s="33"/>
      <c r="H10" s="48" t="s">
        <v>283</v>
      </c>
      <c r="I10" s="33"/>
      <c r="J10" s="45" t="s">
        <v>284</v>
      </c>
      <c r="K10" s="11"/>
      <c r="L10" s="41" t="s">
        <v>285</v>
      </c>
      <c r="M10" s="11"/>
      <c r="N10" s="37" t="s">
        <v>286</v>
      </c>
      <c r="O10" s="11"/>
      <c r="P10" s="56" t="s">
        <v>281</v>
      </c>
      <c r="Q10" s="33"/>
      <c r="R10" s="37" t="s">
        <v>282</v>
      </c>
      <c r="S10" s="33"/>
      <c r="T10" s="48" t="s">
        <v>283</v>
      </c>
      <c r="U10" s="33"/>
      <c r="V10" s="45" t="s">
        <v>284</v>
      </c>
      <c r="W10" s="11"/>
      <c r="X10" s="41" t="s">
        <v>285</v>
      </c>
      <c r="Y10" s="11"/>
      <c r="Z10" s="37" t="s">
        <v>286</v>
      </c>
    </row>
    <row r="11" spans="1:26" ht="16.5" customHeight="1" x14ac:dyDescent="0.3">
      <c r="A11" s="10"/>
      <c r="B11" s="55"/>
      <c r="C11" s="10"/>
      <c r="D11" s="10"/>
      <c r="E11" s="10"/>
      <c r="F11" s="9"/>
      <c r="G11" s="10"/>
      <c r="H11" s="10"/>
      <c r="I11" s="10"/>
      <c r="J11" s="46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6"/>
      <c r="W11" s="10"/>
      <c r="X11" s="10"/>
      <c r="Y11" s="10"/>
      <c r="Z11" s="9"/>
    </row>
    <row r="12" spans="1:26" s="63" customFormat="1" ht="15" customHeight="1" collapsed="1" x14ac:dyDescent="0.3">
      <c r="A12" s="11"/>
      <c r="B12" s="28" t="s">
        <v>287</v>
      </c>
      <c r="C12" s="11"/>
      <c r="D12" s="5" t="e">
        <f ca="1">SUM(_xll.ONESTOP.REPORTPLAYER.OSRFUNCTIONS.OSRREF(D13))</f>
        <v>#NAME?</v>
      </c>
      <c r="E12" s="5"/>
      <c r="F12" s="13"/>
      <c r="G12" s="5"/>
      <c r="H12" s="5" t="e">
        <f ca="1">SUM(_xll.ONESTOP.REPORTPLAYER.OSRFUNCTIONS.OSRREF(H13))</f>
        <v>#NAME?</v>
      </c>
      <c r="I12" s="5"/>
      <c r="J12" s="13"/>
      <c r="K12" s="5"/>
      <c r="L12" s="5" t="e">
        <f ca="1">+D12-H12</f>
        <v>#NAME?</v>
      </c>
      <c r="M12" s="5"/>
      <c r="N12" s="13" t="e">
        <f ca="1">IF(H12=0,0,L12/H12)</f>
        <v>#NAME?</v>
      </c>
      <c r="O12" s="11"/>
      <c r="P12" s="5" t="e">
        <f ca="1">SUM(_xll.ONESTOP.REPORTPLAYER.OSRFUNCTIONS.OSRREF(P13))</f>
        <v>#NAME?</v>
      </c>
      <c r="Q12" s="5"/>
      <c r="R12" s="13"/>
      <c r="S12" s="5"/>
      <c r="T12" s="5" t="e">
        <f ca="1">SUM(_xll.ONESTOP.REPORTPLAYER.OSRFUNCTIONS.OSRREF(T13))</f>
        <v>#NAME?</v>
      </c>
      <c r="U12" s="5"/>
      <c r="V12" s="13"/>
      <c r="W12" s="5"/>
      <c r="X12" s="5" t="e">
        <f ca="1">+P12-T12</f>
        <v>#NAME?</v>
      </c>
      <c r="Y12" s="5"/>
      <c r="Z12" s="13" t="e">
        <f ca="1">IF(T12=0,0,X12/T12)</f>
        <v>#NAME?</v>
      </c>
    </row>
    <row r="13" spans="1:26" s="70" customFormat="1" ht="15" hidden="1" customHeight="1" outlineLevel="1" x14ac:dyDescent="0.3">
      <c r="A13" s="42"/>
      <c r="B13" s="12" t="e">
        <f ca="1">CONCATENATE("          ",_xll.ONESTOP.REPORTPLAYER.OSRFUNCTIONS.OSRGET("d_Account","Code")," - ",_xll.ONESTOP.REPORTPLAYER.OSRFUNCTIONS.OSRGET("d_Account","Description"))</f>
        <v>#NAME?</v>
      </c>
      <c r="C13" s="12"/>
      <c r="D13" s="3" t="e">
        <f ca="1">-_xll.ONESTOP.REPORTPLAYER.OSRFUNCTIONS.OSRGET("GL_F_Trans","Value1")</f>
        <v>#NAME?</v>
      </c>
      <c r="E13" s="3"/>
      <c r="F13" s="20"/>
      <c r="G13" s="3"/>
      <c r="H13" s="3" t="e">
        <f ca="1">_xll.ONESTOP.REPORTPLAYER.OSRFUNCTIONS.OSRGET("GL_F_Trans","Value1")</f>
        <v>#NAME?</v>
      </c>
      <c r="I13" s="3"/>
      <c r="J13" s="20"/>
      <c r="K13" s="3"/>
      <c r="L13" s="3" t="e">
        <f ca="1">+D13-H13</f>
        <v>#NAME?</v>
      </c>
      <c r="M13" s="3"/>
      <c r="N13" s="20" t="e">
        <f ca="1">IF(H13=0,0,L13/H13)</f>
        <v>#NAME?</v>
      </c>
      <c r="O13" s="12"/>
      <c r="P13" s="3" t="e">
        <f ca="1">-_xll.ONESTOP.REPORTPLAYER.OSRFUNCTIONS.OSRGET("GL_F_Trans","Value1")</f>
        <v>#NAME?</v>
      </c>
      <c r="Q13" s="3"/>
      <c r="R13" s="20"/>
      <c r="S13" s="3"/>
      <c r="T13" s="3" t="e">
        <f ca="1">_xll.ONESTOP.REPORTPLAYER.OSRFUNCTIONS.OSRGET("GL_F_Trans","Value1")</f>
        <v>#NAME?</v>
      </c>
      <c r="U13" s="3"/>
      <c r="V13" s="20"/>
      <c r="W13" s="3"/>
      <c r="X13" s="3" t="e">
        <f ca="1">+P13-T13</f>
        <v>#NAME?</v>
      </c>
      <c r="Y13" s="3"/>
      <c r="Z13" s="20" t="e">
        <f ca="1">IF(T13=0,0,X13/T13)</f>
        <v>#NAME?</v>
      </c>
    </row>
    <row r="14" spans="1:26" ht="15" customHeight="1" x14ac:dyDescent="0.3">
      <c r="A14" s="10"/>
      <c r="B14" s="11"/>
      <c r="C14" s="10"/>
      <c r="D14" s="4"/>
      <c r="E14" s="4"/>
      <c r="F14" s="9"/>
      <c r="G14" s="4"/>
      <c r="H14" s="4"/>
      <c r="I14" s="4"/>
      <c r="J14" s="9"/>
      <c r="K14" s="4"/>
      <c r="L14" s="4"/>
      <c r="M14" s="4"/>
      <c r="N14" s="9"/>
      <c r="P14" s="4"/>
      <c r="Q14" s="4"/>
      <c r="R14" s="9"/>
      <c r="S14" s="4"/>
      <c r="T14" s="4"/>
      <c r="U14" s="4"/>
      <c r="V14" s="9"/>
      <c r="W14" s="4"/>
      <c r="X14" s="4"/>
      <c r="Y14" s="4"/>
      <c r="Z14" s="9"/>
    </row>
    <row r="15" spans="1:26" s="63" customFormat="1" ht="15" customHeight="1" collapsed="1" x14ac:dyDescent="0.3">
      <c r="A15" s="11"/>
      <c r="B15" s="28" t="s">
        <v>288</v>
      </c>
      <c r="C15" s="11"/>
      <c r="D15" s="5" t="e">
        <f ca="1">SUM(_xll.ONESTOP.REPORTPLAYER.OSRFUNCTIONS.OSRREF(D16))</f>
        <v>#NAME?</v>
      </c>
      <c r="E15" s="5"/>
      <c r="F15" s="13" t="e">
        <f ca="1">IF(D$12=0,0,D15/D$12)</f>
        <v>#NAME?</v>
      </c>
      <c r="G15" s="5"/>
      <c r="H15" s="5" t="e">
        <f ca="1">SUM(_xll.ONESTOP.REPORTPLAYER.OSRFUNCTIONS.OSRREF(H16))</f>
        <v>#NAME?</v>
      </c>
      <c r="I15" s="5"/>
      <c r="J15" s="13" t="e">
        <f ca="1">IF(H$12=0,0,H15/H$12)</f>
        <v>#NAME?</v>
      </c>
      <c r="K15" s="5"/>
      <c r="L15" s="5" t="e">
        <f ca="1">+D15-H15</f>
        <v>#NAME?</v>
      </c>
      <c r="M15" s="5"/>
      <c r="N15" s="13" t="e">
        <f ca="1">IF(H15=0,0,L15/H15)</f>
        <v>#NAME?</v>
      </c>
      <c r="O15" s="11"/>
      <c r="P15" s="5" t="e">
        <f ca="1">SUM(_xll.ONESTOP.REPORTPLAYER.OSRFUNCTIONS.OSRREF(P16))</f>
        <v>#NAME?</v>
      </c>
      <c r="Q15" s="5"/>
      <c r="R15" s="13" t="e">
        <f ca="1">IF(P$12=0,0,P15/P$12)</f>
        <v>#NAME?</v>
      </c>
      <c r="S15" s="5"/>
      <c r="T15" s="5" t="e">
        <f ca="1">SUM(_xll.ONESTOP.REPORTPLAYER.OSRFUNCTIONS.OSRREF(T16))</f>
        <v>#NAME?</v>
      </c>
      <c r="U15" s="5"/>
      <c r="V15" s="13" t="e">
        <f ca="1">IF(T$12=0,0,T15/T$12)</f>
        <v>#NAME?</v>
      </c>
      <c r="W15" s="5"/>
      <c r="X15" s="5" t="e">
        <f ca="1">+P15-T15</f>
        <v>#NAME?</v>
      </c>
      <c r="Y15" s="5"/>
      <c r="Z15" s="13" t="e">
        <f ca="1">IF(T15=0,0,X15/T15)</f>
        <v>#NAME?</v>
      </c>
    </row>
    <row r="16" spans="1:26" s="70" customFormat="1" ht="15" hidden="1" customHeight="1" outlineLevel="1" x14ac:dyDescent="0.3">
      <c r="A16" s="42"/>
      <c r="B16" s="12" t="e">
        <f ca="1">CONCATENATE("          ",_xll.ONESTOP.REPORTPLAYER.OSRFUNCTIONS.OSRGET("d_Account","Code")," - ",_xll.ONESTOP.REPORTPLAYER.OSRFUNCTIONS.OSRGET("d_Account","Description"))</f>
        <v>#NAME?</v>
      </c>
      <c r="C16" s="12"/>
      <c r="D16" s="3" t="e">
        <f ca="1">_xll.ONESTOP.REPORTPLAYER.OSRFUNCTIONS.OSRGET("GL_F_Trans","Value1")</f>
        <v>#NAME?</v>
      </c>
      <c r="E16" s="3"/>
      <c r="F16" s="20" t="e">
        <f ca="1">IF(D$12=0,0,D16/D$12)</f>
        <v>#NAME?</v>
      </c>
      <c r="G16" s="3"/>
      <c r="H16" s="3" t="e">
        <f ca="1">_xll.ONESTOP.REPORTPLAYER.OSRFUNCTIONS.OSRGET("GL_F_Trans","Value1")</f>
        <v>#NAME?</v>
      </c>
      <c r="I16" s="3"/>
      <c r="J16" s="20" t="e">
        <f ca="1">IF(H$12=0,0,H16/H$12)</f>
        <v>#NAME?</v>
      </c>
      <c r="K16" s="3"/>
      <c r="L16" s="3" t="e">
        <f ca="1">+D16-H16</f>
        <v>#NAME?</v>
      </c>
      <c r="M16" s="3"/>
      <c r="N16" s="20" t="e">
        <f ca="1">IF(H16=0,0,L16/H16)</f>
        <v>#NAME?</v>
      </c>
      <c r="O16" s="12"/>
      <c r="P16" s="3" t="e">
        <f ca="1">_xll.ONESTOP.REPORTPLAYER.OSRFUNCTIONS.OSRGET("GL_F_Trans","Value1")</f>
        <v>#NAME?</v>
      </c>
      <c r="Q16" s="3"/>
      <c r="R16" s="20" t="e">
        <f ca="1">IF(P$12=0,0,P16/P$12)</f>
        <v>#NAME?</v>
      </c>
      <c r="S16" s="3"/>
      <c r="T16" s="3" t="e">
        <f ca="1">_xll.ONESTOP.REPORTPLAYER.OSRFUNCTIONS.OSRGET("GL_F_Trans","Value1")</f>
        <v>#NAME?</v>
      </c>
      <c r="U16" s="3"/>
      <c r="V16" s="20" t="e">
        <f ca="1">IF(T$12=0,0,T16/T$12)</f>
        <v>#NAME?</v>
      </c>
      <c r="W16" s="3"/>
      <c r="X16" s="3" t="e">
        <f ca="1">+P16-T16</f>
        <v>#NAME?</v>
      </c>
      <c r="Y16" s="3"/>
      <c r="Z16" s="20" t="e">
        <f ca="1">IF(T16=0,0,X16/T16)</f>
        <v>#NAME?</v>
      </c>
    </row>
    <row r="17" spans="1:26" ht="15" customHeight="1" x14ac:dyDescent="0.3">
      <c r="A17" s="10"/>
      <c r="B17" s="11"/>
      <c r="C17" s="11"/>
      <c r="D17" s="4"/>
      <c r="E17" s="4"/>
      <c r="F17" s="9"/>
      <c r="G17" s="4"/>
      <c r="H17" s="4"/>
      <c r="I17" s="4"/>
      <c r="J17" s="9"/>
      <c r="K17" s="4"/>
      <c r="L17" s="4"/>
      <c r="M17" s="4"/>
      <c r="N17" s="9"/>
      <c r="O17" s="11"/>
      <c r="P17" s="4"/>
      <c r="Q17" s="4"/>
      <c r="R17" s="9"/>
      <c r="S17" s="4"/>
      <c r="T17" s="4"/>
      <c r="U17" s="4"/>
      <c r="V17" s="9"/>
      <c r="W17" s="4"/>
      <c r="X17" s="4"/>
      <c r="Y17" s="4"/>
      <c r="Z17" s="9"/>
    </row>
    <row r="18" spans="1:26" s="63" customFormat="1" ht="15" customHeight="1" x14ac:dyDescent="0.3">
      <c r="A18" s="11"/>
      <c r="B18" s="27" t="s">
        <v>289</v>
      </c>
      <c r="C18" s="27"/>
      <c r="D18" s="21" t="e">
        <f ca="1">D12-D15</f>
        <v>#NAME?</v>
      </c>
      <c r="E18" s="15"/>
      <c r="F18" s="23" t="e">
        <f ca="1">IF(D$12=0,0,D18/D$12)</f>
        <v>#NAME?</v>
      </c>
      <c r="G18" s="15"/>
      <c r="H18" s="21" t="e">
        <f ca="1">H12-H15</f>
        <v>#NAME?</v>
      </c>
      <c r="I18" s="15"/>
      <c r="J18" s="23" t="e">
        <f ca="1">IF(H$12=0,0,H18/H$12)</f>
        <v>#NAME?</v>
      </c>
      <c r="K18" s="16"/>
      <c r="L18" s="21" t="e">
        <f ca="1">+D18-H18</f>
        <v>#NAME?</v>
      </c>
      <c r="M18" s="16"/>
      <c r="N18" s="23" t="e">
        <f ca="1">IF(H18=0,0,L18/H18)</f>
        <v>#NAME?</v>
      </c>
      <c r="O18" s="28"/>
      <c r="P18" s="21" t="e">
        <f ca="1">P12-P15</f>
        <v>#NAME?</v>
      </c>
      <c r="Q18" s="15"/>
      <c r="R18" s="23" t="e">
        <f ca="1">IF(P$12=0,0,P18/P$12)</f>
        <v>#NAME?</v>
      </c>
      <c r="S18" s="15"/>
      <c r="T18" s="21" t="e">
        <f ca="1">T12-T15</f>
        <v>#NAME?</v>
      </c>
      <c r="U18" s="15"/>
      <c r="V18" s="23" t="e">
        <f ca="1">IF(T$12=0,0,T18/T$12)</f>
        <v>#NAME?</v>
      </c>
      <c r="W18" s="16"/>
      <c r="X18" s="21" t="e">
        <f ca="1">+P18-T18</f>
        <v>#NAME?</v>
      </c>
      <c r="Y18" s="16"/>
      <c r="Z18" s="23" t="e">
        <f ca="1">IF(T18=0,0,X18/T18)</f>
        <v>#NAME?</v>
      </c>
    </row>
    <row r="19" spans="1:26" ht="15" customHeight="1" x14ac:dyDescent="0.3">
      <c r="A19" s="10"/>
      <c r="B19" s="11"/>
      <c r="C19" s="10"/>
      <c r="D19" s="2"/>
      <c r="E19" s="2"/>
      <c r="F19" s="6"/>
      <c r="G19" s="2"/>
      <c r="H19" s="2"/>
      <c r="I19" s="2"/>
      <c r="J19" s="6"/>
      <c r="K19" s="2"/>
      <c r="L19" s="2"/>
      <c r="M19" s="2"/>
      <c r="N19" s="6"/>
      <c r="O19" s="35"/>
      <c r="P19" s="2"/>
      <c r="Q19" s="2"/>
      <c r="R19" s="6"/>
      <c r="S19" s="2"/>
      <c r="T19" s="2"/>
      <c r="U19" s="2"/>
      <c r="V19" s="6"/>
      <c r="W19" s="2"/>
      <c r="X19" s="2"/>
      <c r="Y19" s="2"/>
      <c r="Z19" s="6"/>
    </row>
    <row r="20" spans="1:26" s="63" customFormat="1" ht="15" customHeight="1" x14ac:dyDescent="0.3">
      <c r="A20" s="11"/>
      <c r="B20" s="28" t="s">
        <v>290</v>
      </c>
      <c r="C20" s="11"/>
      <c r="D20" s="22" t="e">
        <f ca="1">SUM(_xll.ONESTOP.REPORTPLAYER.OSRFUNCTIONS.OSRREF(D22))</f>
        <v>#NAME?</v>
      </c>
      <c r="E20" s="22"/>
      <c r="F20" s="30" t="e">
        <f ca="1">IF(D$12=0,0,D20/D$12)</f>
        <v>#NAME?</v>
      </c>
      <c r="G20" s="22"/>
      <c r="H20" s="22" t="e">
        <f ca="1">SUM(_xll.ONESTOP.REPORTPLAYER.OSRFUNCTIONS.OSRREF(H22))</f>
        <v>#NAME?</v>
      </c>
      <c r="I20" s="22"/>
      <c r="J20" s="30" t="e">
        <f ca="1">IF(H$12=0,0,H20/H$12)</f>
        <v>#NAME?</v>
      </c>
      <c r="K20" s="5"/>
      <c r="L20" s="22" t="e">
        <f ca="1">+D20-H20</f>
        <v>#NAME?</v>
      </c>
      <c r="M20" s="5"/>
      <c r="N20" s="30" t="e">
        <f ca="1">IF(H20=0,0,L20/H20)</f>
        <v>#NAME?</v>
      </c>
      <c r="O20" s="11"/>
      <c r="P20" s="22" t="e">
        <f ca="1">SUM(_xll.ONESTOP.REPORTPLAYER.OSRFUNCTIONS.OSRREF(P22))</f>
        <v>#NAME?</v>
      </c>
      <c r="Q20" s="22"/>
      <c r="R20" s="30" t="e">
        <f ca="1">IF(P$12=0,0,P20/P$12)</f>
        <v>#NAME?</v>
      </c>
      <c r="S20" s="22"/>
      <c r="T20" s="22" t="e">
        <f ca="1">SUM(_xll.ONESTOP.REPORTPLAYER.OSRFUNCTIONS.OSRREF(T22))</f>
        <v>#NAME?</v>
      </c>
      <c r="U20" s="22"/>
      <c r="V20" s="30" t="e">
        <f ca="1">IF(T$12=0,0,T20/T$12)</f>
        <v>#NAME?</v>
      </c>
      <c r="W20" s="5"/>
      <c r="X20" s="22" t="e">
        <f ca="1">+P20-T20</f>
        <v>#NAME?</v>
      </c>
      <c r="Y20" s="5"/>
      <c r="Z20" s="30" t="e">
        <f ca="1">IF(T20=0,0,X20/T20)</f>
        <v>#NAME?</v>
      </c>
    </row>
    <row r="21" spans="1:26" s="69" customFormat="1" ht="15" customHeight="1" outlineLevel="1" collapsed="1" x14ac:dyDescent="0.3">
      <c r="A21" s="25"/>
      <c r="B21" s="14" t="e">
        <f ca="1">CONCATENATE("     ",_xll.ONESTOP.REPORTPLAYER.OSRFUNCTIONS.OSRGET("d_Account","AccountCategory"))</f>
        <v>#NAME?</v>
      </c>
      <c r="C21" s="14"/>
      <c r="D21" s="2" t="e">
        <f ca="1">SUM(_xll.ONESTOP.REPORTPLAYER.OSRFUNCTIONS.OSRREF(D22))</f>
        <v>#NAME?</v>
      </c>
      <c r="E21" s="2"/>
      <c r="F21" s="6" t="e">
        <f ca="1">IF(D$12=0,0,D21/D$12)</f>
        <v>#NAME?</v>
      </c>
      <c r="G21" s="2"/>
      <c r="H21" s="2" t="e">
        <f ca="1">SUM(_xll.ONESTOP.REPORTPLAYER.OSRFUNCTIONS.OSRREF(H22))</f>
        <v>#NAME?</v>
      </c>
      <c r="I21" s="2"/>
      <c r="J21" s="6" t="e">
        <f ca="1">IF(H$12=0,0,H21/H$12)</f>
        <v>#NAME?</v>
      </c>
      <c r="K21" s="2"/>
      <c r="L21" s="2" t="e">
        <f ca="1">+D21-H21</f>
        <v>#NAME?</v>
      </c>
      <c r="M21" s="2"/>
      <c r="N21" s="6" t="e">
        <f ca="1">IF(H21=0,0,L21/H21)</f>
        <v>#NAME?</v>
      </c>
      <c r="O21" s="14"/>
      <c r="P21" s="2" t="e">
        <f ca="1">SUM(_xll.ONESTOP.REPORTPLAYER.OSRFUNCTIONS.OSRREF(P22))</f>
        <v>#NAME?</v>
      </c>
      <c r="Q21" s="2"/>
      <c r="R21" s="6" t="e">
        <f ca="1">IF(P$12=0,0,P21/P$12)</f>
        <v>#NAME?</v>
      </c>
      <c r="S21" s="2"/>
      <c r="T21" s="2" t="e">
        <f ca="1">SUM(_xll.ONESTOP.REPORTPLAYER.OSRFUNCTIONS.OSRREF(T22))</f>
        <v>#NAME?</v>
      </c>
      <c r="U21" s="2"/>
      <c r="V21" s="6" t="e">
        <f ca="1">IF(T$12=0,0,T21/T$12)</f>
        <v>#NAME?</v>
      </c>
      <c r="W21" s="2"/>
      <c r="X21" s="2" t="e">
        <f ca="1">+P21-T21</f>
        <v>#NAME?</v>
      </c>
      <c r="Y21" s="2"/>
      <c r="Z21" s="6" t="e">
        <f ca="1">IF(T21=0,0,X21/T21)</f>
        <v>#NAME?</v>
      </c>
    </row>
    <row r="22" spans="1:26" s="70" customFormat="1" ht="15" hidden="1" customHeight="1" outlineLevel="2" x14ac:dyDescent="0.3">
      <c r="A22" s="26"/>
      <c r="B22" s="12" t="e">
        <f ca="1">CONCATENATE("          ",_xll.ONESTOP.REPORTPLAYER.OSRFUNCTIONS.OSRGET("d_Account","Code")," - ",_xll.ONESTOP.REPORTPLAYER.OSRFUNCTIONS.OSRGET("d_Account","Description"))</f>
        <v>#NAME?</v>
      </c>
      <c r="C22" s="12"/>
      <c r="D22" s="7" t="e">
        <f ca="1">_xll.ONESTOP.REPORTPLAYER.OSRFUNCTIONS.OSRGET("GL_F_Trans","Value1")</f>
        <v>#NAME?</v>
      </c>
      <c r="E22" s="3"/>
      <c r="F22" s="8" t="e">
        <f ca="1">IF(D$12=0,0,D22/D$12)</f>
        <v>#NAME?</v>
      </c>
      <c r="G22" s="3"/>
      <c r="H22" s="7" t="e">
        <f ca="1">_xll.ONESTOP.REPORTPLAYER.OSRFUNCTIONS.OSRGET("GL_F_Trans","Value1")</f>
        <v>#NAME?</v>
      </c>
      <c r="I22" s="3"/>
      <c r="J22" s="8" t="e">
        <f ca="1">IF(H$12=0,0,H22/H$12)</f>
        <v>#NAME?</v>
      </c>
      <c r="K22" s="3"/>
      <c r="L22" s="7" t="e">
        <f ca="1">+D22-H22</f>
        <v>#NAME?</v>
      </c>
      <c r="M22" s="3"/>
      <c r="N22" s="8" t="e">
        <f ca="1">IF(H22=0,0,L22/H22)</f>
        <v>#NAME?</v>
      </c>
      <c r="O22" s="12"/>
      <c r="P22" s="7" t="e">
        <f ca="1">_xll.ONESTOP.REPORTPLAYER.OSRFUNCTIONS.OSRGET("GL_F_Trans","Value1")</f>
        <v>#NAME?</v>
      </c>
      <c r="Q22" s="3"/>
      <c r="R22" s="8" t="e">
        <f ca="1">IF(P$12=0,0,P22/P$12)</f>
        <v>#NAME?</v>
      </c>
      <c r="S22" s="3"/>
      <c r="T22" s="7" t="e">
        <f ca="1">_xll.ONESTOP.REPORTPLAYER.OSRFUNCTIONS.OSRGET("GL_F_Trans","Value1")</f>
        <v>#NAME?</v>
      </c>
      <c r="U22" s="3"/>
      <c r="V22" s="8" t="e">
        <f ca="1">IF(T$12=0,0,T22/T$12)</f>
        <v>#NAME?</v>
      </c>
      <c r="W22" s="3"/>
      <c r="X22" s="7" t="e">
        <f ca="1">+P22-T22</f>
        <v>#NAME?</v>
      </c>
      <c r="Y22" s="3"/>
      <c r="Z22" s="8" t="e">
        <f ca="1">IF(T22=0,0,X22/T22)</f>
        <v>#NAME?</v>
      </c>
    </row>
    <row r="23" spans="1:26" s="65" customFormat="1" ht="15" customHeight="1" x14ac:dyDescent="0.3">
      <c r="A23" s="35"/>
      <c r="B23" s="35"/>
      <c r="C23" s="35"/>
      <c r="D23" s="2"/>
      <c r="E23" s="2"/>
      <c r="F23" s="6"/>
      <c r="G23" s="2"/>
      <c r="H23" s="2"/>
      <c r="I23" s="2"/>
      <c r="J23" s="6"/>
      <c r="K23" s="2"/>
      <c r="L23" s="2"/>
      <c r="M23" s="2"/>
      <c r="N23" s="6"/>
      <c r="O23" s="35"/>
      <c r="P23" s="2"/>
      <c r="Q23" s="2"/>
      <c r="R23" s="6"/>
      <c r="S23" s="2"/>
      <c r="T23" s="2"/>
      <c r="U23" s="2"/>
      <c r="V23" s="6"/>
      <c r="W23" s="2"/>
      <c r="X23" s="2"/>
      <c r="Y23" s="2"/>
      <c r="Z23" s="6"/>
    </row>
    <row r="24" spans="1:26" s="63" customFormat="1" ht="15" customHeight="1" collapsed="1" x14ac:dyDescent="0.3">
      <c r="A24" s="11"/>
      <c r="B24" s="28" t="s">
        <v>291</v>
      </c>
      <c r="C24" s="11"/>
      <c r="D24" s="5" t="e">
        <f ca="1">SUM(_xll.ONESTOP.REPORTPLAYER.OSRFUNCTIONS.OSRREF(D25))</f>
        <v>#NAME?</v>
      </c>
      <c r="E24" s="5"/>
      <c r="F24" s="13" t="e">
        <f ca="1">IF(D$12=0,0,D24/D$12)</f>
        <v>#NAME?</v>
      </c>
      <c r="G24" s="5"/>
      <c r="H24" s="5" t="e">
        <f ca="1">SUM(_xll.ONESTOP.REPORTPLAYER.OSRFUNCTIONS.OSRREF(H25))</f>
        <v>#NAME?</v>
      </c>
      <c r="I24" s="5"/>
      <c r="J24" s="13" t="e">
        <f ca="1">IF(H$12=0,0,H24/H$12)</f>
        <v>#NAME?</v>
      </c>
      <c r="K24" s="5"/>
      <c r="L24" s="5" t="e">
        <f ca="1">+D24-H24</f>
        <v>#NAME?</v>
      </c>
      <c r="M24" s="5"/>
      <c r="N24" s="13" t="e">
        <f ca="1">IF(H24=0,0,L24/H24)</f>
        <v>#NAME?</v>
      </c>
      <c r="O24" s="11"/>
      <c r="P24" s="5" t="e">
        <f ca="1">SUM(_xll.ONESTOP.REPORTPLAYER.OSRFUNCTIONS.OSRREF(P25))</f>
        <v>#NAME?</v>
      </c>
      <c r="Q24" s="5"/>
      <c r="R24" s="13" t="e">
        <f ca="1">IF(P$12=0,0,P24/P$12)</f>
        <v>#NAME?</v>
      </c>
      <c r="S24" s="5"/>
      <c r="T24" s="5" t="e">
        <f ca="1">SUM(_xll.ONESTOP.REPORTPLAYER.OSRFUNCTIONS.OSRREF(T25))</f>
        <v>#NAME?</v>
      </c>
      <c r="U24" s="5"/>
      <c r="V24" s="13" t="e">
        <f ca="1">IF(T$12=0,0,T24/T$12)</f>
        <v>#NAME?</v>
      </c>
      <c r="W24" s="5"/>
      <c r="X24" s="5" t="e">
        <f ca="1">+P24-T24</f>
        <v>#NAME?</v>
      </c>
      <c r="Y24" s="5"/>
      <c r="Z24" s="13" t="e">
        <f ca="1">IF(T24=0,0,X24/T24)</f>
        <v>#NAME?</v>
      </c>
    </row>
    <row r="25" spans="1:26" s="70" customFormat="1" ht="15" hidden="1" customHeight="1" outlineLevel="1" x14ac:dyDescent="0.3">
      <c r="A25" s="42"/>
      <c r="B25" s="12" t="e">
        <f ca="1">CONCATENATE("          ",_xll.ONESTOP.REPORTPLAYER.OSRFUNCTIONS.OSRGET("d_Account","Code")," - ",_xll.ONESTOP.REPORTPLAYER.OSRFUNCTIONS.OSRGET("d_Account","Description"))</f>
        <v>#NAME?</v>
      </c>
      <c r="C25" s="12"/>
      <c r="D25" s="3" t="e">
        <f ca="1">-_xll.ONESTOP.REPORTPLAYER.OSRFUNCTIONS.OSRGET("GL_F_Trans","Value1")</f>
        <v>#NAME?</v>
      </c>
      <c r="E25" s="3"/>
      <c r="F25" s="20" t="e">
        <f ca="1">IF(D$12=0,0,D25/D$12)</f>
        <v>#NAME?</v>
      </c>
      <c r="G25" s="3"/>
      <c r="H25" s="3" t="e">
        <f ca="1">_xll.ONESTOP.REPORTPLAYER.OSRFUNCTIONS.OSRGET("GL_F_Trans","Value1")</f>
        <v>#NAME?</v>
      </c>
      <c r="I25" s="3"/>
      <c r="J25" s="20" t="e">
        <f ca="1">IF(H$12=0,0,H25/H$12)</f>
        <v>#NAME?</v>
      </c>
      <c r="K25" s="3"/>
      <c r="L25" s="3" t="e">
        <f ca="1">+D25-H25</f>
        <v>#NAME?</v>
      </c>
      <c r="M25" s="3"/>
      <c r="N25" s="20" t="e">
        <f ca="1">IF(H25=0,0,L25/H25)</f>
        <v>#NAME?</v>
      </c>
      <c r="O25" s="12"/>
      <c r="P25" s="3" t="e">
        <f ca="1">-_xll.ONESTOP.REPORTPLAYER.OSRFUNCTIONS.OSRGET("GL_F_Trans","Value1")</f>
        <v>#NAME?</v>
      </c>
      <c r="Q25" s="3"/>
      <c r="R25" s="20" t="e">
        <f ca="1">IF(P$12=0,0,P25/P$12)</f>
        <v>#NAME?</v>
      </c>
      <c r="S25" s="3"/>
      <c r="T25" s="3" t="e">
        <f ca="1">_xll.ONESTOP.REPORTPLAYER.OSRFUNCTIONS.OSRGET("GL_F_Trans","Value1")</f>
        <v>#NAME?</v>
      </c>
      <c r="U25" s="3"/>
      <c r="V25" s="20" t="e">
        <f ca="1">IF(T$12=0,0,T25/T$12)</f>
        <v>#NAME?</v>
      </c>
      <c r="W25" s="3"/>
      <c r="X25" s="3" t="e">
        <f ca="1">+P25-T25</f>
        <v>#NAME?</v>
      </c>
      <c r="Y25" s="3"/>
      <c r="Z25" s="20" t="e">
        <f ca="1">IF(T25=0,0,X25/T25)</f>
        <v>#NAME?</v>
      </c>
    </row>
    <row r="26" spans="1:26" ht="15" customHeight="1" x14ac:dyDescent="0.3">
      <c r="A26" s="10"/>
      <c r="B26" s="11"/>
      <c r="C26" s="11"/>
      <c r="D26" s="4"/>
      <c r="E26" s="4"/>
      <c r="F26" s="9"/>
      <c r="G26" s="4"/>
      <c r="H26" s="4"/>
      <c r="I26" s="4"/>
      <c r="J26" s="9"/>
      <c r="K26" s="4"/>
      <c r="L26" s="4"/>
      <c r="M26" s="4"/>
      <c r="N26" s="9"/>
      <c r="O26" s="11"/>
      <c r="P26" s="4"/>
      <c r="Q26" s="4"/>
      <c r="R26" s="9"/>
      <c r="S26" s="4"/>
      <c r="T26" s="4"/>
      <c r="U26" s="4"/>
      <c r="V26" s="9"/>
      <c r="W26" s="4"/>
      <c r="X26" s="4"/>
      <c r="Y26" s="4"/>
      <c r="Z26" s="9"/>
    </row>
    <row r="27" spans="1:26" s="63" customFormat="1" ht="15" customHeight="1" x14ac:dyDescent="0.3">
      <c r="A27" s="11"/>
      <c r="B27" s="27" t="s">
        <v>292</v>
      </c>
      <c r="C27" s="27"/>
      <c r="D27" s="21" t="e">
        <f ca="1">+D18-D20+D24</f>
        <v>#NAME?</v>
      </c>
      <c r="E27" s="15"/>
      <c r="F27" s="23" t="e">
        <f ca="1">IF(D$12=0,0,D27/D$12)</f>
        <v>#NAME?</v>
      </c>
      <c r="G27" s="15"/>
      <c r="H27" s="21" t="e">
        <f ca="1">+H18-H20+H24</f>
        <v>#NAME?</v>
      </c>
      <c r="I27" s="15"/>
      <c r="J27" s="23" t="e">
        <f ca="1">IF(H$12=0,0,H27/H$12)</f>
        <v>#NAME?</v>
      </c>
      <c r="K27" s="16"/>
      <c r="L27" s="21" t="e">
        <f ca="1">+D27-H27</f>
        <v>#NAME?</v>
      </c>
      <c r="M27" s="16"/>
      <c r="N27" s="23" t="e">
        <f ca="1">IF(H27=0,0,L27/H27)</f>
        <v>#NAME?</v>
      </c>
      <c r="O27" s="28"/>
      <c r="P27" s="21" t="e">
        <f ca="1">+P18-P20+P24</f>
        <v>#NAME?</v>
      </c>
      <c r="Q27" s="15"/>
      <c r="R27" s="23" t="e">
        <f ca="1">IF(P$12=0,0,P27/P$12)</f>
        <v>#NAME?</v>
      </c>
      <c r="S27" s="15"/>
      <c r="T27" s="21" t="e">
        <f ca="1">+T18-T20+T24</f>
        <v>#NAME?</v>
      </c>
      <c r="U27" s="15"/>
      <c r="V27" s="23" t="e">
        <f ca="1">IF(T$12=0,0,T27/T$12)</f>
        <v>#NAME?</v>
      </c>
      <c r="W27" s="16"/>
      <c r="X27" s="21" t="e">
        <f ca="1">+P27-T27</f>
        <v>#NAME?</v>
      </c>
      <c r="Y27" s="16"/>
      <c r="Z27" s="23" t="e">
        <f ca="1">IF(T27=0,0,X27/T27)</f>
        <v>#NAME?</v>
      </c>
    </row>
    <row r="28" spans="1:26" ht="15" customHeight="1" x14ac:dyDescent="0.3">
      <c r="A28" s="10"/>
      <c r="B28" s="11"/>
      <c r="C28" s="10"/>
      <c r="D28" s="4"/>
      <c r="E28" s="4"/>
      <c r="F28" s="9"/>
      <c r="G28" s="4"/>
      <c r="H28" s="4"/>
      <c r="I28" s="4"/>
      <c r="J28" s="9"/>
      <c r="K28" s="4"/>
      <c r="L28" s="4"/>
      <c r="M28" s="4"/>
      <c r="N28" s="9"/>
      <c r="P28" s="4"/>
      <c r="Q28" s="4"/>
      <c r="R28" s="9"/>
      <c r="S28" s="4"/>
      <c r="T28" s="4"/>
      <c r="U28" s="4"/>
      <c r="V28" s="9"/>
      <c r="W28" s="4"/>
      <c r="X28" s="4"/>
      <c r="Y28" s="4"/>
      <c r="Z28" s="9"/>
    </row>
    <row r="29" spans="1:26" s="63" customFormat="1" ht="15" customHeight="1" x14ac:dyDescent="0.3">
      <c r="A29" s="49"/>
      <c r="B29" s="11" t="s">
        <v>293</v>
      </c>
      <c r="C29" s="11"/>
      <c r="D29" s="5" t="e">
        <f ca="1">_xll.ONESTOP.REPORTPLAYER.OSRFUNCTIONS.OSRGET("GL_F_Trans","Value1")</f>
        <v>#NAME?</v>
      </c>
      <c r="E29" s="5"/>
      <c r="F29" s="13" t="e">
        <f ca="1">IF(D$12=0,0,D29/D$12)</f>
        <v>#NAME?</v>
      </c>
      <c r="G29" s="5"/>
      <c r="H29" s="5" t="e">
        <f ca="1">_xll.ONESTOP.REPORTPLAYER.OSRFUNCTIONS.OSRGET("GL_F_Trans","Value1")</f>
        <v>#NAME?</v>
      </c>
      <c r="I29" s="5"/>
      <c r="J29" s="13" t="e">
        <f ca="1">IF(H$12=0,0,H29/H$12)</f>
        <v>#NAME?</v>
      </c>
      <c r="K29" s="5"/>
      <c r="L29" s="5" t="e">
        <f ca="1">+D29-H29</f>
        <v>#NAME?</v>
      </c>
      <c r="M29" s="5"/>
      <c r="N29" s="13" t="e">
        <f ca="1">IF(H29=0,0,L29/H29)</f>
        <v>#NAME?</v>
      </c>
      <c r="O29" s="11"/>
      <c r="P29" s="5" t="e">
        <f ca="1">_xll.ONESTOP.REPORTPLAYER.OSRFUNCTIONS.OSRGET("GL_F_Trans","Value1")</f>
        <v>#NAME?</v>
      </c>
      <c r="Q29" s="5"/>
      <c r="R29" s="13" t="e">
        <f ca="1">IF(P$12=0,0,P29/P$12)</f>
        <v>#NAME?</v>
      </c>
      <c r="S29" s="5"/>
      <c r="T29" s="5" t="e">
        <f ca="1">_xll.ONESTOP.REPORTPLAYER.OSRFUNCTIONS.OSRGET("GL_F_Trans","Value1")</f>
        <v>#NAME?</v>
      </c>
      <c r="U29" s="5"/>
      <c r="V29" s="13" t="e">
        <f ca="1">IF(T$12=0,0,T29/T$12)</f>
        <v>#NAME?</v>
      </c>
      <c r="W29" s="5"/>
      <c r="X29" s="5" t="e">
        <f ca="1">+P29-T29</f>
        <v>#NAME?</v>
      </c>
      <c r="Y29" s="5"/>
      <c r="Z29" s="13" t="e">
        <f ca="1">IF(T29=0,0,X29/T29)</f>
        <v>#NAME?</v>
      </c>
    </row>
    <row r="30" spans="1:26" ht="15" customHeight="1" x14ac:dyDescent="0.3">
      <c r="A30" s="10"/>
      <c r="B30" s="11"/>
      <c r="C30" s="11"/>
      <c r="D30" s="4"/>
      <c r="E30" s="4"/>
      <c r="F30" s="9"/>
      <c r="G30" s="4"/>
      <c r="H30" s="4"/>
      <c r="I30" s="4"/>
      <c r="J30" s="9"/>
      <c r="K30" s="4"/>
      <c r="L30" s="4"/>
      <c r="M30" s="4"/>
      <c r="N30" s="9"/>
      <c r="O30" s="11"/>
      <c r="P30" s="4"/>
      <c r="Q30" s="4"/>
      <c r="R30" s="9"/>
      <c r="S30" s="4"/>
      <c r="T30" s="4"/>
      <c r="U30" s="4"/>
      <c r="V30" s="9"/>
      <c r="W30" s="4"/>
      <c r="X30" s="4"/>
      <c r="Y30" s="4"/>
      <c r="Z30" s="9"/>
    </row>
    <row r="31" spans="1:26" s="63" customFormat="1" ht="15" customHeight="1" x14ac:dyDescent="0.3">
      <c r="A31" s="11"/>
      <c r="B31" s="27" t="s">
        <v>294</v>
      </c>
      <c r="C31" s="27"/>
      <c r="D31" s="34" t="e">
        <f ca="1">+D27-D29</f>
        <v>#NAME?</v>
      </c>
      <c r="E31" s="15"/>
      <c r="F31" s="29" t="e">
        <f ca="1">IF(D$12=0,0,D31/D$12)</f>
        <v>#NAME?</v>
      </c>
      <c r="G31" s="15"/>
      <c r="H31" s="34" t="e">
        <f ca="1">+H27-H29</f>
        <v>#NAME?</v>
      </c>
      <c r="I31" s="15"/>
      <c r="J31" s="29" t="e">
        <f ca="1">IF(H$12=0,0,H31/H$12)</f>
        <v>#NAME?</v>
      </c>
      <c r="K31" s="16"/>
      <c r="L31" s="34" t="e">
        <f ca="1">D31-H31</f>
        <v>#NAME?</v>
      </c>
      <c r="M31" s="16"/>
      <c r="N31" s="29" t="e">
        <f ca="1">IF(H31=0,0,L31/H31)</f>
        <v>#NAME?</v>
      </c>
      <c r="O31" s="28"/>
      <c r="P31" s="34" t="e">
        <f ca="1">+P27-P29</f>
        <v>#NAME?</v>
      </c>
      <c r="Q31" s="15"/>
      <c r="R31" s="29" t="e">
        <f ca="1">IF(P$12=0,0,P31/P$12)</f>
        <v>#NAME?</v>
      </c>
      <c r="S31" s="15"/>
      <c r="T31" s="34" t="e">
        <f ca="1">+T27-T29</f>
        <v>#NAME?</v>
      </c>
      <c r="U31" s="15"/>
      <c r="V31" s="29" t="e">
        <f ca="1">IF(T$12=0,0,T31/T$12)</f>
        <v>#NAME?</v>
      </c>
      <c r="W31" s="16"/>
      <c r="X31" s="34" t="e">
        <f ca="1">P31-T31</f>
        <v>#NAME?</v>
      </c>
      <c r="Y31" s="16"/>
      <c r="Z31" s="29" t="e">
        <f ca="1">IF(T31=0,0,X31/T31)</f>
        <v>#NAME?</v>
      </c>
    </row>
    <row r="32" spans="1:26" ht="15" customHeight="1" x14ac:dyDescent="0.3">
      <c r="A32" s="10"/>
      <c r="B32" s="10"/>
      <c r="C32" s="10"/>
      <c r="D32" s="4"/>
      <c r="E32" s="4"/>
      <c r="F32" s="9"/>
      <c r="G32" s="4"/>
      <c r="H32" s="4"/>
      <c r="I32" s="4"/>
      <c r="J32" s="9"/>
      <c r="K32" s="4"/>
      <c r="L32" s="4"/>
      <c r="M32" s="4"/>
      <c r="N32" s="9"/>
      <c r="P32" s="4"/>
      <c r="Q32" s="4"/>
      <c r="R32" s="9"/>
      <c r="S32" s="4"/>
      <c r="T32" s="4"/>
      <c r="U32" s="4"/>
      <c r="V32" s="9"/>
      <c r="W32" s="4"/>
      <c r="X32" s="4"/>
      <c r="Y32" s="4"/>
      <c r="Z32" s="9"/>
    </row>
    <row r="33" spans="1:26" s="63" customFormat="1" ht="15" customHeight="1" x14ac:dyDescent="0.3">
      <c r="A33" s="49"/>
      <c r="B33" s="11" t="s">
        <v>295</v>
      </c>
      <c r="C33" s="11"/>
      <c r="D33" s="5" t="e">
        <f ca="1">-_xll.ONESTOP.REPORTPLAYER.OSRFUNCTIONS.OSRGET("GL_F_Trans","Value1")</f>
        <v>#NAME?</v>
      </c>
      <c r="E33" s="5"/>
      <c r="F33" s="13" t="e">
        <f ca="1">IF(D$12=0,0,D33/D$12)</f>
        <v>#NAME?</v>
      </c>
      <c r="G33" s="5"/>
      <c r="H33" s="5" t="e">
        <f ca="1">-_xll.ONESTOP.REPORTPLAYER.OSRFUNCTIONS.OSRGET("GL_F_Trans","Value1")</f>
        <v>#NAME?</v>
      </c>
      <c r="I33" s="5"/>
      <c r="J33" s="13" t="e">
        <f ca="1">IF(H$12=0,0,H33/H$12)</f>
        <v>#NAME?</v>
      </c>
      <c r="K33" s="5"/>
      <c r="L33" s="5" t="e">
        <f ca="1">+D33-H33</f>
        <v>#NAME?</v>
      </c>
      <c r="M33" s="5"/>
      <c r="N33" s="13" t="e">
        <f ca="1">IF(H33=0,0,L33/H33)</f>
        <v>#NAME?</v>
      </c>
      <c r="O33" s="11"/>
      <c r="P33" s="5" t="e">
        <f ca="1">-_xll.ONESTOP.REPORTPLAYER.OSRFUNCTIONS.OSRGET("GL_F_Trans","Value1")</f>
        <v>#NAME?</v>
      </c>
      <c r="Q33" s="5"/>
      <c r="R33" s="13" t="e">
        <f ca="1">IF(P$12=0,0,P33/P$12)</f>
        <v>#NAME?</v>
      </c>
      <c r="S33" s="5"/>
      <c r="T33" s="5" t="e">
        <f ca="1">-_xll.ONESTOP.REPORTPLAYER.OSRFUNCTIONS.OSRGET("GL_F_Trans","Value1")</f>
        <v>#NAME?</v>
      </c>
      <c r="U33" s="5"/>
      <c r="V33" s="13" t="e">
        <f ca="1">IF(T$12=0,0,T33/T$12)</f>
        <v>#NAME?</v>
      </c>
      <c r="W33" s="5"/>
      <c r="X33" s="5" t="e">
        <f ca="1">+P33-T33</f>
        <v>#NAME?</v>
      </c>
      <c r="Y33" s="5"/>
      <c r="Z33" s="13" t="e">
        <f ca="1">IF(T33=0,0,X33/T33)</f>
        <v>#NAME?</v>
      </c>
    </row>
    <row r="34" spans="1:26" s="63" customFormat="1" ht="15" customHeight="1" x14ac:dyDescent="0.3">
      <c r="A34" s="49"/>
      <c r="B34" s="11" t="s">
        <v>296</v>
      </c>
      <c r="C34" s="11"/>
      <c r="D34" s="5" t="e">
        <f ca="1">-_xll.ONESTOP.REPORTPLAYER.OSRFUNCTIONS.OSRGET("GL_F_Trans","Value1")</f>
        <v>#NAME?</v>
      </c>
      <c r="E34" s="5"/>
      <c r="F34" s="13" t="e">
        <f ca="1">IF(D$12=0,0,D34/D$12)</f>
        <v>#NAME?</v>
      </c>
      <c r="G34" s="5"/>
      <c r="H34" s="5" t="e">
        <f ca="1">-_xll.ONESTOP.REPORTPLAYER.OSRFUNCTIONS.OSRGET("GL_F_Trans","Value1")</f>
        <v>#NAME?</v>
      </c>
      <c r="I34" s="5"/>
      <c r="J34" s="13" t="e">
        <f ca="1">IF(H$12=0,0,H34/H$12)</f>
        <v>#NAME?</v>
      </c>
      <c r="K34" s="5"/>
      <c r="L34" s="5" t="e">
        <f ca="1">+D34-H34</f>
        <v>#NAME?</v>
      </c>
      <c r="M34" s="5"/>
      <c r="N34" s="13" t="e">
        <f ca="1">IF(H34=0,0,L34/H34)</f>
        <v>#NAME?</v>
      </c>
      <c r="O34" s="11"/>
      <c r="P34" s="5" t="e">
        <f ca="1">-_xll.ONESTOP.REPORTPLAYER.OSRFUNCTIONS.OSRGET("GL_F_Trans","Value1")</f>
        <v>#NAME?</v>
      </c>
      <c r="Q34" s="5"/>
      <c r="R34" s="13" t="e">
        <f ca="1">IF(P$12=0,0,P34/P$12)</f>
        <v>#NAME?</v>
      </c>
      <c r="S34" s="5"/>
      <c r="T34" s="5" t="e">
        <f ca="1">-_xll.ONESTOP.REPORTPLAYER.OSRFUNCTIONS.OSRGET("GL_F_Trans","Value1")</f>
        <v>#NAME?</v>
      </c>
      <c r="U34" s="5"/>
      <c r="V34" s="13" t="e">
        <f ca="1">IF(T$12=0,0,T34/T$12)</f>
        <v>#NAME?</v>
      </c>
      <c r="W34" s="5"/>
      <c r="X34" s="5" t="e">
        <f ca="1">+P34-T34</f>
        <v>#NAME?</v>
      </c>
      <c r="Y34" s="5"/>
      <c r="Z34" s="13" t="e">
        <f ca="1">IF(T34=0,0,X34/T34)</f>
        <v>#NAME?</v>
      </c>
    </row>
    <row r="35" spans="1:26" ht="15" customHeight="1" x14ac:dyDescent="0.3">
      <c r="A35" s="10"/>
      <c r="B35" s="10"/>
      <c r="C35" s="10"/>
      <c r="D35" s="4"/>
      <c r="E35" s="4"/>
      <c r="F35" s="9"/>
      <c r="G35" s="4"/>
      <c r="H35" s="4"/>
      <c r="I35" s="4"/>
      <c r="J35" s="9"/>
      <c r="K35" s="4"/>
      <c r="L35" s="4"/>
      <c r="M35" s="4"/>
      <c r="N35" s="9"/>
      <c r="P35" s="4"/>
      <c r="Q35" s="4"/>
      <c r="R35" s="9"/>
      <c r="S35" s="4"/>
      <c r="T35" s="4"/>
      <c r="U35" s="4"/>
      <c r="V35" s="9"/>
      <c r="W35" s="4"/>
      <c r="X35" s="4"/>
      <c r="Y35" s="4"/>
      <c r="Z35" s="9"/>
    </row>
    <row r="36" spans="1:26" s="63" customFormat="1" ht="15" customHeight="1" x14ac:dyDescent="0.3">
      <c r="A36" s="11"/>
      <c r="B36" s="27" t="s">
        <v>297</v>
      </c>
      <c r="C36" s="27"/>
      <c r="D36" s="32" t="e">
        <f ca="1">SUM(D31:D35)</f>
        <v>#NAME?</v>
      </c>
      <c r="E36" s="15"/>
      <c r="F36" s="31" t="e">
        <f ca="1">IF(D$12=0,0,D36/D$12)</f>
        <v>#NAME?</v>
      </c>
      <c r="G36" s="15"/>
      <c r="H36" s="32" t="e">
        <f ca="1">SUM(H31:H35)</f>
        <v>#NAME?</v>
      </c>
      <c r="I36" s="15"/>
      <c r="J36" s="31" t="e">
        <f ca="1">IF(H$12=0,0,H36/H$12)</f>
        <v>#NAME?</v>
      </c>
      <c r="K36" s="16"/>
      <c r="L36" s="32" t="e">
        <f ca="1">+D36-H36</f>
        <v>#NAME?</v>
      </c>
      <c r="M36" s="16"/>
      <c r="N36" s="31" t="e">
        <f ca="1">IF(H36=0,0,L36/H36)</f>
        <v>#NAME?</v>
      </c>
      <c r="O36" s="28"/>
      <c r="P36" s="32" t="e">
        <f ca="1">SUM(P31:P35)</f>
        <v>#NAME?</v>
      </c>
      <c r="Q36" s="15"/>
      <c r="R36" s="31" t="e">
        <f ca="1">IF(P$12=0,0,P36/P$12)</f>
        <v>#NAME?</v>
      </c>
      <c r="S36" s="15"/>
      <c r="T36" s="32" t="e">
        <f ca="1">SUM(T31:T35)</f>
        <v>#NAME?</v>
      </c>
      <c r="U36" s="15"/>
      <c r="V36" s="31" t="e">
        <f ca="1">IF(T$12=0,0,T36/T$12)</f>
        <v>#NAME?</v>
      </c>
      <c r="W36" s="16"/>
      <c r="X36" s="32" t="e">
        <f ca="1">+P36-T36</f>
        <v>#NAME?</v>
      </c>
      <c r="Y36" s="16"/>
      <c r="Z36" s="31" t="e">
        <f ca="1">IF(T36=0,0,X36/T36)</f>
        <v>#NAME?</v>
      </c>
    </row>
    <row r="37" spans="1:26" ht="15" customHeight="1" x14ac:dyDescent="0.3">
      <c r="A37" s="10"/>
      <c r="C37" s="10"/>
      <c r="D37" s="19"/>
      <c r="E37" s="19"/>
      <c r="G37" s="19"/>
      <c r="H37" s="19"/>
      <c r="I37" s="19"/>
      <c r="J37" s="40"/>
      <c r="K37" s="19"/>
      <c r="L37" s="19"/>
      <c r="M37" s="19"/>
      <c r="P37" s="19"/>
      <c r="Q37" s="19"/>
      <c r="R37" s="40"/>
      <c r="S37" s="19"/>
      <c r="T37" s="19"/>
      <c r="U37" s="19"/>
      <c r="V37" s="40"/>
      <c r="W37" s="19"/>
      <c r="X37" s="19"/>
    </row>
    <row r="38" spans="1:26" ht="15" customHeight="1" x14ac:dyDescent="0.3">
      <c r="A38" s="10"/>
      <c r="B38" s="51" t="e">
        <f ca="1">_xll.ONESTOP.REPORTPLAYER.OSRFUNCTIONS.OSRGET("CurrentDate","Date")</f>
        <v>#NAME?</v>
      </c>
      <c r="D38" s="19"/>
      <c r="E38" s="19"/>
      <c r="G38" s="19"/>
      <c r="H38" s="19"/>
      <c r="I38" s="19"/>
      <c r="J38" s="40"/>
      <c r="K38" s="19"/>
      <c r="L38" s="19"/>
      <c r="M38" s="19"/>
      <c r="P38" s="19"/>
      <c r="Q38" s="19"/>
      <c r="R38" s="40"/>
      <c r="S38" s="19"/>
      <c r="T38" s="19"/>
      <c r="U38" s="19"/>
      <c r="V38" s="40"/>
      <c r="W38" s="19"/>
      <c r="X38" s="19"/>
    </row>
    <row r="39" spans="1:26" ht="15" customHeight="1" x14ac:dyDescent="0.3">
      <c r="A39" s="10"/>
      <c r="B39" s="58" t="e">
        <f ca="1">_xll.ONESTOP.REPORTPLAYER.OSRFUNCTIONS.OSRGET("User","UserId")</f>
        <v>#NAME?</v>
      </c>
      <c r="D39" s="19"/>
      <c r="E39" s="19"/>
      <c r="G39" s="19"/>
      <c r="H39" s="19"/>
      <c r="I39" s="19"/>
      <c r="J39" s="40"/>
      <c r="K39" s="19"/>
      <c r="L39" s="19"/>
      <c r="M39" s="19"/>
      <c r="P39" s="19"/>
      <c r="Q39" s="19"/>
      <c r="R39" s="40"/>
      <c r="S39" s="19"/>
      <c r="T39" s="19"/>
      <c r="U39" s="19"/>
      <c r="V39" s="40"/>
      <c r="W39" s="19"/>
      <c r="X39" s="19"/>
    </row>
    <row r="40" spans="1:26" ht="15" customHeight="1" x14ac:dyDescent="0.3">
      <c r="A40" s="10"/>
      <c r="B40" s="50"/>
      <c r="D40" s="19"/>
      <c r="E40" s="19"/>
      <c r="G40" s="19"/>
      <c r="H40" s="19"/>
      <c r="I40" s="19"/>
      <c r="J40" s="40"/>
      <c r="K40" s="19"/>
      <c r="L40" s="19"/>
      <c r="M40" s="19"/>
      <c r="P40" s="19"/>
      <c r="Q40" s="19"/>
      <c r="R40" s="40"/>
      <c r="S40" s="19"/>
      <c r="T40" s="19"/>
      <c r="U40" s="19"/>
      <c r="V40" s="40"/>
      <c r="W40" s="19"/>
      <c r="X40" s="19"/>
    </row>
    <row r="41" spans="1:26" ht="15" customHeight="1" x14ac:dyDescent="0.3">
      <c r="D41" s="19"/>
      <c r="E41" s="19"/>
      <c r="G41" s="19"/>
      <c r="H41" s="19"/>
      <c r="I41" s="19"/>
      <c r="J41" s="40"/>
      <c r="K41" s="19"/>
      <c r="L41" s="19"/>
      <c r="M41" s="19"/>
      <c r="P41" s="19"/>
      <c r="Q41" s="19"/>
      <c r="R41" s="40"/>
      <c r="S41" s="19"/>
      <c r="T41" s="19"/>
      <c r="U41" s="19"/>
      <c r="V41" s="40"/>
      <c r="W41" s="19"/>
      <c r="X41" s="19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2AFC15-1A07-31F2-C361-B2D8844BCD1D}">
  <sheetPr>
    <tabColor rgb="FFFFC000"/>
    <outlinePr summaryBelow="0" summaryRight="0"/>
  </sheetPr>
  <dimension ref="A2:Z41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6" customWidth="1"/>
    <col min="2" max="2" width="33.44140625" style="66" customWidth="1"/>
    <col min="3" max="3" width="1.88671875" style="66" customWidth="1"/>
    <col min="4" max="4" width="15" style="66" customWidth="1"/>
    <col min="5" max="5" width="1.88671875" style="66" customWidth="1" outlineLevel="1"/>
    <col min="6" max="6" width="15" style="67" customWidth="1" outlineLevel="1"/>
    <col min="7" max="7" width="1.88671875" style="66" customWidth="1" outlineLevel="1"/>
    <col min="8" max="8" width="15" style="66" customWidth="1" outlineLevel="1"/>
    <col min="9" max="9" width="1.88671875" style="66" customWidth="1" outlineLevel="1"/>
    <col min="10" max="10" width="15" style="68" customWidth="1" outlineLevel="1"/>
    <col min="11" max="11" width="1.88671875" style="66" customWidth="1" outlineLevel="1"/>
    <col min="12" max="12" width="15" style="66" customWidth="1" outlineLevel="1"/>
    <col min="13" max="13" width="1.88671875" style="66" customWidth="1" outlineLevel="1"/>
    <col min="14" max="14" width="15" style="67" customWidth="1" outlineLevel="1"/>
    <col min="15" max="15" width="1.88671875" style="64" customWidth="1"/>
    <col min="16" max="16" width="15" style="66" customWidth="1"/>
    <col min="17" max="17" width="1.88671875" style="66" customWidth="1" outlineLevel="1"/>
    <col min="18" max="18" width="15" style="68" customWidth="1" outlineLevel="1"/>
    <col min="19" max="19" width="1.88671875" style="66" customWidth="1" outlineLevel="1"/>
    <col min="20" max="20" width="15" style="66" customWidth="1" outlineLevel="1"/>
    <col min="21" max="21" width="1.88671875" style="66" customWidth="1" outlineLevel="1"/>
    <col min="22" max="22" width="15" style="68" customWidth="1" outlineLevel="1"/>
    <col min="23" max="23" width="1.88671875" style="66" customWidth="1" outlineLevel="1"/>
    <col min="24" max="24" width="15" style="66" customWidth="1" outlineLevel="1"/>
    <col min="25" max="25" width="1.88671875" style="66" customWidth="1" outlineLevel="1"/>
    <col min="26" max="26" width="15" style="68" customWidth="1" outlineLevel="1"/>
  </cols>
  <sheetData>
    <row r="2" spans="1:26" ht="15" customHeight="1" x14ac:dyDescent="0.3">
      <c r="D2" s="54" t="s">
        <v>276</v>
      </c>
    </row>
    <row r="3" spans="1:26" ht="15" customHeight="1" x14ac:dyDescent="0.3">
      <c r="D3" s="54" t="s">
        <v>277</v>
      </c>
      <c r="E3" s="18"/>
      <c r="F3" s="44"/>
      <c r="G3" s="18"/>
      <c r="H3" s="18"/>
      <c r="I3" s="18"/>
      <c r="J3" s="38"/>
      <c r="K3" s="18"/>
      <c r="L3" s="18"/>
      <c r="M3" s="18"/>
      <c r="N3" s="44"/>
      <c r="O3" s="53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ht="15" customHeight="1" x14ac:dyDescent="0.3">
      <c r="D4" s="54" t="e">
        <f ca="1">CONCATENATE("Period ",RIGHT(_xll.ONESTOP.REPORTPLAYER.OSRFUNCTIONS.OSRGET("Period","PeriodId"),2),", ",_xll.ONESTOP.REPORTPLAYER.OSRFUNCTIONS.OSRGET("Period","Year"))</f>
        <v>#NAME?</v>
      </c>
      <c r="E4" s="18"/>
      <c r="F4" s="44"/>
      <c r="G4" s="18"/>
      <c r="H4" s="18"/>
      <c r="I4" s="18"/>
      <c r="J4" s="38"/>
      <c r="K4" s="18"/>
      <c r="L4" s="18"/>
      <c r="M4" s="18"/>
      <c r="N4" s="44"/>
      <c r="O4" s="53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ht="15" customHeight="1" x14ac:dyDescent="0.3">
      <c r="A5" s="24"/>
      <c r="D5" s="61" t="e">
        <f ca="1">_xll.ONESTOP.REPORTPLAYER.OSRFUNCTIONS.OSRGET("Period","PeriodEnd")</f>
        <v>#NAME?</v>
      </c>
      <c r="E5" s="18"/>
      <c r="F5" s="44"/>
      <c r="G5" s="18"/>
      <c r="H5" s="18"/>
      <c r="I5" s="18"/>
      <c r="J5" s="38"/>
      <c r="K5" s="18"/>
      <c r="L5" s="18"/>
      <c r="M5" s="18"/>
      <c r="N5" s="44"/>
      <c r="O5" s="53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ht="15" customHeight="1" x14ac:dyDescent="0.3">
      <c r="A6" s="24"/>
      <c r="B6" s="47"/>
      <c r="C6" s="47"/>
      <c r="D6" s="24" t="s">
        <v>315</v>
      </c>
      <c r="E6" s="18"/>
      <c r="F6" s="44"/>
      <c r="G6" s="18"/>
      <c r="H6" s="18"/>
      <c r="I6" s="18"/>
      <c r="J6" s="38"/>
      <c r="K6" s="18"/>
      <c r="L6" s="18"/>
      <c r="M6" s="18"/>
      <c r="N6" s="44"/>
      <c r="O6" s="59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ht="15" customHeight="1" x14ac:dyDescent="0.3">
      <c r="B7" s="52"/>
    </row>
    <row r="8" spans="1:26" ht="15" customHeight="1" x14ac:dyDescent="0.3">
      <c r="B8" s="52"/>
    </row>
    <row r="9" spans="1:26" ht="15" customHeight="1" x14ac:dyDescent="0.3">
      <c r="B9" s="10"/>
      <c r="C9" s="10"/>
      <c r="D9" s="17" t="s">
        <v>279</v>
      </c>
      <c r="E9" s="17"/>
      <c r="F9" s="36"/>
      <c r="G9" s="17"/>
      <c r="H9" s="17"/>
      <c r="I9" s="17"/>
      <c r="J9" s="43"/>
      <c r="K9" s="17"/>
      <c r="L9" s="17"/>
      <c r="M9" s="17"/>
      <c r="N9" s="36"/>
      <c r="P9" s="17" t="s">
        <v>280</v>
      </c>
      <c r="Q9" s="17"/>
      <c r="R9" s="36"/>
      <c r="S9" s="17"/>
      <c r="T9" s="17"/>
      <c r="U9" s="17"/>
      <c r="V9" s="43"/>
      <c r="W9" s="17"/>
      <c r="X9" s="17"/>
      <c r="Y9" s="17"/>
      <c r="Z9" s="36"/>
    </row>
    <row r="10" spans="1:26" ht="15" customHeight="1" x14ac:dyDescent="0.3">
      <c r="A10" s="11"/>
      <c r="B10" s="57"/>
      <c r="C10" s="11"/>
      <c r="D10" s="41" t="s">
        <v>281</v>
      </c>
      <c r="E10" s="33"/>
      <c r="F10" s="37" t="s">
        <v>282</v>
      </c>
      <c r="G10" s="33"/>
      <c r="H10" s="48" t="s">
        <v>283</v>
      </c>
      <c r="I10" s="33"/>
      <c r="J10" s="45" t="s">
        <v>284</v>
      </c>
      <c r="K10" s="11"/>
      <c r="L10" s="41" t="s">
        <v>285</v>
      </c>
      <c r="M10" s="11"/>
      <c r="N10" s="37" t="s">
        <v>286</v>
      </c>
      <c r="O10" s="11"/>
      <c r="P10" s="56" t="s">
        <v>281</v>
      </c>
      <c r="Q10" s="33"/>
      <c r="R10" s="37" t="s">
        <v>282</v>
      </c>
      <c r="S10" s="33"/>
      <c r="T10" s="48" t="s">
        <v>283</v>
      </c>
      <c r="U10" s="33"/>
      <c r="V10" s="45" t="s">
        <v>284</v>
      </c>
      <c r="W10" s="11"/>
      <c r="X10" s="41" t="s">
        <v>285</v>
      </c>
      <c r="Y10" s="11"/>
      <c r="Z10" s="37" t="s">
        <v>286</v>
      </c>
    </row>
    <row r="11" spans="1:26" ht="16.5" customHeight="1" x14ac:dyDescent="0.3">
      <c r="A11" s="10"/>
      <c r="B11" s="55"/>
      <c r="C11" s="10"/>
      <c r="D11" s="10"/>
      <c r="E11" s="10"/>
      <c r="F11" s="9"/>
      <c r="G11" s="10"/>
      <c r="H11" s="10"/>
      <c r="I11" s="10"/>
      <c r="J11" s="46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6"/>
      <c r="W11" s="10"/>
      <c r="X11" s="10"/>
      <c r="Y11" s="10"/>
      <c r="Z11" s="9"/>
    </row>
    <row r="12" spans="1:26" s="63" customFormat="1" ht="15" customHeight="1" collapsed="1" x14ac:dyDescent="0.3">
      <c r="A12" s="11"/>
      <c r="B12" s="28" t="s">
        <v>287</v>
      </c>
      <c r="C12" s="11"/>
      <c r="D12" s="5" t="e">
        <f ca="1">SUM(_xll.ONESTOP.REPORTPLAYER.OSRFUNCTIONS.OSRREF(D13))</f>
        <v>#NAME?</v>
      </c>
      <c r="E12" s="5"/>
      <c r="F12" s="13"/>
      <c r="G12" s="5"/>
      <c r="H12" s="5" t="e">
        <f ca="1">SUM(_xll.ONESTOP.REPORTPLAYER.OSRFUNCTIONS.OSRREF(H13))</f>
        <v>#NAME?</v>
      </c>
      <c r="I12" s="5"/>
      <c r="J12" s="13"/>
      <c r="K12" s="5"/>
      <c r="L12" s="5" t="e">
        <f ca="1">+D12-H12</f>
        <v>#NAME?</v>
      </c>
      <c r="M12" s="5"/>
      <c r="N12" s="13" t="e">
        <f ca="1">IF(H12=0,0,L12/H12)</f>
        <v>#NAME?</v>
      </c>
      <c r="O12" s="11"/>
      <c r="P12" s="5" t="e">
        <f ca="1">SUM(_xll.ONESTOP.REPORTPLAYER.OSRFUNCTIONS.OSRREF(P13))</f>
        <v>#NAME?</v>
      </c>
      <c r="Q12" s="5"/>
      <c r="R12" s="13"/>
      <c r="S12" s="5"/>
      <c r="T12" s="5" t="e">
        <f ca="1">SUM(_xll.ONESTOP.REPORTPLAYER.OSRFUNCTIONS.OSRREF(T13))</f>
        <v>#NAME?</v>
      </c>
      <c r="U12" s="5"/>
      <c r="V12" s="13"/>
      <c r="W12" s="5"/>
      <c r="X12" s="5" t="e">
        <f ca="1">+P12-T12</f>
        <v>#NAME?</v>
      </c>
      <c r="Y12" s="5"/>
      <c r="Z12" s="13" t="e">
        <f ca="1">IF(T12=0,0,X12/T12)</f>
        <v>#NAME?</v>
      </c>
    </row>
    <row r="13" spans="1:26" s="70" customFormat="1" ht="15" hidden="1" customHeight="1" outlineLevel="1" x14ac:dyDescent="0.3">
      <c r="A13" s="42"/>
      <c r="B13" s="12" t="e">
        <f ca="1">CONCATENATE("          ",_xll.ONESTOP.REPORTPLAYER.OSRFUNCTIONS.OSRGET("d_Account","Code")," - ",_xll.ONESTOP.REPORTPLAYER.OSRFUNCTIONS.OSRGET("d_Account","Description"))</f>
        <v>#NAME?</v>
      </c>
      <c r="C13" s="12"/>
      <c r="D13" s="3" t="e">
        <f ca="1">-_xll.ONESTOP.REPORTPLAYER.OSRFUNCTIONS.OSRGET("GL_F_Trans","Value1")</f>
        <v>#NAME?</v>
      </c>
      <c r="E13" s="3"/>
      <c r="F13" s="20"/>
      <c r="G13" s="3"/>
      <c r="H13" s="3" t="e">
        <f ca="1">_xll.ONESTOP.REPORTPLAYER.OSRFUNCTIONS.OSRGET("GL_F_Trans","Value1")</f>
        <v>#NAME?</v>
      </c>
      <c r="I13" s="3"/>
      <c r="J13" s="20"/>
      <c r="K13" s="3"/>
      <c r="L13" s="3" t="e">
        <f ca="1">+D13-H13</f>
        <v>#NAME?</v>
      </c>
      <c r="M13" s="3"/>
      <c r="N13" s="20" t="e">
        <f ca="1">IF(H13=0,0,L13/H13)</f>
        <v>#NAME?</v>
      </c>
      <c r="O13" s="12"/>
      <c r="P13" s="3" t="e">
        <f ca="1">-_xll.ONESTOP.REPORTPLAYER.OSRFUNCTIONS.OSRGET("GL_F_Trans","Value1")</f>
        <v>#NAME?</v>
      </c>
      <c r="Q13" s="3"/>
      <c r="R13" s="20"/>
      <c r="S13" s="3"/>
      <c r="T13" s="3" t="e">
        <f ca="1">_xll.ONESTOP.REPORTPLAYER.OSRFUNCTIONS.OSRGET("GL_F_Trans","Value1")</f>
        <v>#NAME?</v>
      </c>
      <c r="U13" s="3"/>
      <c r="V13" s="20"/>
      <c r="W13" s="3"/>
      <c r="X13" s="3" t="e">
        <f ca="1">+P13-T13</f>
        <v>#NAME?</v>
      </c>
      <c r="Y13" s="3"/>
      <c r="Z13" s="20" t="e">
        <f ca="1">IF(T13=0,0,X13/T13)</f>
        <v>#NAME?</v>
      </c>
    </row>
    <row r="14" spans="1:26" ht="15" customHeight="1" x14ac:dyDescent="0.3">
      <c r="A14" s="10"/>
      <c r="B14" s="11"/>
      <c r="C14" s="10"/>
      <c r="D14" s="4"/>
      <c r="E14" s="4"/>
      <c r="F14" s="9"/>
      <c r="G14" s="4"/>
      <c r="H14" s="4"/>
      <c r="I14" s="4"/>
      <c r="J14" s="9"/>
      <c r="K14" s="4"/>
      <c r="L14" s="4"/>
      <c r="M14" s="4"/>
      <c r="N14" s="9"/>
      <c r="P14" s="4"/>
      <c r="Q14" s="4"/>
      <c r="R14" s="9"/>
      <c r="S14" s="4"/>
      <c r="T14" s="4"/>
      <c r="U14" s="4"/>
      <c r="V14" s="9"/>
      <c r="W14" s="4"/>
      <c r="X14" s="4"/>
      <c r="Y14" s="4"/>
      <c r="Z14" s="9"/>
    </row>
    <row r="15" spans="1:26" s="63" customFormat="1" ht="15" customHeight="1" collapsed="1" x14ac:dyDescent="0.3">
      <c r="A15" s="11"/>
      <c r="B15" s="28" t="s">
        <v>288</v>
      </c>
      <c r="C15" s="11"/>
      <c r="D15" s="5" t="e">
        <f ca="1">SUM(_xll.ONESTOP.REPORTPLAYER.OSRFUNCTIONS.OSRREF(D16))</f>
        <v>#NAME?</v>
      </c>
      <c r="E15" s="5"/>
      <c r="F15" s="13" t="e">
        <f ca="1">IF(D$12=0,0,D15/D$12)</f>
        <v>#NAME?</v>
      </c>
      <c r="G15" s="5"/>
      <c r="H15" s="5" t="e">
        <f ca="1">SUM(_xll.ONESTOP.REPORTPLAYER.OSRFUNCTIONS.OSRREF(H16))</f>
        <v>#NAME?</v>
      </c>
      <c r="I15" s="5"/>
      <c r="J15" s="13" t="e">
        <f ca="1">IF(H$12=0,0,H15/H$12)</f>
        <v>#NAME?</v>
      </c>
      <c r="K15" s="5"/>
      <c r="L15" s="5" t="e">
        <f ca="1">+D15-H15</f>
        <v>#NAME?</v>
      </c>
      <c r="M15" s="5"/>
      <c r="N15" s="13" t="e">
        <f ca="1">IF(H15=0,0,L15/H15)</f>
        <v>#NAME?</v>
      </c>
      <c r="O15" s="11"/>
      <c r="P15" s="5" t="e">
        <f ca="1">SUM(_xll.ONESTOP.REPORTPLAYER.OSRFUNCTIONS.OSRREF(P16))</f>
        <v>#NAME?</v>
      </c>
      <c r="Q15" s="5"/>
      <c r="R15" s="13" t="e">
        <f ca="1">IF(P$12=0,0,P15/P$12)</f>
        <v>#NAME?</v>
      </c>
      <c r="S15" s="5"/>
      <c r="T15" s="5" t="e">
        <f ca="1">SUM(_xll.ONESTOP.REPORTPLAYER.OSRFUNCTIONS.OSRREF(T16))</f>
        <v>#NAME?</v>
      </c>
      <c r="U15" s="5"/>
      <c r="V15" s="13" t="e">
        <f ca="1">IF(T$12=0,0,T15/T$12)</f>
        <v>#NAME?</v>
      </c>
      <c r="W15" s="5"/>
      <c r="X15" s="5" t="e">
        <f ca="1">+P15-T15</f>
        <v>#NAME?</v>
      </c>
      <c r="Y15" s="5"/>
      <c r="Z15" s="13" t="e">
        <f ca="1">IF(T15=0,0,X15/T15)</f>
        <v>#NAME?</v>
      </c>
    </row>
    <row r="16" spans="1:26" s="70" customFormat="1" ht="15" hidden="1" customHeight="1" outlineLevel="1" x14ac:dyDescent="0.3">
      <c r="A16" s="42"/>
      <c r="B16" s="12" t="e">
        <f ca="1">CONCATENATE("          ",_xll.ONESTOP.REPORTPLAYER.OSRFUNCTIONS.OSRGET("d_Account","Code")," - ",_xll.ONESTOP.REPORTPLAYER.OSRFUNCTIONS.OSRGET("d_Account","Description"))</f>
        <v>#NAME?</v>
      </c>
      <c r="C16" s="12"/>
      <c r="D16" s="3" t="e">
        <f ca="1">_xll.ONESTOP.REPORTPLAYER.OSRFUNCTIONS.OSRGET("GL_F_Trans","Value1")</f>
        <v>#NAME?</v>
      </c>
      <c r="E16" s="3"/>
      <c r="F16" s="20" t="e">
        <f ca="1">IF(D$12=0,0,D16/D$12)</f>
        <v>#NAME?</v>
      </c>
      <c r="G16" s="3"/>
      <c r="H16" s="3" t="e">
        <f ca="1">_xll.ONESTOP.REPORTPLAYER.OSRFUNCTIONS.OSRGET("GL_F_Trans","Value1")</f>
        <v>#NAME?</v>
      </c>
      <c r="I16" s="3"/>
      <c r="J16" s="20" t="e">
        <f ca="1">IF(H$12=0,0,H16/H$12)</f>
        <v>#NAME?</v>
      </c>
      <c r="K16" s="3"/>
      <c r="L16" s="3" t="e">
        <f ca="1">+D16-H16</f>
        <v>#NAME?</v>
      </c>
      <c r="M16" s="3"/>
      <c r="N16" s="20" t="e">
        <f ca="1">IF(H16=0,0,L16/H16)</f>
        <v>#NAME?</v>
      </c>
      <c r="O16" s="12"/>
      <c r="P16" s="3" t="e">
        <f ca="1">_xll.ONESTOP.REPORTPLAYER.OSRFUNCTIONS.OSRGET("GL_F_Trans","Value1")</f>
        <v>#NAME?</v>
      </c>
      <c r="Q16" s="3"/>
      <c r="R16" s="20" t="e">
        <f ca="1">IF(P$12=0,0,P16/P$12)</f>
        <v>#NAME?</v>
      </c>
      <c r="S16" s="3"/>
      <c r="T16" s="3" t="e">
        <f ca="1">_xll.ONESTOP.REPORTPLAYER.OSRFUNCTIONS.OSRGET("GL_F_Trans","Value1")</f>
        <v>#NAME?</v>
      </c>
      <c r="U16" s="3"/>
      <c r="V16" s="20" t="e">
        <f ca="1">IF(T$12=0,0,T16/T$12)</f>
        <v>#NAME?</v>
      </c>
      <c r="W16" s="3"/>
      <c r="X16" s="3" t="e">
        <f ca="1">+P16-T16</f>
        <v>#NAME?</v>
      </c>
      <c r="Y16" s="3"/>
      <c r="Z16" s="20" t="e">
        <f ca="1">IF(T16=0,0,X16/T16)</f>
        <v>#NAME?</v>
      </c>
    </row>
    <row r="17" spans="1:26" ht="15" customHeight="1" x14ac:dyDescent="0.3">
      <c r="A17" s="10"/>
      <c r="B17" s="11"/>
      <c r="C17" s="11"/>
      <c r="D17" s="4"/>
      <c r="E17" s="4"/>
      <c r="F17" s="9"/>
      <c r="G17" s="4"/>
      <c r="H17" s="4"/>
      <c r="I17" s="4"/>
      <c r="J17" s="9"/>
      <c r="K17" s="4"/>
      <c r="L17" s="4"/>
      <c r="M17" s="4"/>
      <c r="N17" s="9"/>
      <c r="O17" s="11"/>
      <c r="P17" s="4"/>
      <c r="Q17" s="4"/>
      <c r="R17" s="9"/>
      <c r="S17" s="4"/>
      <c r="T17" s="4"/>
      <c r="U17" s="4"/>
      <c r="V17" s="9"/>
      <c r="W17" s="4"/>
      <c r="X17" s="4"/>
      <c r="Y17" s="4"/>
      <c r="Z17" s="9"/>
    </row>
    <row r="18" spans="1:26" s="63" customFormat="1" ht="15" customHeight="1" x14ac:dyDescent="0.3">
      <c r="A18" s="11"/>
      <c r="B18" s="27" t="s">
        <v>289</v>
      </c>
      <c r="C18" s="27"/>
      <c r="D18" s="21" t="e">
        <f ca="1">D12-D15</f>
        <v>#NAME?</v>
      </c>
      <c r="E18" s="15"/>
      <c r="F18" s="23" t="e">
        <f ca="1">IF(D$12=0,0,D18/D$12)</f>
        <v>#NAME?</v>
      </c>
      <c r="G18" s="15"/>
      <c r="H18" s="21" t="e">
        <f ca="1">H12-H15</f>
        <v>#NAME?</v>
      </c>
      <c r="I18" s="15"/>
      <c r="J18" s="23" t="e">
        <f ca="1">IF(H$12=0,0,H18/H$12)</f>
        <v>#NAME?</v>
      </c>
      <c r="K18" s="16"/>
      <c r="L18" s="21" t="e">
        <f ca="1">+D18-H18</f>
        <v>#NAME?</v>
      </c>
      <c r="M18" s="16"/>
      <c r="N18" s="23" t="e">
        <f ca="1">IF(H18=0,0,L18/H18)</f>
        <v>#NAME?</v>
      </c>
      <c r="O18" s="28"/>
      <c r="P18" s="21" t="e">
        <f ca="1">P12-P15</f>
        <v>#NAME?</v>
      </c>
      <c r="Q18" s="15"/>
      <c r="R18" s="23" t="e">
        <f ca="1">IF(P$12=0,0,P18/P$12)</f>
        <v>#NAME?</v>
      </c>
      <c r="S18" s="15"/>
      <c r="T18" s="21" t="e">
        <f ca="1">T12-T15</f>
        <v>#NAME?</v>
      </c>
      <c r="U18" s="15"/>
      <c r="V18" s="23" t="e">
        <f ca="1">IF(T$12=0,0,T18/T$12)</f>
        <v>#NAME?</v>
      </c>
      <c r="W18" s="16"/>
      <c r="X18" s="21" t="e">
        <f ca="1">+P18-T18</f>
        <v>#NAME?</v>
      </c>
      <c r="Y18" s="16"/>
      <c r="Z18" s="23" t="e">
        <f ca="1">IF(T18=0,0,X18/T18)</f>
        <v>#NAME?</v>
      </c>
    </row>
    <row r="19" spans="1:26" ht="15" customHeight="1" x14ac:dyDescent="0.3">
      <c r="A19" s="10"/>
      <c r="B19" s="11"/>
      <c r="C19" s="10"/>
      <c r="D19" s="2"/>
      <c r="E19" s="2"/>
      <c r="F19" s="6"/>
      <c r="G19" s="2"/>
      <c r="H19" s="2"/>
      <c r="I19" s="2"/>
      <c r="J19" s="6"/>
      <c r="K19" s="2"/>
      <c r="L19" s="2"/>
      <c r="M19" s="2"/>
      <c r="N19" s="6"/>
      <c r="O19" s="35"/>
      <c r="P19" s="2"/>
      <c r="Q19" s="2"/>
      <c r="R19" s="6"/>
      <c r="S19" s="2"/>
      <c r="T19" s="2"/>
      <c r="U19" s="2"/>
      <c r="V19" s="6"/>
      <c r="W19" s="2"/>
      <c r="X19" s="2"/>
      <c r="Y19" s="2"/>
      <c r="Z19" s="6"/>
    </row>
    <row r="20" spans="1:26" s="63" customFormat="1" ht="15" customHeight="1" x14ac:dyDescent="0.3">
      <c r="A20" s="11"/>
      <c r="B20" s="28" t="s">
        <v>290</v>
      </c>
      <c r="C20" s="11"/>
      <c r="D20" s="22" t="e">
        <f ca="1">SUM(_xll.ONESTOP.REPORTPLAYER.OSRFUNCTIONS.OSRREF(D22))</f>
        <v>#NAME?</v>
      </c>
      <c r="E20" s="22"/>
      <c r="F20" s="30" t="e">
        <f ca="1">IF(D$12=0,0,D20/D$12)</f>
        <v>#NAME?</v>
      </c>
      <c r="G20" s="22"/>
      <c r="H20" s="22" t="e">
        <f ca="1">SUM(_xll.ONESTOP.REPORTPLAYER.OSRFUNCTIONS.OSRREF(H22))</f>
        <v>#NAME?</v>
      </c>
      <c r="I20" s="22"/>
      <c r="J20" s="30" t="e">
        <f ca="1">IF(H$12=0,0,H20/H$12)</f>
        <v>#NAME?</v>
      </c>
      <c r="K20" s="5"/>
      <c r="L20" s="22" t="e">
        <f ca="1">+D20-H20</f>
        <v>#NAME?</v>
      </c>
      <c r="M20" s="5"/>
      <c r="N20" s="30" t="e">
        <f ca="1">IF(H20=0,0,L20/H20)</f>
        <v>#NAME?</v>
      </c>
      <c r="O20" s="11"/>
      <c r="P20" s="22" t="e">
        <f ca="1">SUM(_xll.ONESTOP.REPORTPLAYER.OSRFUNCTIONS.OSRREF(P22))</f>
        <v>#NAME?</v>
      </c>
      <c r="Q20" s="22"/>
      <c r="R20" s="30" t="e">
        <f ca="1">IF(P$12=0,0,P20/P$12)</f>
        <v>#NAME?</v>
      </c>
      <c r="S20" s="22"/>
      <c r="T20" s="22" t="e">
        <f ca="1">SUM(_xll.ONESTOP.REPORTPLAYER.OSRFUNCTIONS.OSRREF(T22))</f>
        <v>#NAME?</v>
      </c>
      <c r="U20" s="22"/>
      <c r="V20" s="30" t="e">
        <f ca="1">IF(T$12=0,0,T20/T$12)</f>
        <v>#NAME?</v>
      </c>
      <c r="W20" s="5"/>
      <c r="X20" s="22" t="e">
        <f ca="1">+P20-T20</f>
        <v>#NAME?</v>
      </c>
      <c r="Y20" s="5"/>
      <c r="Z20" s="30" t="e">
        <f ca="1">IF(T20=0,0,X20/T20)</f>
        <v>#NAME?</v>
      </c>
    </row>
    <row r="21" spans="1:26" s="69" customFormat="1" ht="15" customHeight="1" outlineLevel="1" collapsed="1" x14ac:dyDescent="0.3">
      <c r="A21" s="25"/>
      <c r="B21" s="14" t="e">
        <f ca="1">CONCATENATE("     ",_xll.ONESTOP.REPORTPLAYER.OSRFUNCTIONS.OSRGET("d_Account","AccountCategory"))</f>
        <v>#NAME?</v>
      </c>
      <c r="C21" s="14"/>
      <c r="D21" s="2" t="e">
        <f ca="1">SUM(_xll.ONESTOP.REPORTPLAYER.OSRFUNCTIONS.OSRREF(D22))</f>
        <v>#NAME?</v>
      </c>
      <c r="E21" s="2"/>
      <c r="F21" s="6" t="e">
        <f ca="1">IF(D$12=0,0,D21/D$12)</f>
        <v>#NAME?</v>
      </c>
      <c r="G21" s="2"/>
      <c r="H21" s="2" t="e">
        <f ca="1">SUM(_xll.ONESTOP.REPORTPLAYER.OSRFUNCTIONS.OSRREF(H22))</f>
        <v>#NAME?</v>
      </c>
      <c r="I21" s="2"/>
      <c r="J21" s="6" t="e">
        <f ca="1">IF(H$12=0,0,H21/H$12)</f>
        <v>#NAME?</v>
      </c>
      <c r="K21" s="2"/>
      <c r="L21" s="2" t="e">
        <f ca="1">+D21-H21</f>
        <v>#NAME?</v>
      </c>
      <c r="M21" s="2"/>
      <c r="N21" s="6" t="e">
        <f ca="1">IF(H21=0,0,L21/H21)</f>
        <v>#NAME?</v>
      </c>
      <c r="O21" s="14"/>
      <c r="P21" s="2" t="e">
        <f ca="1">SUM(_xll.ONESTOP.REPORTPLAYER.OSRFUNCTIONS.OSRREF(P22))</f>
        <v>#NAME?</v>
      </c>
      <c r="Q21" s="2"/>
      <c r="R21" s="6" t="e">
        <f ca="1">IF(P$12=0,0,P21/P$12)</f>
        <v>#NAME?</v>
      </c>
      <c r="S21" s="2"/>
      <c r="T21" s="2" t="e">
        <f ca="1">SUM(_xll.ONESTOP.REPORTPLAYER.OSRFUNCTIONS.OSRREF(T22))</f>
        <v>#NAME?</v>
      </c>
      <c r="U21" s="2"/>
      <c r="V21" s="6" t="e">
        <f ca="1">IF(T$12=0,0,T21/T$12)</f>
        <v>#NAME?</v>
      </c>
      <c r="W21" s="2"/>
      <c r="X21" s="2" t="e">
        <f ca="1">+P21-T21</f>
        <v>#NAME?</v>
      </c>
      <c r="Y21" s="2"/>
      <c r="Z21" s="6" t="e">
        <f ca="1">IF(T21=0,0,X21/T21)</f>
        <v>#NAME?</v>
      </c>
    </row>
    <row r="22" spans="1:26" s="70" customFormat="1" ht="15" hidden="1" customHeight="1" outlineLevel="2" x14ac:dyDescent="0.3">
      <c r="A22" s="26"/>
      <c r="B22" s="12" t="e">
        <f ca="1">CONCATENATE("          ",_xll.ONESTOP.REPORTPLAYER.OSRFUNCTIONS.OSRGET("d_Account","Code")," - ",_xll.ONESTOP.REPORTPLAYER.OSRFUNCTIONS.OSRGET("d_Account","Description"))</f>
        <v>#NAME?</v>
      </c>
      <c r="C22" s="12"/>
      <c r="D22" s="7" t="e">
        <f ca="1">_xll.ONESTOP.REPORTPLAYER.OSRFUNCTIONS.OSRGET("GL_F_Trans","Value1")</f>
        <v>#NAME?</v>
      </c>
      <c r="E22" s="3"/>
      <c r="F22" s="8" t="e">
        <f ca="1">IF(D$12=0,0,D22/D$12)</f>
        <v>#NAME?</v>
      </c>
      <c r="G22" s="3"/>
      <c r="H22" s="7" t="e">
        <f ca="1">_xll.ONESTOP.REPORTPLAYER.OSRFUNCTIONS.OSRGET("GL_F_Trans","Value1")</f>
        <v>#NAME?</v>
      </c>
      <c r="I22" s="3"/>
      <c r="J22" s="8" t="e">
        <f ca="1">IF(H$12=0,0,H22/H$12)</f>
        <v>#NAME?</v>
      </c>
      <c r="K22" s="3"/>
      <c r="L22" s="7" t="e">
        <f ca="1">+D22-H22</f>
        <v>#NAME?</v>
      </c>
      <c r="M22" s="3"/>
      <c r="N22" s="8" t="e">
        <f ca="1">IF(H22=0,0,L22/H22)</f>
        <v>#NAME?</v>
      </c>
      <c r="O22" s="12"/>
      <c r="P22" s="7" t="e">
        <f ca="1">_xll.ONESTOP.REPORTPLAYER.OSRFUNCTIONS.OSRGET("GL_F_Trans","Value1")</f>
        <v>#NAME?</v>
      </c>
      <c r="Q22" s="3"/>
      <c r="R22" s="8" t="e">
        <f ca="1">IF(P$12=0,0,P22/P$12)</f>
        <v>#NAME?</v>
      </c>
      <c r="S22" s="3"/>
      <c r="T22" s="7" t="e">
        <f ca="1">_xll.ONESTOP.REPORTPLAYER.OSRFUNCTIONS.OSRGET("GL_F_Trans","Value1")</f>
        <v>#NAME?</v>
      </c>
      <c r="U22" s="3"/>
      <c r="V22" s="8" t="e">
        <f ca="1">IF(T$12=0,0,T22/T$12)</f>
        <v>#NAME?</v>
      </c>
      <c r="W22" s="3"/>
      <c r="X22" s="7" t="e">
        <f ca="1">+P22-T22</f>
        <v>#NAME?</v>
      </c>
      <c r="Y22" s="3"/>
      <c r="Z22" s="8" t="e">
        <f ca="1">IF(T22=0,0,X22/T22)</f>
        <v>#NAME?</v>
      </c>
    </row>
    <row r="23" spans="1:26" s="65" customFormat="1" ht="15" customHeight="1" x14ac:dyDescent="0.3">
      <c r="A23" s="35"/>
      <c r="B23" s="35"/>
      <c r="C23" s="35"/>
      <c r="D23" s="2"/>
      <c r="E23" s="2"/>
      <c r="F23" s="6"/>
      <c r="G23" s="2"/>
      <c r="H23" s="2"/>
      <c r="I23" s="2"/>
      <c r="J23" s="6"/>
      <c r="K23" s="2"/>
      <c r="L23" s="2"/>
      <c r="M23" s="2"/>
      <c r="N23" s="6"/>
      <c r="O23" s="35"/>
      <c r="P23" s="2"/>
      <c r="Q23" s="2"/>
      <c r="R23" s="6"/>
      <c r="S23" s="2"/>
      <c r="T23" s="2"/>
      <c r="U23" s="2"/>
      <c r="V23" s="6"/>
      <c r="W23" s="2"/>
      <c r="X23" s="2"/>
      <c r="Y23" s="2"/>
      <c r="Z23" s="6"/>
    </row>
    <row r="24" spans="1:26" s="63" customFormat="1" ht="15" customHeight="1" collapsed="1" x14ac:dyDescent="0.3">
      <c r="A24" s="11"/>
      <c r="B24" s="28" t="s">
        <v>291</v>
      </c>
      <c r="C24" s="11"/>
      <c r="D24" s="5" t="e">
        <f ca="1">SUM(_xll.ONESTOP.REPORTPLAYER.OSRFUNCTIONS.OSRREF(D25))</f>
        <v>#NAME?</v>
      </c>
      <c r="E24" s="5"/>
      <c r="F24" s="13" t="e">
        <f ca="1">IF(D$12=0,0,D24/D$12)</f>
        <v>#NAME?</v>
      </c>
      <c r="G24" s="5"/>
      <c r="H24" s="5" t="e">
        <f ca="1">SUM(_xll.ONESTOP.REPORTPLAYER.OSRFUNCTIONS.OSRREF(H25))</f>
        <v>#NAME?</v>
      </c>
      <c r="I24" s="5"/>
      <c r="J24" s="13" t="e">
        <f ca="1">IF(H$12=0,0,H24/H$12)</f>
        <v>#NAME?</v>
      </c>
      <c r="K24" s="5"/>
      <c r="L24" s="5" t="e">
        <f ca="1">+D24-H24</f>
        <v>#NAME?</v>
      </c>
      <c r="M24" s="5"/>
      <c r="N24" s="13" t="e">
        <f ca="1">IF(H24=0,0,L24/H24)</f>
        <v>#NAME?</v>
      </c>
      <c r="O24" s="11"/>
      <c r="P24" s="5" t="e">
        <f ca="1">SUM(_xll.ONESTOP.REPORTPLAYER.OSRFUNCTIONS.OSRREF(P25))</f>
        <v>#NAME?</v>
      </c>
      <c r="Q24" s="5"/>
      <c r="R24" s="13" t="e">
        <f ca="1">IF(P$12=0,0,P24/P$12)</f>
        <v>#NAME?</v>
      </c>
      <c r="S24" s="5"/>
      <c r="T24" s="5" t="e">
        <f ca="1">SUM(_xll.ONESTOP.REPORTPLAYER.OSRFUNCTIONS.OSRREF(T25))</f>
        <v>#NAME?</v>
      </c>
      <c r="U24" s="5"/>
      <c r="V24" s="13" t="e">
        <f ca="1">IF(T$12=0,0,T24/T$12)</f>
        <v>#NAME?</v>
      </c>
      <c r="W24" s="5"/>
      <c r="X24" s="5" t="e">
        <f ca="1">+P24-T24</f>
        <v>#NAME?</v>
      </c>
      <c r="Y24" s="5"/>
      <c r="Z24" s="13" t="e">
        <f ca="1">IF(T24=0,0,X24/T24)</f>
        <v>#NAME?</v>
      </c>
    </row>
    <row r="25" spans="1:26" s="70" customFormat="1" ht="15" hidden="1" customHeight="1" outlineLevel="1" x14ac:dyDescent="0.3">
      <c r="A25" s="42"/>
      <c r="B25" s="12" t="e">
        <f ca="1">CONCATENATE("          ",_xll.ONESTOP.REPORTPLAYER.OSRFUNCTIONS.OSRGET("d_Account","Code")," - ",_xll.ONESTOP.REPORTPLAYER.OSRFUNCTIONS.OSRGET("d_Account","Description"))</f>
        <v>#NAME?</v>
      </c>
      <c r="C25" s="12"/>
      <c r="D25" s="3" t="e">
        <f ca="1">-_xll.ONESTOP.REPORTPLAYER.OSRFUNCTIONS.OSRGET("GL_F_Trans","Value1")</f>
        <v>#NAME?</v>
      </c>
      <c r="E25" s="3"/>
      <c r="F25" s="20" t="e">
        <f ca="1">IF(D$12=0,0,D25/D$12)</f>
        <v>#NAME?</v>
      </c>
      <c r="G25" s="3"/>
      <c r="H25" s="3" t="e">
        <f ca="1">_xll.ONESTOP.REPORTPLAYER.OSRFUNCTIONS.OSRGET("GL_F_Trans","Value1")</f>
        <v>#NAME?</v>
      </c>
      <c r="I25" s="3"/>
      <c r="J25" s="20" t="e">
        <f ca="1">IF(H$12=0,0,H25/H$12)</f>
        <v>#NAME?</v>
      </c>
      <c r="K25" s="3"/>
      <c r="L25" s="3" t="e">
        <f ca="1">+D25-H25</f>
        <v>#NAME?</v>
      </c>
      <c r="M25" s="3"/>
      <c r="N25" s="20" t="e">
        <f ca="1">IF(H25=0,0,L25/H25)</f>
        <v>#NAME?</v>
      </c>
      <c r="O25" s="12"/>
      <c r="P25" s="3" t="e">
        <f ca="1">-_xll.ONESTOP.REPORTPLAYER.OSRFUNCTIONS.OSRGET("GL_F_Trans","Value1")</f>
        <v>#NAME?</v>
      </c>
      <c r="Q25" s="3"/>
      <c r="R25" s="20" t="e">
        <f ca="1">IF(P$12=0,0,P25/P$12)</f>
        <v>#NAME?</v>
      </c>
      <c r="S25" s="3"/>
      <c r="T25" s="3" t="e">
        <f ca="1">_xll.ONESTOP.REPORTPLAYER.OSRFUNCTIONS.OSRGET("GL_F_Trans","Value1")</f>
        <v>#NAME?</v>
      </c>
      <c r="U25" s="3"/>
      <c r="V25" s="20" t="e">
        <f ca="1">IF(T$12=0,0,T25/T$12)</f>
        <v>#NAME?</v>
      </c>
      <c r="W25" s="3"/>
      <c r="X25" s="3" t="e">
        <f ca="1">+P25-T25</f>
        <v>#NAME?</v>
      </c>
      <c r="Y25" s="3"/>
      <c r="Z25" s="20" t="e">
        <f ca="1">IF(T25=0,0,X25/T25)</f>
        <v>#NAME?</v>
      </c>
    </row>
    <row r="26" spans="1:26" ht="15" customHeight="1" x14ac:dyDescent="0.3">
      <c r="A26" s="10"/>
      <c r="B26" s="11"/>
      <c r="C26" s="11"/>
      <c r="D26" s="4"/>
      <c r="E26" s="4"/>
      <c r="F26" s="9"/>
      <c r="G26" s="4"/>
      <c r="H26" s="4"/>
      <c r="I26" s="4"/>
      <c r="J26" s="9"/>
      <c r="K26" s="4"/>
      <c r="L26" s="4"/>
      <c r="M26" s="4"/>
      <c r="N26" s="9"/>
      <c r="O26" s="11"/>
      <c r="P26" s="4"/>
      <c r="Q26" s="4"/>
      <c r="R26" s="9"/>
      <c r="S26" s="4"/>
      <c r="T26" s="4"/>
      <c r="U26" s="4"/>
      <c r="V26" s="9"/>
      <c r="W26" s="4"/>
      <c r="X26" s="4"/>
      <c r="Y26" s="4"/>
      <c r="Z26" s="9"/>
    </row>
    <row r="27" spans="1:26" s="63" customFormat="1" ht="15" customHeight="1" x14ac:dyDescent="0.3">
      <c r="A27" s="11"/>
      <c r="B27" s="27" t="s">
        <v>292</v>
      </c>
      <c r="C27" s="27"/>
      <c r="D27" s="21" t="e">
        <f ca="1">+D18-D20+D24</f>
        <v>#NAME?</v>
      </c>
      <c r="E27" s="15"/>
      <c r="F27" s="23" t="e">
        <f ca="1">IF(D$12=0,0,D27/D$12)</f>
        <v>#NAME?</v>
      </c>
      <c r="G27" s="15"/>
      <c r="H27" s="21" t="e">
        <f ca="1">+H18-H20+H24</f>
        <v>#NAME?</v>
      </c>
      <c r="I27" s="15"/>
      <c r="J27" s="23" t="e">
        <f ca="1">IF(H$12=0,0,H27/H$12)</f>
        <v>#NAME?</v>
      </c>
      <c r="K27" s="16"/>
      <c r="L27" s="21" t="e">
        <f ca="1">+D27-H27</f>
        <v>#NAME?</v>
      </c>
      <c r="M27" s="16"/>
      <c r="N27" s="23" t="e">
        <f ca="1">IF(H27=0,0,L27/H27)</f>
        <v>#NAME?</v>
      </c>
      <c r="O27" s="28"/>
      <c r="P27" s="21" t="e">
        <f ca="1">+P18-P20+P24</f>
        <v>#NAME?</v>
      </c>
      <c r="Q27" s="15"/>
      <c r="R27" s="23" t="e">
        <f ca="1">IF(P$12=0,0,P27/P$12)</f>
        <v>#NAME?</v>
      </c>
      <c r="S27" s="15"/>
      <c r="T27" s="21" t="e">
        <f ca="1">+T18-T20+T24</f>
        <v>#NAME?</v>
      </c>
      <c r="U27" s="15"/>
      <c r="V27" s="23" t="e">
        <f ca="1">IF(T$12=0,0,T27/T$12)</f>
        <v>#NAME?</v>
      </c>
      <c r="W27" s="16"/>
      <c r="X27" s="21" t="e">
        <f ca="1">+P27-T27</f>
        <v>#NAME?</v>
      </c>
      <c r="Y27" s="16"/>
      <c r="Z27" s="23" t="e">
        <f ca="1">IF(T27=0,0,X27/T27)</f>
        <v>#NAME?</v>
      </c>
    </row>
    <row r="28" spans="1:26" ht="15" customHeight="1" x14ac:dyDescent="0.3">
      <c r="A28" s="10"/>
      <c r="B28" s="11"/>
      <c r="C28" s="10"/>
      <c r="D28" s="4"/>
      <c r="E28" s="4"/>
      <c r="F28" s="9"/>
      <c r="G28" s="4"/>
      <c r="H28" s="4"/>
      <c r="I28" s="4"/>
      <c r="J28" s="9"/>
      <c r="K28" s="4"/>
      <c r="L28" s="4"/>
      <c r="M28" s="4"/>
      <c r="N28" s="9"/>
      <c r="P28" s="4"/>
      <c r="Q28" s="4"/>
      <c r="R28" s="9"/>
      <c r="S28" s="4"/>
      <c r="T28" s="4"/>
      <c r="U28" s="4"/>
      <c r="V28" s="9"/>
      <c r="W28" s="4"/>
      <c r="X28" s="4"/>
      <c r="Y28" s="4"/>
      <c r="Z28" s="9"/>
    </row>
    <row r="29" spans="1:26" s="63" customFormat="1" ht="15" customHeight="1" x14ac:dyDescent="0.3">
      <c r="A29" s="49"/>
      <c r="B29" s="11" t="s">
        <v>293</v>
      </c>
      <c r="C29" s="11"/>
      <c r="D29" s="5" t="e">
        <f ca="1">_xll.ONESTOP.REPORTPLAYER.OSRFUNCTIONS.OSRGET("GL_F_Trans","Value1")</f>
        <v>#NAME?</v>
      </c>
      <c r="E29" s="5"/>
      <c r="F29" s="13" t="e">
        <f ca="1">IF(D$12=0,0,D29/D$12)</f>
        <v>#NAME?</v>
      </c>
      <c r="G29" s="5"/>
      <c r="H29" s="5" t="e">
        <f ca="1">_xll.ONESTOP.REPORTPLAYER.OSRFUNCTIONS.OSRGET("GL_F_Trans","Value1")</f>
        <v>#NAME?</v>
      </c>
      <c r="I29" s="5"/>
      <c r="J29" s="13" t="e">
        <f ca="1">IF(H$12=0,0,H29/H$12)</f>
        <v>#NAME?</v>
      </c>
      <c r="K29" s="5"/>
      <c r="L29" s="5" t="e">
        <f ca="1">+D29-H29</f>
        <v>#NAME?</v>
      </c>
      <c r="M29" s="5"/>
      <c r="N29" s="13" t="e">
        <f ca="1">IF(H29=0,0,L29/H29)</f>
        <v>#NAME?</v>
      </c>
      <c r="O29" s="11"/>
      <c r="P29" s="5" t="e">
        <f ca="1">_xll.ONESTOP.REPORTPLAYER.OSRFUNCTIONS.OSRGET("GL_F_Trans","Value1")</f>
        <v>#NAME?</v>
      </c>
      <c r="Q29" s="5"/>
      <c r="R29" s="13" t="e">
        <f ca="1">IF(P$12=0,0,P29/P$12)</f>
        <v>#NAME?</v>
      </c>
      <c r="S29" s="5"/>
      <c r="T29" s="5" t="e">
        <f ca="1">_xll.ONESTOP.REPORTPLAYER.OSRFUNCTIONS.OSRGET("GL_F_Trans","Value1")</f>
        <v>#NAME?</v>
      </c>
      <c r="U29" s="5"/>
      <c r="V29" s="13" t="e">
        <f ca="1">IF(T$12=0,0,T29/T$12)</f>
        <v>#NAME?</v>
      </c>
      <c r="W29" s="5"/>
      <c r="X29" s="5" t="e">
        <f ca="1">+P29-T29</f>
        <v>#NAME?</v>
      </c>
      <c r="Y29" s="5"/>
      <c r="Z29" s="13" t="e">
        <f ca="1">IF(T29=0,0,X29/T29)</f>
        <v>#NAME?</v>
      </c>
    </row>
    <row r="30" spans="1:26" ht="15" customHeight="1" x14ac:dyDescent="0.3">
      <c r="A30" s="10"/>
      <c r="B30" s="11"/>
      <c r="C30" s="11"/>
      <c r="D30" s="4"/>
      <c r="E30" s="4"/>
      <c r="F30" s="9"/>
      <c r="G30" s="4"/>
      <c r="H30" s="4"/>
      <c r="I30" s="4"/>
      <c r="J30" s="9"/>
      <c r="K30" s="4"/>
      <c r="L30" s="4"/>
      <c r="M30" s="4"/>
      <c r="N30" s="9"/>
      <c r="O30" s="11"/>
      <c r="P30" s="4"/>
      <c r="Q30" s="4"/>
      <c r="R30" s="9"/>
      <c r="S30" s="4"/>
      <c r="T30" s="4"/>
      <c r="U30" s="4"/>
      <c r="V30" s="9"/>
      <c r="W30" s="4"/>
      <c r="X30" s="4"/>
      <c r="Y30" s="4"/>
      <c r="Z30" s="9"/>
    </row>
    <row r="31" spans="1:26" s="63" customFormat="1" ht="15" customHeight="1" x14ac:dyDescent="0.3">
      <c r="A31" s="11"/>
      <c r="B31" s="27" t="s">
        <v>294</v>
      </c>
      <c r="C31" s="27"/>
      <c r="D31" s="34" t="e">
        <f ca="1">+D27-D29</f>
        <v>#NAME?</v>
      </c>
      <c r="E31" s="15"/>
      <c r="F31" s="29" t="e">
        <f ca="1">IF(D$12=0,0,D31/D$12)</f>
        <v>#NAME?</v>
      </c>
      <c r="G31" s="15"/>
      <c r="H31" s="34" t="e">
        <f ca="1">+H27-H29</f>
        <v>#NAME?</v>
      </c>
      <c r="I31" s="15"/>
      <c r="J31" s="29" t="e">
        <f ca="1">IF(H$12=0,0,H31/H$12)</f>
        <v>#NAME?</v>
      </c>
      <c r="K31" s="16"/>
      <c r="L31" s="34" t="e">
        <f ca="1">D31-H31</f>
        <v>#NAME?</v>
      </c>
      <c r="M31" s="16"/>
      <c r="N31" s="29" t="e">
        <f ca="1">IF(H31=0,0,L31/H31)</f>
        <v>#NAME?</v>
      </c>
      <c r="O31" s="28"/>
      <c r="P31" s="34" t="e">
        <f ca="1">+P27-P29</f>
        <v>#NAME?</v>
      </c>
      <c r="Q31" s="15"/>
      <c r="R31" s="29" t="e">
        <f ca="1">IF(P$12=0,0,P31/P$12)</f>
        <v>#NAME?</v>
      </c>
      <c r="S31" s="15"/>
      <c r="T31" s="34" t="e">
        <f ca="1">+T27-T29</f>
        <v>#NAME?</v>
      </c>
      <c r="U31" s="15"/>
      <c r="V31" s="29" t="e">
        <f ca="1">IF(T$12=0,0,T31/T$12)</f>
        <v>#NAME?</v>
      </c>
      <c r="W31" s="16"/>
      <c r="X31" s="34" t="e">
        <f ca="1">P31-T31</f>
        <v>#NAME?</v>
      </c>
      <c r="Y31" s="16"/>
      <c r="Z31" s="29" t="e">
        <f ca="1">IF(T31=0,0,X31/T31)</f>
        <v>#NAME?</v>
      </c>
    </row>
    <row r="32" spans="1:26" ht="15" customHeight="1" x14ac:dyDescent="0.3">
      <c r="A32" s="10"/>
      <c r="B32" s="10"/>
      <c r="C32" s="10"/>
      <c r="D32" s="4"/>
      <c r="E32" s="4"/>
      <c r="F32" s="9"/>
      <c r="G32" s="4"/>
      <c r="H32" s="4"/>
      <c r="I32" s="4"/>
      <c r="J32" s="9"/>
      <c r="K32" s="4"/>
      <c r="L32" s="4"/>
      <c r="M32" s="4"/>
      <c r="N32" s="9"/>
      <c r="P32" s="4"/>
      <c r="Q32" s="4"/>
      <c r="R32" s="9"/>
      <c r="S32" s="4"/>
      <c r="T32" s="4"/>
      <c r="U32" s="4"/>
      <c r="V32" s="9"/>
      <c r="W32" s="4"/>
      <c r="X32" s="4"/>
      <c r="Y32" s="4"/>
      <c r="Z32" s="9"/>
    </row>
    <row r="33" spans="1:26" s="63" customFormat="1" ht="15" customHeight="1" x14ac:dyDescent="0.3">
      <c r="A33" s="49"/>
      <c r="B33" s="11" t="s">
        <v>295</v>
      </c>
      <c r="C33" s="11"/>
      <c r="D33" s="5" t="e">
        <f ca="1">-_xll.ONESTOP.REPORTPLAYER.OSRFUNCTIONS.OSRGET("GL_F_Trans","Value1")</f>
        <v>#NAME?</v>
      </c>
      <c r="E33" s="5"/>
      <c r="F33" s="13" t="e">
        <f ca="1">IF(D$12=0,0,D33/D$12)</f>
        <v>#NAME?</v>
      </c>
      <c r="G33" s="5"/>
      <c r="H33" s="5" t="e">
        <f ca="1">-_xll.ONESTOP.REPORTPLAYER.OSRFUNCTIONS.OSRGET("GL_F_Trans","Value1")</f>
        <v>#NAME?</v>
      </c>
      <c r="I33" s="5"/>
      <c r="J33" s="13" t="e">
        <f ca="1">IF(H$12=0,0,H33/H$12)</f>
        <v>#NAME?</v>
      </c>
      <c r="K33" s="5"/>
      <c r="L33" s="5" t="e">
        <f ca="1">+D33-H33</f>
        <v>#NAME?</v>
      </c>
      <c r="M33" s="5"/>
      <c r="N33" s="13" t="e">
        <f ca="1">IF(H33=0,0,L33/H33)</f>
        <v>#NAME?</v>
      </c>
      <c r="O33" s="11"/>
      <c r="P33" s="5" t="e">
        <f ca="1">-_xll.ONESTOP.REPORTPLAYER.OSRFUNCTIONS.OSRGET("GL_F_Trans","Value1")</f>
        <v>#NAME?</v>
      </c>
      <c r="Q33" s="5"/>
      <c r="R33" s="13" t="e">
        <f ca="1">IF(P$12=0,0,P33/P$12)</f>
        <v>#NAME?</v>
      </c>
      <c r="S33" s="5"/>
      <c r="T33" s="5" t="e">
        <f ca="1">-_xll.ONESTOP.REPORTPLAYER.OSRFUNCTIONS.OSRGET("GL_F_Trans","Value1")</f>
        <v>#NAME?</v>
      </c>
      <c r="U33" s="5"/>
      <c r="V33" s="13" t="e">
        <f ca="1">IF(T$12=0,0,T33/T$12)</f>
        <v>#NAME?</v>
      </c>
      <c r="W33" s="5"/>
      <c r="X33" s="5" t="e">
        <f ca="1">+P33-T33</f>
        <v>#NAME?</v>
      </c>
      <c r="Y33" s="5"/>
      <c r="Z33" s="13" t="e">
        <f ca="1">IF(T33=0,0,X33/T33)</f>
        <v>#NAME?</v>
      </c>
    </row>
    <row r="34" spans="1:26" s="63" customFormat="1" ht="15" customHeight="1" x14ac:dyDescent="0.3">
      <c r="A34" s="49"/>
      <c r="B34" s="11" t="s">
        <v>296</v>
      </c>
      <c r="C34" s="11"/>
      <c r="D34" s="5" t="e">
        <f ca="1">-_xll.ONESTOP.REPORTPLAYER.OSRFUNCTIONS.OSRGET("GL_F_Trans","Value1")</f>
        <v>#NAME?</v>
      </c>
      <c r="E34" s="5"/>
      <c r="F34" s="13" t="e">
        <f ca="1">IF(D$12=0,0,D34/D$12)</f>
        <v>#NAME?</v>
      </c>
      <c r="G34" s="5"/>
      <c r="H34" s="5" t="e">
        <f ca="1">-_xll.ONESTOP.REPORTPLAYER.OSRFUNCTIONS.OSRGET("GL_F_Trans","Value1")</f>
        <v>#NAME?</v>
      </c>
      <c r="I34" s="5"/>
      <c r="J34" s="13" t="e">
        <f ca="1">IF(H$12=0,0,H34/H$12)</f>
        <v>#NAME?</v>
      </c>
      <c r="K34" s="5"/>
      <c r="L34" s="5" t="e">
        <f ca="1">+D34-H34</f>
        <v>#NAME?</v>
      </c>
      <c r="M34" s="5"/>
      <c r="N34" s="13" t="e">
        <f ca="1">IF(H34=0,0,L34/H34)</f>
        <v>#NAME?</v>
      </c>
      <c r="O34" s="11"/>
      <c r="P34" s="5" t="e">
        <f ca="1">-_xll.ONESTOP.REPORTPLAYER.OSRFUNCTIONS.OSRGET("GL_F_Trans","Value1")</f>
        <v>#NAME?</v>
      </c>
      <c r="Q34" s="5"/>
      <c r="R34" s="13" t="e">
        <f ca="1">IF(P$12=0,0,P34/P$12)</f>
        <v>#NAME?</v>
      </c>
      <c r="S34" s="5"/>
      <c r="T34" s="5" t="e">
        <f ca="1">-_xll.ONESTOP.REPORTPLAYER.OSRFUNCTIONS.OSRGET("GL_F_Trans","Value1")</f>
        <v>#NAME?</v>
      </c>
      <c r="U34" s="5"/>
      <c r="V34" s="13" t="e">
        <f ca="1">IF(T$12=0,0,T34/T$12)</f>
        <v>#NAME?</v>
      </c>
      <c r="W34" s="5"/>
      <c r="X34" s="5" t="e">
        <f ca="1">+P34-T34</f>
        <v>#NAME?</v>
      </c>
      <c r="Y34" s="5"/>
      <c r="Z34" s="13" t="e">
        <f ca="1">IF(T34=0,0,X34/T34)</f>
        <v>#NAME?</v>
      </c>
    </row>
    <row r="35" spans="1:26" ht="15" customHeight="1" x14ac:dyDescent="0.3">
      <c r="A35" s="10"/>
      <c r="B35" s="10"/>
      <c r="C35" s="10"/>
      <c r="D35" s="4"/>
      <c r="E35" s="4"/>
      <c r="F35" s="9"/>
      <c r="G35" s="4"/>
      <c r="H35" s="4"/>
      <c r="I35" s="4"/>
      <c r="J35" s="9"/>
      <c r="K35" s="4"/>
      <c r="L35" s="4"/>
      <c r="M35" s="4"/>
      <c r="N35" s="9"/>
      <c r="P35" s="4"/>
      <c r="Q35" s="4"/>
      <c r="R35" s="9"/>
      <c r="S35" s="4"/>
      <c r="T35" s="4"/>
      <c r="U35" s="4"/>
      <c r="V35" s="9"/>
      <c r="W35" s="4"/>
      <c r="X35" s="4"/>
      <c r="Y35" s="4"/>
      <c r="Z35" s="9"/>
    </row>
    <row r="36" spans="1:26" s="63" customFormat="1" ht="15" customHeight="1" x14ac:dyDescent="0.3">
      <c r="A36" s="11"/>
      <c r="B36" s="27" t="s">
        <v>297</v>
      </c>
      <c r="C36" s="27"/>
      <c r="D36" s="32" t="e">
        <f ca="1">SUM(D31:D35)</f>
        <v>#NAME?</v>
      </c>
      <c r="E36" s="15"/>
      <c r="F36" s="31" t="e">
        <f ca="1">IF(D$12=0,0,D36/D$12)</f>
        <v>#NAME?</v>
      </c>
      <c r="G36" s="15"/>
      <c r="H36" s="32" t="e">
        <f ca="1">SUM(H31:H35)</f>
        <v>#NAME?</v>
      </c>
      <c r="I36" s="15"/>
      <c r="J36" s="31" t="e">
        <f ca="1">IF(H$12=0,0,H36/H$12)</f>
        <v>#NAME?</v>
      </c>
      <c r="K36" s="16"/>
      <c r="L36" s="32" t="e">
        <f ca="1">+D36-H36</f>
        <v>#NAME?</v>
      </c>
      <c r="M36" s="16"/>
      <c r="N36" s="31" t="e">
        <f ca="1">IF(H36=0,0,L36/H36)</f>
        <v>#NAME?</v>
      </c>
      <c r="O36" s="28"/>
      <c r="P36" s="32" t="e">
        <f ca="1">SUM(P31:P35)</f>
        <v>#NAME?</v>
      </c>
      <c r="Q36" s="15"/>
      <c r="R36" s="31" t="e">
        <f ca="1">IF(P$12=0,0,P36/P$12)</f>
        <v>#NAME?</v>
      </c>
      <c r="S36" s="15"/>
      <c r="T36" s="32" t="e">
        <f ca="1">SUM(T31:T35)</f>
        <v>#NAME?</v>
      </c>
      <c r="U36" s="15"/>
      <c r="V36" s="31" t="e">
        <f ca="1">IF(T$12=0,0,T36/T$12)</f>
        <v>#NAME?</v>
      </c>
      <c r="W36" s="16"/>
      <c r="X36" s="32" t="e">
        <f ca="1">+P36-T36</f>
        <v>#NAME?</v>
      </c>
      <c r="Y36" s="16"/>
      <c r="Z36" s="31" t="e">
        <f ca="1">IF(T36=0,0,X36/T36)</f>
        <v>#NAME?</v>
      </c>
    </row>
    <row r="37" spans="1:26" ht="15" customHeight="1" x14ac:dyDescent="0.3">
      <c r="A37" s="10"/>
      <c r="C37" s="10"/>
      <c r="D37" s="19"/>
      <c r="E37" s="19"/>
      <c r="G37" s="19"/>
      <c r="H37" s="19"/>
      <c r="I37" s="19"/>
      <c r="J37" s="40"/>
      <c r="K37" s="19"/>
      <c r="L37" s="19"/>
      <c r="M37" s="19"/>
      <c r="P37" s="19"/>
      <c r="Q37" s="19"/>
      <c r="R37" s="40"/>
      <c r="S37" s="19"/>
      <c r="T37" s="19"/>
      <c r="U37" s="19"/>
      <c r="V37" s="40"/>
      <c r="W37" s="19"/>
      <c r="X37" s="19"/>
    </row>
    <row r="38" spans="1:26" ht="15" customHeight="1" x14ac:dyDescent="0.3">
      <c r="A38" s="10"/>
      <c r="B38" s="51" t="e">
        <f ca="1">_xll.ONESTOP.REPORTPLAYER.OSRFUNCTIONS.OSRGET("CurrentDate","Date")</f>
        <v>#NAME?</v>
      </c>
      <c r="D38" s="19"/>
      <c r="E38" s="19"/>
      <c r="G38" s="19"/>
      <c r="H38" s="19"/>
      <c r="I38" s="19"/>
      <c r="J38" s="40"/>
      <c r="K38" s="19"/>
      <c r="L38" s="19"/>
      <c r="M38" s="19"/>
      <c r="P38" s="19"/>
      <c r="Q38" s="19"/>
      <c r="R38" s="40"/>
      <c r="S38" s="19"/>
      <c r="T38" s="19"/>
      <c r="U38" s="19"/>
      <c r="V38" s="40"/>
      <c r="W38" s="19"/>
      <c r="X38" s="19"/>
    </row>
    <row r="39" spans="1:26" ht="15" customHeight="1" x14ac:dyDescent="0.3">
      <c r="A39" s="10"/>
      <c r="B39" s="58" t="e">
        <f ca="1">_xll.ONESTOP.REPORTPLAYER.OSRFUNCTIONS.OSRGET("User","UserId")</f>
        <v>#NAME?</v>
      </c>
      <c r="D39" s="19"/>
      <c r="E39" s="19"/>
      <c r="G39" s="19"/>
      <c r="H39" s="19"/>
      <c r="I39" s="19"/>
      <c r="J39" s="40"/>
      <c r="K39" s="19"/>
      <c r="L39" s="19"/>
      <c r="M39" s="19"/>
      <c r="P39" s="19"/>
      <c r="Q39" s="19"/>
      <c r="R39" s="40"/>
      <c r="S39" s="19"/>
      <c r="T39" s="19"/>
      <c r="U39" s="19"/>
      <c r="V39" s="40"/>
      <c r="W39" s="19"/>
      <c r="X39" s="19"/>
    </row>
    <row r="40" spans="1:26" ht="15" customHeight="1" x14ac:dyDescent="0.3">
      <c r="A40" s="10"/>
      <c r="B40" s="50"/>
      <c r="D40" s="19"/>
      <c r="E40" s="19"/>
      <c r="G40" s="19"/>
      <c r="H40" s="19"/>
      <c r="I40" s="19"/>
      <c r="J40" s="40"/>
      <c r="K40" s="19"/>
      <c r="L40" s="19"/>
      <c r="M40" s="19"/>
      <c r="P40" s="19"/>
      <c r="Q40" s="19"/>
      <c r="R40" s="40"/>
      <c r="S40" s="19"/>
      <c r="T40" s="19"/>
      <c r="U40" s="19"/>
      <c r="V40" s="40"/>
      <c r="W40" s="19"/>
      <c r="X40" s="19"/>
    </row>
    <row r="41" spans="1:26" ht="15" customHeight="1" x14ac:dyDescent="0.3">
      <c r="D41" s="19"/>
      <c r="E41" s="19"/>
      <c r="G41" s="19"/>
      <c r="H41" s="19"/>
      <c r="I41" s="19"/>
      <c r="J41" s="40"/>
      <c r="K41" s="19"/>
      <c r="L41" s="19"/>
      <c r="M41" s="19"/>
      <c r="P41" s="19"/>
      <c r="Q41" s="19"/>
      <c r="R41" s="40"/>
      <c r="S41" s="19"/>
      <c r="T41" s="19"/>
      <c r="U41" s="19"/>
      <c r="V41" s="40"/>
      <c r="W41" s="19"/>
      <c r="X41" s="19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F9AA16-ADA7-713E-1C38-AA49AF5FC5DF}">
  <sheetPr>
    <tabColor rgb="FFFFC000"/>
    <outlinePr summaryBelow="0" summaryRight="0"/>
  </sheetPr>
  <dimension ref="A2:Z41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6" customWidth="1"/>
    <col min="2" max="2" width="33.44140625" style="66" customWidth="1"/>
    <col min="3" max="3" width="1.88671875" style="66" customWidth="1"/>
    <col min="4" max="4" width="15" style="66" customWidth="1"/>
    <col min="5" max="5" width="1.88671875" style="66" customWidth="1" outlineLevel="1"/>
    <col min="6" max="6" width="15" style="67" customWidth="1" outlineLevel="1"/>
    <col min="7" max="7" width="1.88671875" style="66" customWidth="1" outlineLevel="1"/>
    <col min="8" max="8" width="15" style="66" customWidth="1" outlineLevel="1"/>
    <col min="9" max="9" width="1.88671875" style="66" customWidth="1" outlineLevel="1"/>
    <col min="10" max="10" width="15" style="68" customWidth="1" outlineLevel="1"/>
    <col min="11" max="11" width="1.88671875" style="66" customWidth="1" outlineLevel="1"/>
    <col min="12" max="12" width="15" style="66" customWidth="1" outlineLevel="1"/>
    <col min="13" max="13" width="1.88671875" style="66" customWidth="1" outlineLevel="1"/>
    <col min="14" max="14" width="15" style="67" customWidth="1" outlineLevel="1"/>
    <col min="15" max="15" width="1.88671875" style="64" customWidth="1"/>
    <col min="16" max="16" width="15" style="66" customWidth="1"/>
    <col min="17" max="17" width="1.88671875" style="66" customWidth="1" outlineLevel="1"/>
    <col min="18" max="18" width="15" style="68" customWidth="1" outlineLevel="1"/>
    <col min="19" max="19" width="1.88671875" style="66" customWidth="1" outlineLevel="1"/>
    <col min="20" max="20" width="15" style="66" customWidth="1" outlineLevel="1"/>
    <col min="21" max="21" width="1.88671875" style="66" customWidth="1" outlineLevel="1"/>
    <col min="22" max="22" width="15" style="68" customWidth="1" outlineLevel="1"/>
    <col min="23" max="23" width="1.88671875" style="66" customWidth="1" outlineLevel="1"/>
    <col min="24" max="24" width="15" style="66" customWidth="1" outlineLevel="1"/>
    <col min="25" max="25" width="1.88671875" style="66" customWidth="1" outlineLevel="1"/>
    <col min="26" max="26" width="15" style="68" customWidth="1" outlineLevel="1"/>
  </cols>
  <sheetData>
    <row r="2" spans="1:26" ht="15" customHeight="1" x14ac:dyDescent="0.3">
      <c r="D2" s="54" t="s">
        <v>276</v>
      </c>
    </row>
    <row r="3" spans="1:26" ht="15" customHeight="1" x14ac:dyDescent="0.3">
      <c r="D3" s="54" t="s">
        <v>277</v>
      </c>
      <c r="E3" s="18"/>
      <c r="F3" s="44"/>
      <c r="G3" s="18"/>
      <c r="H3" s="18"/>
      <c r="I3" s="18"/>
      <c r="J3" s="38"/>
      <c r="K3" s="18"/>
      <c r="L3" s="18"/>
      <c r="M3" s="18"/>
      <c r="N3" s="44"/>
      <c r="O3" s="53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ht="15" customHeight="1" x14ac:dyDescent="0.3">
      <c r="D4" s="54" t="e">
        <f ca="1">CONCATENATE("Period ",RIGHT(_xll.ONESTOP.REPORTPLAYER.OSRFUNCTIONS.OSRGET("Period","PeriodId"),2),", ",_xll.ONESTOP.REPORTPLAYER.OSRFUNCTIONS.OSRGET("Period","Year"))</f>
        <v>#NAME?</v>
      </c>
      <c r="E4" s="18"/>
      <c r="F4" s="44"/>
      <c r="G4" s="18"/>
      <c r="H4" s="18"/>
      <c r="I4" s="18"/>
      <c r="J4" s="38"/>
      <c r="K4" s="18"/>
      <c r="L4" s="18"/>
      <c r="M4" s="18"/>
      <c r="N4" s="44"/>
      <c r="O4" s="53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ht="15" customHeight="1" x14ac:dyDescent="0.3">
      <c r="A5" s="24"/>
      <c r="D5" s="61" t="e">
        <f ca="1">_xll.ONESTOP.REPORTPLAYER.OSRFUNCTIONS.OSRGET("Period","PeriodEnd")</f>
        <v>#NAME?</v>
      </c>
      <c r="E5" s="18"/>
      <c r="F5" s="44"/>
      <c r="G5" s="18"/>
      <c r="H5" s="18"/>
      <c r="I5" s="18"/>
      <c r="J5" s="38"/>
      <c r="K5" s="18"/>
      <c r="L5" s="18"/>
      <c r="M5" s="18"/>
      <c r="N5" s="44"/>
      <c r="O5" s="53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ht="15" customHeight="1" x14ac:dyDescent="0.3">
      <c r="A6" s="24"/>
      <c r="B6" s="47"/>
      <c r="C6" s="47"/>
      <c r="D6" s="24" t="s">
        <v>315</v>
      </c>
      <c r="E6" s="18"/>
      <c r="F6" s="44"/>
      <c r="G6" s="18"/>
      <c r="H6" s="18"/>
      <c r="I6" s="18"/>
      <c r="J6" s="38"/>
      <c r="K6" s="18"/>
      <c r="L6" s="18"/>
      <c r="M6" s="18"/>
      <c r="N6" s="44"/>
      <c r="O6" s="59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ht="15" customHeight="1" x14ac:dyDescent="0.3">
      <c r="B7" s="52"/>
    </row>
    <row r="8" spans="1:26" ht="15" customHeight="1" x14ac:dyDescent="0.3">
      <c r="B8" s="52"/>
    </row>
    <row r="9" spans="1:26" ht="15" customHeight="1" x14ac:dyDescent="0.3">
      <c r="B9" s="10"/>
      <c r="C9" s="10"/>
      <c r="D9" s="17" t="s">
        <v>279</v>
      </c>
      <c r="E9" s="17"/>
      <c r="F9" s="36"/>
      <c r="G9" s="17"/>
      <c r="H9" s="17"/>
      <c r="I9" s="17"/>
      <c r="J9" s="43"/>
      <c r="K9" s="17"/>
      <c r="L9" s="17"/>
      <c r="M9" s="17"/>
      <c r="N9" s="36"/>
      <c r="P9" s="17" t="s">
        <v>280</v>
      </c>
      <c r="Q9" s="17"/>
      <c r="R9" s="36"/>
      <c r="S9" s="17"/>
      <c r="T9" s="17"/>
      <c r="U9" s="17"/>
      <c r="V9" s="43"/>
      <c r="W9" s="17"/>
      <c r="X9" s="17"/>
      <c r="Y9" s="17"/>
      <c r="Z9" s="36"/>
    </row>
    <row r="10" spans="1:26" ht="15" customHeight="1" x14ac:dyDescent="0.3">
      <c r="A10" s="11"/>
      <c r="B10" s="57"/>
      <c r="C10" s="11"/>
      <c r="D10" s="41" t="s">
        <v>281</v>
      </c>
      <c r="E10" s="33"/>
      <c r="F10" s="37" t="s">
        <v>282</v>
      </c>
      <c r="G10" s="33"/>
      <c r="H10" s="48" t="s">
        <v>283</v>
      </c>
      <c r="I10" s="33"/>
      <c r="J10" s="45" t="s">
        <v>284</v>
      </c>
      <c r="K10" s="11"/>
      <c r="L10" s="41" t="s">
        <v>285</v>
      </c>
      <c r="M10" s="11"/>
      <c r="N10" s="37" t="s">
        <v>286</v>
      </c>
      <c r="O10" s="11"/>
      <c r="P10" s="56" t="s">
        <v>281</v>
      </c>
      <c r="Q10" s="33"/>
      <c r="R10" s="37" t="s">
        <v>282</v>
      </c>
      <c r="S10" s="33"/>
      <c r="T10" s="48" t="s">
        <v>283</v>
      </c>
      <c r="U10" s="33"/>
      <c r="V10" s="45" t="s">
        <v>284</v>
      </c>
      <c r="W10" s="11"/>
      <c r="X10" s="41" t="s">
        <v>285</v>
      </c>
      <c r="Y10" s="11"/>
      <c r="Z10" s="37" t="s">
        <v>286</v>
      </c>
    </row>
    <row r="11" spans="1:26" ht="16.5" customHeight="1" x14ac:dyDescent="0.3">
      <c r="A11" s="10"/>
      <c r="B11" s="55"/>
      <c r="C11" s="10"/>
      <c r="D11" s="10"/>
      <c r="E11" s="10"/>
      <c r="F11" s="9"/>
      <c r="G11" s="10"/>
      <c r="H11" s="10"/>
      <c r="I11" s="10"/>
      <c r="J11" s="46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6"/>
      <c r="W11" s="10"/>
      <c r="X11" s="10"/>
      <c r="Y11" s="10"/>
      <c r="Z11" s="9"/>
    </row>
    <row r="12" spans="1:26" s="63" customFormat="1" ht="15" customHeight="1" collapsed="1" x14ac:dyDescent="0.3">
      <c r="A12" s="11"/>
      <c r="B12" s="28" t="s">
        <v>287</v>
      </c>
      <c r="C12" s="11"/>
      <c r="D12" s="5" t="e">
        <f ca="1">SUM(_xll.ONESTOP.REPORTPLAYER.OSRFUNCTIONS.OSRREF(D13))</f>
        <v>#NAME?</v>
      </c>
      <c r="E12" s="5"/>
      <c r="F12" s="13"/>
      <c r="G12" s="5"/>
      <c r="H12" s="5" t="e">
        <f ca="1">SUM(_xll.ONESTOP.REPORTPLAYER.OSRFUNCTIONS.OSRREF(H13))</f>
        <v>#NAME?</v>
      </c>
      <c r="I12" s="5"/>
      <c r="J12" s="13"/>
      <c r="K12" s="5"/>
      <c r="L12" s="5" t="e">
        <f ca="1">+D12-H12</f>
        <v>#NAME?</v>
      </c>
      <c r="M12" s="5"/>
      <c r="N12" s="13" t="e">
        <f ca="1">IF(H12=0,0,L12/H12)</f>
        <v>#NAME?</v>
      </c>
      <c r="O12" s="11"/>
      <c r="P12" s="5" t="e">
        <f ca="1">SUM(_xll.ONESTOP.REPORTPLAYER.OSRFUNCTIONS.OSRREF(P13))</f>
        <v>#NAME?</v>
      </c>
      <c r="Q12" s="5"/>
      <c r="R12" s="13"/>
      <c r="S12" s="5"/>
      <c r="T12" s="5" t="e">
        <f ca="1">SUM(_xll.ONESTOP.REPORTPLAYER.OSRFUNCTIONS.OSRREF(T13))</f>
        <v>#NAME?</v>
      </c>
      <c r="U12" s="5"/>
      <c r="V12" s="13"/>
      <c r="W12" s="5"/>
      <c r="X12" s="5" t="e">
        <f ca="1">+P12-T12</f>
        <v>#NAME?</v>
      </c>
      <c r="Y12" s="5"/>
      <c r="Z12" s="13" t="e">
        <f ca="1">IF(T12=0,0,X12/T12)</f>
        <v>#NAME?</v>
      </c>
    </row>
    <row r="13" spans="1:26" s="70" customFormat="1" ht="15" hidden="1" customHeight="1" outlineLevel="1" x14ac:dyDescent="0.3">
      <c r="A13" s="42"/>
      <c r="B13" s="12" t="e">
        <f ca="1">CONCATENATE("          ",_xll.ONESTOP.REPORTPLAYER.OSRFUNCTIONS.OSRGET("d_Account","Code")," - ",_xll.ONESTOP.REPORTPLAYER.OSRFUNCTIONS.OSRGET("d_Account","Description"))</f>
        <v>#NAME?</v>
      </c>
      <c r="C13" s="12"/>
      <c r="D13" s="3" t="e">
        <f ca="1">-_xll.ONESTOP.REPORTPLAYER.OSRFUNCTIONS.OSRGET("GL_F_Trans","Value1")</f>
        <v>#NAME?</v>
      </c>
      <c r="E13" s="3"/>
      <c r="F13" s="20"/>
      <c r="G13" s="3"/>
      <c r="H13" s="3" t="e">
        <f ca="1">_xll.ONESTOP.REPORTPLAYER.OSRFUNCTIONS.OSRGET("GL_F_Trans","Value1")</f>
        <v>#NAME?</v>
      </c>
      <c r="I13" s="3"/>
      <c r="J13" s="20"/>
      <c r="K13" s="3"/>
      <c r="L13" s="3" t="e">
        <f ca="1">+D13-H13</f>
        <v>#NAME?</v>
      </c>
      <c r="M13" s="3"/>
      <c r="N13" s="20" t="e">
        <f ca="1">IF(H13=0,0,L13/H13)</f>
        <v>#NAME?</v>
      </c>
      <c r="O13" s="12"/>
      <c r="P13" s="3" t="e">
        <f ca="1">-_xll.ONESTOP.REPORTPLAYER.OSRFUNCTIONS.OSRGET("GL_F_Trans","Value1")</f>
        <v>#NAME?</v>
      </c>
      <c r="Q13" s="3"/>
      <c r="R13" s="20"/>
      <c r="S13" s="3"/>
      <c r="T13" s="3" t="e">
        <f ca="1">_xll.ONESTOP.REPORTPLAYER.OSRFUNCTIONS.OSRGET("GL_F_Trans","Value1")</f>
        <v>#NAME?</v>
      </c>
      <c r="U13" s="3"/>
      <c r="V13" s="20"/>
      <c r="W13" s="3"/>
      <c r="X13" s="3" t="e">
        <f ca="1">+P13-T13</f>
        <v>#NAME?</v>
      </c>
      <c r="Y13" s="3"/>
      <c r="Z13" s="20" t="e">
        <f ca="1">IF(T13=0,0,X13/T13)</f>
        <v>#NAME?</v>
      </c>
    </row>
    <row r="14" spans="1:26" ht="15" customHeight="1" x14ac:dyDescent="0.3">
      <c r="A14" s="10"/>
      <c r="B14" s="11"/>
      <c r="C14" s="10"/>
      <c r="D14" s="4"/>
      <c r="E14" s="4"/>
      <c r="F14" s="9"/>
      <c r="G14" s="4"/>
      <c r="H14" s="4"/>
      <c r="I14" s="4"/>
      <c r="J14" s="9"/>
      <c r="K14" s="4"/>
      <c r="L14" s="4"/>
      <c r="M14" s="4"/>
      <c r="N14" s="9"/>
      <c r="P14" s="4"/>
      <c r="Q14" s="4"/>
      <c r="R14" s="9"/>
      <c r="S14" s="4"/>
      <c r="T14" s="4"/>
      <c r="U14" s="4"/>
      <c r="V14" s="9"/>
      <c r="W14" s="4"/>
      <c r="X14" s="4"/>
      <c r="Y14" s="4"/>
      <c r="Z14" s="9"/>
    </row>
    <row r="15" spans="1:26" s="63" customFormat="1" ht="15" customHeight="1" collapsed="1" x14ac:dyDescent="0.3">
      <c r="A15" s="11"/>
      <c r="B15" s="28" t="s">
        <v>288</v>
      </c>
      <c r="C15" s="11"/>
      <c r="D15" s="5" t="e">
        <f ca="1">SUM(_xll.ONESTOP.REPORTPLAYER.OSRFUNCTIONS.OSRREF(D16))</f>
        <v>#NAME?</v>
      </c>
      <c r="E15" s="5"/>
      <c r="F15" s="13" t="e">
        <f ca="1">IF(D$12=0,0,D15/D$12)</f>
        <v>#NAME?</v>
      </c>
      <c r="G15" s="5"/>
      <c r="H15" s="5" t="e">
        <f ca="1">SUM(_xll.ONESTOP.REPORTPLAYER.OSRFUNCTIONS.OSRREF(H16))</f>
        <v>#NAME?</v>
      </c>
      <c r="I15" s="5"/>
      <c r="J15" s="13" t="e">
        <f ca="1">IF(H$12=0,0,H15/H$12)</f>
        <v>#NAME?</v>
      </c>
      <c r="K15" s="5"/>
      <c r="L15" s="5" t="e">
        <f ca="1">+D15-H15</f>
        <v>#NAME?</v>
      </c>
      <c r="M15" s="5"/>
      <c r="N15" s="13" t="e">
        <f ca="1">IF(H15=0,0,L15/H15)</f>
        <v>#NAME?</v>
      </c>
      <c r="O15" s="11"/>
      <c r="P15" s="5" t="e">
        <f ca="1">SUM(_xll.ONESTOP.REPORTPLAYER.OSRFUNCTIONS.OSRREF(P16))</f>
        <v>#NAME?</v>
      </c>
      <c r="Q15" s="5"/>
      <c r="R15" s="13" t="e">
        <f ca="1">IF(P$12=0,0,P15/P$12)</f>
        <v>#NAME?</v>
      </c>
      <c r="S15" s="5"/>
      <c r="T15" s="5" t="e">
        <f ca="1">SUM(_xll.ONESTOP.REPORTPLAYER.OSRFUNCTIONS.OSRREF(T16))</f>
        <v>#NAME?</v>
      </c>
      <c r="U15" s="5"/>
      <c r="V15" s="13" t="e">
        <f ca="1">IF(T$12=0,0,T15/T$12)</f>
        <v>#NAME?</v>
      </c>
      <c r="W15" s="5"/>
      <c r="X15" s="5" t="e">
        <f ca="1">+P15-T15</f>
        <v>#NAME?</v>
      </c>
      <c r="Y15" s="5"/>
      <c r="Z15" s="13" t="e">
        <f ca="1">IF(T15=0,0,X15/T15)</f>
        <v>#NAME?</v>
      </c>
    </row>
    <row r="16" spans="1:26" s="70" customFormat="1" ht="15" hidden="1" customHeight="1" outlineLevel="1" x14ac:dyDescent="0.3">
      <c r="A16" s="42"/>
      <c r="B16" s="12" t="e">
        <f ca="1">CONCATENATE("          ",_xll.ONESTOP.REPORTPLAYER.OSRFUNCTIONS.OSRGET("d_Account","Code")," - ",_xll.ONESTOP.REPORTPLAYER.OSRFUNCTIONS.OSRGET("d_Account","Description"))</f>
        <v>#NAME?</v>
      </c>
      <c r="C16" s="12"/>
      <c r="D16" s="3" t="e">
        <f ca="1">_xll.ONESTOP.REPORTPLAYER.OSRFUNCTIONS.OSRGET("GL_F_Trans","Value1")</f>
        <v>#NAME?</v>
      </c>
      <c r="E16" s="3"/>
      <c r="F16" s="20" t="e">
        <f ca="1">IF(D$12=0,0,D16/D$12)</f>
        <v>#NAME?</v>
      </c>
      <c r="G16" s="3"/>
      <c r="H16" s="3" t="e">
        <f ca="1">_xll.ONESTOP.REPORTPLAYER.OSRFUNCTIONS.OSRGET("GL_F_Trans","Value1")</f>
        <v>#NAME?</v>
      </c>
      <c r="I16" s="3"/>
      <c r="J16" s="20" t="e">
        <f ca="1">IF(H$12=0,0,H16/H$12)</f>
        <v>#NAME?</v>
      </c>
      <c r="K16" s="3"/>
      <c r="L16" s="3" t="e">
        <f ca="1">+D16-H16</f>
        <v>#NAME?</v>
      </c>
      <c r="M16" s="3"/>
      <c r="N16" s="20" t="e">
        <f ca="1">IF(H16=0,0,L16/H16)</f>
        <v>#NAME?</v>
      </c>
      <c r="O16" s="12"/>
      <c r="P16" s="3" t="e">
        <f ca="1">_xll.ONESTOP.REPORTPLAYER.OSRFUNCTIONS.OSRGET("GL_F_Trans","Value1")</f>
        <v>#NAME?</v>
      </c>
      <c r="Q16" s="3"/>
      <c r="R16" s="20" t="e">
        <f ca="1">IF(P$12=0,0,P16/P$12)</f>
        <v>#NAME?</v>
      </c>
      <c r="S16" s="3"/>
      <c r="T16" s="3" t="e">
        <f ca="1">_xll.ONESTOP.REPORTPLAYER.OSRFUNCTIONS.OSRGET("GL_F_Trans","Value1")</f>
        <v>#NAME?</v>
      </c>
      <c r="U16" s="3"/>
      <c r="V16" s="20" t="e">
        <f ca="1">IF(T$12=0,0,T16/T$12)</f>
        <v>#NAME?</v>
      </c>
      <c r="W16" s="3"/>
      <c r="X16" s="3" t="e">
        <f ca="1">+P16-T16</f>
        <v>#NAME?</v>
      </c>
      <c r="Y16" s="3"/>
      <c r="Z16" s="20" t="e">
        <f ca="1">IF(T16=0,0,X16/T16)</f>
        <v>#NAME?</v>
      </c>
    </row>
    <row r="17" spans="1:26" ht="15" customHeight="1" x14ac:dyDescent="0.3">
      <c r="A17" s="10"/>
      <c r="B17" s="11"/>
      <c r="C17" s="11"/>
      <c r="D17" s="4"/>
      <c r="E17" s="4"/>
      <c r="F17" s="9"/>
      <c r="G17" s="4"/>
      <c r="H17" s="4"/>
      <c r="I17" s="4"/>
      <c r="J17" s="9"/>
      <c r="K17" s="4"/>
      <c r="L17" s="4"/>
      <c r="M17" s="4"/>
      <c r="N17" s="9"/>
      <c r="O17" s="11"/>
      <c r="P17" s="4"/>
      <c r="Q17" s="4"/>
      <c r="R17" s="9"/>
      <c r="S17" s="4"/>
      <c r="T17" s="4"/>
      <c r="U17" s="4"/>
      <c r="V17" s="9"/>
      <c r="W17" s="4"/>
      <c r="X17" s="4"/>
      <c r="Y17" s="4"/>
      <c r="Z17" s="9"/>
    </row>
    <row r="18" spans="1:26" s="63" customFormat="1" ht="15" customHeight="1" x14ac:dyDescent="0.3">
      <c r="A18" s="11"/>
      <c r="B18" s="27" t="s">
        <v>289</v>
      </c>
      <c r="C18" s="27"/>
      <c r="D18" s="21" t="e">
        <f ca="1">D12-D15</f>
        <v>#NAME?</v>
      </c>
      <c r="E18" s="15"/>
      <c r="F18" s="23" t="e">
        <f ca="1">IF(D$12=0,0,D18/D$12)</f>
        <v>#NAME?</v>
      </c>
      <c r="G18" s="15"/>
      <c r="H18" s="21" t="e">
        <f ca="1">H12-H15</f>
        <v>#NAME?</v>
      </c>
      <c r="I18" s="15"/>
      <c r="J18" s="23" t="e">
        <f ca="1">IF(H$12=0,0,H18/H$12)</f>
        <v>#NAME?</v>
      </c>
      <c r="K18" s="16"/>
      <c r="L18" s="21" t="e">
        <f ca="1">+D18-H18</f>
        <v>#NAME?</v>
      </c>
      <c r="M18" s="16"/>
      <c r="N18" s="23" t="e">
        <f ca="1">IF(H18=0,0,L18/H18)</f>
        <v>#NAME?</v>
      </c>
      <c r="O18" s="28"/>
      <c r="P18" s="21" t="e">
        <f ca="1">P12-P15</f>
        <v>#NAME?</v>
      </c>
      <c r="Q18" s="15"/>
      <c r="R18" s="23" t="e">
        <f ca="1">IF(P$12=0,0,P18/P$12)</f>
        <v>#NAME?</v>
      </c>
      <c r="S18" s="15"/>
      <c r="T18" s="21" t="e">
        <f ca="1">T12-T15</f>
        <v>#NAME?</v>
      </c>
      <c r="U18" s="15"/>
      <c r="V18" s="23" t="e">
        <f ca="1">IF(T$12=0,0,T18/T$12)</f>
        <v>#NAME?</v>
      </c>
      <c r="W18" s="16"/>
      <c r="X18" s="21" t="e">
        <f ca="1">+P18-T18</f>
        <v>#NAME?</v>
      </c>
      <c r="Y18" s="16"/>
      <c r="Z18" s="23" t="e">
        <f ca="1">IF(T18=0,0,X18/T18)</f>
        <v>#NAME?</v>
      </c>
    </row>
    <row r="19" spans="1:26" ht="15" customHeight="1" x14ac:dyDescent="0.3">
      <c r="A19" s="10"/>
      <c r="B19" s="11"/>
      <c r="C19" s="10"/>
      <c r="D19" s="2"/>
      <c r="E19" s="2"/>
      <c r="F19" s="6"/>
      <c r="G19" s="2"/>
      <c r="H19" s="2"/>
      <c r="I19" s="2"/>
      <c r="J19" s="6"/>
      <c r="K19" s="2"/>
      <c r="L19" s="2"/>
      <c r="M19" s="2"/>
      <c r="N19" s="6"/>
      <c r="O19" s="35"/>
      <c r="P19" s="2"/>
      <c r="Q19" s="2"/>
      <c r="R19" s="6"/>
      <c r="S19" s="2"/>
      <c r="T19" s="2"/>
      <c r="U19" s="2"/>
      <c r="V19" s="6"/>
      <c r="W19" s="2"/>
      <c r="X19" s="2"/>
      <c r="Y19" s="2"/>
      <c r="Z19" s="6"/>
    </row>
    <row r="20" spans="1:26" s="63" customFormat="1" ht="15" customHeight="1" x14ac:dyDescent="0.3">
      <c r="A20" s="11"/>
      <c r="B20" s="28" t="s">
        <v>290</v>
      </c>
      <c r="C20" s="11"/>
      <c r="D20" s="22" t="e">
        <f ca="1">SUM(_xll.ONESTOP.REPORTPLAYER.OSRFUNCTIONS.OSRREF(D22))</f>
        <v>#NAME?</v>
      </c>
      <c r="E20" s="22"/>
      <c r="F20" s="30" t="e">
        <f ca="1">IF(D$12=0,0,D20/D$12)</f>
        <v>#NAME?</v>
      </c>
      <c r="G20" s="22"/>
      <c r="H20" s="22" t="e">
        <f ca="1">SUM(_xll.ONESTOP.REPORTPLAYER.OSRFUNCTIONS.OSRREF(H22))</f>
        <v>#NAME?</v>
      </c>
      <c r="I20" s="22"/>
      <c r="J20" s="30" t="e">
        <f ca="1">IF(H$12=0,0,H20/H$12)</f>
        <v>#NAME?</v>
      </c>
      <c r="K20" s="5"/>
      <c r="L20" s="22" t="e">
        <f ca="1">+D20-H20</f>
        <v>#NAME?</v>
      </c>
      <c r="M20" s="5"/>
      <c r="N20" s="30" t="e">
        <f ca="1">IF(H20=0,0,L20/H20)</f>
        <v>#NAME?</v>
      </c>
      <c r="O20" s="11"/>
      <c r="P20" s="22" t="e">
        <f ca="1">SUM(_xll.ONESTOP.REPORTPLAYER.OSRFUNCTIONS.OSRREF(P22))</f>
        <v>#NAME?</v>
      </c>
      <c r="Q20" s="22"/>
      <c r="R20" s="30" t="e">
        <f ca="1">IF(P$12=0,0,P20/P$12)</f>
        <v>#NAME?</v>
      </c>
      <c r="S20" s="22"/>
      <c r="T20" s="22" t="e">
        <f ca="1">SUM(_xll.ONESTOP.REPORTPLAYER.OSRFUNCTIONS.OSRREF(T22))</f>
        <v>#NAME?</v>
      </c>
      <c r="U20" s="22"/>
      <c r="V20" s="30" t="e">
        <f ca="1">IF(T$12=0,0,T20/T$12)</f>
        <v>#NAME?</v>
      </c>
      <c r="W20" s="5"/>
      <c r="X20" s="22" t="e">
        <f ca="1">+P20-T20</f>
        <v>#NAME?</v>
      </c>
      <c r="Y20" s="5"/>
      <c r="Z20" s="30" t="e">
        <f ca="1">IF(T20=0,0,X20/T20)</f>
        <v>#NAME?</v>
      </c>
    </row>
    <row r="21" spans="1:26" s="69" customFormat="1" ht="15" customHeight="1" outlineLevel="1" collapsed="1" x14ac:dyDescent="0.3">
      <c r="A21" s="25"/>
      <c r="B21" s="14" t="e">
        <f ca="1">CONCATENATE("     ",_xll.ONESTOP.REPORTPLAYER.OSRFUNCTIONS.OSRGET("d_Account","AccountCategory"))</f>
        <v>#NAME?</v>
      </c>
      <c r="C21" s="14"/>
      <c r="D21" s="2" t="e">
        <f ca="1">SUM(_xll.ONESTOP.REPORTPLAYER.OSRFUNCTIONS.OSRREF(D22))</f>
        <v>#NAME?</v>
      </c>
      <c r="E21" s="2"/>
      <c r="F21" s="6" t="e">
        <f ca="1">IF(D$12=0,0,D21/D$12)</f>
        <v>#NAME?</v>
      </c>
      <c r="G21" s="2"/>
      <c r="H21" s="2" t="e">
        <f ca="1">SUM(_xll.ONESTOP.REPORTPLAYER.OSRFUNCTIONS.OSRREF(H22))</f>
        <v>#NAME?</v>
      </c>
      <c r="I21" s="2"/>
      <c r="J21" s="6" t="e">
        <f ca="1">IF(H$12=0,0,H21/H$12)</f>
        <v>#NAME?</v>
      </c>
      <c r="K21" s="2"/>
      <c r="L21" s="2" t="e">
        <f ca="1">+D21-H21</f>
        <v>#NAME?</v>
      </c>
      <c r="M21" s="2"/>
      <c r="N21" s="6" t="e">
        <f ca="1">IF(H21=0,0,L21/H21)</f>
        <v>#NAME?</v>
      </c>
      <c r="O21" s="14"/>
      <c r="P21" s="2" t="e">
        <f ca="1">SUM(_xll.ONESTOP.REPORTPLAYER.OSRFUNCTIONS.OSRREF(P22))</f>
        <v>#NAME?</v>
      </c>
      <c r="Q21" s="2"/>
      <c r="R21" s="6" t="e">
        <f ca="1">IF(P$12=0,0,P21/P$12)</f>
        <v>#NAME?</v>
      </c>
      <c r="S21" s="2"/>
      <c r="T21" s="2" t="e">
        <f ca="1">SUM(_xll.ONESTOP.REPORTPLAYER.OSRFUNCTIONS.OSRREF(T22))</f>
        <v>#NAME?</v>
      </c>
      <c r="U21" s="2"/>
      <c r="V21" s="6" t="e">
        <f ca="1">IF(T$12=0,0,T21/T$12)</f>
        <v>#NAME?</v>
      </c>
      <c r="W21" s="2"/>
      <c r="X21" s="2" t="e">
        <f ca="1">+P21-T21</f>
        <v>#NAME?</v>
      </c>
      <c r="Y21" s="2"/>
      <c r="Z21" s="6" t="e">
        <f ca="1">IF(T21=0,0,X21/T21)</f>
        <v>#NAME?</v>
      </c>
    </row>
    <row r="22" spans="1:26" s="70" customFormat="1" ht="15" hidden="1" customHeight="1" outlineLevel="2" x14ac:dyDescent="0.3">
      <c r="A22" s="26"/>
      <c r="B22" s="12" t="e">
        <f ca="1">CONCATENATE("          ",_xll.ONESTOP.REPORTPLAYER.OSRFUNCTIONS.OSRGET("d_Account","Code")," - ",_xll.ONESTOP.REPORTPLAYER.OSRFUNCTIONS.OSRGET("d_Account","Description"))</f>
        <v>#NAME?</v>
      </c>
      <c r="C22" s="12"/>
      <c r="D22" s="7" t="e">
        <f ca="1">_xll.ONESTOP.REPORTPLAYER.OSRFUNCTIONS.OSRGET("GL_F_Trans","Value1")</f>
        <v>#NAME?</v>
      </c>
      <c r="E22" s="3"/>
      <c r="F22" s="8" t="e">
        <f ca="1">IF(D$12=0,0,D22/D$12)</f>
        <v>#NAME?</v>
      </c>
      <c r="G22" s="3"/>
      <c r="H22" s="7" t="e">
        <f ca="1">_xll.ONESTOP.REPORTPLAYER.OSRFUNCTIONS.OSRGET("GL_F_Trans","Value1")</f>
        <v>#NAME?</v>
      </c>
      <c r="I22" s="3"/>
      <c r="J22" s="8" t="e">
        <f ca="1">IF(H$12=0,0,H22/H$12)</f>
        <v>#NAME?</v>
      </c>
      <c r="K22" s="3"/>
      <c r="L22" s="7" t="e">
        <f ca="1">+D22-H22</f>
        <v>#NAME?</v>
      </c>
      <c r="M22" s="3"/>
      <c r="N22" s="8" t="e">
        <f ca="1">IF(H22=0,0,L22/H22)</f>
        <v>#NAME?</v>
      </c>
      <c r="O22" s="12"/>
      <c r="P22" s="7" t="e">
        <f ca="1">_xll.ONESTOP.REPORTPLAYER.OSRFUNCTIONS.OSRGET("GL_F_Trans","Value1")</f>
        <v>#NAME?</v>
      </c>
      <c r="Q22" s="3"/>
      <c r="R22" s="8" t="e">
        <f ca="1">IF(P$12=0,0,P22/P$12)</f>
        <v>#NAME?</v>
      </c>
      <c r="S22" s="3"/>
      <c r="T22" s="7" t="e">
        <f ca="1">_xll.ONESTOP.REPORTPLAYER.OSRFUNCTIONS.OSRGET("GL_F_Trans","Value1")</f>
        <v>#NAME?</v>
      </c>
      <c r="U22" s="3"/>
      <c r="V22" s="8" t="e">
        <f ca="1">IF(T$12=0,0,T22/T$12)</f>
        <v>#NAME?</v>
      </c>
      <c r="W22" s="3"/>
      <c r="X22" s="7" t="e">
        <f ca="1">+P22-T22</f>
        <v>#NAME?</v>
      </c>
      <c r="Y22" s="3"/>
      <c r="Z22" s="8" t="e">
        <f ca="1">IF(T22=0,0,X22/T22)</f>
        <v>#NAME?</v>
      </c>
    </row>
    <row r="23" spans="1:26" s="65" customFormat="1" ht="15" customHeight="1" x14ac:dyDescent="0.3">
      <c r="A23" s="35"/>
      <c r="B23" s="35"/>
      <c r="C23" s="35"/>
      <c r="D23" s="2"/>
      <c r="E23" s="2"/>
      <c r="F23" s="6"/>
      <c r="G23" s="2"/>
      <c r="H23" s="2"/>
      <c r="I23" s="2"/>
      <c r="J23" s="6"/>
      <c r="K23" s="2"/>
      <c r="L23" s="2"/>
      <c r="M23" s="2"/>
      <c r="N23" s="6"/>
      <c r="O23" s="35"/>
      <c r="P23" s="2"/>
      <c r="Q23" s="2"/>
      <c r="R23" s="6"/>
      <c r="S23" s="2"/>
      <c r="T23" s="2"/>
      <c r="U23" s="2"/>
      <c r="V23" s="6"/>
      <c r="W23" s="2"/>
      <c r="X23" s="2"/>
      <c r="Y23" s="2"/>
      <c r="Z23" s="6"/>
    </row>
    <row r="24" spans="1:26" s="63" customFormat="1" ht="15" customHeight="1" collapsed="1" x14ac:dyDescent="0.3">
      <c r="A24" s="11"/>
      <c r="B24" s="28" t="s">
        <v>291</v>
      </c>
      <c r="C24" s="11"/>
      <c r="D24" s="5" t="e">
        <f ca="1">SUM(_xll.ONESTOP.REPORTPLAYER.OSRFUNCTIONS.OSRREF(D25))</f>
        <v>#NAME?</v>
      </c>
      <c r="E24" s="5"/>
      <c r="F24" s="13" t="e">
        <f ca="1">IF(D$12=0,0,D24/D$12)</f>
        <v>#NAME?</v>
      </c>
      <c r="G24" s="5"/>
      <c r="H24" s="5" t="e">
        <f ca="1">SUM(_xll.ONESTOP.REPORTPLAYER.OSRFUNCTIONS.OSRREF(H25))</f>
        <v>#NAME?</v>
      </c>
      <c r="I24" s="5"/>
      <c r="J24" s="13" t="e">
        <f ca="1">IF(H$12=0,0,H24/H$12)</f>
        <v>#NAME?</v>
      </c>
      <c r="K24" s="5"/>
      <c r="L24" s="5" t="e">
        <f ca="1">+D24-H24</f>
        <v>#NAME?</v>
      </c>
      <c r="M24" s="5"/>
      <c r="N24" s="13" t="e">
        <f ca="1">IF(H24=0,0,L24/H24)</f>
        <v>#NAME?</v>
      </c>
      <c r="O24" s="11"/>
      <c r="P24" s="5" t="e">
        <f ca="1">SUM(_xll.ONESTOP.REPORTPLAYER.OSRFUNCTIONS.OSRREF(P25))</f>
        <v>#NAME?</v>
      </c>
      <c r="Q24" s="5"/>
      <c r="R24" s="13" t="e">
        <f ca="1">IF(P$12=0,0,P24/P$12)</f>
        <v>#NAME?</v>
      </c>
      <c r="S24" s="5"/>
      <c r="T24" s="5" t="e">
        <f ca="1">SUM(_xll.ONESTOP.REPORTPLAYER.OSRFUNCTIONS.OSRREF(T25))</f>
        <v>#NAME?</v>
      </c>
      <c r="U24" s="5"/>
      <c r="V24" s="13" t="e">
        <f ca="1">IF(T$12=0,0,T24/T$12)</f>
        <v>#NAME?</v>
      </c>
      <c r="W24" s="5"/>
      <c r="X24" s="5" t="e">
        <f ca="1">+P24-T24</f>
        <v>#NAME?</v>
      </c>
      <c r="Y24" s="5"/>
      <c r="Z24" s="13" t="e">
        <f ca="1">IF(T24=0,0,X24/T24)</f>
        <v>#NAME?</v>
      </c>
    </row>
    <row r="25" spans="1:26" s="70" customFormat="1" ht="15" hidden="1" customHeight="1" outlineLevel="1" x14ac:dyDescent="0.3">
      <c r="A25" s="42"/>
      <c r="B25" s="12" t="e">
        <f ca="1">CONCATENATE("          ",_xll.ONESTOP.REPORTPLAYER.OSRFUNCTIONS.OSRGET("d_Account","Code")," - ",_xll.ONESTOP.REPORTPLAYER.OSRFUNCTIONS.OSRGET("d_Account","Description"))</f>
        <v>#NAME?</v>
      </c>
      <c r="C25" s="12"/>
      <c r="D25" s="3" t="e">
        <f ca="1">-_xll.ONESTOP.REPORTPLAYER.OSRFUNCTIONS.OSRGET("GL_F_Trans","Value1")</f>
        <v>#NAME?</v>
      </c>
      <c r="E25" s="3"/>
      <c r="F25" s="20" t="e">
        <f ca="1">IF(D$12=0,0,D25/D$12)</f>
        <v>#NAME?</v>
      </c>
      <c r="G25" s="3"/>
      <c r="H25" s="3" t="e">
        <f ca="1">_xll.ONESTOP.REPORTPLAYER.OSRFUNCTIONS.OSRGET("GL_F_Trans","Value1")</f>
        <v>#NAME?</v>
      </c>
      <c r="I25" s="3"/>
      <c r="J25" s="20" t="e">
        <f ca="1">IF(H$12=0,0,H25/H$12)</f>
        <v>#NAME?</v>
      </c>
      <c r="K25" s="3"/>
      <c r="L25" s="3" t="e">
        <f ca="1">+D25-H25</f>
        <v>#NAME?</v>
      </c>
      <c r="M25" s="3"/>
      <c r="N25" s="20" t="e">
        <f ca="1">IF(H25=0,0,L25/H25)</f>
        <v>#NAME?</v>
      </c>
      <c r="O25" s="12"/>
      <c r="P25" s="3" t="e">
        <f ca="1">-_xll.ONESTOP.REPORTPLAYER.OSRFUNCTIONS.OSRGET("GL_F_Trans","Value1")</f>
        <v>#NAME?</v>
      </c>
      <c r="Q25" s="3"/>
      <c r="R25" s="20" t="e">
        <f ca="1">IF(P$12=0,0,P25/P$12)</f>
        <v>#NAME?</v>
      </c>
      <c r="S25" s="3"/>
      <c r="T25" s="3" t="e">
        <f ca="1">_xll.ONESTOP.REPORTPLAYER.OSRFUNCTIONS.OSRGET("GL_F_Trans","Value1")</f>
        <v>#NAME?</v>
      </c>
      <c r="U25" s="3"/>
      <c r="V25" s="20" t="e">
        <f ca="1">IF(T$12=0,0,T25/T$12)</f>
        <v>#NAME?</v>
      </c>
      <c r="W25" s="3"/>
      <c r="X25" s="3" t="e">
        <f ca="1">+P25-T25</f>
        <v>#NAME?</v>
      </c>
      <c r="Y25" s="3"/>
      <c r="Z25" s="20" t="e">
        <f ca="1">IF(T25=0,0,X25/T25)</f>
        <v>#NAME?</v>
      </c>
    </row>
    <row r="26" spans="1:26" ht="15" customHeight="1" x14ac:dyDescent="0.3">
      <c r="A26" s="10"/>
      <c r="B26" s="11"/>
      <c r="C26" s="11"/>
      <c r="D26" s="4"/>
      <c r="E26" s="4"/>
      <c r="F26" s="9"/>
      <c r="G26" s="4"/>
      <c r="H26" s="4"/>
      <c r="I26" s="4"/>
      <c r="J26" s="9"/>
      <c r="K26" s="4"/>
      <c r="L26" s="4"/>
      <c r="M26" s="4"/>
      <c r="N26" s="9"/>
      <c r="O26" s="11"/>
      <c r="P26" s="4"/>
      <c r="Q26" s="4"/>
      <c r="R26" s="9"/>
      <c r="S26" s="4"/>
      <c r="T26" s="4"/>
      <c r="U26" s="4"/>
      <c r="V26" s="9"/>
      <c r="W26" s="4"/>
      <c r="X26" s="4"/>
      <c r="Y26" s="4"/>
      <c r="Z26" s="9"/>
    </row>
    <row r="27" spans="1:26" s="63" customFormat="1" ht="15" customHeight="1" x14ac:dyDescent="0.3">
      <c r="A27" s="11"/>
      <c r="B27" s="27" t="s">
        <v>292</v>
      </c>
      <c r="C27" s="27"/>
      <c r="D27" s="21" t="e">
        <f ca="1">+D18-D20+D24</f>
        <v>#NAME?</v>
      </c>
      <c r="E27" s="15"/>
      <c r="F27" s="23" t="e">
        <f ca="1">IF(D$12=0,0,D27/D$12)</f>
        <v>#NAME?</v>
      </c>
      <c r="G27" s="15"/>
      <c r="H27" s="21" t="e">
        <f ca="1">+H18-H20+H24</f>
        <v>#NAME?</v>
      </c>
      <c r="I27" s="15"/>
      <c r="J27" s="23" t="e">
        <f ca="1">IF(H$12=0,0,H27/H$12)</f>
        <v>#NAME?</v>
      </c>
      <c r="K27" s="16"/>
      <c r="L27" s="21" t="e">
        <f ca="1">+D27-H27</f>
        <v>#NAME?</v>
      </c>
      <c r="M27" s="16"/>
      <c r="N27" s="23" t="e">
        <f ca="1">IF(H27=0,0,L27/H27)</f>
        <v>#NAME?</v>
      </c>
      <c r="O27" s="28"/>
      <c r="P27" s="21" t="e">
        <f ca="1">+P18-P20+P24</f>
        <v>#NAME?</v>
      </c>
      <c r="Q27" s="15"/>
      <c r="R27" s="23" t="e">
        <f ca="1">IF(P$12=0,0,P27/P$12)</f>
        <v>#NAME?</v>
      </c>
      <c r="S27" s="15"/>
      <c r="T27" s="21" t="e">
        <f ca="1">+T18-T20+T24</f>
        <v>#NAME?</v>
      </c>
      <c r="U27" s="15"/>
      <c r="V27" s="23" t="e">
        <f ca="1">IF(T$12=0,0,T27/T$12)</f>
        <v>#NAME?</v>
      </c>
      <c r="W27" s="16"/>
      <c r="X27" s="21" t="e">
        <f ca="1">+P27-T27</f>
        <v>#NAME?</v>
      </c>
      <c r="Y27" s="16"/>
      <c r="Z27" s="23" t="e">
        <f ca="1">IF(T27=0,0,X27/T27)</f>
        <v>#NAME?</v>
      </c>
    </row>
    <row r="28" spans="1:26" ht="15" customHeight="1" x14ac:dyDescent="0.3">
      <c r="A28" s="10"/>
      <c r="B28" s="11"/>
      <c r="C28" s="10"/>
      <c r="D28" s="4"/>
      <c r="E28" s="4"/>
      <c r="F28" s="9"/>
      <c r="G28" s="4"/>
      <c r="H28" s="4"/>
      <c r="I28" s="4"/>
      <c r="J28" s="9"/>
      <c r="K28" s="4"/>
      <c r="L28" s="4"/>
      <c r="M28" s="4"/>
      <c r="N28" s="9"/>
      <c r="P28" s="4"/>
      <c r="Q28" s="4"/>
      <c r="R28" s="9"/>
      <c r="S28" s="4"/>
      <c r="T28" s="4"/>
      <c r="U28" s="4"/>
      <c r="V28" s="9"/>
      <c r="W28" s="4"/>
      <c r="X28" s="4"/>
      <c r="Y28" s="4"/>
      <c r="Z28" s="9"/>
    </row>
    <row r="29" spans="1:26" s="63" customFormat="1" ht="15" customHeight="1" x14ac:dyDescent="0.3">
      <c r="A29" s="49"/>
      <c r="B29" s="11" t="s">
        <v>293</v>
      </c>
      <c r="C29" s="11"/>
      <c r="D29" s="5" t="e">
        <f ca="1">_xll.ONESTOP.REPORTPLAYER.OSRFUNCTIONS.OSRGET("GL_F_Trans","Value1")</f>
        <v>#NAME?</v>
      </c>
      <c r="E29" s="5"/>
      <c r="F29" s="13" t="e">
        <f ca="1">IF(D$12=0,0,D29/D$12)</f>
        <v>#NAME?</v>
      </c>
      <c r="G29" s="5"/>
      <c r="H29" s="5" t="e">
        <f ca="1">_xll.ONESTOP.REPORTPLAYER.OSRFUNCTIONS.OSRGET("GL_F_Trans","Value1")</f>
        <v>#NAME?</v>
      </c>
      <c r="I29" s="5"/>
      <c r="J29" s="13" t="e">
        <f ca="1">IF(H$12=0,0,H29/H$12)</f>
        <v>#NAME?</v>
      </c>
      <c r="K29" s="5"/>
      <c r="L29" s="5" t="e">
        <f ca="1">+D29-H29</f>
        <v>#NAME?</v>
      </c>
      <c r="M29" s="5"/>
      <c r="N29" s="13" t="e">
        <f ca="1">IF(H29=0,0,L29/H29)</f>
        <v>#NAME?</v>
      </c>
      <c r="O29" s="11"/>
      <c r="P29" s="5" t="e">
        <f ca="1">_xll.ONESTOP.REPORTPLAYER.OSRFUNCTIONS.OSRGET("GL_F_Trans","Value1")</f>
        <v>#NAME?</v>
      </c>
      <c r="Q29" s="5"/>
      <c r="R29" s="13" t="e">
        <f ca="1">IF(P$12=0,0,P29/P$12)</f>
        <v>#NAME?</v>
      </c>
      <c r="S29" s="5"/>
      <c r="T29" s="5" t="e">
        <f ca="1">_xll.ONESTOP.REPORTPLAYER.OSRFUNCTIONS.OSRGET("GL_F_Trans","Value1")</f>
        <v>#NAME?</v>
      </c>
      <c r="U29" s="5"/>
      <c r="V29" s="13" t="e">
        <f ca="1">IF(T$12=0,0,T29/T$12)</f>
        <v>#NAME?</v>
      </c>
      <c r="W29" s="5"/>
      <c r="X29" s="5" t="e">
        <f ca="1">+P29-T29</f>
        <v>#NAME?</v>
      </c>
      <c r="Y29" s="5"/>
      <c r="Z29" s="13" t="e">
        <f ca="1">IF(T29=0,0,X29/T29)</f>
        <v>#NAME?</v>
      </c>
    </row>
    <row r="30" spans="1:26" ht="15" customHeight="1" x14ac:dyDescent="0.3">
      <c r="A30" s="10"/>
      <c r="B30" s="11"/>
      <c r="C30" s="11"/>
      <c r="D30" s="4"/>
      <c r="E30" s="4"/>
      <c r="F30" s="9"/>
      <c r="G30" s="4"/>
      <c r="H30" s="4"/>
      <c r="I30" s="4"/>
      <c r="J30" s="9"/>
      <c r="K30" s="4"/>
      <c r="L30" s="4"/>
      <c r="M30" s="4"/>
      <c r="N30" s="9"/>
      <c r="O30" s="11"/>
      <c r="P30" s="4"/>
      <c r="Q30" s="4"/>
      <c r="R30" s="9"/>
      <c r="S30" s="4"/>
      <c r="T30" s="4"/>
      <c r="U30" s="4"/>
      <c r="V30" s="9"/>
      <c r="W30" s="4"/>
      <c r="X30" s="4"/>
      <c r="Y30" s="4"/>
      <c r="Z30" s="9"/>
    </row>
    <row r="31" spans="1:26" s="63" customFormat="1" ht="15" customHeight="1" x14ac:dyDescent="0.3">
      <c r="A31" s="11"/>
      <c r="B31" s="27" t="s">
        <v>294</v>
      </c>
      <c r="C31" s="27"/>
      <c r="D31" s="34" t="e">
        <f ca="1">+D27-D29</f>
        <v>#NAME?</v>
      </c>
      <c r="E31" s="15"/>
      <c r="F31" s="29" t="e">
        <f ca="1">IF(D$12=0,0,D31/D$12)</f>
        <v>#NAME?</v>
      </c>
      <c r="G31" s="15"/>
      <c r="H31" s="34" t="e">
        <f ca="1">+H27-H29</f>
        <v>#NAME?</v>
      </c>
      <c r="I31" s="15"/>
      <c r="J31" s="29" t="e">
        <f ca="1">IF(H$12=0,0,H31/H$12)</f>
        <v>#NAME?</v>
      </c>
      <c r="K31" s="16"/>
      <c r="L31" s="34" t="e">
        <f ca="1">D31-H31</f>
        <v>#NAME?</v>
      </c>
      <c r="M31" s="16"/>
      <c r="N31" s="29" t="e">
        <f ca="1">IF(H31=0,0,L31/H31)</f>
        <v>#NAME?</v>
      </c>
      <c r="O31" s="28"/>
      <c r="P31" s="34" t="e">
        <f ca="1">+P27-P29</f>
        <v>#NAME?</v>
      </c>
      <c r="Q31" s="15"/>
      <c r="R31" s="29" t="e">
        <f ca="1">IF(P$12=0,0,P31/P$12)</f>
        <v>#NAME?</v>
      </c>
      <c r="S31" s="15"/>
      <c r="T31" s="34" t="e">
        <f ca="1">+T27-T29</f>
        <v>#NAME?</v>
      </c>
      <c r="U31" s="15"/>
      <c r="V31" s="29" t="e">
        <f ca="1">IF(T$12=0,0,T31/T$12)</f>
        <v>#NAME?</v>
      </c>
      <c r="W31" s="16"/>
      <c r="X31" s="34" t="e">
        <f ca="1">P31-T31</f>
        <v>#NAME?</v>
      </c>
      <c r="Y31" s="16"/>
      <c r="Z31" s="29" t="e">
        <f ca="1">IF(T31=0,0,X31/T31)</f>
        <v>#NAME?</v>
      </c>
    </row>
    <row r="32" spans="1:26" ht="15" customHeight="1" x14ac:dyDescent="0.3">
      <c r="A32" s="10"/>
      <c r="B32" s="10"/>
      <c r="C32" s="10"/>
      <c r="D32" s="4"/>
      <c r="E32" s="4"/>
      <c r="F32" s="9"/>
      <c r="G32" s="4"/>
      <c r="H32" s="4"/>
      <c r="I32" s="4"/>
      <c r="J32" s="9"/>
      <c r="K32" s="4"/>
      <c r="L32" s="4"/>
      <c r="M32" s="4"/>
      <c r="N32" s="9"/>
      <c r="P32" s="4"/>
      <c r="Q32" s="4"/>
      <c r="R32" s="9"/>
      <c r="S32" s="4"/>
      <c r="T32" s="4"/>
      <c r="U32" s="4"/>
      <c r="V32" s="9"/>
      <c r="W32" s="4"/>
      <c r="X32" s="4"/>
      <c r="Y32" s="4"/>
      <c r="Z32" s="9"/>
    </row>
    <row r="33" spans="1:26" s="63" customFormat="1" ht="15" customHeight="1" x14ac:dyDescent="0.3">
      <c r="A33" s="49"/>
      <c r="B33" s="11" t="s">
        <v>295</v>
      </c>
      <c r="C33" s="11"/>
      <c r="D33" s="5" t="e">
        <f ca="1">-_xll.ONESTOP.REPORTPLAYER.OSRFUNCTIONS.OSRGET("GL_F_Trans","Value1")</f>
        <v>#NAME?</v>
      </c>
      <c r="E33" s="5"/>
      <c r="F33" s="13" t="e">
        <f ca="1">IF(D$12=0,0,D33/D$12)</f>
        <v>#NAME?</v>
      </c>
      <c r="G33" s="5"/>
      <c r="H33" s="5" t="e">
        <f ca="1">-_xll.ONESTOP.REPORTPLAYER.OSRFUNCTIONS.OSRGET("GL_F_Trans","Value1")</f>
        <v>#NAME?</v>
      </c>
      <c r="I33" s="5"/>
      <c r="J33" s="13" t="e">
        <f ca="1">IF(H$12=0,0,H33/H$12)</f>
        <v>#NAME?</v>
      </c>
      <c r="K33" s="5"/>
      <c r="L33" s="5" t="e">
        <f ca="1">+D33-H33</f>
        <v>#NAME?</v>
      </c>
      <c r="M33" s="5"/>
      <c r="N33" s="13" t="e">
        <f ca="1">IF(H33=0,0,L33/H33)</f>
        <v>#NAME?</v>
      </c>
      <c r="O33" s="11"/>
      <c r="P33" s="5" t="e">
        <f ca="1">-_xll.ONESTOP.REPORTPLAYER.OSRFUNCTIONS.OSRGET("GL_F_Trans","Value1")</f>
        <v>#NAME?</v>
      </c>
      <c r="Q33" s="5"/>
      <c r="R33" s="13" t="e">
        <f ca="1">IF(P$12=0,0,P33/P$12)</f>
        <v>#NAME?</v>
      </c>
      <c r="S33" s="5"/>
      <c r="T33" s="5" t="e">
        <f ca="1">-_xll.ONESTOP.REPORTPLAYER.OSRFUNCTIONS.OSRGET("GL_F_Trans","Value1")</f>
        <v>#NAME?</v>
      </c>
      <c r="U33" s="5"/>
      <c r="V33" s="13" t="e">
        <f ca="1">IF(T$12=0,0,T33/T$12)</f>
        <v>#NAME?</v>
      </c>
      <c r="W33" s="5"/>
      <c r="X33" s="5" t="e">
        <f ca="1">+P33-T33</f>
        <v>#NAME?</v>
      </c>
      <c r="Y33" s="5"/>
      <c r="Z33" s="13" t="e">
        <f ca="1">IF(T33=0,0,X33/T33)</f>
        <v>#NAME?</v>
      </c>
    </row>
    <row r="34" spans="1:26" s="63" customFormat="1" ht="15" customHeight="1" x14ac:dyDescent="0.3">
      <c r="A34" s="49"/>
      <c r="B34" s="11" t="s">
        <v>296</v>
      </c>
      <c r="C34" s="11"/>
      <c r="D34" s="5" t="e">
        <f ca="1">-_xll.ONESTOP.REPORTPLAYER.OSRFUNCTIONS.OSRGET("GL_F_Trans","Value1")</f>
        <v>#NAME?</v>
      </c>
      <c r="E34" s="5"/>
      <c r="F34" s="13" t="e">
        <f ca="1">IF(D$12=0,0,D34/D$12)</f>
        <v>#NAME?</v>
      </c>
      <c r="G34" s="5"/>
      <c r="H34" s="5" t="e">
        <f ca="1">-_xll.ONESTOP.REPORTPLAYER.OSRFUNCTIONS.OSRGET("GL_F_Trans","Value1")</f>
        <v>#NAME?</v>
      </c>
      <c r="I34" s="5"/>
      <c r="J34" s="13" t="e">
        <f ca="1">IF(H$12=0,0,H34/H$12)</f>
        <v>#NAME?</v>
      </c>
      <c r="K34" s="5"/>
      <c r="L34" s="5" t="e">
        <f ca="1">+D34-H34</f>
        <v>#NAME?</v>
      </c>
      <c r="M34" s="5"/>
      <c r="N34" s="13" t="e">
        <f ca="1">IF(H34=0,0,L34/H34)</f>
        <v>#NAME?</v>
      </c>
      <c r="O34" s="11"/>
      <c r="P34" s="5" t="e">
        <f ca="1">-_xll.ONESTOP.REPORTPLAYER.OSRFUNCTIONS.OSRGET("GL_F_Trans","Value1")</f>
        <v>#NAME?</v>
      </c>
      <c r="Q34" s="5"/>
      <c r="R34" s="13" t="e">
        <f ca="1">IF(P$12=0,0,P34/P$12)</f>
        <v>#NAME?</v>
      </c>
      <c r="S34" s="5"/>
      <c r="T34" s="5" t="e">
        <f ca="1">-_xll.ONESTOP.REPORTPLAYER.OSRFUNCTIONS.OSRGET("GL_F_Trans","Value1")</f>
        <v>#NAME?</v>
      </c>
      <c r="U34" s="5"/>
      <c r="V34" s="13" t="e">
        <f ca="1">IF(T$12=0,0,T34/T$12)</f>
        <v>#NAME?</v>
      </c>
      <c r="W34" s="5"/>
      <c r="X34" s="5" t="e">
        <f ca="1">+P34-T34</f>
        <v>#NAME?</v>
      </c>
      <c r="Y34" s="5"/>
      <c r="Z34" s="13" t="e">
        <f ca="1">IF(T34=0,0,X34/T34)</f>
        <v>#NAME?</v>
      </c>
    </row>
    <row r="35" spans="1:26" ht="15" customHeight="1" x14ac:dyDescent="0.3">
      <c r="A35" s="10"/>
      <c r="B35" s="10"/>
      <c r="C35" s="10"/>
      <c r="D35" s="4"/>
      <c r="E35" s="4"/>
      <c r="F35" s="9"/>
      <c r="G35" s="4"/>
      <c r="H35" s="4"/>
      <c r="I35" s="4"/>
      <c r="J35" s="9"/>
      <c r="K35" s="4"/>
      <c r="L35" s="4"/>
      <c r="M35" s="4"/>
      <c r="N35" s="9"/>
      <c r="P35" s="4"/>
      <c r="Q35" s="4"/>
      <c r="R35" s="9"/>
      <c r="S35" s="4"/>
      <c r="T35" s="4"/>
      <c r="U35" s="4"/>
      <c r="V35" s="9"/>
      <c r="W35" s="4"/>
      <c r="X35" s="4"/>
      <c r="Y35" s="4"/>
      <c r="Z35" s="9"/>
    </row>
    <row r="36" spans="1:26" s="63" customFormat="1" ht="15" customHeight="1" x14ac:dyDescent="0.3">
      <c r="A36" s="11"/>
      <c r="B36" s="27" t="s">
        <v>297</v>
      </c>
      <c r="C36" s="27"/>
      <c r="D36" s="32" t="e">
        <f ca="1">SUM(D31:D35)</f>
        <v>#NAME?</v>
      </c>
      <c r="E36" s="15"/>
      <c r="F36" s="31" t="e">
        <f ca="1">IF(D$12=0,0,D36/D$12)</f>
        <v>#NAME?</v>
      </c>
      <c r="G36" s="15"/>
      <c r="H36" s="32" t="e">
        <f ca="1">SUM(H31:H35)</f>
        <v>#NAME?</v>
      </c>
      <c r="I36" s="15"/>
      <c r="J36" s="31" t="e">
        <f ca="1">IF(H$12=0,0,H36/H$12)</f>
        <v>#NAME?</v>
      </c>
      <c r="K36" s="16"/>
      <c r="L36" s="32" t="e">
        <f ca="1">+D36-H36</f>
        <v>#NAME?</v>
      </c>
      <c r="M36" s="16"/>
      <c r="N36" s="31" t="e">
        <f ca="1">IF(H36=0,0,L36/H36)</f>
        <v>#NAME?</v>
      </c>
      <c r="O36" s="28"/>
      <c r="P36" s="32" t="e">
        <f ca="1">SUM(P31:P35)</f>
        <v>#NAME?</v>
      </c>
      <c r="Q36" s="15"/>
      <c r="R36" s="31" t="e">
        <f ca="1">IF(P$12=0,0,P36/P$12)</f>
        <v>#NAME?</v>
      </c>
      <c r="S36" s="15"/>
      <c r="T36" s="32" t="e">
        <f ca="1">SUM(T31:T35)</f>
        <v>#NAME?</v>
      </c>
      <c r="U36" s="15"/>
      <c r="V36" s="31" t="e">
        <f ca="1">IF(T$12=0,0,T36/T$12)</f>
        <v>#NAME?</v>
      </c>
      <c r="W36" s="16"/>
      <c r="X36" s="32" t="e">
        <f ca="1">+P36-T36</f>
        <v>#NAME?</v>
      </c>
      <c r="Y36" s="16"/>
      <c r="Z36" s="31" t="e">
        <f ca="1">IF(T36=0,0,X36/T36)</f>
        <v>#NAME?</v>
      </c>
    </row>
    <row r="37" spans="1:26" ht="15" customHeight="1" x14ac:dyDescent="0.3">
      <c r="A37" s="10"/>
      <c r="C37" s="10"/>
      <c r="D37" s="19"/>
      <c r="E37" s="19"/>
      <c r="G37" s="19"/>
      <c r="H37" s="19"/>
      <c r="I37" s="19"/>
      <c r="J37" s="40"/>
      <c r="K37" s="19"/>
      <c r="L37" s="19"/>
      <c r="M37" s="19"/>
      <c r="P37" s="19"/>
      <c r="Q37" s="19"/>
      <c r="R37" s="40"/>
      <c r="S37" s="19"/>
      <c r="T37" s="19"/>
      <c r="U37" s="19"/>
      <c r="V37" s="40"/>
      <c r="W37" s="19"/>
      <c r="X37" s="19"/>
    </row>
    <row r="38" spans="1:26" ht="15" customHeight="1" x14ac:dyDescent="0.3">
      <c r="A38" s="10"/>
      <c r="B38" s="51" t="e">
        <f ca="1">_xll.ONESTOP.REPORTPLAYER.OSRFUNCTIONS.OSRGET("CurrentDate","Date")</f>
        <v>#NAME?</v>
      </c>
      <c r="D38" s="19"/>
      <c r="E38" s="19"/>
      <c r="G38" s="19"/>
      <c r="H38" s="19"/>
      <c r="I38" s="19"/>
      <c r="J38" s="40"/>
      <c r="K38" s="19"/>
      <c r="L38" s="19"/>
      <c r="M38" s="19"/>
      <c r="P38" s="19"/>
      <c r="Q38" s="19"/>
      <c r="R38" s="40"/>
      <c r="S38" s="19"/>
      <c r="T38" s="19"/>
      <c r="U38" s="19"/>
      <c r="V38" s="40"/>
      <c r="W38" s="19"/>
      <c r="X38" s="19"/>
    </row>
    <row r="39" spans="1:26" ht="15" customHeight="1" x14ac:dyDescent="0.3">
      <c r="A39" s="10"/>
      <c r="B39" s="58" t="e">
        <f ca="1">_xll.ONESTOP.REPORTPLAYER.OSRFUNCTIONS.OSRGET("User","UserId")</f>
        <v>#NAME?</v>
      </c>
      <c r="D39" s="19"/>
      <c r="E39" s="19"/>
      <c r="G39" s="19"/>
      <c r="H39" s="19"/>
      <c r="I39" s="19"/>
      <c r="J39" s="40"/>
      <c r="K39" s="19"/>
      <c r="L39" s="19"/>
      <c r="M39" s="19"/>
      <c r="P39" s="19"/>
      <c r="Q39" s="19"/>
      <c r="R39" s="40"/>
      <c r="S39" s="19"/>
      <c r="T39" s="19"/>
      <c r="U39" s="19"/>
      <c r="V39" s="40"/>
      <c r="W39" s="19"/>
      <c r="X39" s="19"/>
    </row>
    <row r="40" spans="1:26" ht="15" customHeight="1" x14ac:dyDescent="0.3">
      <c r="A40" s="10"/>
      <c r="B40" s="50"/>
      <c r="D40" s="19"/>
      <c r="E40" s="19"/>
      <c r="G40" s="19"/>
      <c r="H40" s="19"/>
      <c r="I40" s="19"/>
      <c r="J40" s="40"/>
      <c r="K40" s="19"/>
      <c r="L40" s="19"/>
      <c r="M40" s="19"/>
      <c r="P40" s="19"/>
      <c r="Q40" s="19"/>
      <c r="R40" s="40"/>
      <c r="S40" s="19"/>
      <c r="T40" s="19"/>
      <c r="U40" s="19"/>
      <c r="V40" s="40"/>
      <c r="W40" s="19"/>
      <c r="X40" s="19"/>
    </row>
    <row r="41" spans="1:26" ht="15" customHeight="1" x14ac:dyDescent="0.3">
      <c r="D41" s="19"/>
      <c r="E41" s="19"/>
      <c r="G41" s="19"/>
      <c r="H41" s="19"/>
      <c r="I41" s="19"/>
      <c r="J41" s="40"/>
      <c r="K41" s="19"/>
      <c r="L41" s="19"/>
      <c r="M41" s="19"/>
      <c r="P41" s="19"/>
      <c r="Q41" s="19"/>
      <c r="R41" s="40"/>
      <c r="S41" s="19"/>
      <c r="T41" s="19"/>
      <c r="U41" s="19"/>
      <c r="V41" s="40"/>
      <c r="W41" s="19"/>
      <c r="X41" s="19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92D233-9782-63E2-8EF3-D14FC1D06274}">
  <sheetPr>
    <tabColor rgb="FF92D050"/>
    <outlinePr summaryBelow="0" summaryRight="0"/>
  </sheetPr>
  <dimension ref="A2:Z36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Col="1" x14ac:dyDescent="0.3"/>
  <cols>
    <col min="1" max="1" width="1.88671875" style="66" customWidth="1"/>
    <col min="2" max="2" width="33.44140625" style="66" customWidth="1"/>
    <col min="3" max="3" width="1.88671875" style="66" customWidth="1"/>
    <col min="4" max="4" width="15" style="66" customWidth="1"/>
    <col min="5" max="5" width="1.88671875" style="66" customWidth="1" outlineLevel="1"/>
    <col min="6" max="6" width="15" style="67" customWidth="1" outlineLevel="1"/>
    <col min="7" max="7" width="1.88671875" style="66" customWidth="1" outlineLevel="1"/>
    <col min="8" max="8" width="15" style="66" customWidth="1" outlineLevel="1"/>
    <col min="9" max="9" width="1.88671875" style="66" customWidth="1" outlineLevel="1"/>
    <col min="10" max="10" width="15" style="68" customWidth="1" outlineLevel="1"/>
    <col min="11" max="11" width="1.88671875" style="66" customWidth="1" outlineLevel="1"/>
    <col min="12" max="12" width="15" style="66" customWidth="1" outlineLevel="1"/>
    <col min="13" max="13" width="1.88671875" style="66" customWidth="1" outlineLevel="1"/>
    <col min="14" max="14" width="15" style="67" customWidth="1" outlineLevel="1"/>
    <col min="15" max="15" width="1.88671875" style="64" customWidth="1"/>
    <col min="16" max="16" width="15" style="66" customWidth="1"/>
    <col min="17" max="17" width="1.88671875" style="66" customWidth="1" outlineLevel="1"/>
    <col min="18" max="18" width="15" style="68" customWidth="1" outlineLevel="1"/>
    <col min="19" max="19" width="1.88671875" style="66" customWidth="1" outlineLevel="1"/>
    <col min="20" max="20" width="15" style="66" customWidth="1" outlineLevel="1"/>
    <col min="21" max="21" width="1.88671875" style="66" customWidth="1" outlineLevel="1"/>
    <col min="22" max="22" width="15" style="68" customWidth="1" outlineLevel="1"/>
    <col min="23" max="23" width="1.88671875" style="66" customWidth="1" outlineLevel="1"/>
    <col min="24" max="24" width="15" style="66" customWidth="1" outlineLevel="1"/>
    <col min="25" max="25" width="1.88671875" style="66" customWidth="1" outlineLevel="1"/>
    <col min="26" max="26" width="15" style="68" customWidth="1" outlineLevel="1"/>
  </cols>
  <sheetData>
    <row r="2" spans="1:26" ht="15" customHeight="1" x14ac:dyDescent="0.3">
      <c r="D2" s="54" t="s">
        <v>276</v>
      </c>
    </row>
    <row r="3" spans="1:26" ht="15" customHeight="1" x14ac:dyDescent="0.3">
      <c r="D3" s="54" t="s">
        <v>277</v>
      </c>
      <c r="E3" s="18"/>
      <c r="F3" s="44"/>
      <c r="G3" s="18"/>
      <c r="H3" s="18"/>
      <c r="I3" s="18"/>
      <c r="J3" s="38"/>
      <c r="K3" s="18"/>
      <c r="L3" s="18"/>
      <c r="M3" s="18"/>
      <c r="N3" s="44"/>
      <c r="O3" s="53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ht="15" customHeight="1" x14ac:dyDescent="0.3">
      <c r="D4" s="54" t="str">
        <f>CONCATENATE("Period ",RIGHT(202209,2),", ",2022)</f>
        <v>Period 09, 2022</v>
      </c>
      <c r="E4" s="18"/>
      <c r="F4" s="44"/>
      <c r="G4" s="18"/>
      <c r="H4" s="18"/>
      <c r="I4" s="18"/>
      <c r="J4" s="38"/>
      <c r="K4" s="18"/>
      <c r="L4" s="18"/>
      <c r="M4" s="18"/>
      <c r="N4" s="44"/>
      <c r="O4" s="53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ht="15" customHeight="1" x14ac:dyDescent="0.3">
      <c r="A5" s="24"/>
      <c r="D5" s="60">
        <v>44646</v>
      </c>
      <c r="E5" s="18"/>
      <c r="F5" s="44"/>
      <c r="G5" s="18"/>
      <c r="H5" s="18"/>
      <c r="I5" s="18"/>
      <c r="J5" s="38"/>
      <c r="K5" s="18"/>
      <c r="L5" s="18"/>
      <c r="M5" s="18"/>
      <c r="N5" s="44"/>
      <c r="O5" s="53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ht="15" customHeight="1" x14ac:dyDescent="0.3">
      <c r="A6" s="24"/>
      <c r="B6" s="47"/>
      <c r="C6" s="47"/>
      <c r="D6" s="24" t="str">
        <f>CONCATENATE("Department ","100"," - ","Corporate")</f>
        <v>Department 100 - Corporate</v>
      </c>
      <c r="E6" s="18"/>
      <c r="F6" s="44"/>
      <c r="G6" s="18"/>
      <c r="H6" s="18"/>
      <c r="I6" s="18"/>
      <c r="J6" s="38"/>
      <c r="K6" s="18"/>
      <c r="L6" s="18"/>
      <c r="M6" s="18"/>
      <c r="N6" s="44"/>
      <c r="O6" s="59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ht="15" customHeight="1" x14ac:dyDescent="0.3">
      <c r="B7" s="52"/>
    </row>
    <row r="8" spans="1:26" ht="15" customHeight="1" x14ac:dyDescent="0.3">
      <c r="B8" s="52"/>
    </row>
    <row r="9" spans="1:26" ht="15" customHeight="1" x14ac:dyDescent="0.3">
      <c r="B9" s="10"/>
      <c r="C9" s="10"/>
      <c r="D9" s="17" t="s">
        <v>279</v>
      </c>
      <c r="E9" s="17"/>
      <c r="F9" s="36"/>
      <c r="G9" s="17"/>
      <c r="H9" s="17"/>
      <c r="I9" s="17"/>
      <c r="J9" s="43"/>
      <c r="K9" s="17"/>
      <c r="L9" s="17"/>
      <c r="M9" s="17"/>
      <c r="N9" s="36"/>
      <c r="P9" s="17" t="s">
        <v>280</v>
      </c>
      <c r="Q9" s="17"/>
      <c r="R9" s="36"/>
      <c r="S9" s="17"/>
      <c r="T9" s="17"/>
      <c r="U9" s="17"/>
      <c r="V9" s="43"/>
      <c r="W9" s="17"/>
      <c r="X9" s="17"/>
      <c r="Y9" s="17"/>
      <c r="Z9" s="36"/>
    </row>
    <row r="10" spans="1:26" ht="15" customHeight="1" x14ac:dyDescent="0.3">
      <c r="A10" s="11"/>
      <c r="B10" s="57"/>
      <c r="C10" s="11"/>
      <c r="D10" s="41" t="s">
        <v>281</v>
      </c>
      <c r="E10" s="33"/>
      <c r="F10" s="37" t="s">
        <v>282</v>
      </c>
      <c r="G10" s="33"/>
      <c r="H10" s="48" t="s">
        <v>283</v>
      </c>
      <c r="I10" s="33"/>
      <c r="J10" s="45" t="s">
        <v>284</v>
      </c>
      <c r="K10" s="11"/>
      <c r="L10" s="41" t="s">
        <v>285</v>
      </c>
      <c r="M10" s="11"/>
      <c r="N10" s="37" t="s">
        <v>286</v>
      </c>
      <c r="O10" s="11"/>
      <c r="P10" s="56" t="s">
        <v>281</v>
      </c>
      <c r="Q10" s="33"/>
      <c r="R10" s="37" t="s">
        <v>282</v>
      </c>
      <c r="S10" s="33"/>
      <c r="T10" s="48" t="s">
        <v>283</v>
      </c>
      <c r="U10" s="33"/>
      <c r="V10" s="45" t="s">
        <v>284</v>
      </c>
      <c r="W10" s="11"/>
      <c r="X10" s="41" t="s">
        <v>285</v>
      </c>
      <c r="Y10" s="11"/>
      <c r="Z10" s="37" t="s">
        <v>286</v>
      </c>
    </row>
    <row r="11" spans="1:26" ht="16.5" customHeight="1" x14ac:dyDescent="0.3">
      <c r="A11" s="10"/>
      <c r="B11" s="55"/>
      <c r="C11" s="10"/>
      <c r="D11" s="10"/>
      <c r="E11" s="10"/>
      <c r="F11" s="9"/>
      <c r="G11" s="10"/>
      <c r="H11" s="10"/>
      <c r="I11" s="10"/>
      <c r="J11" s="46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6"/>
      <c r="W11" s="10"/>
      <c r="X11" s="10"/>
      <c r="Y11" s="10"/>
      <c r="Z11" s="9"/>
    </row>
    <row r="12" spans="1:26" s="63" customFormat="1" ht="15" customHeight="1" x14ac:dyDescent="0.3">
      <c r="A12" s="11"/>
      <c r="B12" s="28" t="s">
        <v>287</v>
      </c>
      <c r="C12" s="11"/>
      <c r="D12" s="5">
        <f>SUM(0)</f>
        <v>0</v>
      </c>
      <c r="E12" s="5"/>
      <c r="F12" s="13"/>
      <c r="G12" s="5"/>
      <c r="H12" s="5">
        <f>SUM(0)</f>
        <v>0</v>
      </c>
      <c r="I12" s="5"/>
      <c r="J12" s="13"/>
      <c r="K12" s="5"/>
      <c r="L12" s="5">
        <f>+D12-H12</f>
        <v>0</v>
      </c>
      <c r="M12" s="5"/>
      <c r="N12" s="13">
        <f>IF(H12=0,0,L12/H12)</f>
        <v>0</v>
      </c>
      <c r="O12" s="11"/>
      <c r="P12" s="5">
        <f>SUM(0)</f>
        <v>0</v>
      </c>
      <c r="Q12" s="5"/>
      <c r="R12" s="13"/>
      <c r="S12" s="5"/>
      <c r="T12" s="5">
        <f>SUM(0)</f>
        <v>0</v>
      </c>
      <c r="U12" s="5"/>
      <c r="V12" s="13"/>
      <c r="W12" s="5"/>
      <c r="X12" s="5">
        <f>+P12-T12</f>
        <v>0</v>
      </c>
      <c r="Y12" s="5"/>
      <c r="Z12" s="13">
        <f>IF(T12=0,0,X12/T12)</f>
        <v>0</v>
      </c>
    </row>
    <row r="13" spans="1:26" ht="15" customHeight="1" x14ac:dyDescent="0.3">
      <c r="A13" s="10"/>
      <c r="B13" s="11"/>
      <c r="C13" s="10"/>
      <c r="D13" s="4"/>
      <c r="E13" s="4"/>
      <c r="F13" s="9"/>
      <c r="G13" s="4"/>
      <c r="H13" s="4"/>
      <c r="I13" s="4"/>
      <c r="J13" s="9"/>
      <c r="K13" s="4"/>
      <c r="L13" s="4"/>
      <c r="M13" s="4"/>
      <c r="N13" s="9"/>
      <c r="P13" s="4"/>
      <c r="Q13" s="4"/>
      <c r="R13" s="9"/>
      <c r="S13" s="4"/>
      <c r="T13" s="4"/>
      <c r="U13" s="4"/>
      <c r="V13" s="9"/>
      <c r="W13" s="4"/>
      <c r="X13" s="4"/>
      <c r="Y13" s="4"/>
      <c r="Z13" s="9"/>
    </row>
    <row r="14" spans="1:26" s="63" customFormat="1" ht="15" customHeight="1" x14ac:dyDescent="0.3">
      <c r="A14" s="11"/>
      <c r="B14" s="28" t="s">
        <v>288</v>
      </c>
      <c r="C14" s="11"/>
      <c r="D14" s="5">
        <f>SUM(0)</f>
        <v>0</v>
      </c>
      <c r="E14" s="5"/>
      <c r="F14" s="13">
        <f>IF(D$12=0,0,D14/D$12)</f>
        <v>0</v>
      </c>
      <c r="G14" s="5"/>
      <c r="H14" s="5">
        <f>SUM(0)</f>
        <v>0</v>
      </c>
      <c r="I14" s="5"/>
      <c r="J14" s="13">
        <f>IF(H$12=0,0,H14/H$12)</f>
        <v>0</v>
      </c>
      <c r="K14" s="5"/>
      <c r="L14" s="5">
        <f>+D14-H14</f>
        <v>0</v>
      </c>
      <c r="M14" s="5"/>
      <c r="N14" s="13">
        <f>IF(H14=0,0,L14/H14)</f>
        <v>0</v>
      </c>
      <c r="O14" s="11"/>
      <c r="P14" s="5">
        <f>SUM(0)</f>
        <v>0</v>
      </c>
      <c r="Q14" s="5"/>
      <c r="R14" s="13">
        <f>IF(P$12=0,0,P14/P$12)</f>
        <v>0</v>
      </c>
      <c r="S14" s="5"/>
      <c r="T14" s="5">
        <f>SUM(0)</f>
        <v>0</v>
      </c>
      <c r="U14" s="5"/>
      <c r="V14" s="13">
        <f>IF(T$12=0,0,T14/T$12)</f>
        <v>0</v>
      </c>
      <c r="W14" s="5"/>
      <c r="X14" s="5">
        <f>+P14-T14</f>
        <v>0</v>
      </c>
      <c r="Y14" s="5"/>
      <c r="Z14" s="13">
        <f>IF(T14=0,0,X14/T14)</f>
        <v>0</v>
      </c>
    </row>
    <row r="15" spans="1:26" ht="15" customHeight="1" x14ac:dyDescent="0.3">
      <c r="A15" s="10"/>
      <c r="B15" s="11"/>
      <c r="C15" s="11"/>
      <c r="D15" s="4"/>
      <c r="E15" s="4"/>
      <c r="F15" s="9"/>
      <c r="G15" s="4"/>
      <c r="H15" s="4"/>
      <c r="I15" s="4"/>
      <c r="J15" s="9"/>
      <c r="K15" s="4"/>
      <c r="L15" s="4"/>
      <c r="M15" s="4"/>
      <c r="N15" s="9"/>
      <c r="O15" s="11"/>
      <c r="P15" s="4"/>
      <c r="Q15" s="4"/>
      <c r="R15" s="9"/>
      <c r="S15" s="4"/>
      <c r="T15" s="4"/>
      <c r="U15" s="4"/>
      <c r="V15" s="9"/>
      <c r="W15" s="4"/>
      <c r="X15" s="4"/>
      <c r="Y15" s="4"/>
      <c r="Z15" s="9"/>
    </row>
    <row r="16" spans="1:26" s="63" customFormat="1" ht="15" customHeight="1" x14ac:dyDescent="0.3">
      <c r="A16" s="11"/>
      <c r="B16" s="27" t="s">
        <v>289</v>
      </c>
      <c r="C16" s="27"/>
      <c r="D16" s="21">
        <f>D12-D14</f>
        <v>0</v>
      </c>
      <c r="E16" s="15"/>
      <c r="F16" s="23">
        <f>IF(D$12=0,0,D16/D$12)</f>
        <v>0</v>
      </c>
      <c r="G16" s="15"/>
      <c r="H16" s="21">
        <f>H12-H14</f>
        <v>0</v>
      </c>
      <c r="I16" s="15"/>
      <c r="J16" s="23">
        <f>IF(H$12=0,0,H16/H$12)</f>
        <v>0</v>
      </c>
      <c r="K16" s="16"/>
      <c r="L16" s="21">
        <f>+D16-H16</f>
        <v>0</v>
      </c>
      <c r="M16" s="16"/>
      <c r="N16" s="23">
        <f>IF(H16=0,0,L16/H16)</f>
        <v>0</v>
      </c>
      <c r="O16" s="28"/>
      <c r="P16" s="21">
        <f>P12-P14</f>
        <v>0</v>
      </c>
      <c r="Q16" s="15"/>
      <c r="R16" s="23">
        <f>IF(P$12=0,0,P16/P$12)</f>
        <v>0</v>
      </c>
      <c r="S16" s="15"/>
      <c r="T16" s="21">
        <f>T12-T14</f>
        <v>0</v>
      </c>
      <c r="U16" s="15"/>
      <c r="V16" s="23">
        <f>IF(T$12=0,0,T16/T$12)</f>
        <v>0</v>
      </c>
      <c r="W16" s="16"/>
      <c r="X16" s="21">
        <f>+P16-T16</f>
        <v>0</v>
      </c>
      <c r="Y16" s="16"/>
      <c r="Z16" s="23">
        <f>IF(T16=0,0,X16/T16)</f>
        <v>0</v>
      </c>
    </row>
    <row r="17" spans="1:26" ht="15" customHeight="1" x14ac:dyDescent="0.3">
      <c r="A17" s="10"/>
      <c r="B17" s="11"/>
      <c r="C17" s="10"/>
      <c r="D17" s="2"/>
      <c r="E17" s="2"/>
      <c r="F17" s="6"/>
      <c r="G17" s="2"/>
      <c r="H17" s="2"/>
      <c r="I17" s="2"/>
      <c r="J17" s="6"/>
      <c r="K17" s="2"/>
      <c r="L17" s="2"/>
      <c r="M17" s="2"/>
      <c r="N17" s="6"/>
      <c r="O17" s="35"/>
      <c r="P17" s="2"/>
      <c r="Q17" s="2"/>
      <c r="R17" s="6"/>
      <c r="S17" s="2"/>
      <c r="T17" s="2"/>
      <c r="U17" s="2"/>
      <c r="V17" s="6"/>
      <c r="W17" s="2"/>
      <c r="X17" s="2"/>
      <c r="Y17" s="2"/>
      <c r="Z17" s="6"/>
    </row>
    <row r="18" spans="1:26" s="63" customFormat="1" ht="15" customHeight="1" x14ac:dyDescent="0.3">
      <c r="A18" s="11"/>
      <c r="B18" s="28" t="s">
        <v>290</v>
      </c>
      <c r="C18" s="11"/>
      <c r="D18" s="22">
        <f>SUM(0)</f>
        <v>0</v>
      </c>
      <c r="E18" s="22"/>
      <c r="F18" s="30">
        <f>IF(D$12=0,0,D18/D$12)</f>
        <v>0</v>
      </c>
      <c r="G18" s="22"/>
      <c r="H18" s="22">
        <f>SUM(0)</f>
        <v>0</v>
      </c>
      <c r="I18" s="22"/>
      <c r="J18" s="30">
        <f>IF(H$12=0,0,H18/H$12)</f>
        <v>0</v>
      </c>
      <c r="K18" s="5"/>
      <c r="L18" s="22">
        <f>+D18-H18</f>
        <v>0</v>
      </c>
      <c r="M18" s="5"/>
      <c r="N18" s="30">
        <f>IF(H18=0,0,L18/H18)</f>
        <v>0</v>
      </c>
      <c r="O18" s="11"/>
      <c r="P18" s="22">
        <f>SUM(0)</f>
        <v>0</v>
      </c>
      <c r="Q18" s="22"/>
      <c r="R18" s="30">
        <f>IF(P$12=0,0,P18/P$12)</f>
        <v>0</v>
      </c>
      <c r="S18" s="22"/>
      <c r="T18" s="22">
        <f>SUM(0)</f>
        <v>0</v>
      </c>
      <c r="U18" s="22"/>
      <c r="V18" s="30">
        <f>IF(T$12=0,0,T18/T$12)</f>
        <v>0</v>
      </c>
      <c r="W18" s="5"/>
      <c r="X18" s="22">
        <f>+P18-T18</f>
        <v>0</v>
      </c>
      <c r="Y18" s="5"/>
      <c r="Z18" s="30">
        <f>IF(T18=0,0,X18/T18)</f>
        <v>0</v>
      </c>
    </row>
    <row r="19" spans="1:26" s="65" customFormat="1" ht="15" customHeight="1" x14ac:dyDescent="0.3">
      <c r="A19" s="35"/>
      <c r="B19" s="35"/>
      <c r="C19" s="35"/>
      <c r="D19" s="2"/>
      <c r="E19" s="2"/>
      <c r="F19" s="6"/>
      <c r="G19" s="2"/>
      <c r="H19" s="2"/>
      <c r="I19" s="2"/>
      <c r="J19" s="6"/>
      <c r="K19" s="2"/>
      <c r="L19" s="2"/>
      <c r="M19" s="2"/>
      <c r="N19" s="6"/>
      <c r="O19" s="35"/>
      <c r="P19" s="2"/>
      <c r="Q19" s="2"/>
      <c r="R19" s="6"/>
      <c r="S19" s="2"/>
      <c r="T19" s="2"/>
      <c r="U19" s="2"/>
      <c r="V19" s="6"/>
      <c r="W19" s="2"/>
      <c r="X19" s="2"/>
      <c r="Y19" s="2"/>
      <c r="Z19" s="6"/>
    </row>
    <row r="20" spans="1:26" s="63" customFormat="1" ht="15" customHeight="1" x14ac:dyDescent="0.3">
      <c r="A20" s="11"/>
      <c r="B20" s="28" t="s">
        <v>291</v>
      </c>
      <c r="C20" s="11"/>
      <c r="D20" s="5">
        <f>SUM(0)</f>
        <v>0</v>
      </c>
      <c r="E20" s="5"/>
      <c r="F20" s="13">
        <f>IF(D$12=0,0,D20/D$12)</f>
        <v>0</v>
      </c>
      <c r="G20" s="5"/>
      <c r="H20" s="5">
        <f>SUM(0)</f>
        <v>0</v>
      </c>
      <c r="I20" s="5"/>
      <c r="J20" s="13">
        <f>IF(H$12=0,0,H20/H$12)</f>
        <v>0</v>
      </c>
      <c r="K20" s="5"/>
      <c r="L20" s="5">
        <f>+D20-H20</f>
        <v>0</v>
      </c>
      <c r="M20" s="5"/>
      <c r="N20" s="13">
        <f>IF(H20=0,0,L20/H20)</f>
        <v>0</v>
      </c>
      <c r="O20" s="11"/>
      <c r="P20" s="5">
        <f>SUM(0)</f>
        <v>0</v>
      </c>
      <c r="Q20" s="5"/>
      <c r="R20" s="13">
        <f>IF(P$12=0,0,P20/P$12)</f>
        <v>0</v>
      </c>
      <c r="S20" s="5"/>
      <c r="T20" s="5">
        <f>SUM(0)</f>
        <v>0</v>
      </c>
      <c r="U20" s="5"/>
      <c r="V20" s="13">
        <f>IF(T$12=0,0,T20/T$12)</f>
        <v>0</v>
      </c>
      <c r="W20" s="5"/>
      <c r="X20" s="5">
        <f>+P20-T20</f>
        <v>0</v>
      </c>
      <c r="Y20" s="5"/>
      <c r="Z20" s="13">
        <f>IF(T20=0,0,X20/T20)</f>
        <v>0</v>
      </c>
    </row>
    <row r="21" spans="1:26" ht="15" customHeight="1" x14ac:dyDescent="0.3">
      <c r="A21" s="10"/>
      <c r="B21" s="11"/>
      <c r="C21" s="11"/>
      <c r="D21" s="4"/>
      <c r="E21" s="4"/>
      <c r="F21" s="9"/>
      <c r="G21" s="4"/>
      <c r="H21" s="4"/>
      <c r="I21" s="4"/>
      <c r="J21" s="9"/>
      <c r="K21" s="4"/>
      <c r="L21" s="4"/>
      <c r="M21" s="4"/>
      <c r="N21" s="9"/>
      <c r="O21" s="11"/>
      <c r="P21" s="4"/>
      <c r="Q21" s="4"/>
      <c r="R21" s="9"/>
      <c r="S21" s="4"/>
      <c r="T21" s="4"/>
      <c r="U21" s="4"/>
      <c r="V21" s="9"/>
      <c r="W21" s="4"/>
      <c r="X21" s="4"/>
      <c r="Y21" s="4"/>
      <c r="Z21" s="9"/>
    </row>
    <row r="22" spans="1:26" s="63" customFormat="1" ht="15" customHeight="1" x14ac:dyDescent="0.3">
      <c r="A22" s="11"/>
      <c r="B22" s="27" t="s">
        <v>292</v>
      </c>
      <c r="C22" s="27"/>
      <c r="D22" s="21">
        <f>+D16-D18+D20</f>
        <v>0</v>
      </c>
      <c r="E22" s="15"/>
      <c r="F22" s="23">
        <f>IF(D$12=0,0,D22/D$12)</f>
        <v>0</v>
      </c>
      <c r="G22" s="15"/>
      <c r="H22" s="21">
        <f>+H16-H18+H20</f>
        <v>0</v>
      </c>
      <c r="I22" s="15"/>
      <c r="J22" s="23">
        <f>IF(H$12=0,0,H22/H$12)</f>
        <v>0</v>
      </c>
      <c r="K22" s="16"/>
      <c r="L22" s="21">
        <f>+D22-H22</f>
        <v>0</v>
      </c>
      <c r="M22" s="16"/>
      <c r="N22" s="23">
        <f>IF(H22=0,0,L22/H22)</f>
        <v>0</v>
      </c>
      <c r="O22" s="28"/>
      <c r="P22" s="21">
        <f>+P16-P18+P20</f>
        <v>0</v>
      </c>
      <c r="Q22" s="15"/>
      <c r="R22" s="23">
        <f>IF(P$12=0,0,P22/P$12)</f>
        <v>0</v>
      </c>
      <c r="S22" s="15"/>
      <c r="T22" s="21">
        <f>+T16-T18+T20</f>
        <v>0</v>
      </c>
      <c r="U22" s="15"/>
      <c r="V22" s="23">
        <f>IF(T$12=0,0,T22/T$12)</f>
        <v>0</v>
      </c>
      <c r="W22" s="16"/>
      <c r="X22" s="21">
        <f>+P22-T22</f>
        <v>0</v>
      </c>
      <c r="Y22" s="16"/>
      <c r="Z22" s="23">
        <f>IF(T22=0,0,X22/T22)</f>
        <v>0</v>
      </c>
    </row>
    <row r="23" spans="1:26" ht="15" customHeight="1" x14ac:dyDescent="0.3">
      <c r="A23" s="10"/>
      <c r="B23" s="11"/>
      <c r="C23" s="10"/>
      <c r="D23" s="4"/>
      <c r="E23" s="4"/>
      <c r="F23" s="9"/>
      <c r="G23" s="4"/>
      <c r="H23" s="4"/>
      <c r="I23" s="4"/>
      <c r="J23" s="9"/>
      <c r="K23" s="4"/>
      <c r="L23" s="4"/>
      <c r="M23" s="4"/>
      <c r="N23" s="9"/>
      <c r="P23" s="4"/>
      <c r="Q23" s="4"/>
      <c r="R23" s="9"/>
      <c r="S23" s="4"/>
      <c r="T23" s="4"/>
      <c r="U23" s="4"/>
      <c r="V23" s="9"/>
      <c r="W23" s="4"/>
      <c r="X23" s="4"/>
      <c r="Y23" s="4"/>
      <c r="Z23" s="9"/>
    </row>
    <row r="24" spans="1:26" s="63" customFormat="1" ht="15" customHeight="1" x14ac:dyDescent="0.3">
      <c r="A24" s="49"/>
      <c r="B24" s="11" t="s">
        <v>293</v>
      </c>
      <c r="C24" s="11"/>
      <c r="D24" s="5"/>
      <c r="E24" s="5"/>
      <c r="F24" s="13">
        <f>IF(D$12=0,0,D24/D$12)</f>
        <v>0</v>
      </c>
      <c r="G24" s="5"/>
      <c r="H24" s="5"/>
      <c r="I24" s="5"/>
      <c r="J24" s="13">
        <f>IF(H$12=0,0,H24/H$12)</f>
        <v>0</v>
      </c>
      <c r="K24" s="5"/>
      <c r="L24" s="5">
        <f>+D24-H24</f>
        <v>0</v>
      </c>
      <c r="M24" s="5"/>
      <c r="N24" s="13">
        <f>IF(H24=0,0,L24/H24)</f>
        <v>0</v>
      </c>
      <c r="O24" s="11"/>
      <c r="P24" s="5"/>
      <c r="Q24" s="5"/>
      <c r="R24" s="13">
        <f>IF(P$12=0,0,P24/P$12)</f>
        <v>0</v>
      </c>
      <c r="S24" s="5"/>
      <c r="T24" s="5"/>
      <c r="U24" s="5"/>
      <c r="V24" s="13">
        <f>IF(T$12=0,0,T24/T$12)</f>
        <v>0</v>
      </c>
      <c r="W24" s="5"/>
      <c r="X24" s="5">
        <f>+P24-T24</f>
        <v>0</v>
      </c>
      <c r="Y24" s="5"/>
      <c r="Z24" s="13">
        <f>IF(T24=0,0,X24/T24)</f>
        <v>0</v>
      </c>
    </row>
    <row r="25" spans="1:26" ht="15" customHeight="1" x14ac:dyDescent="0.3">
      <c r="A25" s="10"/>
      <c r="B25" s="11"/>
      <c r="C25" s="11"/>
      <c r="D25" s="4"/>
      <c r="E25" s="4"/>
      <c r="F25" s="9"/>
      <c r="G25" s="4"/>
      <c r="H25" s="4"/>
      <c r="I25" s="4"/>
      <c r="J25" s="9"/>
      <c r="K25" s="4"/>
      <c r="L25" s="4"/>
      <c r="M25" s="4"/>
      <c r="N25" s="9"/>
      <c r="O25" s="11"/>
      <c r="P25" s="4"/>
      <c r="Q25" s="4"/>
      <c r="R25" s="9"/>
      <c r="S25" s="4"/>
      <c r="T25" s="4"/>
      <c r="U25" s="4"/>
      <c r="V25" s="9"/>
      <c r="W25" s="4"/>
      <c r="X25" s="4"/>
      <c r="Y25" s="4"/>
      <c r="Z25" s="9"/>
    </row>
    <row r="26" spans="1:26" s="63" customFormat="1" ht="15" customHeight="1" x14ac:dyDescent="0.3">
      <c r="A26" s="11"/>
      <c r="B26" s="27" t="s">
        <v>294</v>
      </c>
      <c r="C26" s="27"/>
      <c r="D26" s="34">
        <f>+D22-D24</f>
        <v>0</v>
      </c>
      <c r="E26" s="15"/>
      <c r="F26" s="29">
        <f>IF(D$12=0,0,D26/D$12)</f>
        <v>0</v>
      </c>
      <c r="G26" s="15"/>
      <c r="H26" s="34">
        <f>+H22-H24</f>
        <v>0</v>
      </c>
      <c r="I26" s="15"/>
      <c r="J26" s="29">
        <f>IF(H$12=0,0,H26/H$12)</f>
        <v>0</v>
      </c>
      <c r="K26" s="16"/>
      <c r="L26" s="34">
        <f>D26-H26</f>
        <v>0</v>
      </c>
      <c r="M26" s="16"/>
      <c r="N26" s="29">
        <f>IF(H26=0,0,L26/H26)</f>
        <v>0</v>
      </c>
      <c r="O26" s="28"/>
      <c r="P26" s="34">
        <f>+P22-P24</f>
        <v>0</v>
      </c>
      <c r="Q26" s="15"/>
      <c r="R26" s="29">
        <f>IF(P$12=0,0,P26/P$12)</f>
        <v>0</v>
      </c>
      <c r="S26" s="15"/>
      <c r="T26" s="34">
        <f>+T22-T24</f>
        <v>0</v>
      </c>
      <c r="U26" s="15"/>
      <c r="V26" s="29">
        <f>IF(T$12=0,0,T26/T$12)</f>
        <v>0</v>
      </c>
      <c r="W26" s="16"/>
      <c r="X26" s="34">
        <f>P26-T26</f>
        <v>0</v>
      </c>
      <c r="Y26" s="16"/>
      <c r="Z26" s="29">
        <f>IF(T26=0,0,X26/T26)</f>
        <v>0</v>
      </c>
    </row>
    <row r="27" spans="1:26" ht="15" customHeight="1" x14ac:dyDescent="0.3">
      <c r="A27" s="10"/>
      <c r="B27" s="10"/>
      <c r="C27" s="10"/>
      <c r="D27" s="4"/>
      <c r="E27" s="4"/>
      <c r="F27" s="9"/>
      <c r="G27" s="4"/>
      <c r="H27" s="4"/>
      <c r="I27" s="4"/>
      <c r="J27" s="9"/>
      <c r="K27" s="4"/>
      <c r="L27" s="4"/>
      <c r="M27" s="4"/>
      <c r="N27" s="9"/>
      <c r="P27" s="4"/>
      <c r="Q27" s="4"/>
      <c r="R27" s="9"/>
      <c r="S27" s="4"/>
      <c r="T27" s="4"/>
      <c r="U27" s="4"/>
      <c r="V27" s="9"/>
      <c r="W27" s="4"/>
      <c r="X27" s="4"/>
      <c r="Y27" s="4"/>
      <c r="Z27" s="9"/>
    </row>
    <row r="28" spans="1:26" s="63" customFormat="1" ht="15" customHeight="1" x14ac:dyDescent="0.3">
      <c r="A28" s="49"/>
      <c r="B28" s="11" t="s">
        <v>295</v>
      </c>
      <c r="C28" s="11"/>
      <c r="D28" s="5">
        <f>-38582.65</f>
        <v>-38582.65</v>
      </c>
      <c r="E28" s="5"/>
      <c r="F28" s="13">
        <f>IF(D$12=0,0,D28/D$12)</f>
        <v>0</v>
      </c>
      <c r="G28" s="5"/>
      <c r="H28" s="5">
        <f>--15000</f>
        <v>15000</v>
      </c>
      <c r="I28" s="5"/>
      <c r="J28" s="13">
        <f>IF(H$12=0,0,H28/H$12)</f>
        <v>0</v>
      </c>
      <c r="K28" s="5"/>
      <c r="L28" s="5">
        <f>+D28-H28</f>
        <v>-53582.65</v>
      </c>
      <c r="M28" s="5"/>
      <c r="N28" s="13">
        <f>IF(H28=0,0,L28/H28)</f>
        <v>-3.5721766666666666</v>
      </c>
      <c r="O28" s="11"/>
      <c r="P28" s="5">
        <f>-954916.37</f>
        <v>-954916.37</v>
      </c>
      <c r="Q28" s="5"/>
      <c r="R28" s="13">
        <f>IF(P$12=0,0,P28/P$12)</f>
        <v>0</v>
      </c>
      <c r="S28" s="5"/>
      <c r="T28" s="5">
        <f>--135000</f>
        <v>135000</v>
      </c>
      <c r="U28" s="5"/>
      <c r="V28" s="13">
        <f>IF(T$12=0,0,T28/T$12)</f>
        <v>0</v>
      </c>
      <c r="W28" s="5"/>
      <c r="X28" s="5">
        <f>+P28-T28</f>
        <v>-1089916.3700000001</v>
      </c>
      <c r="Y28" s="5"/>
      <c r="Z28" s="13">
        <f>IF(T28=0,0,X28/T28)</f>
        <v>-8.0734545925925936</v>
      </c>
    </row>
    <row r="29" spans="1:26" s="63" customFormat="1" ht="15" customHeight="1" x14ac:dyDescent="0.3">
      <c r="A29" s="49"/>
      <c r="B29" s="11" t="s">
        <v>296</v>
      </c>
      <c r="C29" s="11"/>
      <c r="D29" s="5">
        <f>--14325.83</f>
        <v>14325.83</v>
      </c>
      <c r="E29" s="5"/>
      <c r="F29" s="13">
        <f>IF(D$12=0,0,D29/D$12)</f>
        <v>0</v>
      </c>
      <c r="G29" s="5"/>
      <c r="H29" s="5">
        <f>--20000</f>
        <v>20000</v>
      </c>
      <c r="I29" s="5"/>
      <c r="J29" s="13">
        <f>IF(H$12=0,0,H29/H$12)</f>
        <v>0</v>
      </c>
      <c r="K29" s="5"/>
      <c r="L29" s="5">
        <f>+D29-H29</f>
        <v>-5674.17</v>
      </c>
      <c r="M29" s="5"/>
      <c r="N29" s="13">
        <f>IF(H29=0,0,L29/H29)</f>
        <v>-0.28370850000000003</v>
      </c>
      <c r="O29" s="11"/>
      <c r="P29" s="5">
        <f>--2333265.47</f>
        <v>2333265.4700000002</v>
      </c>
      <c r="Q29" s="5"/>
      <c r="R29" s="13">
        <f>IF(P$12=0,0,P29/P$12)</f>
        <v>0</v>
      </c>
      <c r="S29" s="5"/>
      <c r="T29" s="5">
        <f>--150000</f>
        <v>150000</v>
      </c>
      <c r="U29" s="5"/>
      <c r="V29" s="13">
        <f>IF(T$12=0,0,T29/T$12)</f>
        <v>0</v>
      </c>
      <c r="W29" s="5"/>
      <c r="X29" s="5">
        <f>+P29-T29</f>
        <v>2183265.4700000002</v>
      </c>
      <c r="Y29" s="5"/>
      <c r="Z29" s="13">
        <f>IF(T29=0,0,X29/T29)</f>
        <v>14.555103133333334</v>
      </c>
    </row>
    <row r="30" spans="1:26" ht="15" customHeight="1" x14ac:dyDescent="0.3">
      <c r="A30" s="10"/>
      <c r="B30" s="10"/>
      <c r="C30" s="10"/>
      <c r="D30" s="4"/>
      <c r="E30" s="4"/>
      <c r="F30" s="9"/>
      <c r="G30" s="4"/>
      <c r="H30" s="4"/>
      <c r="I30" s="4"/>
      <c r="J30" s="9"/>
      <c r="K30" s="4"/>
      <c r="L30" s="4"/>
      <c r="M30" s="4"/>
      <c r="N30" s="9"/>
      <c r="P30" s="4"/>
      <c r="Q30" s="4"/>
      <c r="R30" s="9"/>
      <c r="S30" s="4"/>
      <c r="T30" s="4"/>
      <c r="U30" s="4"/>
      <c r="V30" s="9"/>
      <c r="W30" s="4"/>
      <c r="X30" s="4"/>
      <c r="Y30" s="4"/>
      <c r="Z30" s="9"/>
    </row>
    <row r="31" spans="1:26" s="63" customFormat="1" ht="15" customHeight="1" x14ac:dyDescent="0.3">
      <c r="A31" s="11"/>
      <c r="B31" s="27" t="s">
        <v>297</v>
      </c>
      <c r="C31" s="27"/>
      <c r="D31" s="32">
        <f>SUM(D26:D30)</f>
        <v>-24256.82</v>
      </c>
      <c r="E31" s="15"/>
      <c r="F31" s="31">
        <f>IF(D$12=0,0,D31/D$12)</f>
        <v>0</v>
      </c>
      <c r="G31" s="15"/>
      <c r="H31" s="32">
        <f>SUM(H26:H30)</f>
        <v>35000</v>
      </c>
      <c r="I31" s="15"/>
      <c r="J31" s="31">
        <f>IF(H$12=0,0,H31/H$12)</f>
        <v>0</v>
      </c>
      <c r="K31" s="16"/>
      <c r="L31" s="32">
        <f>+D31-H31</f>
        <v>-59256.82</v>
      </c>
      <c r="M31" s="16"/>
      <c r="N31" s="31">
        <f>IF(H31=0,0,L31/H31)</f>
        <v>-1.693052</v>
      </c>
      <c r="O31" s="28"/>
      <c r="P31" s="32">
        <f>SUM(P26:P30)</f>
        <v>1378349.1</v>
      </c>
      <c r="Q31" s="15"/>
      <c r="R31" s="31">
        <f>IF(P$12=0,0,P31/P$12)</f>
        <v>0</v>
      </c>
      <c r="S31" s="15"/>
      <c r="T31" s="32">
        <f>SUM(T26:T30)</f>
        <v>285000</v>
      </c>
      <c r="U31" s="15"/>
      <c r="V31" s="31">
        <f>IF(T$12=0,0,T31/T$12)</f>
        <v>0</v>
      </c>
      <c r="W31" s="16"/>
      <c r="X31" s="32">
        <f>+P31-T31</f>
        <v>1093349.1000000001</v>
      </c>
      <c r="Y31" s="16"/>
      <c r="Z31" s="31">
        <f>IF(T31=0,0,X31/T31)</f>
        <v>3.8363126315789478</v>
      </c>
    </row>
    <row r="32" spans="1:26" ht="15" customHeight="1" x14ac:dyDescent="0.3">
      <c r="A32" s="10"/>
      <c r="C32" s="10"/>
      <c r="D32" s="19"/>
      <c r="E32" s="19"/>
      <c r="G32" s="19"/>
      <c r="H32" s="19"/>
      <c r="I32" s="19"/>
      <c r="J32" s="40"/>
      <c r="K32" s="19"/>
      <c r="L32" s="19"/>
      <c r="M32" s="19"/>
      <c r="P32" s="19"/>
      <c r="Q32" s="19"/>
      <c r="R32" s="40"/>
      <c r="S32" s="19"/>
      <c r="T32" s="19"/>
      <c r="U32" s="19"/>
      <c r="V32" s="40"/>
      <c r="W32" s="19"/>
      <c r="X32" s="19"/>
    </row>
    <row r="33" spans="1:24" ht="15" customHeight="1" x14ac:dyDescent="0.3">
      <c r="A33" s="10"/>
      <c r="B33" s="51">
        <v>44663.047665428239</v>
      </c>
      <c r="D33" s="19"/>
      <c r="E33" s="19"/>
      <c r="G33" s="19"/>
      <c r="H33" s="19"/>
      <c r="I33" s="19"/>
      <c r="J33" s="40"/>
      <c r="K33" s="19"/>
      <c r="L33" s="19"/>
      <c r="M33" s="19"/>
      <c r="P33" s="19"/>
      <c r="Q33" s="19"/>
      <c r="R33" s="40"/>
      <c r="S33" s="19"/>
      <c r="T33" s="19"/>
      <c r="U33" s="19"/>
      <c r="V33" s="40"/>
      <c r="W33" s="19"/>
      <c r="X33" s="19"/>
    </row>
    <row r="34" spans="1:24" ht="15" customHeight="1" x14ac:dyDescent="0.3">
      <c r="A34" s="10"/>
      <c r="B34" s="58" t="s">
        <v>298</v>
      </c>
      <c r="D34" s="19"/>
      <c r="E34" s="19"/>
      <c r="G34" s="19"/>
      <c r="H34" s="19"/>
      <c r="I34" s="19"/>
      <c r="J34" s="40"/>
      <c r="K34" s="19"/>
      <c r="L34" s="19"/>
      <c r="M34" s="19"/>
      <c r="P34" s="19"/>
      <c r="Q34" s="19"/>
      <c r="R34" s="40"/>
      <c r="S34" s="19"/>
      <c r="T34" s="19"/>
      <c r="U34" s="19"/>
      <c r="V34" s="40"/>
      <c r="W34" s="19"/>
      <c r="X34" s="19"/>
    </row>
    <row r="35" spans="1:24" ht="15" customHeight="1" x14ac:dyDescent="0.3">
      <c r="A35" s="10"/>
      <c r="B35" s="50"/>
      <c r="D35" s="19"/>
      <c r="E35" s="19"/>
      <c r="G35" s="19"/>
      <c r="H35" s="19"/>
      <c r="I35" s="19"/>
      <c r="J35" s="40"/>
      <c r="K35" s="19"/>
      <c r="L35" s="19"/>
      <c r="M35" s="19"/>
      <c r="P35" s="19"/>
      <c r="Q35" s="19"/>
      <c r="R35" s="40"/>
      <c r="S35" s="19"/>
      <c r="T35" s="19"/>
      <c r="U35" s="19"/>
      <c r="V35" s="40"/>
      <c r="W35" s="19"/>
      <c r="X35" s="19"/>
    </row>
    <row r="36" spans="1:24" ht="15" customHeight="1" x14ac:dyDescent="0.3">
      <c r="D36" s="19"/>
      <c r="E36" s="19"/>
      <c r="G36" s="19"/>
      <c r="H36" s="19"/>
      <c r="I36" s="19"/>
      <c r="J36" s="40"/>
      <c r="K36" s="19"/>
      <c r="L36" s="19"/>
      <c r="M36" s="19"/>
      <c r="P36" s="19"/>
      <c r="Q36" s="19"/>
      <c r="R36" s="40"/>
      <c r="S36" s="19"/>
      <c r="T36" s="19"/>
      <c r="U36" s="19"/>
      <c r="V36" s="40"/>
      <c r="W36" s="19"/>
      <c r="X36" s="19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FAEF07-E049-D747-9F9C-D75F83CFC108}">
  <sheetPr>
    <tabColor rgb="FF00B0F0"/>
    <outlinePr summaryBelow="0" summaryRight="0"/>
  </sheetPr>
  <dimension ref="A2:Z41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6" customWidth="1"/>
    <col min="2" max="2" width="33.44140625" style="66" customWidth="1"/>
    <col min="3" max="3" width="1.88671875" style="66" customWidth="1"/>
    <col min="4" max="4" width="15" style="66" customWidth="1"/>
    <col min="5" max="5" width="1.88671875" style="66" customWidth="1" outlineLevel="1"/>
    <col min="6" max="6" width="15" style="67" customWidth="1" outlineLevel="1"/>
    <col min="7" max="7" width="1.88671875" style="66" customWidth="1" outlineLevel="1"/>
    <col min="8" max="8" width="15" style="66" customWidth="1" outlineLevel="1"/>
    <col min="9" max="9" width="1.88671875" style="66" customWidth="1" outlineLevel="1"/>
    <col min="10" max="10" width="15" style="68" customWidth="1" outlineLevel="1"/>
    <col min="11" max="11" width="1.88671875" style="66" customWidth="1" outlineLevel="1"/>
    <col min="12" max="12" width="15" style="66" customWidth="1" outlineLevel="1"/>
    <col min="13" max="13" width="1.88671875" style="66" customWidth="1" outlineLevel="1"/>
    <col min="14" max="14" width="15" style="67" customWidth="1" outlineLevel="1"/>
    <col min="15" max="15" width="1.88671875" style="64" customWidth="1"/>
    <col min="16" max="16" width="15" style="66" customWidth="1"/>
    <col min="17" max="17" width="1.88671875" style="66" customWidth="1" outlineLevel="1"/>
    <col min="18" max="18" width="15" style="68" customWidth="1" outlineLevel="1"/>
    <col min="19" max="19" width="1.88671875" style="66" customWidth="1" outlineLevel="1"/>
    <col min="20" max="20" width="15" style="66" customWidth="1" outlineLevel="1"/>
    <col min="21" max="21" width="1.88671875" style="66" customWidth="1" outlineLevel="1"/>
    <col min="22" max="22" width="15" style="68" customWidth="1" outlineLevel="1"/>
    <col min="23" max="23" width="1.88671875" style="66" customWidth="1" outlineLevel="1"/>
    <col min="24" max="24" width="15" style="66" customWidth="1" outlineLevel="1"/>
    <col min="25" max="25" width="1.88671875" style="66" customWidth="1" outlineLevel="1"/>
    <col min="26" max="26" width="15" style="68" customWidth="1" outlineLevel="1"/>
  </cols>
  <sheetData>
    <row r="2" spans="1:26" ht="15" customHeight="1" x14ac:dyDescent="0.3">
      <c r="D2" s="54" t="s">
        <v>276</v>
      </c>
    </row>
    <row r="3" spans="1:26" ht="15" customHeight="1" x14ac:dyDescent="0.3">
      <c r="D3" s="54" t="s">
        <v>277</v>
      </c>
      <c r="E3" s="18"/>
      <c r="F3" s="44"/>
      <c r="G3" s="18"/>
      <c r="H3" s="18"/>
      <c r="I3" s="18"/>
      <c r="J3" s="38"/>
      <c r="K3" s="18"/>
      <c r="L3" s="18"/>
      <c r="M3" s="18"/>
      <c r="N3" s="44"/>
      <c r="O3" s="53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ht="15" customHeight="1" x14ac:dyDescent="0.3">
      <c r="D4" s="54" t="e">
        <f ca="1">CONCATENATE("Period ",RIGHT(_xll.ONESTOP.REPORTPLAYER.OSRFUNCTIONS.OSRGET("Period","PeriodId"),2),", ",_xll.ONESTOP.REPORTPLAYER.OSRFUNCTIONS.OSRGET("Period","Year"))</f>
        <v>#NAME?</v>
      </c>
      <c r="E4" s="18"/>
      <c r="F4" s="44"/>
      <c r="G4" s="18"/>
      <c r="H4" s="18"/>
      <c r="I4" s="18"/>
      <c r="J4" s="38"/>
      <c r="K4" s="18"/>
      <c r="L4" s="18"/>
      <c r="M4" s="18"/>
      <c r="N4" s="44"/>
      <c r="O4" s="53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ht="15" customHeight="1" x14ac:dyDescent="0.3">
      <c r="A5" s="24"/>
      <c r="D5" s="61" t="e">
        <f ca="1">_xll.ONESTOP.REPORTPLAYER.OSRFUNCTIONS.OSRGET("Period","PeriodEnd")</f>
        <v>#NAME?</v>
      </c>
      <c r="E5" s="18"/>
      <c r="F5" s="44"/>
      <c r="G5" s="18"/>
      <c r="H5" s="18"/>
      <c r="I5" s="18"/>
      <c r="J5" s="38"/>
      <c r="K5" s="18"/>
      <c r="L5" s="18"/>
      <c r="M5" s="18"/>
      <c r="N5" s="44"/>
      <c r="O5" s="53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ht="15" customHeight="1" x14ac:dyDescent="0.3">
      <c r="A6" s="24"/>
      <c r="B6" s="47"/>
      <c r="C6" s="47"/>
      <c r="D6" s="24" t="s">
        <v>278</v>
      </c>
      <c r="E6" s="18"/>
      <c r="F6" s="44"/>
      <c r="G6" s="18"/>
      <c r="H6" s="18"/>
      <c r="I6" s="18"/>
      <c r="J6" s="38"/>
      <c r="K6" s="18"/>
      <c r="L6" s="18"/>
      <c r="M6" s="18"/>
      <c r="N6" s="44"/>
      <c r="O6" s="59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ht="15" customHeight="1" x14ac:dyDescent="0.3">
      <c r="B7" s="52"/>
    </row>
    <row r="8" spans="1:26" ht="15" customHeight="1" x14ac:dyDescent="0.3">
      <c r="B8" s="52"/>
    </row>
    <row r="9" spans="1:26" ht="15" customHeight="1" x14ac:dyDescent="0.3">
      <c r="B9" s="10"/>
      <c r="C9" s="10"/>
      <c r="D9" s="17" t="s">
        <v>279</v>
      </c>
      <c r="E9" s="17"/>
      <c r="F9" s="36"/>
      <c r="G9" s="17"/>
      <c r="H9" s="17"/>
      <c r="I9" s="17"/>
      <c r="J9" s="43"/>
      <c r="K9" s="17"/>
      <c r="L9" s="17"/>
      <c r="M9" s="17"/>
      <c r="N9" s="36"/>
      <c r="P9" s="17" t="s">
        <v>280</v>
      </c>
      <c r="Q9" s="17"/>
      <c r="R9" s="36"/>
      <c r="S9" s="17"/>
      <c r="T9" s="17"/>
      <c r="U9" s="17"/>
      <c r="V9" s="43"/>
      <c r="W9" s="17"/>
      <c r="X9" s="17"/>
      <c r="Y9" s="17"/>
      <c r="Z9" s="36"/>
    </row>
    <row r="10" spans="1:26" ht="15" customHeight="1" x14ac:dyDescent="0.3">
      <c r="A10" s="11"/>
      <c r="B10" s="57"/>
      <c r="C10" s="11"/>
      <c r="D10" s="41" t="s">
        <v>281</v>
      </c>
      <c r="E10" s="33"/>
      <c r="F10" s="37" t="s">
        <v>282</v>
      </c>
      <c r="G10" s="33"/>
      <c r="H10" s="48" t="s">
        <v>283</v>
      </c>
      <c r="I10" s="33"/>
      <c r="J10" s="45" t="s">
        <v>284</v>
      </c>
      <c r="K10" s="11"/>
      <c r="L10" s="41" t="s">
        <v>285</v>
      </c>
      <c r="M10" s="11"/>
      <c r="N10" s="37" t="s">
        <v>286</v>
      </c>
      <c r="O10" s="11"/>
      <c r="P10" s="56" t="s">
        <v>281</v>
      </c>
      <c r="Q10" s="33"/>
      <c r="R10" s="37" t="s">
        <v>282</v>
      </c>
      <c r="S10" s="33"/>
      <c r="T10" s="48" t="s">
        <v>283</v>
      </c>
      <c r="U10" s="33"/>
      <c r="V10" s="45" t="s">
        <v>284</v>
      </c>
      <c r="W10" s="11"/>
      <c r="X10" s="41" t="s">
        <v>285</v>
      </c>
      <c r="Y10" s="11"/>
      <c r="Z10" s="37" t="s">
        <v>286</v>
      </c>
    </row>
    <row r="11" spans="1:26" ht="16.5" customHeight="1" x14ac:dyDescent="0.3">
      <c r="A11" s="10"/>
      <c r="B11" s="55"/>
      <c r="C11" s="10"/>
      <c r="D11" s="10"/>
      <c r="E11" s="10"/>
      <c r="F11" s="9"/>
      <c r="G11" s="10"/>
      <c r="H11" s="10"/>
      <c r="I11" s="10"/>
      <c r="J11" s="46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6"/>
      <c r="W11" s="10"/>
      <c r="X11" s="10"/>
      <c r="Y11" s="10"/>
      <c r="Z11" s="9"/>
    </row>
    <row r="12" spans="1:26" s="63" customFormat="1" ht="15" customHeight="1" collapsed="1" x14ac:dyDescent="0.3">
      <c r="A12" s="11"/>
      <c r="B12" s="28" t="s">
        <v>287</v>
      </c>
      <c r="C12" s="11"/>
      <c r="D12" s="5" t="e">
        <f ca="1">SUM(_xll.ONESTOP.REPORTPLAYER.OSRFUNCTIONS.OSRREF(D13))</f>
        <v>#NAME?</v>
      </c>
      <c r="E12" s="5"/>
      <c r="F12" s="13"/>
      <c r="G12" s="5"/>
      <c r="H12" s="5" t="e">
        <f ca="1">SUM(_xll.ONESTOP.REPORTPLAYER.OSRFUNCTIONS.OSRREF(H13))</f>
        <v>#NAME?</v>
      </c>
      <c r="I12" s="5"/>
      <c r="J12" s="13"/>
      <c r="K12" s="5"/>
      <c r="L12" s="5" t="e">
        <f ca="1">+D12-H12</f>
        <v>#NAME?</v>
      </c>
      <c r="M12" s="5"/>
      <c r="N12" s="13" t="e">
        <f ca="1">IF(H12=0,0,L12/H12)</f>
        <v>#NAME?</v>
      </c>
      <c r="O12" s="11"/>
      <c r="P12" s="5" t="e">
        <f ca="1">SUM(_xll.ONESTOP.REPORTPLAYER.OSRFUNCTIONS.OSRREF(P13))</f>
        <v>#NAME?</v>
      </c>
      <c r="Q12" s="5"/>
      <c r="R12" s="13"/>
      <c r="S12" s="5"/>
      <c r="T12" s="5" t="e">
        <f ca="1">SUM(_xll.ONESTOP.REPORTPLAYER.OSRFUNCTIONS.OSRREF(T13))</f>
        <v>#NAME?</v>
      </c>
      <c r="U12" s="5"/>
      <c r="V12" s="13"/>
      <c r="W12" s="5"/>
      <c r="X12" s="5" t="e">
        <f ca="1">+P12-T12</f>
        <v>#NAME?</v>
      </c>
      <c r="Y12" s="5"/>
      <c r="Z12" s="13" t="e">
        <f ca="1">IF(T12=0,0,X12/T12)</f>
        <v>#NAME?</v>
      </c>
    </row>
    <row r="13" spans="1:26" s="70" customFormat="1" ht="15" hidden="1" customHeight="1" outlineLevel="1" x14ac:dyDescent="0.3">
      <c r="A13" s="42"/>
      <c r="B13" s="12" t="e">
        <f ca="1">CONCATENATE("          ",_xll.ONESTOP.REPORTPLAYER.OSRFUNCTIONS.OSRGET("d_Account","Code")," - ",_xll.ONESTOP.REPORTPLAYER.OSRFUNCTIONS.OSRGET("d_Account","Description"))</f>
        <v>#NAME?</v>
      </c>
      <c r="C13" s="12"/>
      <c r="D13" s="3" t="e">
        <f ca="1">-_xll.ONESTOP.REPORTPLAYER.OSRFUNCTIONS.OSRGET("GL_F_Trans","Value1")</f>
        <v>#NAME?</v>
      </c>
      <c r="E13" s="3"/>
      <c r="F13" s="20"/>
      <c r="G13" s="3"/>
      <c r="H13" s="3" t="e">
        <f ca="1">_xll.ONESTOP.REPORTPLAYER.OSRFUNCTIONS.OSRGET("GL_F_Trans","Value1")</f>
        <v>#NAME?</v>
      </c>
      <c r="I13" s="3"/>
      <c r="J13" s="20"/>
      <c r="K13" s="3"/>
      <c r="L13" s="3" t="e">
        <f ca="1">+D13-H13</f>
        <v>#NAME?</v>
      </c>
      <c r="M13" s="3"/>
      <c r="N13" s="20" t="e">
        <f ca="1">IF(H13=0,0,L13/H13)</f>
        <v>#NAME?</v>
      </c>
      <c r="O13" s="12"/>
      <c r="P13" s="3" t="e">
        <f ca="1">-_xll.ONESTOP.REPORTPLAYER.OSRFUNCTIONS.OSRGET("GL_F_Trans","Value1")</f>
        <v>#NAME?</v>
      </c>
      <c r="Q13" s="3"/>
      <c r="R13" s="20"/>
      <c r="S13" s="3"/>
      <c r="T13" s="3" t="e">
        <f ca="1">_xll.ONESTOP.REPORTPLAYER.OSRFUNCTIONS.OSRGET("GL_F_Trans","Value1")</f>
        <v>#NAME?</v>
      </c>
      <c r="U13" s="3"/>
      <c r="V13" s="20"/>
      <c r="W13" s="3"/>
      <c r="X13" s="3" t="e">
        <f ca="1">+P13-T13</f>
        <v>#NAME?</v>
      </c>
      <c r="Y13" s="3"/>
      <c r="Z13" s="20" t="e">
        <f ca="1">IF(T13=0,0,X13/T13)</f>
        <v>#NAME?</v>
      </c>
    </row>
    <row r="14" spans="1:26" ht="15" customHeight="1" x14ac:dyDescent="0.3">
      <c r="A14" s="10"/>
      <c r="B14" s="11"/>
      <c r="C14" s="10"/>
      <c r="D14" s="4"/>
      <c r="E14" s="4"/>
      <c r="F14" s="9"/>
      <c r="G14" s="4"/>
      <c r="H14" s="4"/>
      <c r="I14" s="4"/>
      <c r="J14" s="9"/>
      <c r="K14" s="4"/>
      <c r="L14" s="4"/>
      <c r="M14" s="4"/>
      <c r="N14" s="9"/>
      <c r="P14" s="4"/>
      <c r="Q14" s="4"/>
      <c r="R14" s="9"/>
      <c r="S14" s="4"/>
      <c r="T14" s="4"/>
      <c r="U14" s="4"/>
      <c r="V14" s="9"/>
      <c r="W14" s="4"/>
      <c r="X14" s="4"/>
      <c r="Y14" s="4"/>
      <c r="Z14" s="9"/>
    </row>
    <row r="15" spans="1:26" s="63" customFormat="1" ht="15" customHeight="1" collapsed="1" x14ac:dyDescent="0.3">
      <c r="A15" s="11"/>
      <c r="B15" s="28" t="s">
        <v>288</v>
      </c>
      <c r="C15" s="11"/>
      <c r="D15" s="5" t="e">
        <f ca="1">SUM(_xll.ONESTOP.REPORTPLAYER.OSRFUNCTIONS.OSRREF(D16))</f>
        <v>#NAME?</v>
      </c>
      <c r="E15" s="5"/>
      <c r="F15" s="13" t="e">
        <f ca="1">IF(D$12=0,0,D15/D$12)</f>
        <v>#NAME?</v>
      </c>
      <c r="G15" s="5"/>
      <c r="H15" s="5" t="e">
        <f ca="1">SUM(_xll.ONESTOP.REPORTPLAYER.OSRFUNCTIONS.OSRREF(H16))</f>
        <v>#NAME?</v>
      </c>
      <c r="I15" s="5"/>
      <c r="J15" s="13" t="e">
        <f ca="1">IF(H$12=0,0,H15/H$12)</f>
        <v>#NAME?</v>
      </c>
      <c r="K15" s="5"/>
      <c r="L15" s="5" t="e">
        <f ca="1">+D15-H15</f>
        <v>#NAME?</v>
      </c>
      <c r="M15" s="5"/>
      <c r="N15" s="13" t="e">
        <f ca="1">IF(H15=0,0,L15/H15)</f>
        <v>#NAME?</v>
      </c>
      <c r="O15" s="11"/>
      <c r="P15" s="5" t="e">
        <f ca="1">SUM(_xll.ONESTOP.REPORTPLAYER.OSRFUNCTIONS.OSRREF(P16))</f>
        <v>#NAME?</v>
      </c>
      <c r="Q15" s="5"/>
      <c r="R15" s="13" t="e">
        <f ca="1">IF(P$12=0,0,P15/P$12)</f>
        <v>#NAME?</v>
      </c>
      <c r="S15" s="5"/>
      <c r="T15" s="5" t="e">
        <f ca="1">SUM(_xll.ONESTOP.REPORTPLAYER.OSRFUNCTIONS.OSRREF(T16))</f>
        <v>#NAME?</v>
      </c>
      <c r="U15" s="5"/>
      <c r="V15" s="13" t="e">
        <f ca="1">IF(T$12=0,0,T15/T$12)</f>
        <v>#NAME?</v>
      </c>
      <c r="W15" s="5"/>
      <c r="X15" s="5" t="e">
        <f ca="1">+P15-T15</f>
        <v>#NAME?</v>
      </c>
      <c r="Y15" s="5"/>
      <c r="Z15" s="13" t="e">
        <f ca="1">IF(T15=0,0,X15/T15)</f>
        <v>#NAME?</v>
      </c>
    </row>
    <row r="16" spans="1:26" s="70" customFormat="1" ht="15" hidden="1" customHeight="1" outlineLevel="1" x14ac:dyDescent="0.3">
      <c r="A16" s="42"/>
      <c r="B16" s="12" t="e">
        <f ca="1">CONCATENATE("          ",_xll.ONESTOP.REPORTPLAYER.OSRFUNCTIONS.OSRGET("d_Account","Code")," - ",_xll.ONESTOP.REPORTPLAYER.OSRFUNCTIONS.OSRGET("d_Account","Description"))</f>
        <v>#NAME?</v>
      </c>
      <c r="C16" s="12"/>
      <c r="D16" s="3" t="e">
        <f ca="1">_xll.ONESTOP.REPORTPLAYER.OSRFUNCTIONS.OSRGET("GL_F_Trans","Value1")</f>
        <v>#NAME?</v>
      </c>
      <c r="E16" s="3"/>
      <c r="F16" s="20" t="e">
        <f ca="1">IF(D$12=0,0,D16/D$12)</f>
        <v>#NAME?</v>
      </c>
      <c r="G16" s="3"/>
      <c r="H16" s="3" t="e">
        <f ca="1">_xll.ONESTOP.REPORTPLAYER.OSRFUNCTIONS.OSRGET("GL_F_Trans","Value1")</f>
        <v>#NAME?</v>
      </c>
      <c r="I16" s="3"/>
      <c r="J16" s="20" t="e">
        <f ca="1">IF(H$12=0,0,H16/H$12)</f>
        <v>#NAME?</v>
      </c>
      <c r="K16" s="3"/>
      <c r="L16" s="3" t="e">
        <f ca="1">+D16-H16</f>
        <v>#NAME?</v>
      </c>
      <c r="M16" s="3"/>
      <c r="N16" s="20" t="e">
        <f ca="1">IF(H16=0,0,L16/H16)</f>
        <v>#NAME?</v>
      </c>
      <c r="O16" s="12"/>
      <c r="P16" s="3" t="e">
        <f ca="1">_xll.ONESTOP.REPORTPLAYER.OSRFUNCTIONS.OSRGET("GL_F_Trans","Value1")</f>
        <v>#NAME?</v>
      </c>
      <c r="Q16" s="3"/>
      <c r="R16" s="20" t="e">
        <f ca="1">IF(P$12=0,0,P16/P$12)</f>
        <v>#NAME?</v>
      </c>
      <c r="S16" s="3"/>
      <c r="T16" s="3" t="e">
        <f ca="1">_xll.ONESTOP.REPORTPLAYER.OSRFUNCTIONS.OSRGET("GL_F_Trans","Value1")</f>
        <v>#NAME?</v>
      </c>
      <c r="U16" s="3"/>
      <c r="V16" s="20" t="e">
        <f ca="1">IF(T$12=0,0,T16/T$12)</f>
        <v>#NAME?</v>
      </c>
      <c r="W16" s="3"/>
      <c r="X16" s="3" t="e">
        <f ca="1">+P16-T16</f>
        <v>#NAME?</v>
      </c>
      <c r="Y16" s="3"/>
      <c r="Z16" s="20" t="e">
        <f ca="1">IF(T16=0,0,X16/T16)</f>
        <v>#NAME?</v>
      </c>
    </row>
    <row r="17" spans="1:26" ht="15" customHeight="1" x14ac:dyDescent="0.3">
      <c r="A17" s="10"/>
      <c r="B17" s="11"/>
      <c r="C17" s="11"/>
      <c r="D17" s="4"/>
      <c r="E17" s="4"/>
      <c r="F17" s="9"/>
      <c r="G17" s="4"/>
      <c r="H17" s="4"/>
      <c r="I17" s="4"/>
      <c r="J17" s="9"/>
      <c r="K17" s="4"/>
      <c r="L17" s="4"/>
      <c r="M17" s="4"/>
      <c r="N17" s="9"/>
      <c r="O17" s="11"/>
      <c r="P17" s="4"/>
      <c r="Q17" s="4"/>
      <c r="R17" s="9"/>
      <c r="S17" s="4"/>
      <c r="T17" s="4"/>
      <c r="U17" s="4"/>
      <c r="V17" s="9"/>
      <c r="W17" s="4"/>
      <c r="X17" s="4"/>
      <c r="Y17" s="4"/>
      <c r="Z17" s="9"/>
    </row>
    <row r="18" spans="1:26" s="63" customFormat="1" ht="15" customHeight="1" x14ac:dyDescent="0.3">
      <c r="A18" s="11"/>
      <c r="B18" s="27" t="s">
        <v>289</v>
      </c>
      <c r="C18" s="27"/>
      <c r="D18" s="21" t="e">
        <f ca="1">D12-D15</f>
        <v>#NAME?</v>
      </c>
      <c r="E18" s="15"/>
      <c r="F18" s="23" t="e">
        <f ca="1">IF(D$12=0,0,D18/D$12)</f>
        <v>#NAME?</v>
      </c>
      <c r="G18" s="15"/>
      <c r="H18" s="21" t="e">
        <f ca="1">H12-H15</f>
        <v>#NAME?</v>
      </c>
      <c r="I18" s="15"/>
      <c r="J18" s="23" t="e">
        <f ca="1">IF(H$12=0,0,H18/H$12)</f>
        <v>#NAME?</v>
      </c>
      <c r="K18" s="16"/>
      <c r="L18" s="21" t="e">
        <f ca="1">+D18-H18</f>
        <v>#NAME?</v>
      </c>
      <c r="M18" s="16"/>
      <c r="N18" s="23" t="e">
        <f ca="1">IF(H18=0,0,L18/H18)</f>
        <v>#NAME?</v>
      </c>
      <c r="O18" s="28"/>
      <c r="P18" s="21" t="e">
        <f ca="1">P12-P15</f>
        <v>#NAME?</v>
      </c>
      <c r="Q18" s="15"/>
      <c r="R18" s="23" t="e">
        <f ca="1">IF(P$12=0,0,P18/P$12)</f>
        <v>#NAME?</v>
      </c>
      <c r="S18" s="15"/>
      <c r="T18" s="21" t="e">
        <f ca="1">T12-T15</f>
        <v>#NAME?</v>
      </c>
      <c r="U18" s="15"/>
      <c r="V18" s="23" t="e">
        <f ca="1">IF(T$12=0,0,T18/T$12)</f>
        <v>#NAME?</v>
      </c>
      <c r="W18" s="16"/>
      <c r="X18" s="21" t="e">
        <f ca="1">+P18-T18</f>
        <v>#NAME?</v>
      </c>
      <c r="Y18" s="16"/>
      <c r="Z18" s="23" t="e">
        <f ca="1">IF(T18=0,0,X18/T18)</f>
        <v>#NAME?</v>
      </c>
    </row>
    <row r="19" spans="1:26" ht="15" customHeight="1" x14ac:dyDescent="0.3">
      <c r="A19" s="10"/>
      <c r="B19" s="11"/>
      <c r="C19" s="10"/>
      <c r="D19" s="2"/>
      <c r="E19" s="2"/>
      <c r="F19" s="6"/>
      <c r="G19" s="2"/>
      <c r="H19" s="2"/>
      <c r="I19" s="2"/>
      <c r="J19" s="6"/>
      <c r="K19" s="2"/>
      <c r="L19" s="2"/>
      <c r="M19" s="2"/>
      <c r="N19" s="6"/>
      <c r="O19" s="35"/>
      <c r="P19" s="2"/>
      <c r="Q19" s="2"/>
      <c r="R19" s="6"/>
      <c r="S19" s="2"/>
      <c r="T19" s="2"/>
      <c r="U19" s="2"/>
      <c r="V19" s="6"/>
      <c r="W19" s="2"/>
      <c r="X19" s="2"/>
      <c r="Y19" s="2"/>
      <c r="Z19" s="6"/>
    </row>
    <row r="20" spans="1:26" s="63" customFormat="1" ht="15" customHeight="1" x14ac:dyDescent="0.3">
      <c r="A20" s="11"/>
      <c r="B20" s="28" t="s">
        <v>290</v>
      </c>
      <c r="C20" s="11"/>
      <c r="D20" s="22" t="e">
        <f ca="1">SUM(_xll.ONESTOP.REPORTPLAYER.OSRFUNCTIONS.OSRREF(D22))</f>
        <v>#NAME?</v>
      </c>
      <c r="E20" s="22"/>
      <c r="F20" s="30" t="e">
        <f ca="1">IF(D$12=0,0,D20/D$12)</f>
        <v>#NAME?</v>
      </c>
      <c r="G20" s="22"/>
      <c r="H20" s="22" t="e">
        <f ca="1">SUM(_xll.ONESTOP.REPORTPLAYER.OSRFUNCTIONS.OSRREF(H22))</f>
        <v>#NAME?</v>
      </c>
      <c r="I20" s="22"/>
      <c r="J20" s="30" t="e">
        <f ca="1">IF(H$12=0,0,H20/H$12)</f>
        <v>#NAME?</v>
      </c>
      <c r="K20" s="5"/>
      <c r="L20" s="22" t="e">
        <f ca="1">+D20-H20</f>
        <v>#NAME?</v>
      </c>
      <c r="M20" s="5"/>
      <c r="N20" s="30" t="e">
        <f ca="1">IF(H20=0,0,L20/H20)</f>
        <v>#NAME?</v>
      </c>
      <c r="O20" s="11"/>
      <c r="P20" s="22" t="e">
        <f ca="1">SUM(_xll.ONESTOP.REPORTPLAYER.OSRFUNCTIONS.OSRREF(P22))</f>
        <v>#NAME?</v>
      </c>
      <c r="Q20" s="22"/>
      <c r="R20" s="30" t="e">
        <f ca="1">IF(P$12=0,0,P20/P$12)</f>
        <v>#NAME?</v>
      </c>
      <c r="S20" s="22"/>
      <c r="T20" s="22" t="e">
        <f ca="1">SUM(_xll.ONESTOP.REPORTPLAYER.OSRFUNCTIONS.OSRREF(T22))</f>
        <v>#NAME?</v>
      </c>
      <c r="U20" s="22"/>
      <c r="V20" s="30" t="e">
        <f ca="1">IF(T$12=0,0,T20/T$12)</f>
        <v>#NAME?</v>
      </c>
      <c r="W20" s="5"/>
      <c r="X20" s="22" t="e">
        <f ca="1">+P20-T20</f>
        <v>#NAME?</v>
      </c>
      <c r="Y20" s="5"/>
      <c r="Z20" s="30" t="e">
        <f ca="1">IF(T20=0,0,X20/T20)</f>
        <v>#NAME?</v>
      </c>
    </row>
    <row r="21" spans="1:26" s="69" customFormat="1" ht="15" customHeight="1" outlineLevel="1" collapsed="1" x14ac:dyDescent="0.3">
      <c r="A21" s="25"/>
      <c r="B21" s="14" t="e">
        <f ca="1">CONCATENATE("     ",_xll.ONESTOP.REPORTPLAYER.OSRFUNCTIONS.OSRGET("d_Account","AccountCategory"))</f>
        <v>#NAME?</v>
      </c>
      <c r="C21" s="14"/>
      <c r="D21" s="2" t="e">
        <f ca="1">SUM(_xll.ONESTOP.REPORTPLAYER.OSRFUNCTIONS.OSRREF(D22))</f>
        <v>#NAME?</v>
      </c>
      <c r="E21" s="2"/>
      <c r="F21" s="6" t="e">
        <f ca="1">IF(D$12=0,0,D21/D$12)</f>
        <v>#NAME?</v>
      </c>
      <c r="G21" s="2"/>
      <c r="H21" s="2" t="e">
        <f ca="1">SUM(_xll.ONESTOP.REPORTPLAYER.OSRFUNCTIONS.OSRREF(H22))</f>
        <v>#NAME?</v>
      </c>
      <c r="I21" s="2"/>
      <c r="J21" s="6" t="e">
        <f ca="1">IF(H$12=0,0,H21/H$12)</f>
        <v>#NAME?</v>
      </c>
      <c r="K21" s="2"/>
      <c r="L21" s="2" t="e">
        <f ca="1">+D21-H21</f>
        <v>#NAME?</v>
      </c>
      <c r="M21" s="2"/>
      <c r="N21" s="6" t="e">
        <f ca="1">IF(H21=0,0,L21/H21)</f>
        <v>#NAME?</v>
      </c>
      <c r="O21" s="14"/>
      <c r="P21" s="2" t="e">
        <f ca="1">SUM(_xll.ONESTOP.REPORTPLAYER.OSRFUNCTIONS.OSRREF(P22))</f>
        <v>#NAME?</v>
      </c>
      <c r="Q21" s="2"/>
      <c r="R21" s="6" t="e">
        <f ca="1">IF(P$12=0,0,P21/P$12)</f>
        <v>#NAME?</v>
      </c>
      <c r="S21" s="2"/>
      <c r="T21" s="2" t="e">
        <f ca="1">SUM(_xll.ONESTOP.REPORTPLAYER.OSRFUNCTIONS.OSRREF(T22))</f>
        <v>#NAME?</v>
      </c>
      <c r="U21" s="2"/>
      <c r="V21" s="6" t="e">
        <f ca="1">IF(T$12=0,0,T21/T$12)</f>
        <v>#NAME?</v>
      </c>
      <c r="W21" s="2"/>
      <c r="X21" s="2" t="e">
        <f ca="1">+P21-T21</f>
        <v>#NAME?</v>
      </c>
      <c r="Y21" s="2"/>
      <c r="Z21" s="6" t="e">
        <f ca="1">IF(T21=0,0,X21/T21)</f>
        <v>#NAME?</v>
      </c>
    </row>
    <row r="22" spans="1:26" s="70" customFormat="1" ht="15" hidden="1" customHeight="1" outlineLevel="2" x14ac:dyDescent="0.3">
      <c r="A22" s="26"/>
      <c r="B22" s="12" t="e">
        <f ca="1">CONCATENATE("          ",_xll.ONESTOP.REPORTPLAYER.OSRFUNCTIONS.OSRGET("d_Account","Code")," - ",_xll.ONESTOP.REPORTPLAYER.OSRFUNCTIONS.OSRGET("d_Account","Description"))</f>
        <v>#NAME?</v>
      </c>
      <c r="C22" s="12"/>
      <c r="D22" s="7" t="e">
        <f ca="1">_xll.ONESTOP.REPORTPLAYER.OSRFUNCTIONS.OSRGET("GL_F_Trans","Value1")</f>
        <v>#NAME?</v>
      </c>
      <c r="E22" s="3"/>
      <c r="F22" s="8" t="e">
        <f ca="1">IF(D$12=0,0,D22/D$12)</f>
        <v>#NAME?</v>
      </c>
      <c r="G22" s="3"/>
      <c r="H22" s="7" t="e">
        <f ca="1">_xll.ONESTOP.REPORTPLAYER.OSRFUNCTIONS.OSRGET("GL_F_Trans","Value1")</f>
        <v>#NAME?</v>
      </c>
      <c r="I22" s="3"/>
      <c r="J22" s="8" t="e">
        <f ca="1">IF(H$12=0,0,H22/H$12)</f>
        <v>#NAME?</v>
      </c>
      <c r="K22" s="3"/>
      <c r="L22" s="7" t="e">
        <f ca="1">+D22-H22</f>
        <v>#NAME?</v>
      </c>
      <c r="M22" s="3"/>
      <c r="N22" s="8" t="e">
        <f ca="1">IF(H22=0,0,L22/H22)</f>
        <v>#NAME?</v>
      </c>
      <c r="O22" s="12"/>
      <c r="P22" s="7" t="e">
        <f ca="1">_xll.ONESTOP.REPORTPLAYER.OSRFUNCTIONS.OSRGET("GL_F_Trans","Value1")</f>
        <v>#NAME?</v>
      </c>
      <c r="Q22" s="3"/>
      <c r="R22" s="8" t="e">
        <f ca="1">IF(P$12=0,0,P22/P$12)</f>
        <v>#NAME?</v>
      </c>
      <c r="S22" s="3"/>
      <c r="T22" s="7" t="e">
        <f ca="1">_xll.ONESTOP.REPORTPLAYER.OSRFUNCTIONS.OSRGET("GL_F_Trans","Value1")</f>
        <v>#NAME?</v>
      </c>
      <c r="U22" s="3"/>
      <c r="V22" s="8" t="e">
        <f ca="1">IF(T$12=0,0,T22/T$12)</f>
        <v>#NAME?</v>
      </c>
      <c r="W22" s="3"/>
      <c r="X22" s="7" t="e">
        <f ca="1">+P22-T22</f>
        <v>#NAME?</v>
      </c>
      <c r="Y22" s="3"/>
      <c r="Z22" s="8" t="e">
        <f ca="1">IF(T22=0,0,X22/T22)</f>
        <v>#NAME?</v>
      </c>
    </row>
    <row r="23" spans="1:26" s="65" customFormat="1" ht="15" customHeight="1" x14ac:dyDescent="0.3">
      <c r="A23" s="35"/>
      <c r="B23" s="35"/>
      <c r="C23" s="35"/>
      <c r="D23" s="2"/>
      <c r="E23" s="2"/>
      <c r="F23" s="6"/>
      <c r="G23" s="2"/>
      <c r="H23" s="2"/>
      <c r="I23" s="2"/>
      <c r="J23" s="6"/>
      <c r="K23" s="2"/>
      <c r="L23" s="2"/>
      <c r="M23" s="2"/>
      <c r="N23" s="6"/>
      <c r="O23" s="35"/>
      <c r="P23" s="2"/>
      <c r="Q23" s="2"/>
      <c r="R23" s="6"/>
      <c r="S23" s="2"/>
      <c r="T23" s="2"/>
      <c r="U23" s="2"/>
      <c r="V23" s="6"/>
      <c r="W23" s="2"/>
      <c r="X23" s="2"/>
      <c r="Y23" s="2"/>
      <c r="Z23" s="6"/>
    </row>
    <row r="24" spans="1:26" s="63" customFormat="1" ht="15" customHeight="1" collapsed="1" x14ac:dyDescent="0.3">
      <c r="A24" s="11"/>
      <c r="B24" s="28" t="s">
        <v>291</v>
      </c>
      <c r="C24" s="11"/>
      <c r="D24" s="5" t="e">
        <f ca="1">SUM(_xll.ONESTOP.REPORTPLAYER.OSRFUNCTIONS.OSRREF(D25))</f>
        <v>#NAME?</v>
      </c>
      <c r="E24" s="5"/>
      <c r="F24" s="13" t="e">
        <f ca="1">IF(D$12=0,0,D24/D$12)</f>
        <v>#NAME?</v>
      </c>
      <c r="G24" s="5"/>
      <c r="H24" s="5" t="e">
        <f ca="1">SUM(_xll.ONESTOP.REPORTPLAYER.OSRFUNCTIONS.OSRREF(H25))</f>
        <v>#NAME?</v>
      </c>
      <c r="I24" s="5"/>
      <c r="J24" s="13" t="e">
        <f ca="1">IF(H$12=0,0,H24/H$12)</f>
        <v>#NAME?</v>
      </c>
      <c r="K24" s="5"/>
      <c r="L24" s="5" t="e">
        <f ca="1">+D24-H24</f>
        <v>#NAME?</v>
      </c>
      <c r="M24" s="5"/>
      <c r="N24" s="13" t="e">
        <f ca="1">IF(H24=0,0,L24/H24)</f>
        <v>#NAME?</v>
      </c>
      <c r="O24" s="11"/>
      <c r="P24" s="5" t="e">
        <f ca="1">SUM(_xll.ONESTOP.REPORTPLAYER.OSRFUNCTIONS.OSRREF(P25))</f>
        <v>#NAME?</v>
      </c>
      <c r="Q24" s="5"/>
      <c r="R24" s="13" t="e">
        <f ca="1">IF(P$12=0,0,P24/P$12)</f>
        <v>#NAME?</v>
      </c>
      <c r="S24" s="5"/>
      <c r="T24" s="5" t="e">
        <f ca="1">SUM(_xll.ONESTOP.REPORTPLAYER.OSRFUNCTIONS.OSRREF(T25))</f>
        <v>#NAME?</v>
      </c>
      <c r="U24" s="5"/>
      <c r="V24" s="13" t="e">
        <f ca="1">IF(T$12=0,0,T24/T$12)</f>
        <v>#NAME?</v>
      </c>
      <c r="W24" s="5"/>
      <c r="X24" s="5" t="e">
        <f ca="1">+P24-T24</f>
        <v>#NAME?</v>
      </c>
      <c r="Y24" s="5"/>
      <c r="Z24" s="13" t="e">
        <f ca="1">IF(T24=0,0,X24/T24)</f>
        <v>#NAME?</v>
      </c>
    </row>
    <row r="25" spans="1:26" s="70" customFormat="1" ht="15" hidden="1" customHeight="1" outlineLevel="1" x14ac:dyDescent="0.3">
      <c r="A25" s="42"/>
      <c r="B25" s="12" t="e">
        <f ca="1">CONCATENATE("          ",_xll.ONESTOP.REPORTPLAYER.OSRFUNCTIONS.OSRGET("d_Account","Code")," - ",_xll.ONESTOP.REPORTPLAYER.OSRFUNCTIONS.OSRGET("d_Account","Description"))</f>
        <v>#NAME?</v>
      </c>
      <c r="C25" s="12"/>
      <c r="D25" s="3" t="e">
        <f ca="1">-_xll.ONESTOP.REPORTPLAYER.OSRFUNCTIONS.OSRGET("GL_F_Trans","Value1")</f>
        <v>#NAME?</v>
      </c>
      <c r="E25" s="3"/>
      <c r="F25" s="20" t="e">
        <f ca="1">IF(D$12=0,0,D25/D$12)</f>
        <v>#NAME?</v>
      </c>
      <c r="G25" s="3"/>
      <c r="H25" s="3" t="e">
        <f ca="1">_xll.ONESTOP.REPORTPLAYER.OSRFUNCTIONS.OSRGET("GL_F_Trans","Value1")</f>
        <v>#NAME?</v>
      </c>
      <c r="I25" s="3"/>
      <c r="J25" s="20" t="e">
        <f ca="1">IF(H$12=0,0,H25/H$12)</f>
        <v>#NAME?</v>
      </c>
      <c r="K25" s="3"/>
      <c r="L25" s="3" t="e">
        <f ca="1">+D25-H25</f>
        <v>#NAME?</v>
      </c>
      <c r="M25" s="3"/>
      <c r="N25" s="20" t="e">
        <f ca="1">IF(H25=0,0,L25/H25)</f>
        <v>#NAME?</v>
      </c>
      <c r="O25" s="12"/>
      <c r="P25" s="3" t="e">
        <f ca="1">-_xll.ONESTOP.REPORTPLAYER.OSRFUNCTIONS.OSRGET("GL_F_Trans","Value1")</f>
        <v>#NAME?</v>
      </c>
      <c r="Q25" s="3"/>
      <c r="R25" s="20" t="e">
        <f ca="1">IF(P$12=0,0,P25/P$12)</f>
        <v>#NAME?</v>
      </c>
      <c r="S25" s="3"/>
      <c r="T25" s="3" t="e">
        <f ca="1">_xll.ONESTOP.REPORTPLAYER.OSRFUNCTIONS.OSRGET("GL_F_Trans","Value1")</f>
        <v>#NAME?</v>
      </c>
      <c r="U25" s="3"/>
      <c r="V25" s="20" t="e">
        <f ca="1">IF(T$12=0,0,T25/T$12)</f>
        <v>#NAME?</v>
      </c>
      <c r="W25" s="3"/>
      <c r="X25" s="3" t="e">
        <f ca="1">+P25-T25</f>
        <v>#NAME?</v>
      </c>
      <c r="Y25" s="3"/>
      <c r="Z25" s="20" t="e">
        <f ca="1">IF(T25=0,0,X25/T25)</f>
        <v>#NAME?</v>
      </c>
    </row>
    <row r="26" spans="1:26" ht="15" customHeight="1" x14ac:dyDescent="0.3">
      <c r="A26" s="10"/>
      <c r="B26" s="11"/>
      <c r="C26" s="11"/>
      <c r="D26" s="4"/>
      <c r="E26" s="4"/>
      <c r="F26" s="9"/>
      <c r="G26" s="4"/>
      <c r="H26" s="4"/>
      <c r="I26" s="4"/>
      <c r="J26" s="9"/>
      <c r="K26" s="4"/>
      <c r="L26" s="4"/>
      <c r="M26" s="4"/>
      <c r="N26" s="9"/>
      <c r="O26" s="11"/>
      <c r="P26" s="4"/>
      <c r="Q26" s="4"/>
      <c r="R26" s="9"/>
      <c r="S26" s="4"/>
      <c r="T26" s="4"/>
      <c r="U26" s="4"/>
      <c r="V26" s="9"/>
      <c r="W26" s="4"/>
      <c r="X26" s="4"/>
      <c r="Y26" s="4"/>
      <c r="Z26" s="9"/>
    </row>
    <row r="27" spans="1:26" s="63" customFormat="1" ht="15" customHeight="1" x14ac:dyDescent="0.3">
      <c r="A27" s="11"/>
      <c r="B27" s="27" t="s">
        <v>292</v>
      </c>
      <c r="C27" s="27"/>
      <c r="D27" s="21" t="e">
        <f ca="1">+D18-D20+D24</f>
        <v>#NAME?</v>
      </c>
      <c r="E27" s="15"/>
      <c r="F27" s="23" t="e">
        <f ca="1">IF(D$12=0,0,D27/D$12)</f>
        <v>#NAME?</v>
      </c>
      <c r="G27" s="15"/>
      <c r="H27" s="21" t="e">
        <f ca="1">+H18-H20+H24</f>
        <v>#NAME?</v>
      </c>
      <c r="I27" s="15"/>
      <c r="J27" s="23" t="e">
        <f ca="1">IF(H$12=0,0,H27/H$12)</f>
        <v>#NAME?</v>
      </c>
      <c r="K27" s="16"/>
      <c r="L27" s="21" t="e">
        <f ca="1">+D27-H27</f>
        <v>#NAME?</v>
      </c>
      <c r="M27" s="16"/>
      <c r="N27" s="23" t="e">
        <f ca="1">IF(H27=0,0,L27/H27)</f>
        <v>#NAME?</v>
      </c>
      <c r="O27" s="28"/>
      <c r="P27" s="21" t="e">
        <f ca="1">+P18-P20+P24</f>
        <v>#NAME?</v>
      </c>
      <c r="Q27" s="15"/>
      <c r="R27" s="23" t="e">
        <f ca="1">IF(P$12=0,0,P27/P$12)</f>
        <v>#NAME?</v>
      </c>
      <c r="S27" s="15"/>
      <c r="T27" s="21" t="e">
        <f ca="1">+T18-T20+T24</f>
        <v>#NAME?</v>
      </c>
      <c r="U27" s="15"/>
      <c r="V27" s="23" t="e">
        <f ca="1">IF(T$12=0,0,T27/T$12)</f>
        <v>#NAME?</v>
      </c>
      <c r="W27" s="16"/>
      <c r="X27" s="21" t="e">
        <f ca="1">+P27-T27</f>
        <v>#NAME?</v>
      </c>
      <c r="Y27" s="16"/>
      <c r="Z27" s="23" t="e">
        <f ca="1">IF(T27=0,0,X27/T27)</f>
        <v>#NAME?</v>
      </c>
    </row>
    <row r="28" spans="1:26" ht="15" customHeight="1" x14ac:dyDescent="0.3">
      <c r="A28" s="10"/>
      <c r="B28" s="11"/>
      <c r="C28" s="10"/>
      <c r="D28" s="4"/>
      <c r="E28" s="4"/>
      <c r="F28" s="9"/>
      <c r="G28" s="4"/>
      <c r="H28" s="4"/>
      <c r="I28" s="4"/>
      <c r="J28" s="9"/>
      <c r="K28" s="4"/>
      <c r="L28" s="4"/>
      <c r="M28" s="4"/>
      <c r="N28" s="9"/>
      <c r="P28" s="4"/>
      <c r="Q28" s="4"/>
      <c r="R28" s="9"/>
      <c r="S28" s="4"/>
      <c r="T28" s="4"/>
      <c r="U28" s="4"/>
      <c r="V28" s="9"/>
      <c r="W28" s="4"/>
      <c r="X28" s="4"/>
      <c r="Y28" s="4"/>
      <c r="Z28" s="9"/>
    </row>
    <row r="29" spans="1:26" s="63" customFormat="1" ht="15" customHeight="1" x14ac:dyDescent="0.3">
      <c r="A29" s="49"/>
      <c r="B29" s="11" t="s">
        <v>293</v>
      </c>
      <c r="C29" s="11"/>
      <c r="D29" s="5" t="e">
        <f ca="1">_xll.ONESTOP.REPORTPLAYER.OSRFUNCTIONS.OSRGET("GL_F_Trans","Value1")</f>
        <v>#NAME?</v>
      </c>
      <c r="E29" s="5"/>
      <c r="F29" s="13" t="e">
        <f ca="1">IF(D$12=0,0,D29/D$12)</f>
        <v>#NAME?</v>
      </c>
      <c r="G29" s="5"/>
      <c r="H29" s="5" t="e">
        <f ca="1">_xll.ONESTOP.REPORTPLAYER.OSRFUNCTIONS.OSRGET("GL_F_Trans","Value1")</f>
        <v>#NAME?</v>
      </c>
      <c r="I29" s="5"/>
      <c r="J29" s="13" t="e">
        <f ca="1">IF(H$12=0,0,H29/H$12)</f>
        <v>#NAME?</v>
      </c>
      <c r="K29" s="5"/>
      <c r="L29" s="5" t="e">
        <f ca="1">+D29-H29</f>
        <v>#NAME?</v>
      </c>
      <c r="M29" s="5"/>
      <c r="N29" s="13" t="e">
        <f ca="1">IF(H29=0,0,L29/H29)</f>
        <v>#NAME?</v>
      </c>
      <c r="O29" s="11"/>
      <c r="P29" s="5" t="e">
        <f ca="1">_xll.ONESTOP.REPORTPLAYER.OSRFUNCTIONS.OSRGET("GL_F_Trans","Value1")</f>
        <v>#NAME?</v>
      </c>
      <c r="Q29" s="5"/>
      <c r="R29" s="13" t="e">
        <f ca="1">IF(P$12=0,0,P29/P$12)</f>
        <v>#NAME?</v>
      </c>
      <c r="S29" s="5"/>
      <c r="T29" s="5" t="e">
        <f ca="1">_xll.ONESTOP.REPORTPLAYER.OSRFUNCTIONS.OSRGET("GL_F_Trans","Value1")</f>
        <v>#NAME?</v>
      </c>
      <c r="U29" s="5"/>
      <c r="V29" s="13" t="e">
        <f ca="1">IF(T$12=0,0,T29/T$12)</f>
        <v>#NAME?</v>
      </c>
      <c r="W29" s="5"/>
      <c r="X29" s="5" t="e">
        <f ca="1">+P29-T29</f>
        <v>#NAME?</v>
      </c>
      <c r="Y29" s="5"/>
      <c r="Z29" s="13" t="e">
        <f ca="1">IF(T29=0,0,X29/T29)</f>
        <v>#NAME?</v>
      </c>
    </row>
    <row r="30" spans="1:26" ht="15" customHeight="1" x14ac:dyDescent="0.3">
      <c r="A30" s="10"/>
      <c r="B30" s="11"/>
      <c r="C30" s="11"/>
      <c r="D30" s="4"/>
      <c r="E30" s="4"/>
      <c r="F30" s="9"/>
      <c r="G30" s="4"/>
      <c r="H30" s="4"/>
      <c r="I30" s="4"/>
      <c r="J30" s="9"/>
      <c r="K30" s="4"/>
      <c r="L30" s="4"/>
      <c r="M30" s="4"/>
      <c r="N30" s="9"/>
      <c r="O30" s="11"/>
      <c r="P30" s="4"/>
      <c r="Q30" s="4"/>
      <c r="R30" s="9"/>
      <c r="S30" s="4"/>
      <c r="T30" s="4"/>
      <c r="U30" s="4"/>
      <c r="V30" s="9"/>
      <c r="W30" s="4"/>
      <c r="X30" s="4"/>
      <c r="Y30" s="4"/>
      <c r="Z30" s="9"/>
    </row>
    <row r="31" spans="1:26" s="63" customFormat="1" ht="15" customHeight="1" x14ac:dyDescent="0.3">
      <c r="A31" s="11"/>
      <c r="B31" s="27" t="s">
        <v>294</v>
      </c>
      <c r="C31" s="27"/>
      <c r="D31" s="34" t="e">
        <f ca="1">+D27-D29</f>
        <v>#NAME?</v>
      </c>
      <c r="E31" s="15"/>
      <c r="F31" s="29" t="e">
        <f ca="1">IF(D$12=0,0,D31/D$12)</f>
        <v>#NAME?</v>
      </c>
      <c r="G31" s="15"/>
      <c r="H31" s="34" t="e">
        <f ca="1">+H27-H29</f>
        <v>#NAME?</v>
      </c>
      <c r="I31" s="15"/>
      <c r="J31" s="29" t="e">
        <f ca="1">IF(H$12=0,0,H31/H$12)</f>
        <v>#NAME?</v>
      </c>
      <c r="K31" s="16"/>
      <c r="L31" s="34" t="e">
        <f ca="1">D31-H31</f>
        <v>#NAME?</v>
      </c>
      <c r="M31" s="16"/>
      <c r="N31" s="29" t="e">
        <f ca="1">IF(H31=0,0,L31/H31)</f>
        <v>#NAME?</v>
      </c>
      <c r="O31" s="28"/>
      <c r="P31" s="34" t="e">
        <f ca="1">+P27-P29</f>
        <v>#NAME?</v>
      </c>
      <c r="Q31" s="15"/>
      <c r="R31" s="29" t="e">
        <f ca="1">IF(P$12=0,0,P31/P$12)</f>
        <v>#NAME?</v>
      </c>
      <c r="S31" s="15"/>
      <c r="T31" s="34" t="e">
        <f ca="1">+T27-T29</f>
        <v>#NAME?</v>
      </c>
      <c r="U31" s="15"/>
      <c r="V31" s="29" t="e">
        <f ca="1">IF(T$12=0,0,T31/T$12)</f>
        <v>#NAME?</v>
      </c>
      <c r="W31" s="16"/>
      <c r="X31" s="34" t="e">
        <f ca="1">P31-T31</f>
        <v>#NAME?</v>
      </c>
      <c r="Y31" s="16"/>
      <c r="Z31" s="29" t="e">
        <f ca="1">IF(T31=0,0,X31/T31)</f>
        <v>#NAME?</v>
      </c>
    </row>
    <row r="32" spans="1:26" ht="15" customHeight="1" x14ac:dyDescent="0.3">
      <c r="A32" s="10"/>
      <c r="B32" s="10"/>
      <c r="C32" s="10"/>
      <c r="D32" s="4"/>
      <c r="E32" s="4"/>
      <c r="F32" s="9"/>
      <c r="G32" s="4"/>
      <c r="H32" s="4"/>
      <c r="I32" s="4"/>
      <c r="J32" s="9"/>
      <c r="K32" s="4"/>
      <c r="L32" s="4"/>
      <c r="M32" s="4"/>
      <c r="N32" s="9"/>
      <c r="P32" s="4"/>
      <c r="Q32" s="4"/>
      <c r="R32" s="9"/>
      <c r="S32" s="4"/>
      <c r="T32" s="4"/>
      <c r="U32" s="4"/>
      <c r="V32" s="9"/>
      <c r="W32" s="4"/>
      <c r="X32" s="4"/>
      <c r="Y32" s="4"/>
      <c r="Z32" s="9"/>
    </row>
    <row r="33" spans="1:26" s="63" customFormat="1" ht="15" customHeight="1" x14ac:dyDescent="0.3">
      <c r="A33" s="49"/>
      <c r="B33" s="11" t="s">
        <v>295</v>
      </c>
      <c r="C33" s="11"/>
      <c r="D33" s="5" t="e">
        <f ca="1">-_xll.ONESTOP.REPORTPLAYER.OSRFUNCTIONS.OSRGET("GL_F_Trans","Value1")</f>
        <v>#NAME?</v>
      </c>
      <c r="E33" s="5"/>
      <c r="F33" s="13" t="e">
        <f ca="1">IF(D$12=0,0,D33/D$12)</f>
        <v>#NAME?</v>
      </c>
      <c r="G33" s="5"/>
      <c r="H33" s="5" t="e">
        <f ca="1">-_xll.ONESTOP.REPORTPLAYER.OSRFUNCTIONS.OSRGET("GL_F_Trans","Value1")</f>
        <v>#NAME?</v>
      </c>
      <c r="I33" s="5"/>
      <c r="J33" s="13" t="e">
        <f ca="1">IF(H$12=0,0,H33/H$12)</f>
        <v>#NAME?</v>
      </c>
      <c r="K33" s="5"/>
      <c r="L33" s="5" t="e">
        <f ca="1">+D33-H33</f>
        <v>#NAME?</v>
      </c>
      <c r="M33" s="5"/>
      <c r="N33" s="13" t="e">
        <f ca="1">IF(H33=0,0,L33/H33)</f>
        <v>#NAME?</v>
      </c>
      <c r="O33" s="11"/>
      <c r="P33" s="5" t="e">
        <f ca="1">-_xll.ONESTOP.REPORTPLAYER.OSRFUNCTIONS.OSRGET("GL_F_Trans","Value1")</f>
        <v>#NAME?</v>
      </c>
      <c r="Q33" s="5"/>
      <c r="R33" s="13" t="e">
        <f ca="1">IF(P$12=0,0,P33/P$12)</f>
        <v>#NAME?</v>
      </c>
      <c r="S33" s="5"/>
      <c r="T33" s="5" t="e">
        <f ca="1">-_xll.ONESTOP.REPORTPLAYER.OSRFUNCTIONS.OSRGET("GL_F_Trans","Value1")</f>
        <v>#NAME?</v>
      </c>
      <c r="U33" s="5"/>
      <c r="V33" s="13" t="e">
        <f ca="1">IF(T$12=0,0,T33/T$12)</f>
        <v>#NAME?</v>
      </c>
      <c r="W33" s="5"/>
      <c r="X33" s="5" t="e">
        <f ca="1">+P33-T33</f>
        <v>#NAME?</v>
      </c>
      <c r="Y33" s="5"/>
      <c r="Z33" s="13" t="e">
        <f ca="1">IF(T33=0,0,X33/T33)</f>
        <v>#NAME?</v>
      </c>
    </row>
    <row r="34" spans="1:26" s="63" customFormat="1" ht="15" customHeight="1" x14ac:dyDescent="0.3">
      <c r="A34" s="49"/>
      <c r="B34" s="11" t="s">
        <v>296</v>
      </c>
      <c r="C34" s="11"/>
      <c r="D34" s="5" t="e">
        <f ca="1">-_xll.ONESTOP.REPORTPLAYER.OSRFUNCTIONS.OSRGET("GL_F_Trans","Value1")</f>
        <v>#NAME?</v>
      </c>
      <c r="E34" s="5"/>
      <c r="F34" s="13" t="e">
        <f ca="1">IF(D$12=0,0,D34/D$12)</f>
        <v>#NAME?</v>
      </c>
      <c r="G34" s="5"/>
      <c r="H34" s="5" t="e">
        <f ca="1">-_xll.ONESTOP.REPORTPLAYER.OSRFUNCTIONS.OSRGET("GL_F_Trans","Value1")</f>
        <v>#NAME?</v>
      </c>
      <c r="I34" s="5"/>
      <c r="J34" s="13" t="e">
        <f ca="1">IF(H$12=0,0,H34/H$12)</f>
        <v>#NAME?</v>
      </c>
      <c r="K34" s="5"/>
      <c r="L34" s="5" t="e">
        <f ca="1">+D34-H34</f>
        <v>#NAME?</v>
      </c>
      <c r="M34" s="5"/>
      <c r="N34" s="13" t="e">
        <f ca="1">IF(H34=0,0,L34/H34)</f>
        <v>#NAME?</v>
      </c>
      <c r="O34" s="11"/>
      <c r="P34" s="5" t="e">
        <f ca="1">-_xll.ONESTOP.REPORTPLAYER.OSRFUNCTIONS.OSRGET("GL_F_Trans","Value1")</f>
        <v>#NAME?</v>
      </c>
      <c r="Q34" s="5"/>
      <c r="R34" s="13" t="e">
        <f ca="1">IF(P$12=0,0,P34/P$12)</f>
        <v>#NAME?</v>
      </c>
      <c r="S34" s="5"/>
      <c r="T34" s="5" t="e">
        <f ca="1">-_xll.ONESTOP.REPORTPLAYER.OSRFUNCTIONS.OSRGET("GL_F_Trans","Value1")</f>
        <v>#NAME?</v>
      </c>
      <c r="U34" s="5"/>
      <c r="V34" s="13" t="e">
        <f ca="1">IF(T$12=0,0,T34/T$12)</f>
        <v>#NAME?</v>
      </c>
      <c r="W34" s="5"/>
      <c r="X34" s="5" t="e">
        <f ca="1">+P34-T34</f>
        <v>#NAME?</v>
      </c>
      <c r="Y34" s="5"/>
      <c r="Z34" s="13" t="e">
        <f ca="1">IF(T34=0,0,X34/T34)</f>
        <v>#NAME?</v>
      </c>
    </row>
    <row r="35" spans="1:26" ht="15" customHeight="1" x14ac:dyDescent="0.3">
      <c r="A35" s="10"/>
      <c r="B35" s="10"/>
      <c r="C35" s="10"/>
      <c r="D35" s="4"/>
      <c r="E35" s="4"/>
      <c r="F35" s="9"/>
      <c r="G35" s="4"/>
      <c r="H35" s="4"/>
      <c r="I35" s="4"/>
      <c r="J35" s="9"/>
      <c r="K35" s="4"/>
      <c r="L35" s="4"/>
      <c r="M35" s="4"/>
      <c r="N35" s="9"/>
      <c r="P35" s="4"/>
      <c r="Q35" s="4"/>
      <c r="R35" s="9"/>
      <c r="S35" s="4"/>
      <c r="T35" s="4"/>
      <c r="U35" s="4"/>
      <c r="V35" s="9"/>
      <c r="W35" s="4"/>
      <c r="X35" s="4"/>
      <c r="Y35" s="4"/>
      <c r="Z35" s="9"/>
    </row>
    <row r="36" spans="1:26" s="63" customFormat="1" ht="15" customHeight="1" x14ac:dyDescent="0.3">
      <c r="A36" s="11"/>
      <c r="B36" s="27" t="s">
        <v>297</v>
      </c>
      <c r="C36" s="27"/>
      <c r="D36" s="32" t="e">
        <f ca="1">SUM(D31:D35)</f>
        <v>#NAME?</v>
      </c>
      <c r="E36" s="15"/>
      <c r="F36" s="31" t="e">
        <f ca="1">IF(D$12=0,0,D36/D$12)</f>
        <v>#NAME?</v>
      </c>
      <c r="G36" s="15"/>
      <c r="H36" s="32" t="e">
        <f ca="1">SUM(H31:H35)</f>
        <v>#NAME?</v>
      </c>
      <c r="I36" s="15"/>
      <c r="J36" s="31" t="e">
        <f ca="1">IF(H$12=0,0,H36/H$12)</f>
        <v>#NAME?</v>
      </c>
      <c r="K36" s="16"/>
      <c r="L36" s="32" t="e">
        <f ca="1">+D36-H36</f>
        <v>#NAME?</v>
      </c>
      <c r="M36" s="16"/>
      <c r="N36" s="31" t="e">
        <f ca="1">IF(H36=0,0,L36/H36)</f>
        <v>#NAME?</v>
      </c>
      <c r="O36" s="28"/>
      <c r="P36" s="32" t="e">
        <f ca="1">SUM(P31:P35)</f>
        <v>#NAME?</v>
      </c>
      <c r="Q36" s="15"/>
      <c r="R36" s="31" t="e">
        <f ca="1">IF(P$12=0,0,P36/P$12)</f>
        <v>#NAME?</v>
      </c>
      <c r="S36" s="15"/>
      <c r="T36" s="32" t="e">
        <f ca="1">SUM(T31:T35)</f>
        <v>#NAME?</v>
      </c>
      <c r="U36" s="15"/>
      <c r="V36" s="31" t="e">
        <f ca="1">IF(T$12=0,0,T36/T$12)</f>
        <v>#NAME?</v>
      </c>
      <c r="W36" s="16"/>
      <c r="X36" s="32" t="e">
        <f ca="1">+P36-T36</f>
        <v>#NAME?</v>
      </c>
      <c r="Y36" s="16"/>
      <c r="Z36" s="31" t="e">
        <f ca="1">IF(T36=0,0,X36/T36)</f>
        <v>#NAME?</v>
      </c>
    </row>
    <row r="37" spans="1:26" ht="15" customHeight="1" x14ac:dyDescent="0.3">
      <c r="A37" s="10"/>
      <c r="C37" s="10"/>
      <c r="D37" s="19"/>
      <c r="E37" s="19"/>
      <c r="G37" s="19"/>
      <c r="H37" s="19"/>
      <c r="I37" s="19"/>
      <c r="J37" s="40"/>
      <c r="K37" s="19"/>
      <c r="L37" s="19"/>
      <c r="M37" s="19"/>
      <c r="P37" s="19"/>
      <c r="Q37" s="19"/>
      <c r="R37" s="40"/>
      <c r="S37" s="19"/>
      <c r="T37" s="19"/>
      <c r="U37" s="19"/>
      <c r="V37" s="40"/>
      <c r="W37" s="19"/>
      <c r="X37" s="19"/>
    </row>
    <row r="38" spans="1:26" ht="15" customHeight="1" x14ac:dyDescent="0.3">
      <c r="A38" s="10"/>
      <c r="B38" s="51" t="e">
        <f ca="1">_xll.ONESTOP.REPORTPLAYER.OSRFUNCTIONS.OSRGET("CurrentDate","Date")</f>
        <v>#NAME?</v>
      </c>
      <c r="D38" s="19"/>
      <c r="E38" s="19"/>
      <c r="G38" s="19"/>
      <c r="H38" s="19"/>
      <c r="I38" s="19"/>
      <c r="J38" s="40"/>
      <c r="K38" s="19"/>
      <c r="L38" s="19"/>
      <c r="M38" s="19"/>
      <c r="P38" s="19"/>
      <c r="Q38" s="19"/>
      <c r="R38" s="40"/>
      <c r="S38" s="19"/>
      <c r="T38" s="19"/>
      <c r="U38" s="19"/>
      <c r="V38" s="40"/>
      <c r="W38" s="19"/>
      <c r="X38" s="19"/>
    </row>
    <row r="39" spans="1:26" ht="15" customHeight="1" x14ac:dyDescent="0.3">
      <c r="A39" s="10"/>
      <c r="B39" s="58" t="e">
        <f ca="1">_xll.ONESTOP.REPORTPLAYER.OSRFUNCTIONS.OSRGET("User","UserId")</f>
        <v>#NAME?</v>
      </c>
      <c r="D39" s="19"/>
      <c r="E39" s="19"/>
      <c r="G39" s="19"/>
      <c r="H39" s="19"/>
      <c r="I39" s="19"/>
      <c r="J39" s="40"/>
      <c r="K39" s="19"/>
      <c r="L39" s="19"/>
      <c r="M39" s="19"/>
      <c r="P39" s="19"/>
      <c r="Q39" s="19"/>
      <c r="R39" s="40"/>
      <c r="S39" s="19"/>
      <c r="T39" s="19"/>
      <c r="U39" s="19"/>
      <c r="V39" s="40"/>
      <c r="W39" s="19"/>
      <c r="X39" s="19"/>
    </row>
    <row r="40" spans="1:26" ht="15" customHeight="1" x14ac:dyDescent="0.3">
      <c r="A40" s="10"/>
      <c r="B40" s="50"/>
      <c r="D40" s="19"/>
      <c r="E40" s="19"/>
      <c r="G40" s="19"/>
      <c r="H40" s="19"/>
      <c r="I40" s="19"/>
      <c r="J40" s="40"/>
      <c r="K40" s="19"/>
      <c r="L40" s="19"/>
      <c r="M40" s="19"/>
      <c r="P40" s="19"/>
      <c r="Q40" s="19"/>
      <c r="R40" s="40"/>
      <c r="S40" s="19"/>
      <c r="T40" s="19"/>
      <c r="U40" s="19"/>
      <c r="V40" s="40"/>
      <c r="W40" s="19"/>
      <c r="X40" s="19"/>
    </row>
    <row r="41" spans="1:26" ht="15" customHeight="1" x14ac:dyDescent="0.3">
      <c r="D41" s="19"/>
      <c r="E41" s="19"/>
      <c r="G41" s="19"/>
      <c r="H41" s="19"/>
      <c r="I41" s="19"/>
      <c r="J41" s="40"/>
      <c r="K41" s="19"/>
      <c r="L41" s="19"/>
      <c r="M41" s="19"/>
      <c r="P41" s="19"/>
      <c r="Q41" s="19"/>
      <c r="R41" s="40"/>
      <c r="S41" s="19"/>
      <c r="T41" s="19"/>
      <c r="U41" s="19"/>
      <c r="V41" s="40"/>
      <c r="W41" s="19"/>
      <c r="X41" s="19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2FD0C3-66D3-911D-615E-F88B7A09ABAB}">
  <sheetPr>
    <tabColor rgb="FFFFC000"/>
    <outlinePr summaryBelow="0" summaryRight="0"/>
  </sheetPr>
  <dimension ref="A2:Z109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6" customWidth="1"/>
    <col min="2" max="2" width="33.44140625" style="66" customWidth="1"/>
    <col min="3" max="3" width="1.88671875" style="66" customWidth="1"/>
    <col min="4" max="4" width="15" style="66" customWidth="1"/>
    <col min="5" max="5" width="1.88671875" style="66" customWidth="1" outlineLevel="1"/>
    <col min="6" max="6" width="15" style="67" customWidth="1" outlineLevel="1"/>
    <col min="7" max="7" width="1.88671875" style="66" customWidth="1" outlineLevel="1"/>
    <col min="8" max="8" width="15" style="66" customWidth="1" outlineLevel="1"/>
    <col min="9" max="9" width="1.88671875" style="66" customWidth="1" outlineLevel="1"/>
    <col min="10" max="10" width="15" style="68" customWidth="1" outlineLevel="1"/>
    <col min="11" max="11" width="1.88671875" style="66" customWidth="1" outlineLevel="1"/>
    <col min="12" max="12" width="15" style="66" customWidth="1" outlineLevel="1"/>
    <col min="13" max="13" width="1.88671875" style="66" customWidth="1" outlineLevel="1"/>
    <col min="14" max="14" width="15" style="67" customWidth="1" outlineLevel="1"/>
    <col min="15" max="15" width="1.88671875" style="64" customWidth="1"/>
    <col min="16" max="16" width="15" style="66" customWidth="1"/>
    <col min="17" max="17" width="1.88671875" style="66" customWidth="1" outlineLevel="1"/>
    <col min="18" max="18" width="15" style="68" customWidth="1" outlineLevel="1"/>
    <col min="19" max="19" width="1.88671875" style="66" customWidth="1" outlineLevel="1"/>
    <col min="20" max="20" width="15" style="66" customWidth="1" outlineLevel="1"/>
    <col min="21" max="21" width="1.88671875" style="66" customWidth="1" outlineLevel="1"/>
    <col min="22" max="22" width="15" style="68" customWidth="1" outlineLevel="1"/>
    <col min="23" max="23" width="1.88671875" style="66" customWidth="1" outlineLevel="1"/>
    <col min="24" max="24" width="15" style="66" customWidth="1" outlineLevel="1"/>
    <col min="25" max="25" width="1.88671875" style="66" customWidth="1" outlineLevel="1"/>
    <col min="26" max="26" width="15" style="68" customWidth="1" outlineLevel="1"/>
  </cols>
  <sheetData>
    <row r="2" spans="1:26" ht="15" customHeight="1" x14ac:dyDescent="0.3">
      <c r="D2" s="54" t="s">
        <v>276</v>
      </c>
    </row>
    <row r="3" spans="1:26" ht="15" customHeight="1" x14ac:dyDescent="0.3">
      <c r="D3" s="54" t="s">
        <v>277</v>
      </c>
      <c r="E3" s="18"/>
      <c r="F3" s="44"/>
      <c r="G3" s="18"/>
      <c r="H3" s="18"/>
      <c r="I3" s="18"/>
      <c r="J3" s="38"/>
      <c r="K3" s="18"/>
      <c r="L3" s="18"/>
      <c r="M3" s="18"/>
      <c r="N3" s="44"/>
      <c r="O3" s="53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ht="15" customHeight="1" x14ac:dyDescent="0.3">
      <c r="D4" s="54" t="str">
        <f>CONCATENATE("Period ",RIGHT(202209,2),", ",2022)</f>
        <v>Period 09, 2022</v>
      </c>
      <c r="E4" s="18"/>
      <c r="F4" s="44"/>
      <c r="G4" s="18"/>
      <c r="H4" s="18"/>
      <c r="I4" s="18"/>
      <c r="J4" s="38"/>
      <c r="K4" s="18"/>
      <c r="L4" s="18"/>
      <c r="M4" s="18"/>
      <c r="N4" s="44"/>
      <c r="O4" s="53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ht="15" customHeight="1" x14ac:dyDescent="0.3">
      <c r="A5" s="24"/>
      <c r="D5" s="60">
        <v>44646</v>
      </c>
      <c r="E5" s="18"/>
      <c r="F5" s="44"/>
      <c r="G5" s="18"/>
      <c r="H5" s="18"/>
      <c r="I5" s="18"/>
      <c r="J5" s="38"/>
      <c r="K5" s="18"/>
      <c r="L5" s="18"/>
      <c r="M5" s="18"/>
      <c r="N5" s="44"/>
      <c r="O5" s="53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ht="15" customHeight="1" x14ac:dyDescent="0.3">
      <c r="A6" s="24"/>
      <c r="B6" s="47"/>
      <c r="C6" s="47"/>
      <c r="D6" s="24" t="s">
        <v>300</v>
      </c>
      <c r="E6" s="18"/>
      <c r="F6" s="44"/>
      <c r="G6" s="18"/>
      <c r="H6" s="18"/>
      <c r="I6" s="18"/>
      <c r="J6" s="38"/>
      <c r="K6" s="18"/>
      <c r="L6" s="18"/>
      <c r="M6" s="18"/>
      <c r="N6" s="44"/>
      <c r="O6" s="59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ht="15" customHeight="1" x14ac:dyDescent="0.3">
      <c r="B7" s="52"/>
    </row>
    <row r="8" spans="1:26" ht="15" customHeight="1" x14ac:dyDescent="0.3">
      <c r="B8" s="52"/>
    </row>
    <row r="9" spans="1:26" ht="15" customHeight="1" x14ac:dyDescent="0.3">
      <c r="B9" s="10"/>
      <c r="C9" s="10"/>
      <c r="D9" s="17" t="s">
        <v>279</v>
      </c>
      <c r="E9" s="17"/>
      <c r="F9" s="36"/>
      <c r="G9" s="17"/>
      <c r="H9" s="17"/>
      <c r="I9" s="17"/>
      <c r="J9" s="43"/>
      <c r="K9" s="17"/>
      <c r="L9" s="17"/>
      <c r="M9" s="17"/>
      <c r="N9" s="36"/>
      <c r="P9" s="17" t="s">
        <v>280</v>
      </c>
      <c r="Q9" s="17"/>
      <c r="R9" s="36"/>
      <c r="S9" s="17"/>
      <c r="T9" s="17"/>
      <c r="U9" s="17"/>
      <c r="V9" s="43"/>
      <c r="W9" s="17"/>
      <c r="X9" s="17"/>
      <c r="Y9" s="17"/>
      <c r="Z9" s="36"/>
    </row>
    <row r="10" spans="1:26" ht="15" customHeight="1" x14ac:dyDescent="0.3">
      <c r="A10" s="11"/>
      <c r="B10" s="57"/>
      <c r="C10" s="11"/>
      <c r="D10" s="41" t="s">
        <v>281</v>
      </c>
      <c r="E10" s="33"/>
      <c r="F10" s="37" t="s">
        <v>282</v>
      </c>
      <c r="G10" s="33"/>
      <c r="H10" s="48" t="s">
        <v>283</v>
      </c>
      <c r="I10" s="33"/>
      <c r="J10" s="45" t="s">
        <v>284</v>
      </c>
      <c r="K10" s="11"/>
      <c r="L10" s="41" t="s">
        <v>285</v>
      </c>
      <c r="M10" s="11"/>
      <c r="N10" s="37" t="s">
        <v>286</v>
      </c>
      <c r="O10" s="11"/>
      <c r="P10" s="56" t="s">
        <v>281</v>
      </c>
      <c r="Q10" s="33"/>
      <c r="R10" s="37" t="s">
        <v>282</v>
      </c>
      <c r="S10" s="33"/>
      <c r="T10" s="48" t="s">
        <v>283</v>
      </c>
      <c r="U10" s="33"/>
      <c r="V10" s="45" t="s">
        <v>284</v>
      </c>
      <c r="W10" s="11"/>
      <c r="X10" s="41" t="s">
        <v>285</v>
      </c>
      <c r="Y10" s="11"/>
      <c r="Z10" s="37" t="s">
        <v>286</v>
      </c>
    </row>
    <row r="11" spans="1:26" ht="16.5" customHeight="1" x14ac:dyDescent="0.3">
      <c r="A11" s="10"/>
      <c r="B11" s="55"/>
      <c r="C11" s="10"/>
      <c r="D11" s="10"/>
      <c r="E11" s="10"/>
      <c r="F11" s="9"/>
      <c r="G11" s="10"/>
      <c r="H11" s="10"/>
      <c r="I11" s="10"/>
      <c r="J11" s="46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6"/>
      <c r="W11" s="10"/>
      <c r="X11" s="10"/>
      <c r="Y11" s="10"/>
      <c r="Z11" s="9"/>
    </row>
    <row r="12" spans="1:26" s="63" customFormat="1" ht="15" customHeight="1" x14ac:dyDescent="0.3">
      <c r="A12" s="11"/>
      <c r="B12" s="28" t="s">
        <v>287</v>
      </c>
      <c r="C12" s="11"/>
      <c r="D12" s="5">
        <f>SUM(0)</f>
        <v>0</v>
      </c>
      <c r="E12" s="5"/>
      <c r="F12" s="13"/>
      <c r="G12" s="5"/>
      <c r="H12" s="5">
        <f>SUM(0)</f>
        <v>0</v>
      </c>
      <c r="I12" s="5"/>
      <c r="J12" s="13"/>
      <c r="K12" s="5"/>
      <c r="L12" s="5">
        <f>+D12-H12</f>
        <v>0</v>
      </c>
      <c r="M12" s="5"/>
      <c r="N12" s="13">
        <f>IF(H12=0,0,L12/H12)</f>
        <v>0</v>
      </c>
      <c r="O12" s="11"/>
      <c r="P12" s="5">
        <f>SUM(0)</f>
        <v>0</v>
      </c>
      <c r="Q12" s="5"/>
      <c r="R12" s="13"/>
      <c r="S12" s="5"/>
      <c r="T12" s="5">
        <f>SUM(0)</f>
        <v>0</v>
      </c>
      <c r="U12" s="5"/>
      <c r="V12" s="13"/>
      <c r="W12" s="5"/>
      <c r="X12" s="5">
        <f>+P12-T12</f>
        <v>0</v>
      </c>
      <c r="Y12" s="5"/>
      <c r="Z12" s="13">
        <f>IF(T12=0,0,X12/T12)</f>
        <v>0</v>
      </c>
    </row>
    <row r="13" spans="1:26" ht="15" customHeight="1" x14ac:dyDescent="0.3">
      <c r="A13" s="10"/>
      <c r="B13" s="11"/>
      <c r="C13" s="10"/>
      <c r="D13" s="4"/>
      <c r="E13" s="4"/>
      <c r="F13" s="9"/>
      <c r="G13" s="4"/>
      <c r="H13" s="4"/>
      <c r="I13" s="4"/>
      <c r="J13" s="9"/>
      <c r="K13" s="4"/>
      <c r="L13" s="4"/>
      <c r="M13" s="4"/>
      <c r="N13" s="9"/>
      <c r="P13" s="4"/>
      <c r="Q13" s="4"/>
      <c r="R13" s="9"/>
      <c r="S13" s="4"/>
      <c r="T13" s="4"/>
      <c r="U13" s="4"/>
      <c r="V13" s="9"/>
      <c r="W13" s="4"/>
      <c r="X13" s="4"/>
      <c r="Y13" s="4"/>
      <c r="Z13" s="9"/>
    </row>
    <row r="14" spans="1:26" s="63" customFormat="1" ht="15" customHeight="1" x14ac:dyDescent="0.3">
      <c r="A14" s="11"/>
      <c r="B14" s="28" t="s">
        <v>288</v>
      </c>
      <c r="C14" s="11"/>
      <c r="D14" s="5">
        <f>SUM(0)</f>
        <v>0</v>
      </c>
      <c r="E14" s="5"/>
      <c r="F14" s="13">
        <f>IF(D$12=0,0,D14/D$12)</f>
        <v>0</v>
      </c>
      <c r="G14" s="5"/>
      <c r="H14" s="5">
        <f>SUM(0)</f>
        <v>0</v>
      </c>
      <c r="I14" s="5"/>
      <c r="J14" s="13">
        <f>IF(H$12=0,0,H14/H$12)</f>
        <v>0</v>
      </c>
      <c r="K14" s="5"/>
      <c r="L14" s="5">
        <f>+D14-H14</f>
        <v>0</v>
      </c>
      <c r="M14" s="5"/>
      <c r="N14" s="13">
        <f>IF(H14=0,0,L14/H14)</f>
        <v>0</v>
      </c>
      <c r="O14" s="11"/>
      <c r="P14" s="5">
        <f>SUM(0)</f>
        <v>0</v>
      </c>
      <c r="Q14" s="5"/>
      <c r="R14" s="13">
        <f>IF(P$12=0,0,P14/P$12)</f>
        <v>0</v>
      </c>
      <c r="S14" s="5"/>
      <c r="T14" s="5">
        <f>SUM(0)</f>
        <v>0</v>
      </c>
      <c r="U14" s="5"/>
      <c r="V14" s="13">
        <f>IF(T$12=0,0,T14/T$12)</f>
        <v>0</v>
      </c>
      <c r="W14" s="5"/>
      <c r="X14" s="5">
        <f>+P14-T14</f>
        <v>0</v>
      </c>
      <c r="Y14" s="5"/>
      <c r="Z14" s="13">
        <f>IF(T14=0,0,X14/T14)</f>
        <v>0</v>
      </c>
    </row>
    <row r="15" spans="1:26" ht="15" customHeight="1" x14ac:dyDescent="0.3">
      <c r="A15" s="10"/>
      <c r="B15" s="11"/>
      <c r="C15" s="11"/>
      <c r="D15" s="4"/>
      <c r="E15" s="4"/>
      <c r="F15" s="9"/>
      <c r="G15" s="4"/>
      <c r="H15" s="4"/>
      <c r="I15" s="4"/>
      <c r="J15" s="9"/>
      <c r="K15" s="4"/>
      <c r="L15" s="4"/>
      <c r="M15" s="4"/>
      <c r="N15" s="9"/>
      <c r="O15" s="11"/>
      <c r="P15" s="4"/>
      <c r="Q15" s="4"/>
      <c r="R15" s="9"/>
      <c r="S15" s="4"/>
      <c r="T15" s="4"/>
      <c r="U15" s="4"/>
      <c r="V15" s="9"/>
      <c r="W15" s="4"/>
      <c r="X15" s="4"/>
      <c r="Y15" s="4"/>
      <c r="Z15" s="9"/>
    </row>
    <row r="16" spans="1:26" s="63" customFormat="1" ht="15" customHeight="1" x14ac:dyDescent="0.3">
      <c r="A16" s="11"/>
      <c r="B16" s="27" t="s">
        <v>289</v>
      </c>
      <c r="C16" s="27"/>
      <c r="D16" s="21">
        <f>D12-D14</f>
        <v>0</v>
      </c>
      <c r="E16" s="15"/>
      <c r="F16" s="23">
        <f>IF(D$12=0,0,D16/D$12)</f>
        <v>0</v>
      </c>
      <c r="G16" s="15"/>
      <c r="H16" s="21">
        <f>H12-H14</f>
        <v>0</v>
      </c>
      <c r="I16" s="15"/>
      <c r="J16" s="23">
        <f>IF(H$12=0,0,H16/H$12)</f>
        <v>0</v>
      </c>
      <c r="K16" s="16"/>
      <c r="L16" s="21">
        <f>+D16-H16</f>
        <v>0</v>
      </c>
      <c r="M16" s="16"/>
      <c r="N16" s="23">
        <f>IF(H16=0,0,L16/H16)</f>
        <v>0</v>
      </c>
      <c r="O16" s="28"/>
      <c r="P16" s="21">
        <f>P12-P14</f>
        <v>0</v>
      </c>
      <c r="Q16" s="15"/>
      <c r="R16" s="23">
        <f>IF(P$12=0,0,P16/P$12)</f>
        <v>0</v>
      </c>
      <c r="S16" s="15"/>
      <c r="T16" s="21">
        <f>T12-T14</f>
        <v>0</v>
      </c>
      <c r="U16" s="15"/>
      <c r="V16" s="23">
        <f>IF(T$12=0,0,T16/T$12)</f>
        <v>0</v>
      </c>
      <c r="W16" s="16"/>
      <c r="X16" s="21">
        <f>+P16-T16</f>
        <v>0</v>
      </c>
      <c r="Y16" s="16"/>
      <c r="Z16" s="23">
        <f>IF(T16=0,0,X16/T16)</f>
        <v>0</v>
      </c>
    </row>
    <row r="17" spans="1:26" ht="15" customHeight="1" x14ac:dyDescent="0.3">
      <c r="A17" s="10"/>
      <c r="B17" s="11"/>
      <c r="C17" s="10"/>
      <c r="D17" s="2"/>
      <c r="E17" s="2"/>
      <c r="F17" s="6"/>
      <c r="G17" s="2"/>
      <c r="H17" s="2"/>
      <c r="I17" s="2"/>
      <c r="J17" s="6"/>
      <c r="K17" s="2"/>
      <c r="L17" s="2"/>
      <c r="M17" s="2"/>
      <c r="N17" s="6"/>
      <c r="O17" s="35"/>
      <c r="P17" s="2"/>
      <c r="Q17" s="2"/>
      <c r="R17" s="6"/>
      <c r="S17" s="2"/>
      <c r="T17" s="2"/>
      <c r="U17" s="2"/>
      <c r="V17" s="6"/>
      <c r="W17" s="2"/>
      <c r="X17" s="2"/>
      <c r="Y17" s="2"/>
      <c r="Z17" s="6"/>
    </row>
    <row r="18" spans="1:26" s="63" customFormat="1" ht="15" customHeight="1" x14ac:dyDescent="0.3">
      <c r="A18" s="11"/>
      <c r="B18" s="28" t="s">
        <v>290</v>
      </c>
      <c r="C18" s="11"/>
      <c r="D18" s="22" cm="1">
        <f t="array" ref="D18">SUM(OSRRefD22x_0)</f>
        <v>256640.54000000004</v>
      </c>
      <c r="E18" s="22"/>
      <c r="F18" s="30">
        <f t="shared" ref="F18:F49" si="0">IF(D$12=0,0,D18/D$12)</f>
        <v>0</v>
      </c>
      <c r="G18" s="22"/>
      <c r="H18" s="22" cm="1">
        <f t="array" ref="H18">SUM(OSRRefH22x_0)</f>
        <v>243411.46615984</v>
      </c>
      <c r="I18" s="22"/>
      <c r="J18" s="30">
        <f t="shared" ref="J18:J49" si="1">IF(H$12=0,0,H18/H$12)</f>
        <v>0</v>
      </c>
      <c r="K18" s="5"/>
      <c r="L18" s="22">
        <f t="shared" ref="L18:L49" si="2">+D18-H18</f>
        <v>13229.073840160039</v>
      </c>
      <c r="M18" s="5"/>
      <c r="N18" s="30">
        <f t="shared" ref="N18:N49" si="3">IF(H18=0,0,L18/H18)</f>
        <v>5.4348605876573447E-2</v>
      </c>
      <c r="O18" s="11"/>
      <c r="P18" s="22" cm="1">
        <f t="array" ref="P18">SUM(OSRRefP22x_0)</f>
        <v>2209677.14</v>
      </c>
      <c r="Q18" s="22"/>
      <c r="R18" s="30">
        <f t="shared" ref="R18:R49" si="4">IF(P$12=0,0,P18/P$12)</f>
        <v>0</v>
      </c>
      <c r="S18" s="22"/>
      <c r="T18" s="22" cm="1">
        <f t="array" ref="T18">SUM(OSRRefT22x_0)</f>
        <v>2336602.3636069009</v>
      </c>
      <c r="U18" s="22"/>
      <c r="V18" s="30">
        <f t="shared" ref="V18:V49" si="5">IF(T$12=0,0,T18/T$12)</f>
        <v>0</v>
      </c>
      <c r="W18" s="5"/>
      <c r="X18" s="22">
        <f t="shared" ref="X18:X49" si="6">+P18-T18</f>
        <v>-126925.22360690078</v>
      </c>
      <c r="Y18" s="5"/>
      <c r="Z18" s="30">
        <f t="shared" ref="Z18:Z49" si="7">IF(T18=0,0,X18/T18)</f>
        <v>-5.4320420788658452E-2</v>
      </c>
    </row>
    <row r="19" spans="1:26" s="69" customFormat="1" ht="15" customHeight="1" outlineLevel="1" collapsed="1" x14ac:dyDescent="0.3">
      <c r="A19" s="25"/>
      <c r="B19" s="14" t="str">
        <f>CONCATENATE("     ","*Benefits                                         ")</f>
        <v xml:space="preserve">     *Benefits                                         </v>
      </c>
      <c r="C19" s="14"/>
      <c r="D19" s="2">
        <f>SUM(OSRRefD22_0x_0)</f>
        <v>78300.220000000016</v>
      </c>
      <c r="E19" s="2"/>
      <c r="F19" s="6">
        <f t="shared" si="0"/>
        <v>0</v>
      </c>
      <c r="G19" s="2"/>
      <c r="H19" s="2">
        <f>SUM(OSRRefH22_0x_0)</f>
        <v>82488.814245993897</v>
      </c>
      <c r="I19" s="2"/>
      <c r="J19" s="6">
        <f t="shared" si="1"/>
        <v>0</v>
      </c>
      <c r="K19" s="2"/>
      <c r="L19" s="2">
        <f t="shared" si="2"/>
        <v>-4188.5942459938815</v>
      </c>
      <c r="M19" s="2"/>
      <c r="N19" s="6">
        <f t="shared" si="3"/>
        <v>-5.0777724037866165E-2</v>
      </c>
      <c r="O19" s="14"/>
      <c r="P19" s="2">
        <f>SUM(OSRRefP22_0x_0)</f>
        <v>774215.75</v>
      </c>
      <c r="Q19" s="2"/>
      <c r="R19" s="6">
        <f t="shared" si="4"/>
        <v>0</v>
      </c>
      <c r="S19" s="2"/>
      <c r="T19" s="2">
        <f>SUM(OSRRefT22_0x_0)</f>
        <v>773661.88052382483</v>
      </c>
      <c r="U19" s="2"/>
      <c r="V19" s="6">
        <f t="shared" si="5"/>
        <v>0</v>
      </c>
      <c r="W19" s="2"/>
      <c r="X19" s="2">
        <f t="shared" si="6"/>
        <v>553.86947617516853</v>
      </c>
      <c r="Y19" s="2"/>
      <c r="Z19" s="6">
        <f t="shared" si="7"/>
        <v>7.159063799293808E-4</v>
      </c>
    </row>
    <row r="20" spans="1:26" s="70" customFormat="1" ht="15" hidden="1" customHeight="1" outlineLevel="2" x14ac:dyDescent="0.3">
      <c r="A20" s="26"/>
      <c r="B20" s="12" t="str">
        <f>CONCATENATE("          ","6111"," - ","F.I.C.A.")</f>
        <v xml:space="preserve">          6111 - F.I.C.A.</v>
      </c>
      <c r="C20" s="12"/>
      <c r="D20" s="7">
        <v>8137.27</v>
      </c>
      <c r="E20" s="3"/>
      <c r="F20" s="8">
        <f t="shared" si="0"/>
        <v>0</v>
      </c>
      <c r="G20" s="3"/>
      <c r="H20" s="7">
        <v>7184.3226505476896</v>
      </c>
      <c r="I20" s="3"/>
      <c r="J20" s="8">
        <f t="shared" si="1"/>
        <v>0</v>
      </c>
      <c r="K20" s="3"/>
      <c r="L20" s="7">
        <f t="shared" si="2"/>
        <v>952.94734945231085</v>
      </c>
      <c r="M20" s="3"/>
      <c r="N20" s="8">
        <f t="shared" si="3"/>
        <v>0.13264261584627798</v>
      </c>
      <c r="O20" s="12"/>
      <c r="P20" s="7">
        <v>73205.84</v>
      </c>
      <c r="Q20" s="3"/>
      <c r="R20" s="8">
        <f t="shared" si="4"/>
        <v>0</v>
      </c>
      <c r="S20" s="3"/>
      <c r="T20" s="7">
        <v>72898.094385147706</v>
      </c>
      <c r="U20" s="3"/>
      <c r="V20" s="8">
        <f t="shared" si="5"/>
        <v>0</v>
      </c>
      <c r="W20" s="3"/>
      <c r="X20" s="7">
        <f t="shared" si="6"/>
        <v>307.7456148522906</v>
      </c>
      <c r="Y20" s="3"/>
      <c r="Z20" s="8">
        <f t="shared" si="7"/>
        <v>4.2215865510332306E-3</v>
      </c>
    </row>
    <row r="21" spans="1:26" s="70" customFormat="1" ht="15" hidden="1" customHeight="1" outlineLevel="2" x14ac:dyDescent="0.3">
      <c r="A21" s="26"/>
      <c r="B21" s="12" t="str">
        <f>CONCATENATE("          ","6112"," - ","COMPENSATION INSURANCE")</f>
        <v xml:space="preserve">          6112 - COMPENSATION INSURANCE</v>
      </c>
      <c r="C21" s="12"/>
      <c r="D21" s="7">
        <v>1564.25</v>
      </c>
      <c r="E21" s="3"/>
      <c r="F21" s="8">
        <f t="shared" si="0"/>
        <v>0</v>
      </c>
      <c r="G21" s="3"/>
      <c r="H21" s="7">
        <v>606.60397095384599</v>
      </c>
      <c r="I21" s="3"/>
      <c r="J21" s="8">
        <f t="shared" si="1"/>
        <v>0</v>
      </c>
      <c r="K21" s="3"/>
      <c r="L21" s="7">
        <f t="shared" si="2"/>
        <v>957.64602904615401</v>
      </c>
      <c r="M21" s="3"/>
      <c r="N21" s="8">
        <f t="shared" si="3"/>
        <v>1.5787005606645088</v>
      </c>
      <c r="O21" s="12"/>
      <c r="P21" s="7">
        <v>14624.05</v>
      </c>
      <c r="Q21" s="3"/>
      <c r="R21" s="8">
        <f t="shared" si="4"/>
        <v>0</v>
      </c>
      <c r="S21" s="3"/>
      <c r="T21" s="7">
        <v>5985.2965429538499</v>
      </c>
      <c r="U21" s="3"/>
      <c r="V21" s="8">
        <f t="shared" si="5"/>
        <v>0</v>
      </c>
      <c r="W21" s="3"/>
      <c r="X21" s="7">
        <f t="shared" si="6"/>
        <v>8638.7534570461503</v>
      </c>
      <c r="Y21" s="3"/>
      <c r="Z21" s="8">
        <f t="shared" si="7"/>
        <v>1.4433292310664314</v>
      </c>
    </row>
    <row r="22" spans="1:26" s="70" customFormat="1" ht="15" hidden="1" customHeight="1" outlineLevel="2" x14ac:dyDescent="0.3">
      <c r="A22" s="26"/>
      <c r="B22" s="12" t="str">
        <f>CONCATENATE("          ","6113"," - ","GROUP INSURANCE")</f>
        <v xml:space="preserve">          6113 - GROUP INSURANCE</v>
      </c>
      <c r="C22" s="12"/>
      <c r="D22" s="7">
        <v>20065.64</v>
      </c>
      <c r="E22" s="3"/>
      <c r="F22" s="8">
        <f t="shared" si="0"/>
        <v>0</v>
      </c>
      <c r="G22" s="3"/>
      <c r="H22" s="7">
        <v>22944.538461538501</v>
      </c>
      <c r="I22" s="3"/>
      <c r="J22" s="8">
        <f t="shared" si="1"/>
        <v>0</v>
      </c>
      <c r="K22" s="3"/>
      <c r="L22" s="7">
        <f t="shared" si="2"/>
        <v>-2878.8984615385016</v>
      </c>
      <c r="M22" s="3"/>
      <c r="N22" s="8">
        <f t="shared" si="3"/>
        <v>-0.12547205803962216</v>
      </c>
      <c r="O22" s="12"/>
      <c r="P22" s="7">
        <v>194993.66</v>
      </c>
      <c r="Q22" s="3"/>
      <c r="R22" s="8">
        <f t="shared" si="4"/>
        <v>0</v>
      </c>
      <c r="S22" s="3"/>
      <c r="T22" s="7">
        <v>213877</v>
      </c>
      <c r="U22" s="3"/>
      <c r="V22" s="8">
        <f t="shared" si="5"/>
        <v>0</v>
      </c>
      <c r="W22" s="3"/>
      <c r="X22" s="7">
        <f t="shared" si="6"/>
        <v>-18883.339999999997</v>
      </c>
      <c r="Y22" s="3"/>
      <c r="Z22" s="8">
        <f t="shared" si="7"/>
        <v>-8.8290653038896175E-2</v>
      </c>
    </row>
    <row r="23" spans="1:26" s="70" customFormat="1" ht="15" hidden="1" customHeight="1" outlineLevel="2" x14ac:dyDescent="0.3">
      <c r="A23" s="26"/>
      <c r="B23" s="12" t="str">
        <f>CONCATENATE("          ","6114"," - ","STATE UNEMPLOYMENT INSURANCE")</f>
        <v xml:space="preserve">          6114 - STATE UNEMPLOYMENT INSURANCE</v>
      </c>
      <c r="C23" s="12"/>
      <c r="D23" s="7">
        <v>277.2</v>
      </c>
      <c r="E23" s="3"/>
      <c r="F23" s="8">
        <f t="shared" si="0"/>
        <v>0</v>
      </c>
      <c r="G23" s="3"/>
      <c r="H23" s="7">
        <v>220.14867064615399</v>
      </c>
      <c r="I23" s="3"/>
      <c r="J23" s="8">
        <f t="shared" si="1"/>
        <v>0</v>
      </c>
      <c r="K23" s="3"/>
      <c r="L23" s="7">
        <f t="shared" si="2"/>
        <v>57.051329353846</v>
      </c>
      <c r="M23" s="3"/>
      <c r="N23" s="8">
        <f t="shared" si="3"/>
        <v>0.25914909768201544</v>
      </c>
      <c r="O23" s="12"/>
      <c r="P23" s="7">
        <v>2594.11</v>
      </c>
      <c r="Q23" s="3"/>
      <c r="R23" s="8">
        <f t="shared" si="4"/>
        <v>0</v>
      </c>
      <c r="S23" s="3"/>
      <c r="T23" s="7">
        <v>2194.4838726461498</v>
      </c>
      <c r="U23" s="3"/>
      <c r="V23" s="8">
        <f t="shared" si="5"/>
        <v>0</v>
      </c>
      <c r="W23" s="3"/>
      <c r="X23" s="7">
        <f t="shared" si="6"/>
        <v>399.62612735385028</v>
      </c>
      <c r="Y23" s="3"/>
      <c r="Z23" s="8">
        <f t="shared" si="7"/>
        <v>0.18210483673866038</v>
      </c>
    </row>
    <row r="24" spans="1:26" s="70" customFormat="1" ht="15" hidden="1" customHeight="1" outlineLevel="2" x14ac:dyDescent="0.3">
      <c r="A24" s="26"/>
      <c r="B24" s="12" t="str">
        <f>CONCATENATE("          ","6115"," - ","P.E.R.S.")</f>
        <v xml:space="preserve">          6115 - P.E.R.S.</v>
      </c>
      <c r="C24" s="12"/>
      <c r="D24" s="7">
        <v>8060.71</v>
      </c>
      <c r="E24" s="3"/>
      <c r="F24" s="8">
        <f t="shared" si="0"/>
        <v>0</v>
      </c>
      <c r="G24" s="3"/>
      <c r="H24" s="7">
        <v>5940.8879384615402</v>
      </c>
      <c r="I24" s="3"/>
      <c r="J24" s="8">
        <f t="shared" si="1"/>
        <v>0</v>
      </c>
      <c r="K24" s="3"/>
      <c r="L24" s="7">
        <f t="shared" si="2"/>
        <v>2119.8220615384598</v>
      </c>
      <c r="M24" s="3"/>
      <c r="N24" s="8">
        <f t="shared" si="3"/>
        <v>0.35681906198139995</v>
      </c>
      <c r="O24" s="12"/>
      <c r="P24" s="7">
        <v>73484.649999999994</v>
      </c>
      <c r="Q24" s="3"/>
      <c r="R24" s="8">
        <f t="shared" si="4"/>
        <v>0</v>
      </c>
      <c r="S24" s="3"/>
      <c r="T24" s="7">
        <v>60411.868938461601</v>
      </c>
      <c r="U24" s="3"/>
      <c r="V24" s="8">
        <f t="shared" si="5"/>
        <v>0</v>
      </c>
      <c r="W24" s="3"/>
      <c r="X24" s="7">
        <f t="shared" si="6"/>
        <v>13072.781061538393</v>
      </c>
      <c r="Y24" s="3"/>
      <c r="Z24" s="8">
        <f t="shared" si="7"/>
        <v>0.21639424985932729</v>
      </c>
    </row>
    <row r="25" spans="1:26" s="70" customFormat="1" ht="15" hidden="1" customHeight="1" outlineLevel="2" x14ac:dyDescent="0.3">
      <c r="A25" s="26"/>
      <c r="B25" s="12" t="str">
        <f>CONCATENATE("          ","6116"," - ","EDUCATIONAL BENEFITS")</f>
        <v xml:space="preserve">          6116 - EDUCATIONAL BENEFITS</v>
      </c>
      <c r="C25" s="12"/>
      <c r="D25" s="7"/>
      <c r="E25" s="3"/>
      <c r="F25" s="8">
        <f t="shared" si="0"/>
        <v>0</v>
      </c>
      <c r="G25" s="3"/>
      <c r="H25" s="7">
        <v>417</v>
      </c>
      <c r="I25" s="3"/>
      <c r="J25" s="8">
        <f t="shared" si="1"/>
        <v>0</v>
      </c>
      <c r="K25" s="3"/>
      <c r="L25" s="7">
        <f t="shared" si="2"/>
        <v>-417</v>
      </c>
      <c r="M25" s="3"/>
      <c r="N25" s="8">
        <f t="shared" si="3"/>
        <v>-1</v>
      </c>
      <c r="O25" s="12"/>
      <c r="P25" s="7">
        <v>2636</v>
      </c>
      <c r="Q25" s="3"/>
      <c r="R25" s="8">
        <f t="shared" si="4"/>
        <v>0</v>
      </c>
      <c r="S25" s="3"/>
      <c r="T25" s="7">
        <v>3753</v>
      </c>
      <c r="U25" s="3"/>
      <c r="V25" s="8">
        <f t="shared" si="5"/>
        <v>0</v>
      </c>
      <c r="W25" s="3"/>
      <c r="X25" s="7">
        <f t="shared" si="6"/>
        <v>-1117</v>
      </c>
      <c r="Y25" s="3"/>
      <c r="Z25" s="8">
        <f t="shared" si="7"/>
        <v>-0.2976285638156142</v>
      </c>
    </row>
    <row r="26" spans="1:26" s="70" customFormat="1" ht="15" hidden="1" customHeight="1" outlineLevel="2" x14ac:dyDescent="0.3">
      <c r="A26" s="26"/>
      <c r="B26" s="12" t="str">
        <f>CONCATENATE("          ","6117"," - ","RETIREMENT STAFF HOURLY")</f>
        <v xml:space="preserve">          6117 - RETIREMENT STAFF HOURLY</v>
      </c>
      <c r="C26" s="12"/>
      <c r="D26" s="7">
        <v>682.41</v>
      </c>
      <c r="E26" s="3"/>
      <c r="F26" s="8">
        <f t="shared" si="0"/>
        <v>0</v>
      </c>
      <c r="G26" s="3"/>
      <c r="H26" s="7"/>
      <c r="I26" s="3"/>
      <c r="J26" s="8">
        <f t="shared" si="1"/>
        <v>0</v>
      </c>
      <c r="K26" s="3"/>
      <c r="L26" s="7">
        <f t="shared" si="2"/>
        <v>682.41</v>
      </c>
      <c r="M26" s="3"/>
      <c r="N26" s="8">
        <f t="shared" si="3"/>
        <v>0</v>
      </c>
      <c r="O26" s="12"/>
      <c r="P26" s="7">
        <v>9325</v>
      </c>
      <c r="Q26" s="3"/>
      <c r="R26" s="8">
        <f t="shared" si="4"/>
        <v>0</v>
      </c>
      <c r="S26" s="3"/>
      <c r="T26" s="7"/>
      <c r="U26" s="3"/>
      <c r="V26" s="8">
        <f t="shared" si="5"/>
        <v>0</v>
      </c>
      <c r="W26" s="3"/>
      <c r="X26" s="7">
        <f t="shared" si="6"/>
        <v>9325</v>
      </c>
      <c r="Y26" s="3"/>
      <c r="Z26" s="8">
        <f t="shared" si="7"/>
        <v>0</v>
      </c>
    </row>
    <row r="27" spans="1:26" s="70" customFormat="1" ht="15" hidden="1" customHeight="1" outlineLevel="2" x14ac:dyDescent="0.3">
      <c r="A27" s="26"/>
      <c r="B27" s="12" t="str">
        <f>CONCATENATE("          ","6118"," - ","VACATION")</f>
        <v xml:space="preserve">          6118 - VACATION</v>
      </c>
      <c r="C27" s="12"/>
      <c r="D27" s="7">
        <v>6292.04</v>
      </c>
      <c r="E27" s="3"/>
      <c r="F27" s="8">
        <f t="shared" si="0"/>
        <v>0</v>
      </c>
      <c r="G27" s="3"/>
      <c r="H27" s="7">
        <v>4165.0268553846199</v>
      </c>
      <c r="I27" s="3"/>
      <c r="J27" s="8">
        <f t="shared" si="1"/>
        <v>0</v>
      </c>
      <c r="K27" s="3"/>
      <c r="L27" s="7">
        <f t="shared" si="2"/>
        <v>2127.01314461538</v>
      </c>
      <c r="M27" s="3"/>
      <c r="N27" s="8">
        <f t="shared" si="3"/>
        <v>0.51068413685389324</v>
      </c>
      <c r="O27" s="12"/>
      <c r="P27" s="7">
        <v>75020.52</v>
      </c>
      <c r="Q27" s="3"/>
      <c r="R27" s="8">
        <f t="shared" si="4"/>
        <v>0</v>
      </c>
      <c r="S27" s="3"/>
      <c r="T27" s="7">
        <v>42055.646455384704</v>
      </c>
      <c r="U27" s="3"/>
      <c r="V27" s="8">
        <f t="shared" si="5"/>
        <v>0</v>
      </c>
      <c r="W27" s="3"/>
      <c r="X27" s="7">
        <f t="shared" si="6"/>
        <v>32964.8735446153</v>
      </c>
      <c r="Y27" s="3"/>
      <c r="Z27" s="8">
        <f t="shared" si="7"/>
        <v>0.78383942045895139</v>
      </c>
    </row>
    <row r="28" spans="1:26" s="70" customFormat="1" ht="15" hidden="1" customHeight="1" outlineLevel="2" x14ac:dyDescent="0.3">
      <c r="A28" s="26"/>
      <c r="B28" s="12" t="str">
        <f>CONCATENATE("          ","6119"," - ","SICK LEAVE")</f>
        <v xml:space="preserve">          6119 - SICK LEAVE</v>
      </c>
      <c r="C28" s="12"/>
      <c r="D28" s="7">
        <v>4588.54</v>
      </c>
      <c r="E28" s="3"/>
      <c r="F28" s="8">
        <f t="shared" si="0"/>
        <v>0</v>
      </c>
      <c r="G28" s="3"/>
      <c r="H28" s="7">
        <v>3610.2856984615501</v>
      </c>
      <c r="I28" s="3"/>
      <c r="J28" s="8">
        <f t="shared" si="1"/>
        <v>0</v>
      </c>
      <c r="K28" s="3"/>
      <c r="L28" s="7">
        <f t="shared" si="2"/>
        <v>978.25430153844991</v>
      </c>
      <c r="M28" s="3"/>
      <c r="N28" s="8">
        <f t="shared" si="3"/>
        <v>0.27096312681162965</v>
      </c>
      <c r="O28" s="12"/>
      <c r="P28" s="7">
        <v>69016.490000000005</v>
      </c>
      <c r="Q28" s="3"/>
      <c r="R28" s="8">
        <f t="shared" si="4"/>
        <v>0</v>
      </c>
      <c r="S28" s="3"/>
      <c r="T28" s="7">
        <v>35886.490329230801</v>
      </c>
      <c r="U28" s="3"/>
      <c r="V28" s="8">
        <f t="shared" si="5"/>
        <v>0</v>
      </c>
      <c r="W28" s="3"/>
      <c r="X28" s="7">
        <f t="shared" si="6"/>
        <v>33129.999670769204</v>
      </c>
      <c r="Y28" s="3"/>
      <c r="Z28" s="8">
        <f t="shared" si="7"/>
        <v>0.92318862521319511</v>
      </c>
    </row>
    <row r="29" spans="1:26" s="70" customFormat="1" ht="15" hidden="1" customHeight="1" outlineLevel="2" x14ac:dyDescent="0.3">
      <c r="A29" s="26"/>
      <c r="B29" s="12" t="str">
        <f>CONCATENATE("          ","6120"," - ","RETIREES HEALTH INSURANCE")</f>
        <v xml:space="preserve">          6120 - RETIREES HEALTH INSURANCE</v>
      </c>
      <c r="C29" s="12"/>
      <c r="D29" s="7">
        <v>26491.86</v>
      </c>
      <c r="E29" s="3"/>
      <c r="F29" s="8">
        <f t="shared" si="0"/>
        <v>0</v>
      </c>
      <c r="G29" s="3"/>
      <c r="H29" s="7">
        <v>35000</v>
      </c>
      <c r="I29" s="3"/>
      <c r="J29" s="8">
        <f t="shared" si="1"/>
        <v>0</v>
      </c>
      <c r="K29" s="3"/>
      <c r="L29" s="7">
        <f t="shared" si="2"/>
        <v>-8508.14</v>
      </c>
      <c r="M29" s="3"/>
      <c r="N29" s="8">
        <f t="shared" si="3"/>
        <v>-0.24308971428571427</v>
      </c>
      <c r="O29" s="12"/>
      <c r="P29" s="7">
        <v>245191.94</v>
      </c>
      <c r="Q29" s="3"/>
      <c r="R29" s="8">
        <f t="shared" si="4"/>
        <v>0</v>
      </c>
      <c r="S29" s="3"/>
      <c r="T29" s="7">
        <v>315000</v>
      </c>
      <c r="U29" s="3"/>
      <c r="V29" s="8">
        <f t="shared" si="5"/>
        <v>0</v>
      </c>
      <c r="W29" s="3"/>
      <c r="X29" s="7">
        <f t="shared" si="6"/>
        <v>-69808.06</v>
      </c>
      <c r="Y29" s="3"/>
      <c r="Z29" s="8">
        <f t="shared" si="7"/>
        <v>-0.22161288888888889</v>
      </c>
    </row>
    <row r="30" spans="1:26" s="70" customFormat="1" ht="15" hidden="1" customHeight="1" outlineLevel="2" x14ac:dyDescent="0.3">
      <c r="A30" s="26"/>
      <c r="B30" s="12" t="str">
        <f>CONCATENATE("          ","6156"," - ","EMPLOYEE MEALS")</f>
        <v xml:space="preserve">          6156 - EMPLOYEE MEALS</v>
      </c>
      <c r="C30" s="12"/>
      <c r="D30" s="7">
        <v>2140.3000000000002</v>
      </c>
      <c r="E30" s="3"/>
      <c r="F30" s="8">
        <f t="shared" si="0"/>
        <v>0</v>
      </c>
      <c r="G30" s="3"/>
      <c r="H30" s="7">
        <v>2400</v>
      </c>
      <c r="I30" s="3"/>
      <c r="J30" s="8">
        <f t="shared" si="1"/>
        <v>0</v>
      </c>
      <c r="K30" s="3"/>
      <c r="L30" s="7">
        <f t="shared" si="2"/>
        <v>-259.69999999999982</v>
      </c>
      <c r="M30" s="3"/>
      <c r="N30" s="8">
        <f t="shared" si="3"/>
        <v>-0.10820833333333325</v>
      </c>
      <c r="O30" s="12"/>
      <c r="P30" s="7">
        <v>14123.49</v>
      </c>
      <c r="Q30" s="3"/>
      <c r="R30" s="8">
        <f t="shared" si="4"/>
        <v>0</v>
      </c>
      <c r="S30" s="3"/>
      <c r="T30" s="7">
        <v>21600</v>
      </c>
      <c r="U30" s="3"/>
      <c r="V30" s="8">
        <f t="shared" si="5"/>
        <v>0</v>
      </c>
      <c r="W30" s="3"/>
      <c r="X30" s="7">
        <f t="shared" si="6"/>
        <v>-7476.51</v>
      </c>
      <c r="Y30" s="3"/>
      <c r="Z30" s="8">
        <f t="shared" si="7"/>
        <v>-0.34613472222222225</v>
      </c>
    </row>
    <row r="31" spans="1:26" s="69" customFormat="1" ht="15" customHeight="1" outlineLevel="1" collapsed="1" x14ac:dyDescent="0.3">
      <c r="A31" s="25"/>
      <c r="B31" s="14" t="str">
        <f>CONCATENATE("     ","*Payroll                                          ")</f>
        <v xml:space="preserve">     *Payroll                                          </v>
      </c>
      <c r="C31" s="14"/>
      <c r="D31" s="2">
        <f>SUM(OSRRefD22_1x_0)</f>
        <v>102628.98000000001</v>
      </c>
      <c r="E31" s="2"/>
      <c r="F31" s="6">
        <f t="shared" si="0"/>
        <v>0</v>
      </c>
      <c r="G31" s="2"/>
      <c r="H31" s="2">
        <f>SUM(OSRRefH22_1x_0)</f>
        <v>95939.651913846101</v>
      </c>
      <c r="I31" s="2"/>
      <c r="J31" s="6">
        <f t="shared" si="1"/>
        <v>0</v>
      </c>
      <c r="K31" s="2"/>
      <c r="L31" s="2">
        <f t="shared" si="2"/>
        <v>6689.3280861539097</v>
      </c>
      <c r="M31" s="2"/>
      <c r="N31" s="6">
        <f t="shared" si="3"/>
        <v>6.9724331417847257E-2</v>
      </c>
      <c r="O31" s="14"/>
      <c r="P31" s="2">
        <f>SUM(OSRRefP22_1x_0)</f>
        <v>931218.52</v>
      </c>
      <c r="Q31" s="2"/>
      <c r="R31" s="6">
        <f t="shared" si="4"/>
        <v>0</v>
      </c>
      <c r="S31" s="2"/>
      <c r="T31" s="2">
        <f>SUM(OSRRefT22_1x_0)</f>
        <v>955970.48308307596</v>
      </c>
      <c r="U31" s="2"/>
      <c r="V31" s="6">
        <f t="shared" si="5"/>
        <v>0</v>
      </c>
      <c r="W31" s="2"/>
      <c r="X31" s="2">
        <f t="shared" si="6"/>
        <v>-24751.963083075942</v>
      </c>
      <c r="Y31" s="2"/>
      <c r="Z31" s="6">
        <f t="shared" si="7"/>
        <v>-2.5891974199087214E-2</v>
      </c>
    </row>
    <row r="32" spans="1:26" s="70" customFormat="1" ht="15" hidden="1" customHeight="1" outlineLevel="2" x14ac:dyDescent="0.3">
      <c r="A32" s="26"/>
      <c r="B32" s="12" t="str">
        <f>CONCATENATE("          ","6001"," - ","ADMINISTRATIVE SALARIES")</f>
        <v xml:space="preserve">          6001 - ADMINISTRATIVE SALARIES</v>
      </c>
      <c r="C32" s="12"/>
      <c r="D32" s="7">
        <v>29328.66</v>
      </c>
      <c r="E32" s="3"/>
      <c r="F32" s="8">
        <f t="shared" si="0"/>
        <v>0</v>
      </c>
      <c r="G32" s="3"/>
      <c r="H32" s="7">
        <v>27893.119999999999</v>
      </c>
      <c r="I32" s="3"/>
      <c r="J32" s="8">
        <f t="shared" si="1"/>
        <v>0</v>
      </c>
      <c r="K32" s="3"/>
      <c r="L32" s="7">
        <f t="shared" si="2"/>
        <v>1435.5400000000009</v>
      </c>
      <c r="M32" s="3"/>
      <c r="N32" s="8">
        <f t="shared" si="3"/>
        <v>5.1465737787669538E-2</v>
      </c>
      <c r="O32" s="12"/>
      <c r="P32" s="7">
        <v>252002.86</v>
      </c>
      <c r="Q32" s="3"/>
      <c r="R32" s="8">
        <f t="shared" si="4"/>
        <v>0</v>
      </c>
      <c r="S32" s="3"/>
      <c r="T32" s="7">
        <v>298575.99692307698</v>
      </c>
      <c r="U32" s="3"/>
      <c r="V32" s="8">
        <f t="shared" si="5"/>
        <v>0</v>
      </c>
      <c r="W32" s="3"/>
      <c r="X32" s="7">
        <f t="shared" si="6"/>
        <v>-46573.136923076992</v>
      </c>
      <c r="Y32" s="3"/>
      <c r="Z32" s="8">
        <f t="shared" si="7"/>
        <v>-0.15598419632866795</v>
      </c>
    </row>
    <row r="33" spans="1:26" s="70" customFormat="1" ht="15" hidden="1" customHeight="1" outlineLevel="2" x14ac:dyDescent="0.3">
      <c r="A33" s="26"/>
      <c r="B33" s="12" t="str">
        <f>CONCATENATE("          ","6002"," - ","STAFF SALARIES")</f>
        <v xml:space="preserve">          6002 - STAFF SALARIES</v>
      </c>
      <c r="C33" s="12"/>
      <c r="D33" s="7">
        <v>48032.53</v>
      </c>
      <c r="E33" s="3"/>
      <c r="F33" s="8">
        <f t="shared" si="0"/>
        <v>0</v>
      </c>
      <c r="G33" s="3"/>
      <c r="H33" s="7">
        <v>35167.686153846102</v>
      </c>
      <c r="I33" s="3"/>
      <c r="J33" s="8">
        <f t="shared" si="1"/>
        <v>0</v>
      </c>
      <c r="K33" s="3"/>
      <c r="L33" s="7">
        <f t="shared" si="2"/>
        <v>12864.843846153897</v>
      </c>
      <c r="M33" s="3"/>
      <c r="N33" s="8">
        <f t="shared" si="3"/>
        <v>0.36581433847750994</v>
      </c>
      <c r="O33" s="12"/>
      <c r="P33" s="7">
        <v>455628.2</v>
      </c>
      <c r="Q33" s="3"/>
      <c r="R33" s="8">
        <f t="shared" si="4"/>
        <v>0</v>
      </c>
      <c r="S33" s="3"/>
      <c r="T33" s="7">
        <v>342884.93999999901</v>
      </c>
      <c r="U33" s="3"/>
      <c r="V33" s="8">
        <f t="shared" si="5"/>
        <v>0</v>
      </c>
      <c r="W33" s="3"/>
      <c r="X33" s="7">
        <f t="shared" si="6"/>
        <v>112743.260000001</v>
      </c>
      <c r="Y33" s="3"/>
      <c r="Z33" s="8">
        <f t="shared" si="7"/>
        <v>0.32880785023687925</v>
      </c>
    </row>
    <row r="34" spans="1:26" s="70" customFormat="1" ht="15" hidden="1" customHeight="1" outlineLevel="2" x14ac:dyDescent="0.3">
      <c r="A34" s="26"/>
      <c r="B34" s="12" t="str">
        <f>CONCATENATE("          ","6003"," - ","STAFF HOURLY-9 MONTH")</f>
        <v xml:space="preserve">          6003 - STAFF HOURLY-9 MONTH</v>
      </c>
      <c r="C34" s="12"/>
      <c r="D34" s="7"/>
      <c r="E34" s="3"/>
      <c r="F34" s="8">
        <f t="shared" si="0"/>
        <v>0</v>
      </c>
      <c r="G34" s="3"/>
      <c r="H34" s="7">
        <v>0</v>
      </c>
      <c r="I34" s="3"/>
      <c r="J34" s="8">
        <f t="shared" si="1"/>
        <v>0</v>
      </c>
      <c r="K34" s="3"/>
      <c r="L34" s="7">
        <f t="shared" si="2"/>
        <v>0</v>
      </c>
      <c r="M34" s="3"/>
      <c r="N34" s="8">
        <f t="shared" si="3"/>
        <v>0</v>
      </c>
      <c r="O34" s="12"/>
      <c r="P34" s="7"/>
      <c r="Q34" s="3"/>
      <c r="R34" s="8">
        <f t="shared" si="4"/>
        <v>0</v>
      </c>
      <c r="S34" s="3"/>
      <c r="T34" s="7">
        <v>0</v>
      </c>
      <c r="U34" s="3"/>
      <c r="V34" s="8">
        <f t="shared" si="5"/>
        <v>0</v>
      </c>
      <c r="W34" s="3"/>
      <c r="X34" s="7">
        <f t="shared" si="6"/>
        <v>0</v>
      </c>
      <c r="Y34" s="3"/>
      <c r="Z34" s="8">
        <f t="shared" si="7"/>
        <v>0</v>
      </c>
    </row>
    <row r="35" spans="1:26" s="70" customFormat="1" ht="15" hidden="1" customHeight="1" outlineLevel="2" x14ac:dyDescent="0.3">
      <c r="A35" s="26"/>
      <c r="B35" s="12" t="str">
        <f>CONCATENATE("          ","6004"," - ","STAFF HOURLY")</f>
        <v xml:space="preserve">          6004 - STAFF HOURLY</v>
      </c>
      <c r="C35" s="12"/>
      <c r="D35" s="7">
        <v>14716.39</v>
      </c>
      <c r="E35" s="3"/>
      <c r="F35" s="8">
        <f t="shared" si="0"/>
        <v>0</v>
      </c>
      <c r="G35" s="3"/>
      <c r="H35" s="7">
        <v>24042.045760000001</v>
      </c>
      <c r="I35" s="3"/>
      <c r="J35" s="8">
        <f t="shared" si="1"/>
        <v>0</v>
      </c>
      <c r="K35" s="3"/>
      <c r="L35" s="7">
        <f t="shared" si="2"/>
        <v>-9325.6557600000015</v>
      </c>
      <c r="M35" s="3"/>
      <c r="N35" s="8">
        <f t="shared" si="3"/>
        <v>-0.38788944389730673</v>
      </c>
      <c r="O35" s="12"/>
      <c r="P35" s="7">
        <v>180799.57</v>
      </c>
      <c r="Q35" s="3"/>
      <c r="R35" s="8">
        <f t="shared" si="4"/>
        <v>0</v>
      </c>
      <c r="S35" s="3"/>
      <c r="T35" s="7">
        <v>234409.94615999999</v>
      </c>
      <c r="U35" s="3"/>
      <c r="V35" s="8">
        <f t="shared" si="5"/>
        <v>0</v>
      </c>
      <c r="W35" s="3"/>
      <c r="X35" s="7">
        <f t="shared" si="6"/>
        <v>-53610.376159999985</v>
      </c>
      <c r="Y35" s="3"/>
      <c r="Z35" s="8">
        <f t="shared" si="7"/>
        <v>-0.22870350442983092</v>
      </c>
    </row>
    <row r="36" spans="1:26" s="70" customFormat="1" ht="15" hidden="1" customHeight="1" outlineLevel="2" x14ac:dyDescent="0.3">
      <c r="A36" s="26"/>
      <c r="B36" s="12" t="str">
        <f>CONCATENATE("          ","6005"," - ","TEMPORARY WAGES-HOURLY")</f>
        <v xml:space="preserve">          6005 - TEMPORARY WAGES-HOURLY</v>
      </c>
      <c r="C36" s="12"/>
      <c r="D36" s="7">
        <v>3917.32</v>
      </c>
      <c r="E36" s="3"/>
      <c r="F36" s="8">
        <f t="shared" si="0"/>
        <v>0</v>
      </c>
      <c r="G36" s="3"/>
      <c r="H36" s="7">
        <v>3880</v>
      </c>
      <c r="I36" s="3"/>
      <c r="J36" s="8">
        <f t="shared" si="1"/>
        <v>0</v>
      </c>
      <c r="K36" s="3"/>
      <c r="L36" s="7">
        <f t="shared" si="2"/>
        <v>37.320000000000164</v>
      </c>
      <c r="M36" s="3"/>
      <c r="N36" s="8">
        <f t="shared" si="3"/>
        <v>9.6185567010309697E-3</v>
      </c>
      <c r="O36" s="12"/>
      <c r="P36" s="7">
        <v>21216.87</v>
      </c>
      <c r="Q36" s="3"/>
      <c r="R36" s="8">
        <f t="shared" si="4"/>
        <v>0</v>
      </c>
      <c r="S36" s="3"/>
      <c r="T36" s="7">
        <v>37830</v>
      </c>
      <c r="U36" s="3"/>
      <c r="V36" s="8">
        <f t="shared" si="5"/>
        <v>0</v>
      </c>
      <c r="W36" s="3"/>
      <c r="X36" s="7">
        <f t="shared" si="6"/>
        <v>-16613.13</v>
      </c>
      <c r="Y36" s="3"/>
      <c r="Z36" s="8">
        <f t="shared" si="7"/>
        <v>-0.43915226011102304</v>
      </c>
    </row>
    <row r="37" spans="1:26" s="70" customFormat="1" ht="15" hidden="1" customHeight="1" outlineLevel="2" x14ac:dyDescent="0.3">
      <c r="A37" s="26"/>
      <c r="B37" s="12" t="str">
        <f>CONCATENATE("          ","6006"," - ","TEMPORARY PART TIME")</f>
        <v xml:space="preserve">          6006 - TEMPORARY PART TIME</v>
      </c>
      <c r="C37" s="12"/>
      <c r="D37" s="7"/>
      <c r="E37" s="3"/>
      <c r="F37" s="8">
        <f t="shared" si="0"/>
        <v>0</v>
      </c>
      <c r="G37" s="3"/>
      <c r="H37" s="7">
        <v>0</v>
      </c>
      <c r="I37" s="3"/>
      <c r="J37" s="8">
        <f t="shared" si="1"/>
        <v>0</v>
      </c>
      <c r="K37" s="3"/>
      <c r="L37" s="7">
        <f t="shared" si="2"/>
        <v>0</v>
      </c>
      <c r="M37" s="3"/>
      <c r="N37" s="8">
        <f t="shared" si="3"/>
        <v>0</v>
      </c>
      <c r="O37" s="12"/>
      <c r="P37" s="7"/>
      <c r="Q37" s="3"/>
      <c r="R37" s="8">
        <f t="shared" si="4"/>
        <v>0</v>
      </c>
      <c r="S37" s="3"/>
      <c r="T37" s="7">
        <v>0</v>
      </c>
      <c r="U37" s="3"/>
      <c r="V37" s="8">
        <f t="shared" si="5"/>
        <v>0</v>
      </c>
      <c r="W37" s="3"/>
      <c r="X37" s="7">
        <f t="shared" si="6"/>
        <v>0</v>
      </c>
      <c r="Y37" s="3"/>
      <c r="Z37" s="8">
        <f t="shared" si="7"/>
        <v>0</v>
      </c>
    </row>
    <row r="38" spans="1:26" s="70" customFormat="1" ht="15" hidden="1" customHeight="1" outlineLevel="2" x14ac:dyDescent="0.3">
      <c r="A38" s="26"/>
      <c r="B38" s="12" t="str">
        <f>CONCATENATE("          ","6007"," - ","STUDENT HOURLY")</f>
        <v xml:space="preserve">          6007 - STUDENT HOURLY</v>
      </c>
      <c r="C38" s="12"/>
      <c r="D38" s="7">
        <v>6634.08</v>
      </c>
      <c r="E38" s="3"/>
      <c r="F38" s="8">
        <f t="shared" si="0"/>
        <v>0</v>
      </c>
      <c r="G38" s="3"/>
      <c r="H38" s="7">
        <v>0</v>
      </c>
      <c r="I38" s="3"/>
      <c r="J38" s="8">
        <f t="shared" si="1"/>
        <v>0</v>
      </c>
      <c r="K38" s="3"/>
      <c r="L38" s="7">
        <f t="shared" si="2"/>
        <v>6634.08</v>
      </c>
      <c r="M38" s="3"/>
      <c r="N38" s="8">
        <f t="shared" si="3"/>
        <v>0</v>
      </c>
      <c r="O38" s="12"/>
      <c r="P38" s="7">
        <v>10095.82</v>
      </c>
      <c r="Q38" s="3"/>
      <c r="R38" s="8">
        <f t="shared" si="4"/>
        <v>0</v>
      </c>
      <c r="S38" s="3"/>
      <c r="T38" s="7">
        <v>8320</v>
      </c>
      <c r="U38" s="3"/>
      <c r="V38" s="8">
        <f t="shared" si="5"/>
        <v>0</v>
      </c>
      <c r="W38" s="3"/>
      <c r="X38" s="7">
        <f t="shared" si="6"/>
        <v>1775.8199999999997</v>
      </c>
      <c r="Y38" s="3"/>
      <c r="Z38" s="8">
        <f t="shared" si="7"/>
        <v>0.2134399038461538</v>
      </c>
    </row>
    <row r="39" spans="1:26" s="70" customFormat="1" ht="15" hidden="1" customHeight="1" outlineLevel="2" x14ac:dyDescent="0.3">
      <c r="A39" s="26"/>
      <c r="B39" s="12" t="str">
        <f>CONCATENATE("          ","6008"," - ","STUDENT HOURLY-FICA EXEMPT")</f>
        <v xml:space="preserve">          6008 - STUDENT HOURLY-FICA EXEMPT</v>
      </c>
      <c r="C39" s="12"/>
      <c r="D39" s="7"/>
      <c r="E39" s="3"/>
      <c r="F39" s="8">
        <f t="shared" si="0"/>
        <v>0</v>
      </c>
      <c r="G39" s="3"/>
      <c r="H39" s="7">
        <v>4956.8</v>
      </c>
      <c r="I39" s="3"/>
      <c r="J39" s="8">
        <f t="shared" si="1"/>
        <v>0</v>
      </c>
      <c r="K39" s="3"/>
      <c r="L39" s="7">
        <f t="shared" si="2"/>
        <v>-4956.8</v>
      </c>
      <c r="M39" s="3"/>
      <c r="N39" s="8">
        <f t="shared" si="3"/>
        <v>-1</v>
      </c>
      <c r="O39" s="12"/>
      <c r="P39" s="7">
        <v>11475.2</v>
      </c>
      <c r="Q39" s="3"/>
      <c r="R39" s="8">
        <f t="shared" si="4"/>
        <v>0</v>
      </c>
      <c r="S39" s="3"/>
      <c r="T39" s="7">
        <v>33949.599999999999</v>
      </c>
      <c r="U39" s="3"/>
      <c r="V39" s="8">
        <f t="shared" si="5"/>
        <v>0</v>
      </c>
      <c r="W39" s="3"/>
      <c r="X39" s="7">
        <f t="shared" si="6"/>
        <v>-22474.399999999998</v>
      </c>
      <c r="Y39" s="3"/>
      <c r="Z39" s="8">
        <f t="shared" si="7"/>
        <v>-0.66199307208332347</v>
      </c>
    </row>
    <row r="40" spans="1:26" s="70" customFormat="1" ht="15" hidden="1" customHeight="1" outlineLevel="2" x14ac:dyDescent="0.3">
      <c r="A40" s="26"/>
      <c r="B40" s="12" t="str">
        <f>CONCATENATE("          ","6009"," - ","TEMPORARY-SEASONAL")</f>
        <v xml:space="preserve">          6009 - TEMPORARY-SEASONAL</v>
      </c>
      <c r="C40" s="12"/>
      <c r="D40" s="7"/>
      <c r="E40" s="3"/>
      <c r="F40" s="8">
        <f t="shared" si="0"/>
        <v>0</v>
      </c>
      <c r="G40" s="3"/>
      <c r="H40" s="7">
        <v>0</v>
      </c>
      <c r="I40" s="3"/>
      <c r="J40" s="8">
        <f t="shared" si="1"/>
        <v>0</v>
      </c>
      <c r="K40" s="3"/>
      <c r="L40" s="7">
        <f t="shared" si="2"/>
        <v>0</v>
      </c>
      <c r="M40" s="3"/>
      <c r="N40" s="8">
        <f t="shared" si="3"/>
        <v>0</v>
      </c>
      <c r="O40" s="12"/>
      <c r="P40" s="7"/>
      <c r="Q40" s="3"/>
      <c r="R40" s="8">
        <f t="shared" si="4"/>
        <v>0</v>
      </c>
      <c r="S40" s="3"/>
      <c r="T40" s="7">
        <v>0</v>
      </c>
      <c r="U40" s="3"/>
      <c r="V40" s="8">
        <f t="shared" si="5"/>
        <v>0</v>
      </c>
      <c r="W40" s="3"/>
      <c r="X40" s="7">
        <f t="shared" si="6"/>
        <v>0</v>
      </c>
      <c r="Y40" s="3"/>
      <c r="Z40" s="8">
        <f t="shared" si="7"/>
        <v>0</v>
      </c>
    </row>
    <row r="41" spans="1:26" s="70" customFormat="1" ht="15" hidden="1" customHeight="1" outlineLevel="2" x14ac:dyDescent="0.3">
      <c r="A41" s="26"/>
      <c r="B41" s="12" t="str">
        <f>CONCATENATE("          ","6010"," - ","GRATUITY")</f>
        <v xml:space="preserve">          6010 - GRATUITY</v>
      </c>
      <c r="C41" s="12"/>
      <c r="D41" s="7"/>
      <c r="E41" s="3"/>
      <c r="F41" s="8">
        <f t="shared" si="0"/>
        <v>0</v>
      </c>
      <c r="G41" s="3"/>
      <c r="H41" s="7">
        <v>0</v>
      </c>
      <c r="I41" s="3"/>
      <c r="J41" s="8">
        <f t="shared" si="1"/>
        <v>0</v>
      </c>
      <c r="K41" s="3"/>
      <c r="L41" s="7">
        <f t="shared" si="2"/>
        <v>0</v>
      </c>
      <c r="M41" s="3"/>
      <c r="N41" s="8">
        <f t="shared" si="3"/>
        <v>0</v>
      </c>
      <c r="O41" s="12"/>
      <c r="P41" s="7"/>
      <c r="Q41" s="3"/>
      <c r="R41" s="8">
        <f t="shared" si="4"/>
        <v>0</v>
      </c>
      <c r="S41" s="3"/>
      <c r="T41" s="7">
        <v>0</v>
      </c>
      <c r="U41" s="3"/>
      <c r="V41" s="8">
        <f t="shared" si="5"/>
        <v>0</v>
      </c>
      <c r="W41" s="3"/>
      <c r="X41" s="7">
        <f t="shared" si="6"/>
        <v>0</v>
      </c>
      <c r="Y41" s="3"/>
      <c r="Z41" s="8">
        <f t="shared" si="7"/>
        <v>0</v>
      </c>
    </row>
    <row r="42" spans="1:26" s="69" customFormat="1" ht="15" customHeight="1" outlineLevel="1" collapsed="1" x14ac:dyDescent="0.3">
      <c r="A42" s="25"/>
      <c r="B42" s="14" t="str">
        <f>CONCATENATE("     ","Advertising/Promo                                 ")</f>
        <v xml:space="preserve">     Advertising/Promo                                 </v>
      </c>
      <c r="C42" s="14"/>
      <c r="D42" s="2">
        <f>SUM(OSRRefD22_2x_0)</f>
        <v>253.72</v>
      </c>
      <c r="E42" s="2"/>
      <c r="F42" s="6">
        <f t="shared" si="0"/>
        <v>0</v>
      </c>
      <c r="G42" s="2"/>
      <c r="H42" s="2">
        <f>SUM(OSRRefH22_2x_0)</f>
        <v>817</v>
      </c>
      <c r="I42" s="2"/>
      <c r="J42" s="6">
        <f t="shared" si="1"/>
        <v>0</v>
      </c>
      <c r="K42" s="2"/>
      <c r="L42" s="2">
        <f t="shared" si="2"/>
        <v>-563.28</v>
      </c>
      <c r="M42" s="2"/>
      <c r="N42" s="6">
        <f t="shared" si="3"/>
        <v>-0.6894492044063647</v>
      </c>
      <c r="O42" s="14"/>
      <c r="P42" s="2">
        <f>SUM(OSRRefP22_2x_0)</f>
        <v>4003.67</v>
      </c>
      <c r="Q42" s="2"/>
      <c r="R42" s="6">
        <f t="shared" si="4"/>
        <v>0</v>
      </c>
      <c r="S42" s="2"/>
      <c r="T42" s="2">
        <f>SUM(OSRRefT22_2x_0)</f>
        <v>6953</v>
      </c>
      <c r="U42" s="2"/>
      <c r="V42" s="6">
        <f t="shared" si="5"/>
        <v>0</v>
      </c>
      <c r="W42" s="2"/>
      <c r="X42" s="2">
        <f t="shared" si="6"/>
        <v>-2949.33</v>
      </c>
      <c r="Y42" s="2"/>
      <c r="Z42" s="6">
        <f t="shared" si="7"/>
        <v>-0.42418092909535449</v>
      </c>
    </row>
    <row r="43" spans="1:26" s="70" customFormat="1" ht="15" hidden="1" customHeight="1" outlineLevel="2" x14ac:dyDescent="0.3">
      <c r="A43" s="26"/>
      <c r="B43" s="12" t="str">
        <f>CONCATENATE("          ","6362"," - ","ADVERTISING EXPENSE")</f>
        <v xml:space="preserve">          6362 - ADVERTISING EXPENSE</v>
      </c>
      <c r="C43" s="12"/>
      <c r="D43" s="7">
        <v>253.72</v>
      </c>
      <c r="E43" s="3"/>
      <c r="F43" s="8">
        <f t="shared" si="0"/>
        <v>0</v>
      </c>
      <c r="G43" s="3"/>
      <c r="H43" s="7">
        <v>817</v>
      </c>
      <c r="I43" s="3"/>
      <c r="J43" s="8">
        <f t="shared" si="1"/>
        <v>0</v>
      </c>
      <c r="K43" s="3"/>
      <c r="L43" s="7">
        <f t="shared" si="2"/>
        <v>-563.28</v>
      </c>
      <c r="M43" s="3"/>
      <c r="N43" s="8">
        <f t="shared" si="3"/>
        <v>-0.6894492044063647</v>
      </c>
      <c r="O43" s="12"/>
      <c r="P43" s="7">
        <v>4003.67</v>
      </c>
      <c r="Q43" s="3"/>
      <c r="R43" s="8">
        <f t="shared" si="4"/>
        <v>0</v>
      </c>
      <c r="S43" s="3"/>
      <c r="T43" s="7">
        <v>6953</v>
      </c>
      <c r="U43" s="3"/>
      <c r="V43" s="8">
        <f t="shared" si="5"/>
        <v>0</v>
      </c>
      <c r="W43" s="3"/>
      <c r="X43" s="7">
        <f t="shared" si="6"/>
        <v>-2949.33</v>
      </c>
      <c r="Y43" s="3"/>
      <c r="Z43" s="8">
        <f t="shared" si="7"/>
        <v>-0.42418092909535449</v>
      </c>
    </row>
    <row r="44" spans="1:26" s="69" customFormat="1" ht="15" customHeight="1" outlineLevel="1" collapsed="1" x14ac:dyDescent="0.3">
      <c r="A44" s="25"/>
      <c r="B44" s="14" t="str">
        <f>CONCATENATE("     ","Bank/card Fees                                    ")</f>
        <v xml:space="preserve">     Bank/card Fees                                    </v>
      </c>
      <c r="C44" s="14"/>
      <c r="D44" s="2">
        <f>SUM(OSRRefD22_3x_0)</f>
        <v>272.95</v>
      </c>
      <c r="E44" s="2"/>
      <c r="F44" s="6">
        <f t="shared" si="0"/>
        <v>0</v>
      </c>
      <c r="G44" s="2"/>
      <c r="H44" s="2">
        <f>SUM(OSRRefH22_3x_0)</f>
        <v>2000</v>
      </c>
      <c r="I44" s="2"/>
      <c r="J44" s="6">
        <f t="shared" si="1"/>
        <v>0</v>
      </c>
      <c r="K44" s="2"/>
      <c r="L44" s="2">
        <f t="shared" si="2"/>
        <v>-1727.05</v>
      </c>
      <c r="M44" s="2"/>
      <c r="N44" s="6">
        <f t="shared" si="3"/>
        <v>-0.86352499999999999</v>
      </c>
      <c r="O44" s="14"/>
      <c r="P44" s="2">
        <f>SUM(OSRRefP22_3x_0)</f>
        <v>9808.7800000000007</v>
      </c>
      <c r="Q44" s="2"/>
      <c r="R44" s="6">
        <f t="shared" si="4"/>
        <v>0</v>
      </c>
      <c r="S44" s="2"/>
      <c r="T44" s="2">
        <f>SUM(OSRRefT22_3x_0)</f>
        <v>31000</v>
      </c>
      <c r="U44" s="2"/>
      <c r="V44" s="6">
        <f t="shared" si="5"/>
        <v>0</v>
      </c>
      <c r="W44" s="2"/>
      <c r="X44" s="2">
        <f t="shared" si="6"/>
        <v>-21191.22</v>
      </c>
      <c r="Y44" s="2"/>
      <c r="Z44" s="6">
        <f t="shared" si="7"/>
        <v>-0.68358774193548388</v>
      </c>
    </row>
    <row r="45" spans="1:26" s="70" customFormat="1" ht="15" hidden="1" customHeight="1" outlineLevel="2" x14ac:dyDescent="0.3">
      <c r="A45" s="26"/>
      <c r="B45" s="12" t="str">
        <f>CONCATENATE("          ","6381"," - ","BANK/CREDIT CARD FEES")</f>
        <v xml:space="preserve">          6381 - BANK/CREDIT CARD FEES</v>
      </c>
      <c r="C45" s="12"/>
      <c r="D45" s="7">
        <v>272.95</v>
      </c>
      <c r="E45" s="3"/>
      <c r="F45" s="8">
        <f t="shared" si="0"/>
        <v>0</v>
      </c>
      <c r="G45" s="3"/>
      <c r="H45" s="7">
        <v>2000</v>
      </c>
      <c r="I45" s="3"/>
      <c r="J45" s="8">
        <f t="shared" si="1"/>
        <v>0</v>
      </c>
      <c r="K45" s="3"/>
      <c r="L45" s="7">
        <f t="shared" si="2"/>
        <v>-1727.05</v>
      </c>
      <c r="M45" s="3"/>
      <c r="N45" s="8">
        <f t="shared" si="3"/>
        <v>-0.86352499999999999</v>
      </c>
      <c r="O45" s="12"/>
      <c r="P45" s="7">
        <v>9808.7800000000007</v>
      </c>
      <c r="Q45" s="3"/>
      <c r="R45" s="8">
        <f t="shared" si="4"/>
        <v>0</v>
      </c>
      <c r="S45" s="3"/>
      <c r="T45" s="7">
        <v>31000</v>
      </c>
      <c r="U45" s="3"/>
      <c r="V45" s="8">
        <f t="shared" si="5"/>
        <v>0</v>
      </c>
      <c r="W45" s="3"/>
      <c r="X45" s="7">
        <f t="shared" si="6"/>
        <v>-21191.22</v>
      </c>
      <c r="Y45" s="3"/>
      <c r="Z45" s="8">
        <f t="shared" si="7"/>
        <v>-0.68358774193548388</v>
      </c>
    </row>
    <row r="46" spans="1:26" s="69" customFormat="1" ht="15" customHeight="1" outlineLevel="1" collapsed="1" x14ac:dyDescent="0.3">
      <c r="A46" s="25"/>
      <c r="B46" s="14" t="str">
        <f>CONCATENATE("     ","Board                                             ")</f>
        <v xml:space="preserve">     Board                                             </v>
      </c>
      <c r="C46" s="14"/>
      <c r="D46" s="2">
        <f>SUM(OSRRefD22_4x_0)</f>
        <v>4257.28</v>
      </c>
      <c r="E46" s="2"/>
      <c r="F46" s="6">
        <f t="shared" si="0"/>
        <v>0</v>
      </c>
      <c r="G46" s="2"/>
      <c r="H46" s="2">
        <f>SUM(OSRRefH22_4x_0)</f>
        <v>1508</v>
      </c>
      <c r="I46" s="2"/>
      <c r="J46" s="6">
        <f t="shared" si="1"/>
        <v>0</v>
      </c>
      <c r="K46" s="2"/>
      <c r="L46" s="2">
        <f t="shared" si="2"/>
        <v>2749.2799999999997</v>
      </c>
      <c r="M46" s="2"/>
      <c r="N46" s="6">
        <f t="shared" si="3"/>
        <v>1.823129973474801</v>
      </c>
      <c r="O46" s="14"/>
      <c r="P46" s="2">
        <f>SUM(OSRRefP22_4x_0)</f>
        <v>14343.02</v>
      </c>
      <c r="Q46" s="2"/>
      <c r="R46" s="6">
        <f t="shared" si="4"/>
        <v>0</v>
      </c>
      <c r="S46" s="2"/>
      <c r="T46" s="2">
        <f>SUM(OSRRefT22_4x_0)</f>
        <v>15072</v>
      </c>
      <c r="U46" s="2"/>
      <c r="V46" s="6">
        <f t="shared" si="5"/>
        <v>0</v>
      </c>
      <c r="W46" s="2"/>
      <c r="X46" s="2">
        <f t="shared" si="6"/>
        <v>-728.97999999999956</v>
      </c>
      <c r="Y46" s="2"/>
      <c r="Z46" s="6">
        <f t="shared" si="7"/>
        <v>-4.8366507430997845E-2</v>
      </c>
    </row>
    <row r="47" spans="1:26" s="70" customFormat="1" ht="15" hidden="1" customHeight="1" outlineLevel="2" x14ac:dyDescent="0.3">
      <c r="A47" s="26"/>
      <c r="B47" s="12" t="str">
        <f>CONCATENATE("          ","6397"," - ","BOARD EXPENSES")</f>
        <v xml:space="preserve">          6397 - BOARD EXPENSES</v>
      </c>
      <c r="C47" s="12"/>
      <c r="D47" s="7">
        <v>4257.28</v>
      </c>
      <c r="E47" s="3"/>
      <c r="F47" s="8">
        <f t="shared" si="0"/>
        <v>0</v>
      </c>
      <c r="G47" s="3"/>
      <c r="H47" s="7">
        <v>1508</v>
      </c>
      <c r="I47" s="3"/>
      <c r="J47" s="8">
        <f t="shared" si="1"/>
        <v>0</v>
      </c>
      <c r="K47" s="3"/>
      <c r="L47" s="7">
        <f t="shared" si="2"/>
        <v>2749.2799999999997</v>
      </c>
      <c r="M47" s="3"/>
      <c r="N47" s="8">
        <f t="shared" si="3"/>
        <v>1.823129973474801</v>
      </c>
      <c r="O47" s="12"/>
      <c r="P47" s="7">
        <v>14343.02</v>
      </c>
      <c r="Q47" s="3"/>
      <c r="R47" s="8">
        <f t="shared" si="4"/>
        <v>0</v>
      </c>
      <c r="S47" s="3"/>
      <c r="T47" s="7">
        <v>15072</v>
      </c>
      <c r="U47" s="3"/>
      <c r="V47" s="8">
        <f t="shared" si="5"/>
        <v>0</v>
      </c>
      <c r="W47" s="3"/>
      <c r="X47" s="7">
        <f t="shared" si="6"/>
        <v>-728.97999999999956</v>
      </c>
      <c r="Y47" s="3"/>
      <c r="Z47" s="8">
        <f t="shared" si="7"/>
        <v>-4.8366507430997845E-2</v>
      </c>
    </row>
    <row r="48" spans="1:26" s="69" customFormat="1" ht="15" customHeight="1" outlineLevel="1" collapsed="1" x14ac:dyDescent="0.3">
      <c r="A48" s="25"/>
      <c r="B48" s="14" t="str">
        <f>CONCATENATE("     ","Depreciation                                      ")</f>
        <v xml:space="preserve">     Depreciation                                      </v>
      </c>
      <c r="C48" s="14"/>
      <c r="D48" s="2">
        <f>SUM(OSRRefD22_5x_0)</f>
        <v>2455.7600000000002</v>
      </c>
      <c r="E48" s="2"/>
      <c r="F48" s="6">
        <f t="shared" si="0"/>
        <v>0</v>
      </c>
      <c r="G48" s="2"/>
      <c r="H48" s="2">
        <f>SUM(OSRRefH22_5x_0)</f>
        <v>2414</v>
      </c>
      <c r="I48" s="2"/>
      <c r="J48" s="6">
        <f t="shared" si="1"/>
        <v>0</v>
      </c>
      <c r="K48" s="2"/>
      <c r="L48" s="2">
        <f t="shared" si="2"/>
        <v>41.760000000000218</v>
      </c>
      <c r="M48" s="2"/>
      <c r="N48" s="6">
        <f t="shared" si="3"/>
        <v>1.7299088649544415E-2</v>
      </c>
      <c r="O48" s="14"/>
      <c r="P48" s="2">
        <f>SUM(OSRRefP22_5x_0)</f>
        <v>43445.279999999999</v>
      </c>
      <c r="Q48" s="2"/>
      <c r="R48" s="6">
        <f t="shared" si="4"/>
        <v>0</v>
      </c>
      <c r="S48" s="2"/>
      <c r="T48" s="2">
        <f>SUM(OSRRefT22_5x_0)</f>
        <v>43069</v>
      </c>
      <c r="U48" s="2"/>
      <c r="V48" s="6">
        <f t="shared" si="5"/>
        <v>0</v>
      </c>
      <c r="W48" s="2"/>
      <c r="X48" s="2">
        <f t="shared" si="6"/>
        <v>376.27999999999884</v>
      </c>
      <c r="Y48" s="2"/>
      <c r="Z48" s="6">
        <f t="shared" si="7"/>
        <v>8.7366783533399626E-3</v>
      </c>
    </row>
    <row r="49" spans="1:26" s="70" customFormat="1" ht="15" hidden="1" customHeight="1" outlineLevel="2" x14ac:dyDescent="0.3">
      <c r="A49" s="26"/>
      <c r="B49" s="12" t="str">
        <f>CONCATENATE("          ","6322"," - ","EQUIPMENT DEPRECIATION EXPENSE")</f>
        <v xml:space="preserve">          6322 - EQUIPMENT DEPRECIATION EXPENSE</v>
      </c>
      <c r="C49" s="12"/>
      <c r="D49" s="7">
        <v>2455.7600000000002</v>
      </c>
      <c r="E49" s="3"/>
      <c r="F49" s="8">
        <f t="shared" si="0"/>
        <v>0</v>
      </c>
      <c r="G49" s="3"/>
      <c r="H49" s="7">
        <v>1914</v>
      </c>
      <c r="I49" s="3"/>
      <c r="J49" s="8">
        <f t="shared" si="1"/>
        <v>0</v>
      </c>
      <c r="K49" s="3"/>
      <c r="L49" s="7">
        <f t="shared" si="2"/>
        <v>541.76000000000022</v>
      </c>
      <c r="M49" s="3"/>
      <c r="N49" s="8">
        <f t="shared" si="3"/>
        <v>0.28305120167189146</v>
      </c>
      <c r="O49" s="12"/>
      <c r="P49" s="7">
        <v>43445.279999999999</v>
      </c>
      <c r="Q49" s="3"/>
      <c r="R49" s="8">
        <f t="shared" si="4"/>
        <v>0</v>
      </c>
      <c r="S49" s="3"/>
      <c r="T49" s="7">
        <v>38569</v>
      </c>
      <c r="U49" s="3"/>
      <c r="V49" s="8">
        <f t="shared" si="5"/>
        <v>0</v>
      </c>
      <c r="W49" s="3"/>
      <c r="X49" s="7">
        <f t="shared" si="6"/>
        <v>4876.2799999999988</v>
      </c>
      <c r="Y49" s="3"/>
      <c r="Z49" s="8">
        <f t="shared" si="7"/>
        <v>0.12643003448365264</v>
      </c>
    </row>
    <row r="50" spans="1:26" s="70" customFormat="1" ht="15" hidden="1" customHeight="1" outlineLevel="2" x14ac:dyDescent="0.3">
      <c r="A50" s="26"/>
      <c r="B50" s="12" t="str">
        <f>CONCATENATE("          ","6324"," - ","FURNITURE + FIXT DEPRECIATION")</f>
        <v xml:space="preserve">          6324 - FURNITURE + FIXT DEPRECIATION</v>
      </c>
      <c r="C50" s="12"/>
      <c r="D50" s="7"/>
      <c r="E50" s="3"/>
      <c r="F50" s="8">
        <f t="shared" ref="F50:F81" si="8">IF(D$12=0,0,D50/D$12)</f>
        <v>0</v>
      </c>
      <c r="G50" s="3"/>
      <c r="H50" s="7">
        <v>500</v>
      </c>
      <c r="I50" s="3"/>
      <c r="J50" s="8">
        <f t="shared" ref="J50:J81" si="9">IF(H$12=0,0,H50/H$12)</f>
        <v>0</v>
      </c>
      <c r="K50" s="3"/>
      <c r="L50" s="7">
        <f t="shared" ref="L50:L81" si="10">+D50-H50</f>
        <v>-500</v>
      </c>
      <c r="M50" s="3"/>
      <c r="N50" s="8">
        <f t="shared" ref="N50:N81" si="11">IF(H50=0,0,L50/H50)</f>
        <v>-1</v>
      </c>
      <c r="O50" s="12"/>
      <c r="P50" s="7"/>
      <c r="Q50" s="3"/>
      <c r="R50" s="8">
        <f t="shared" ref="R50:R81" si="12">IF(P$12=0,0,P50/P$12)</f>
        <v>0</v>
      </c>
      <c r="S50" s="3"/>
      <c r="T50" s="7">
        <v>4500</v>
      </c>
      <c r="U50" s="3"/>
      <c r="V50" s="8">
        <f t="shared" ref="V50:V81" si="13">IF(T$12=0,0,T50/T$12)</f>
        <v>0</v>
      </c>
      <c r="W50" s="3"/>
      <c r="X50" s="7">
        <f t="shared" ref="X50:X81" si="14">+P50-T50</f>
        <v>-4500</v>
      </c>
      <c r="Y50" s="3"/>
      <c r="Z50" s="8">
        <f t="shared" ref="Z50:Z81" si="15">IF(T50=0,0,X50/T50)</f>
        <v>-1</v>
      </c>
    </row>
    <row r="51" spans="1:26" s="69" customFormat="1" ht="15" customHeight="1" outlineLevel="1" collapsed="1" x14ac:dyDescent="0.3">
      <c r="A51" s="25"/>
      <c r="B51" s="14" t="str">
        <f>CONCATENATE("     ","Donations                                         ")</f>
        <v xml:space="preserve">     Donations                                         </v>
      </c>
      <c r="C51" s="14"/>
      <c r="D51" s="2">
        <f>SUM(OSRRefD22_6x_0)</f>
        <v>0</v>
      </c>
      <c r="E51" s="2"/>
      <c r="F51" s="6">
        <f t="shared" si="8"/>
        <v>0</v>
      </c>
      <c r="G51" s="2"/>
      <c r="H51" s="2">
        <f>SUM(OSRRefH22_6x_0)</f>
        <v>500</v>
      </c>
      <c r="I51" s="2"/>
      <c r="J51" s="6">
        <f t="shared" si="9"/>
        <v>0</v>
      </c>
      <c r="K51" s="2"/>
      <c r="L51" s="2">
        <f t="shared" si="10"/>
        <v>-500</v>
      </c>
      <c r="M51" s="2"/>
      <c r="N51" s="6">
        <f t="shared" si="11"/>
        <v>-1</v>
      </c>
      <c r="O51" s="14"/>
      <c r="P51" s="2">
        <f>SUM(OSRRefP22_6x_0)</f>
        <v>25300</v>
      </c>
      <c r="Q51" s="2"/>
      <c r="R51" s="6">
        <f t="shared" si="12"/>
        <v>0</v>
      </c>
      <c r="S51" s="2"/>
      <c r="T51" s="2">
        <f>SUM(OSRRefT22_6x_0)</f>
        <v>53450</v>
      </c>
      <c r="U51" s="2"/>
      <c r="V51" s="6">
        <f t="shared" si="13"/>
        <v>0</v>
      </c>
      <c r="W51" s="2"/>
      <c r="X51" s="2">
        <f t="shared" si="14"/>
        <v>-28150</v>
      </c>
      <c r="Y51" s="2"/>
      <c r="Z51" s="6">
        <f t="shared" si="15"/>
        <v>-0.52666043030869969</v>
      </c>
    </row>
    <row r="52" spans="1:26" s="70" customFormat="1" ht="15" hidden="1" customHeight="1" outlineLevel="2" x14ac:dyDescent="0.3">
      <c r="A52" s="26"/>
      <c r="B52" s="12" t="str">
        <f>CONCATENATE("          ","6399"," - ","DONATION-ON CAMPUS")</f>
        <v xml:space="preserve">          6399 - DONATION-ON CAMPUS</v>
      </c>
      <c r="C52" s="12"/>
      <c r="D52" s="7"/>
      <c r="E52" s="3"/>
      <c r="F52" s="8">
        <f t="shared" si="8"/>
        <v>0</v>
      </c>
      <c r="G52" s="3"/>
      <c r="H52" s="7">
        <v>500</v>
      </c>
      <c r="I52" s="3"/>
      <c r="J52" s="8">
        <f t="shared" si="9"/>
        <v>0</v>
      </c>
      <c r="K52" s="3"/>
      <c r="L52" s="7">
        <f t="shared" si="10"/>
        <v>-500</v>
      </c>
      <c r="M52" s="3"/>
      <c r="N52" s="8">
        <f t="shared" si="11"/>
        <v>-1</v>
      </c>
      <c r="O52" s="12"/>
      <c r="P52" s="7">
        <v>25300</v>
      </c>
      <c r="Q52" s="3"/>
      <c r="R52" s="8">
        <f t="shared" si="12"/>
        <v>0</v>
      </c>
      <c r="S52" s="3"/>
      <c r="T52" s="7">
        <v>53450</v>
      </c>
      <c r="U52" s="3"/>
      <c r="V52" s="8">
        <f t="shared" si="13"/>
        <v>0</v>
      </c>
      <c r="W52" s="3"/>
      <c r="X52" s="7">
        <f t="shared" si="14"/>
        <v>-28150</v>
      </c>
      <c r="Y52" s="3"/>
      <c r="Z52" s="8">
        <f t="shared" si="15"/>
        <v>-0.52666043030869969</v>
      </c>
    </row>
    <row r="53" spans="1:26" s="69" customFormat="1" ht="15" customHeight="1" outlineLevel="1" collapsed="1" x14ac:dyDescent="0.3">
      <c r="A53" s="25"/>
      <c r="B53" s="14" t="str">
        <f>CONCATENATE("     ","Employees' Appreciation                           ")</f>
        <v xml:space="preserve">     Employees' Appreciation                           </v>
      </c>
      <c r="C53" s="14"/>
      <c r="D53" s="2">
        <f>SUM(OSRRefD22_7x_0)</f>
        <v>114.87</v>
      </c>
      <c r="E53" s="2"/>
      <c r="F53" s="6">
        <f t="shared" si="8"/>
        <v>0</v>
      </c>
      <c r="G53" s="2"/>
      <c r="H53" s="2">
        <f>SUM(OSRRefH22_7x_0)</f>
        <v>250</v>
      </c>
      <c r="I53" s="2"/>
      <c r="J53" s="6">
        <f t="shared" si="9"/>
        <v>0</v>
      </c>
      <c r="K53" s="2"/>
      <c r="L53" s="2">
        <f t="shared" si="10"/>
        <v>-135.13</v>
      </c>
      <c r="M53" s="2"/>
      <c r="N53" s="6">
        <f t="shared" si="11"/>
        <v>-0.54052</v>
      </c>
      <c r="O53" s="14"/>
      <c r="P53" s="2">
        <f>SUM(OSRRefP22_7x_0)</f>
        <v>758.47</v>
      </c>
      <c r="Q53" s="2"/>
      <c r="R53" s="6">
        <f t="shared" si="12"/>
        <v>0</v>
      </c>
      <c r="S53" s="2"/>
      <c r="T53" s="2">
        <f>SUM(OSRRefT22_7x_0)</f>
        <v>5750</v>
      </c>
      <c r="U53" s="2"/>
      <c r="V53" s="6">
        <f t="shared" si="13"/>
        <v>0</v>
      </c>
      <c r="W53" s="2"/>
      <c r="X53" s="2">
        <f t="shared" si="14"/>
        <v>-4991.53</v>
      </c>
      <c r="Y53" s="2"/>
      <c r="Z53" s="6">
        <f t="shared" si="15"/>
        <v>-0.86809217391304339</v>
      </c>
    </row>
    <row r="54" spans="1:26" s="70" customFormat="1" ht="15" hidden="1" customHeight="1" outlineLevel="2" x14ac:dyDescent="0.3">
      <c r="A54" s="26"/>
      <c r="B54" s="12" t="str">
        <f>CONCATENATE("          ","6277"," - ","EMPLOYEE APPRECIATION")</f>
        <v xml:space="preserve">          6277 - EMPLOYEE APPRECIATION</v>
      </c>
      <c r="C54" s="12"/>
      <c r="D54" s="7">
        <v>114.87</v>
      </c>
      <c r="E54" s="3"/>
      <c r="F54" s="8">
        <f t="shared" si="8"/>
        <v>0</v>
      </c>
      <c r="G54" s="3"/>
      <c r="H54" s="7">
        <v>250</v>
      </c>
      <c r="I54" s="3"/>
      <c r="J54" s="8">
        <f t="shared" si="9"/>
        <v>0</v>
      </c>
      <c r="K54" s="3"/>
      <c r="L54" s="7">
        <f t="shared" si="10"/>
        <v>-135.13</v>
      </c>
      <c r="M54" s="3"/>
      <c r="N54" s="8">
        <f t="shared" si="11"/>
        <v>-0.54052</v>
      </c>
      <c r="O54" s="12"/>
      <c r="P54" s="7">
        <v>758.47</v>
      </c>
      <c r="Q54" s="3"/>
      <c r="R54" s="8">
        <f t="shared" si="12"/>
        <v>0</v>
      </c>
      <c r="S54" s="3"/>
      <c r="T54" s="7">
        <v>5750</v>
      </c>
      <c r="U54" s="3"/>
      <c r="V54" s="8">
        <f t="shared" si="13"/>
        <v>0</v>
      </c>
      <c r="W54" s="3"/>
      <c r="X54" s="7">
        <f t="shared" si="14"/>
        <v>-4991.53</v>
      </c>
      <c r="Y54" s="3"/>
      <c r="Z54" s="8">
        <f t="shared" si="15"/>
        <v>-0.86809217391304339</v>
      </c>
    </row>
    <row r="55" spans="1:26" s="69" customFormat="1" ht="15" customHeight="1" outlineLevel="1" collapsed="1" x14ac:dyDescent="0.3">
      <c r="A55" s="25"/>
      <c r="B55" s="14" t="str">
        <f>CONCATENATE("     ","Equipment Rental                                  ")</f>
        <v xml:space="preserve">     Equipment Rental                                  </v>
      </c>
      <c r="C55" s="14"/>
      <c r="D55" s="2">
        <f>SUM(OSRRefD22_8x_0)</f>
        <v>208.97</v>
      </c>
      <c r="E55" s="2"/>
      <c r="F55" s="6">
        <f t="shared" si="8"/>
        <v>0</v>
      </c>
      <c r="G55" s="2"/>
      <c r="H55" s="2">
        <f>SUM(OSRRefH22_8x_0)</f>
        <v>284</v>
      </c>
      <c r="I55" s="2"/>
      <c r="J55" s="6">
        <f t="shared" si="9"/>
        <v>0</v>
      </c>
      <c r="K55" s="2"/>
      <c r="L55" s="2">
        <f t="shared" si="10"/>
        <v>-75.03</v>
      </c>
      <c r="M55" s="2"/>
      <c r="N55" s="6">
        <f t="shared" si="11"/>
        <v>-0.26419014084507042</v>
      </c>
      <c r="O55" s="14"/>
      <c r="P55" s="2">
        <f>SUM(OSRRefP22_8x_0)</f>
        <v>1880.73</v>
      </c>
      <c r="Q55" s="2"/>
      <c r="R55" s="6">
        <f t="shared" si="12"/>
        <v>0</v>
      </c>
      <c r="S55" s="2"/>
      <c r="T55" s="2">
        <f>SUM(OSRRefT22_8x_0)</f>
        <v>2556</v>
      </c>
      <c r="U55" s="2"/>
      <c r="V55" s="6">
        <f t="shared" si="13"/>
        <v>0</v>
      </c>
      <c r="W55" s="2"/>
      <c r="X55" s="2">
        <f t="shared" si="14"/>
        <v>-675.27</v>
      </c>
      <c r="Y55" s="2"/>
      <c r="Z55" s="6">
        <f t="shared" si="15"/>
        <v>-0.26419014084507042</v>
      </c>
    </row>
    <row r="56" spans="1:26" s="70" customFormat="1" ht="15" hidden="1" customHeight="1" outlineLevel="2" x14ac:dyDescent="0.3">
      <c r="A56" s="26"/>
      <c r="B56" s="12" t="str">
        <f>CONCATENATE("          ","6351"," - ","EQUIPMENT RENTAL")</f>
        <v xml:space="preserve">          6351 - EQUIPMENT RENTAL</v>
      </c>
      <c r="C56" s="12"/>
      <c r="D56" s="7">
        <v>208.97</v>
      </c>
      <c r="E56" s="3"/>
      <c r="F56" s="8">
        <f t="shared" si="8"/>
        <v>0</v>
      </c>
      <c r="G56" s="3"/>
      <c r="H56" s="7">
        <v>284</v>
      </c>
      <c r="I56" s="3"/>
      <c r="J56" s="8">
        <f t="shared" si="9"/>
        <v>0</v>
      </c>
      <c r="K56" s="3"/>
      <c r="L56" s="7">
        <f t="shared" si="10"/>
        <v>-75.03</v>
      </c>
      <c r="M56" s="3"/>
      <c r="N56" s="8">
        <f t="shared" si="11"/>
        <v>-0.26419014084507042</v>
      </c>
      <c r="O56" s="12"/>
      <c r="P56" s="7">
        <v>1880.73</v>
      </c>
      <c r="Q56" s="3"/>
      <c r="R56" s="8">
        <f t="shared" si="12"/>
        <v>0</v>
      </c>
      <c r="S56" s="3"/>
      <c r="T56" s="7">
        <v>2556</v>
      </c>
      <c r="U56" s="3"/>
      <c r="V56" s="8">
        <f t="shared" si="13"/>
        <v>0</v>
      </c>
      <c r="W56" s="3"/>
      <c r="X56" s="7">
        <f t="shared" si="14"/>
        <v>-675.27</v>
      </c>
      <c r="Y56" s="3"/>
      <c r="Z56" s="8">
        <f t="shared" si="15"/>
        <v>-0.26419014084507042</v>
      </c>
    </row>
    <row r="57" spans="1:26" s="69" customFormat="1" ht="15" customHeight="1" outlineLevel="1" collapsed="1" x14ac:dyDescent="0.3">
      <c r="A57" s="25"/>
      <c r="B57" s="14" t="str">
        <f>CONCATENATE("     ","Freight out/Postage                               ")</f>
        <v xml:space="preserve">     Freight out/Postage                               </v>
      </c>
      <c r="C57" s="14"/>
      <c r="D57" s="2">
        <f>SUM(OSRRefD22_9x_0)</f>
        <v>186.9</v>
      </c>
      <c r="E57" s="2"/>
      <c r="F57" s="6">
        <f t="shared" si="8"/>
        <v>0</v>
      </c>
      <c r="G57" s="2"/>
      <c r="H57" s="2">
        <f>SUM(OSRRefH22_9x_0)</f>
        <v>285</v>
      </c>
      <c r="I57" s="2"/>
      <c r="J57" s="6">
        <f t="shared" si="9"/>
        <v>0</v>
      </c>
      <c r="K57" s="2"/>
      <c r="L57" s="2">
        <f t="shared" si="10"/>
        <v>-98.1</v>
      </c>
      <c r="M57" s="2"/>
      <c r="N57" s="6">
        <f t="shared" si="11"/>
        <v>-0.34421052631578947</v>
      </c>
      <c r="O57" s="14"/>
      <c r="P57" s="2">
        <f>SUM(OSRRefP22_9x_0)</f>
        <v>1497.61</v>
      </c>
      <c r="Q57" s="2"/>
      <c r="R57" s="6">
        <f t="shared" si="12"/>
        <v>0</v>
      </c>
      <c r="S57" s="2"/>
      <c r="T57" s="2">
        <f>SUM(OSRRefT22_9x_0)</f>
        <v>2000</v>
      </c>
      <c r="U57" s="2"/>
      <c r="V57" s="6">
        <f t="shared" si="13"/>
        <v>0</v>
      </c>
      <c r="W57" s="2"/>
      <c r="X57" s="2">
        <f t="shared" si="14"/>
        <v>-502.3900000000001</v>
      </c>
      <c r="Y57" s="2"/>
      <c r="Z57" s="6">
        <f t="shared" si="15"/>
        <v>-0.25119500000000006</v>
      </c>
    </row>
    <row r="58" spans="1:26" s="70" customFormat="1" ht="15" hidden="1" customHeight="1" outlineLevel="2" x14ac:dyDescent="0.3">
      <c r="A58" s="26"/>
      <c r="B58" s="12" t="str">
        <f>CONCATENATE("          ","6307"," - ","POSTAGE")</f>
        <v xml:space="preserve">          6307 - POSTAGE</v>
      </c>
      <c r="C58" s="12"/>
      <c r="D58" s="7">
        <v>186.9</v>
      </c>
      <c r="E58" s="3"/>
      <c r="F58" s="8">
        <f t="shared" si="8"/>
        <v>0</v>
      </c>
      <c r="G58" s="3"/>
      <c r="H58" s="7">
        <v>285</v>
      </c>
      <c r="I58" s="3"/>
      <c r="J58" s="8">
        <f t="shared" si="9"/>
        <v>0</v>
      </c>
      <c r="K58" s="3"/>
      <c r="L58" s="7">
        <f t="shared" si="10"/>
        <v>-98.1</v>
      </c>
      <c r="M58" s="3"/>
      <c r="N58" s="8">
        <f t="shared" si="11"/>
        <v>-0.34421052631578947</v>
      </c>
      <c r="O58" s="12"/>
      <c r="P58" s="7">
        <v>1497.61</v>
      </c>
      <c r="Q58" s="3"/>
      <c r="R58" s="8">
        <f t="shared" si="12"/>
        <v>0</v>
      </c>
      <c r="S58" s="3"/>
      <c r="T58" s="7">
        <v>2000</v>
      </c>
      <c r="U58" s="3"/>
      <c r="V58" s="8">
        <f t="shared" si="13"/>
        <v>0</v>
      </c>
      <c r="W58" s="3"/>
      <c r="X58" s="7">
        <f t="shared" si="14"/>
        <v>-502.3900000000001</v>
      </c>
      <c r="Y58" s="3"/>
      <c r="Z58" s="8">
        <f t="shared" si="15"/>
        <v>-0.25119500000000006</v>
      </c>
    </row>
    <row r="59" spans="1:26" s="69" customFormat="1" ht="15" customHeight="1" outlineLevel="1" collapsed="1" x14ac:dyDescent="0.3">
      <c r="A59" s="25"/>
      <c r="B59" s="14" t="str">
        <f>CONCATENATE("     ","General                                           ")</f>
        <v xml:space="preserve">     General                                           </v>
      </c>
      <c r="C59" s="14"/>
      <c r="D59" s="2">
        <f>SUM(OSRRefD22_10x_0)</f>
        <v>-653.15</v>
      </c>
      <c r="E59" s="2"/>
      <c r="F59" s="6">
        <f t="shared" si="8"/>
        <v>0</v>
      </c>
      <c r="G59" s="2"/>
      <c r="H59" s="2">
        <f>SUM(OSRRefH22_10x_0)</f>
        <v>-150</v>
      </c>
      <c r="I59" s="2"/>
      <c r="J59" s="6">
        <f t="shared" si="9"/>
        <v>0</v>
      </c>
      <c r="K59" s="2"/>
      <c r="L59" s="2">
        <f t="shared" si="10"/>
        <v>-503.15</v>
      </c>
      <c r="M59" s="2"/>
      <c r="N59" s="6">
        <f t="shared" si="11"/>
        <v>3.3543333333333334</v>
      </c>
      <c r="O59" s="14"/>
      <c r="P59" s="2">
        <f>SUM(OSRRefP22_10x_0)</f>
        <v>1229.53</v>
      </c>
      <c r="Q59" s="2"/>
      <c r="R59" s="6">
        <f t="shared" si="12"/>
        <v>0</v>
      </c>
      <c r="S59" s="2"/>
      <c r="T59" s="2">
        <f>SUM(OSRRefT22_10x_0)</f>
        <v>-750</v>
      </c>
      <c r="U59" s="2"/>
      <c r="V59" s="6">
        <f t="shared" si="13"/>
        <v>0</v>
      </c>
      <c r="W59" s="2"/>
      <c r="X59" s="2">
        <f t="shared" si="14"/>
        <v>1979.53</v>
      </c>
      <c r="Y59" s="2"/>
      <c r="Z59" s="6">
        <f t="shared" si="15"/>
        <v>-2.6393733333333333</v>
      </c>
    </row>
    <row r="60" spans="1:26" s="70" customFormat="1" ht="15" hidden="1" customHeight="1" outlineLevel="2" x14ac:dyDescent="0.3">
      <c r="A60" s="26"/>
      <c r="B60" s="12" t="str">
        <f>CONCATENATE("          ","6279"," - ","GENERAL EXPENSE")</f>
        <v xml:space="preserve">          6279 - GENERAL EXPENSE</v>
      </c>
      <c r="C60" s="12"/>
      <c r="D60" s="7">
        <v>-653.15</v>
      </c>
      <c r="E60" s="3"/>
      <c r="F60" s="8">
        <f t="shared" si="8"/>
        <v>0</v>
      </c>
      <c r="G60" s="3"/>
      <c r="H60" s="7">
        <v>-150</v>
      </c>
      <c r="I60" s="3"/>
      <c r="J60" s="8">
        <f t="shared" si="9"/>
        <v>0</v>
      </c>
      <c r="K60" s="3"/>
      <c r="L60" s="7">
        <f t="shared" si="10"/>
        <v>-503.15</v>
      </c>
      <c r="M60" s="3"/>
      <c r="N60" s="8">
        <f t="shared" si="11"/>
        <v>3.3543333333333334</v>
      </c>
      <c r="O60" s="12"/>
      <c r="P60" s="7">
        <v>1229.53</v>
      </c>
      <c r="Q60" s="3"/>
      <c r="R60" s="8">
        <f t="shared" si="12"/>
        <v>0</v>
      </c>
      <c r="S60" s="3"/>
      <c r="T60" s="7">
        <v>-750</v>
      </c>
      <c r="U60" s="3"/>
      <c r="V60" s="8">
        <f t="shared" si="13"/>
        <v>0</v>
      </c>
      <c r="W60" s="3"/>
      <c r="X60" s="7">
        <f t="shared" si="14"/>
        <v>1979.53</v>
      </c>
      <c r="Y60" s="3"/>
      <c r="Z60" s="8">
        <f t="shared" si="15"/>
        <v>-2.6393733333333333</v>
      </c>
    </row>
    <row r="61" spans="1:26" s="69" customFormat="1" ht="15" customHeight="1" outlineLevel="1" collapsed="1" x14ac:dyDescent="0.3">
      <c r="A61" s="25"/>
      <c r="B61" s="14" t="str">
        <f>CONCATENATE("     ","Insurance                                         ")</f>
        <v xml:space="preserve">     Insurance                                         </v>
      </c>
      <c r="C61" s="14"/>
      <c r="D61" s="2">
        <f>SUM(OSRRefD22_11x_0)</f>
        <v>535.05999999999995</v>
      </c>
      <c r="E61" s="2"/>
      <c r="F61" s="6">
        <f t="shared" si="8"/>
        <v>0</v>
      </c>
      <c r="G61" s="2"/>
      <c r="H61" s="2">
        <f>SUM(OSRRefH22_11x_0)</f>
        <v>530</v>
      </c>
      <c r="I61" s="2"/>
      <c r="J61" s="6">
        <f t="shared" si="9"/>
        <v>0</v>
      </c>
      <c r="K61" s="2"/>
      <c r="L61" s="2">
        <f t="shared" si="10"/>
        <v>5.0599999999999454</v>
      </c>
      <c r="M61" s="2"/>
      <c r="N61" s="6">
        <f t="shared" si="11"/>
        <v>9.5471698113206525E-3</v>
      </c>
      <c r="O61" s="14"/>
      <c r="P61" s="2">
        <f>SUM(OSRRefP22_11x_0)</f>
        <v>4815.54</v>
      </c>
      <c r="Q61" s="2"/>
      <c r="R61" s="6">
        <f t="shared" si="12"/>
        <v>0</v>
      </c>
      <c r="S61" s="2"/>
      <c r="T61" s="2">
        <f>SUM(OSRRefT22_11x_0)</f>
        <v>4770</v>
      </c>
      <c r="U61" s="2"/>
      <c r="V61" s="6">
        <f t="shared" si="13"/>
        <v>0</v>
      </c>
      <c r="W61" s="2"/>
      <c r="X61" s="2">
        <f t="shared" si="14"/>
        <v>45.539999999999964</v>
      </c>
      <c r="Y61" s="2"/>
      <c r="Z61" s="6">
        <f t="shared" si="15"/>
        <v>9.5471698113207479E-3</v>
      </c>
    </row>
    <row r="62" spans="1:26" s="70" customFormat="1" ht="15" hidden="1" customHeight="1" outlineLevel="2" x14ac:dyDescent="0.3">
      <c r="A62" s="26"/>
      <c r="B62" s="12" t="str">
        <f>CONCATENATE("          ","6314"," - ","LIABILITY INSURANCE")</f>
        <v xml:space="preserve">          6314 - LIABILITY INSURANCE</v>
      </c>
      <c r="C62" s="12"/>
      <c r="D62" s="7">
        <v>535.05999999999995</v>
      </c>
      <c r="E62" s="3"/>
      <c r="F62" s="8">
        <f t="shared" si="8"/>
        <v>0</v>
      </c>
      <c r="G62" s="3"/>
      <c r="H62" s="7">
        <v>530</v>
      </c>
      <c r="I62" s="3"/>
      <c r="J62" s="8">
        <f t="shared" si="9"/>
        <v>0</v>
      </c>
      <c r="K62" s="3"/>
      <c r="L62" s="7">
        <f t="shared" si="10"/>
        <v>5.0599999999999454</v>
      </c>
      <c r="M62" s="3"/>
      <c r="N62" s="8">
        <f t="shared" si="11"/>
        <v>9.5471698113206525E-3</v>
      </c>
      <c r="O62" s="12"/>
      <c r="P62" s="7">
        <v>4815.54</v>
      </c>
      <c r="Q62" s="3"/>
      <c r="R62" s="8">
        <f t="shared" si="12"/>
        <v>0</v>
      </c>
      <c r="S62" s="3"/>
      <c r="T62" s="7">
        <v>4770</v>
      </c>
      <c r="U62" s="3"/>
      <c r="V62" s="8">
        <f t="shared" si="13"/>
        <v>0</v>
      </c>
      <c r="W62" s="3"/>
      <c r="X62" s="7">
        <f t="shared" si="14"/>
        <v>45.539999999999964</v>
      </c>
      <c r="Y62" s="3"/>
      <c r="Z62" s="8">
        <f t="shared" si="15"/>
        <v>9.5471698113207479E-3</v>
      </c>
    </row>
    <row r="63" spans="1:26" s="69" customFormat="1" ht="15" customHeight="1" outlineLevel="1" collapsed="1" x14ac:dyDescent="0.3">
      <c r="A63" s="25"/>
      <c r="B63" s="14" t="str">
        <f>CONCATENATE("     ","Professional Services                             ")</f>
        <v xml:space="preserve">     Professional Services                             </v>
      </c>
      <c r="C63" s="14"/>
      <c r="D63" s="2">
        <f>SUM(OSRRefD22_12x_0)</f>
        <v>5617.33</v>
      </c>
      <c r="E63" s="2"/>
      <c r="F63" s="6">
        <f t="shared" si="8"/>
        <v>0</v>
      </c>
      <c r="G63" s="2"/>
      <c r="H63" s="2">
        <f>SUM(OSRRefH22_12x_0)</f>
        <v>10666</v>
      </c>
      <c r="I63" s="2"/>
      <c r="J63" s="6">
        <f t="shared" si="9"/>
        <v>0</v>
      </c>
      <c r="K63" s="2"/>
      <c r="L63" s="2">
        <f t="shared" si="10"/>
        <v>-5048.67</v>
      </c>
      <c r="M63" s="2"/>
      <c r="N63" s="6">
        <f t="shared" si="11"/>
        <v>-0.47334239639977499</v>
      </c>
      <c r="O63" s="14"/>
      <c r="P63" s="2">
        <f>SUM(OSRRefP22_12x_0)</f>
        <v>99214.26</v>
      </c>
      <c r="Q63" s="2"/>
      <c r="R63" s="6">
        <f t="shared" si="12"/>
        <v>0</v>
      </c>
      <c r="S63" s="2"/>
      <c r="T63" s="2">
        <f>SUM(OSRRefT22_12x_0)</f>
        <v>132494</v>
      </c>
      <c r="U63" s="2"/>
      <c r="V63" s="6">
        <f t="shared" si="13"/>
        <v>0</v>
      </c>
      <c r="W63" s="2"/>
      <c r="X63" s="2">
        <f t="shared" si="14"/>
        <v>-33279.740000000005</v>
      </c>
      <c r="Y63" s="2"/>
      <c r="Z63" s="6">
        <f t="shared" si="15"/>
        <v>-0.25117922321010766</v>
      </c>
    </row>
    <row r="64" spans="1:26" s="70" customFormat="1" ht="15" hidden="1" customHeight="1" outlineLevel="2" x14ac:dyDescent="0.3">
      <c r="A64" s="26"/>
      <c r="B64" s="12" t="str">
        <f>CONCATENATE("          ","6331"," - ","INDIRECT COSTS-AUXILIARY ORGAN")</f>
        <v xml:space="preserve">          6331 - INDIRECT COSTS-AUXILIARY ORGAN</v>
      </c>
      <c r="C64" s="12"/>
      <c r="D64" s="7"/>
      <c r="E64" s="3"/>
      <c r="F64" s="8">
        <f t="shared" si="8"/>
        <v>0</v>
      </c>
      <c r="G64" s="3"/>
      <c r="H64" s="7">
        <v>0</v>
      </c>
      <c r="I64" s="3"/>
      <c r="J64" s="8">
        <f t="shared" si="9"/>
        <v>0</v>
      </c>
      <c r="K64" s="3"/>
      <c r="L64" s="7">
        <f t="shared" si="10"/>
        <v>0</v>
      </c>
      <c r="M64" s="3"/>
      <c r="N64" s="8">
        <f t="shared" si="11"/>
        <v>0</v>
      </c>
      <c r="O64" s="12"/>
      <c r="P64" s="7">
        <v>79513.25</v>
      </c>
      <c r="Q64" s="3"/>
      <c r="R64" s="8">
        <f t="shared" si="12"/>
        <v>0</v>
      </c>
      <c r="S64" s="3"/>
      <c r="T64" s="7">
        <v>90000</v>
      </c>
      <c r="U64" s="3"/>
      <c r="V64" s="8">
        <f t="shared" si="13"/>
        <v>0</v>
      </c>
      <c r="W64" s="3"/>
      <c r="X64" s="7">
        <f t="shared" si="14"/>
        <v>-10486.75</v>
      </c>
      <c r="Y64" s="3"/>
      <c r="Z64" s="8">
        <f t="shared" si="15"/>
        <v>-0.11651944444444444</v>
      </c>
    </row>
    <row r="65" spans="1:26" s="70" customFormat="1" ht="15" hidden="1" customHeight="1" outlineLevel="2" x14ac:dyDescent="0.3">
      <c r="A65" s="26"/>
      <c r="B65" s="12" t="str">
        <f>CONCATENATE("          ","6332"," - ","CONSULTANT FEES")</f>
        <v xml:space="preserve">          6332 - CONSULTANT FEES</v>
      </c>
      <c r="C65" s="12"/>
      <c r="D65" s="7"/>
      <c r="E65" s="3"/>
      <c r="F65" s="8">
        <f t="shared" si="8"/>
        <v>0</v>
      </c>
      <c r="G65" s="3"/>
      <c r="H65" s="7">
        <v>8000</v>
      </c>
      <c r="I65" s="3"/>
      <c r="J65" s="8">
        <f t="shared" si="9"/>
        <v>0</v>
      </c>
      <c r="K65" s="3"/>
      <c r="L65" s="7">
        <f t="shared" si="10"/>
        <v>-8000</v>
      </c>
      <c r="M65" s="3"/>
      <c r="N65" s="8">
        <f t="shared" si="11"/>
        <v>-1</v>
      </c>
      <c r="O65" s="12"/>
      <c r="P65" s="7"/>
      <c r="Q65" s="3"/>
      <c r="R65" s="8">
        <f t="shared" si="12"/>
        <v>0</v>
      </c>
      <c r="S65" s="3"/>
      <c r="T65" s="7">
        <v>19000</v>
      </c>
      <c r="U65" s="3"/>
      <c r="V65" s="8">
        <f t="shared" si="13"/>
        <v>0</v>
      </c>
      <c r="W65" s="3"/>
      <c r="X65" s="7">
        <f t="shared" si="14"/>
        <v>-19000</v>
      </c>
      <c r="Y65" s="3"/>
      <c r="Z65" s="8">
        <f t="shared" si="15"/>
        <v>-1</v>
      </c>
    </row>
    <row r="66" spans="1:26" s="70" customFormat="1" ht="15" hidden="1" customHeight="1" outlineLevel="2" x14ac:dyDescent="0.3">
      <c r="A66" s="26"/>
      <c r="B66" s="12" t="str">
        <f>CONCATENATE("          ","6334"," - ","LEGAL COUNCIL EXPENSE")</f>
        <v xml:space="preserve">          6334 - LEGAL COUNCIL EXPENSE</v>
      </c>
      <c r="C66" s="12"/>
      <c r="D66" s="7"/>
      <c r="E66" s="3"/>
      <c r="F66" s="8">
        <f t="shared" si="8"/>
        <v>0</v>
      </c>
      <c r="G66" s="3"/>
      <c r="H66" s="7">
        <v>1833</v>
      </c>
      <c r="I66" s="3"/>
      <c r="J66" s="8">
        <f t="shared" si="9"/>
        <v>0</v>
      </c>
      <c r="K66" s="3"/>
      <c r="L66" s="7">
        <f t="shared" si="10"/>
        <v>-1833</v>
      </c>
      <c r="M66" s="3"/>
      <c r="N66" s="8">
        <f t="shared" si="11"/>
        <v>-1</v>
      </c>
      <c r="O66" s="12"/>
      <c r="P66" s="7">
        <v>3455</v>
      </c>
      <c r="Q66" s="3"/>
      <c r="R66" s="8">
        <f t="shared" si="12"/>
        <v>0</v>
      </c>
      <c r="S66" s="3"/>
      <c r="T66" s="7">
        <v>10997</v>
      </c>
      <c r="U66" s="3"/>
      <c r="V66" s="8">
        <f t="shared" si="13"/>
        <v>0</v>
      </c>
      <c r="W66" s="3"/>
      <c r="X66" s="7">
        <f t="shared" si="14"/>
        <v>-7542</v>
      </c>
      <c r="Y66" s="3"/>
      <c r="Z66" s="8">
        <f t="shared" si="15"/>
        <v>-0.6858234063835591</v>
      </c>
    </row>
    <row r="67" spans="1:26" s="70" customFormat="1" ht="15" hidden="1" customHeight="1" outlineLevel="2" x14ac:dyDescent="0.3">
      <c r="A67" s="26"/>
      <c r="B67" s="12" t="str">
        <f>CONCATENATE("          ","6336"," - ","PROFESSIONAL SERVICES")</f>
        <v xml:space="preserve">          6336 - PROFESSIONAL SERVICES</v>
      </c>
      <c r="C67" s="12"/>
      <c r="D67" s="7">
        <v>5617.33</v>
      </c>
      <c r="E67" s="3"/>
      <c r="F67" s="8">
        <f t="shared" si="8"/>
        <v>0</v>
      </c>
      <c r="G67" s="3"/>
      <c r="H67" s="7">
        <v>833</v>
      </c>
      <c r="I67" s="3"/>
      <c r="J67" s="8">
        <f t="shared" si="9"/>
        <v>0</v>
      </c>
      <c r="K67" s="3"/>
      <c r="L67" s="7">
        <f t="shared" si="10"/>
        <v>4784.33</v>
      </c>
      <c r="M67" s="3"/>
      <c r="N67" s="8">
        <f t="shared" si="11"/>
        <v>5.7434933973589439</v>
      </c>
      <c r="O67" s="12"/>
      <c r="P67" s="7">
        <v>16246.01</v>
      </c>
      <c r="Q67" s="3"/>
      <c r="R67" s="8">
        <f t="shared" si="12"/>
        <v>0</v>
      </c>
      <c r="S67" s="3"/>
      <c r="T67" s="7">
        <v>12497</v>
      </c>
      <c r="U67" s="3"/>
      <c r="V67" s="8">
        <f t="shared" si="13"/>
        <v>0</v>
      </c>
      <c r="W67" s="3"/>
      <c r="X67" s="7">
        <f t="shared" si="14"/>
        <v>3749.01</v>
      </c>
      <c r="Y67" s="3"/>
      <c r="Z67" s="8">
        <f t="shared" si="15"/>
        <v>0.2999927982715852</v>
      </c>
    </row>
    <row r="68" spans="1:26" s="69" customFormat="1" ht="15" customHeight="1" outlineLevel="1" collapsed="1" x14ac:dyDescent="0.3">
      <c r="A68" s="25"/>
      <c r="B68" s="14" t="str">
        <f>CONCATENATE("     ","Repair and Maintenance                            ")</f>
        <v xml:space="preserve">     Repair and Maintenance                            </v>
      </c>
      <c r="C68" s="14"/>
      <c r="D68" s="2">
        <f>SUM(OSRRefD22_13x_0)</f>
        <v>53521.99</v>
      </c>
      <c r="E68" s="2"/>
      <c r="F68" s="6">
        <f t="shared" si="8"/>
        <v>0</v>
      </c>
      <c r="G68" s="2"/>
      <c r="H68" s="2">
        <f>SUM(OSRRefH22_13x_0)</f>
        <v>40307</v>
      </c>
      <c r="I68" s="2"/>
      <c r="J68" s="6">
        <f t="shared" si="9"/>
        <v>0</v>
      </c>
      <c r="K68" s="2"/>
      <c r="L68" s="2">
        <f t="shared" si="10"/>
        <v>13214.989999999998</v>
      </c>
      <c r="M68" s="2"/>
      <c r="N68" s="6">
        <f t="shared" si="11"/>
        <v>0.32785843649986351</v>
      </c>
      <c r="O68" s="14"/>
      <c r="P68" s="2">
        <f>SUM(OSRRefP22_13x_0)</f>
        <v>219328.25</v>
      </c>
      <c r="Q68" s="2"/>
      <c r="R68" s="6">
        <f t="shared" si="12"/>
        <v>0</v>
      </c>
      <c r="S68" s="2"/>
      <c r="T68" s="2">
        <f>SUM(OSRRefT22_13x_0)</f>
        <v>235863</v>
      </c>
      <c r="U68" s="2"/>
      <c r="V68" s="6">
        <f t="shared" si="13"/>
        <v>0</v>
      </c>
      <c r="W68" s="2"/>
      <c r="X68" s="2">
        <f t="shared" si="14"/>
        <v>-16534.75</v>
      </c>
      <c r="Y68" s="2"/>
      <c r="Z68" s="6">
        <f t="shared" si="15"/>
        <v>-7.0103195499082088E-2</v>
      </c>
    </row>
    <row r="69" spans="1:26" s="70" customFormat="1" ht="15" hidden="1" customHeight="1" outlineLevel="2" x14ac:dyDescent="0.3">
      <c r="A69" s="26"/>
      <c r="B69" s="12" t="str">
        <f>CONCATENATE("          ","6371"," - ","COMPUTER SOFTWARE MAINTENANCE")</f>
        <v xml:space="preserve">          6371 - COMPUTER SOFTWARE MAINTENANCE</v>
      </c>
      <c r="C69" s="12"/>
      <c r="D69" s="7">
        <v>42960.2</v>
      </c>
      <c r="E69" s="3"/>
      <c r="F69" s="8">
        <f t="shared" si="8"/>
        <v>0</v>
      </c>
      <c r="G69" s="3"/>
      <c r="H69" s="7">
        <v>27600</v>
      </c>
      <c r="I69" s="3"/>
      <c r="J69" s="8">
        <f t="shared" si="9"/>
        <v>0</v>
      </c>
      <c r="K69" s="3"/>
      <c r="L69" s="7">
        <f t="shared" si="10"/>
        <v>15360.199999999997</v>
      </c>
      <c r="M69" s="3"/>
      <c r="N69" s="8">
        <f t="shared" si="11"/>
        <v>0.55652898550724628</v>
      </c>
      <c r="O69" s="12"/>
      <c r="P69" s="7">
        <v>97144.8</v>
      </c>
      <c r="Q69" s="3"/>
      <c r="R69" s="8">
        <f t="shared" si="12"/>
        <v>0</v>
      </c>
      <c r="S69" s="3"/>
      <c r="T69" s="7">
        <v>115400</v>
      </c>
      <c r="U69" s="3"/>
      <c r="V69" s="8">
        <f t="shared" si="13"/>
        <v>0</v>
      </c>
      <c r="W69" s="3"/>
      <c r="X69" s="7">
        <f t="shared" si="14"/>
        <v>-18255.199999999997</v>
      </c>
      <c r="Y69" s="3"/>
      <c r="Z69" s="8">
        <f t="shared" si="15"/>
        <v>-0.15819064124783361</v>
      </c>
    </row>
    <row r="70" spans="1:26" s="70" customFormat="1" ht="15" hidden="1" customHeight="1" outlineLevel="2" x14ac:dyDescent="0.3">
      <c r="A70" s="26"/>
      <c r="B70" s="12" t="str">
        <f>CONCATENATE("          ","6372"," - ","COMPUTER HARDWARE MAINTENANCE")</f>
        <v xml:space="preserve">          6372 - COMPUTER HARDWARE MAINTENANCE</v>
      </c>
      <c r="C70" s="12"/>
      <c r="D70" s="7"/>
      <c r="E70" s="3"/>
      <c r="F70" s="8">
        <f t="shared" si="8"/>
        <v>0</v>
      </c>
      <c r="G70" s="3"/>
      <c r="H70" s="7"/>
      <c r="I70" s="3"/>
      <c r="J70" s="8">
        <f t="shared" si="9"/>
        <v>0</v>
      </c>
      <c r="K70" s="3"/>
      <c r="L70" s="7">
        <f t="shared" si="10"/>
        <v>0</v>
      </c>
      <c r="M70" s="3"/>
      <c r="N70" s="8">
        <f t="shared" si="11"/>
        <v>0</v>
      </c>
      <c r="O70" s="12"/>
      <c r="P70" s="7">
        <v>4760.47</v>
      </c>
      <c r="Q70" s="3"/>
      <c r="R70" s="8">
        <f t="shared" si="12"/>
        <v>0</v>
      </c>
      <c r="S70" s="3"/>
      <c r="T70" s="7">
        <v>3000</v>
      </c>
      <c r="U70" s="3"/>
      <c r="V70" s="8">
        <f t="shared" si="13"/>
        <v>0</v>
      </c>
      <c r="W70" s="3"/>
      <c r="X70" s="7">
        <f t="shared" si="14"/>
        <v>1760.4700000000003</v>
      </c>
      <c r="Y70" s="3"/>
      <c r="Z70" s="8">
        <f t="shared" si="15"/>
        <v>0.58682333333333336</v>
      </c>
    </row>
    <row r="71" spans="1:26" s="70" customFormat="1" ht="15" hidden="1" customHeight="1" outlineLevel="2" x14ac:dyDescent="0.3">
      <c r="A71" s="26"/>
      <c r="B71" s="12" t="str">
        <f>CONCATENATE("          ","6373"," - ","MAINTENANCE CONTRACTS")</f>
        <v xml:space="preserve">          6373 - MAINTENANCE CONTRACTS</v>
      </c>
      <c r="C71" s="12"/>
      <c r="D71" s="7">
        <v>10561.79</v>
      </c>
      <c r="E71" s="3"/>
      <c r="F71" s="8">
        <f t="shared" si="8"/>
        <v>0</v>
      </c>
      <c r="G71" s="3"/>
      <c r="H71" s="7">
        <v>12557</v>
      </c>
      <c r="I71" s="3"/>
      <c r="J71" s="8">
        <f t="shared" si="9"/>
        <v>0</v>
      </c>
      <c r="K71" s="3"/>
      <c r="L71" s="7">
        <f t="shared" si="10"/>
        <v>-1995.2099999999991</v>
      </c>
      <c r="M71" s="3"/>
      <c r="N71" s="8">
        <f t="shared" si="11"/>
        <v>-0.15889225133391727</v>
      </c>
      <c r="O71" s="12"/>
      <c r="P71" s="7">
        <v>115568.29</v>
      </c>
      <c r="Q71" s="3"/>
      <c r="R71" s="8">
        <f t="shared" si="12"/>
        <v>0</v>
      </c>
      <c r="S71" s="3"/>
      <c r="T71" s="7">
        <v>116113</v>
      </c>
      <c r="U71" s="3"/>
      <c r="V71" s="8">
        <f t="shared" si="13"/>
        <v>0</v>
      </c>
      <c r="W71" s="3"/>
      <c r="X71" s="7">
        <f t="shared" si="14"/>
        <v>-544.7100000000064</v>
      </c>
      <c r="Y71" s="3"/>
      <c r="Z71" s="8">
        <f t="shared" si="15"/>
        <v>-4.6912059803812358E-3</v>
      </c>
    </row>
    <row r="72" spans="1:26" s="70" customFormat="1" ht="15" hidden="1" customHeight="1" outlineLevel="2" x14ac:dyDescent="0.3">
      <c r="A72" s="26"/>
      <c r="B72" s="12" t="str">
        <f>CONCATENATE("          ","6375"," - ","OUTSIDE REPAIRS &amp; MAINTENANCE")</f>
        <v xml:space="preserve">          6375 - OUTSIDE REPAIRS &amp; MAINTENANCE</v>
      </c>
      <c r="C72" s="12"/>
      <c r="D72" s="7"/>
      <c r="E72" s="3"/>
      <c r="F72" s="8">
        <f t="shared" si="8"/>
        <v>0</v>
      </c>
      <c r="G72" s="3"/>
      <c r="H72" s="7">
        <v>150</v>
      </c>
      <c r="I72" s="3"/>
      <c r="J72" s="8">
        <f t="shared" si="9"/>
        <v>0</v>
      </c>
      <c r="K72" s="3"/>
      <c r="L72" s="7">
        <f t="shared" si="10"/>
        <v>-150</v>
      </c>
      <c r="M72" s="3"/>
      <c r="N72" s="8">
        <f t="shared" si="11"/>
        <v>-1</v>
      </c>
      <c r="O72" s="12"/>
      <c r="P72" s="7">
        <v>1854.69</v>
      </c>
      <c r="Q72" s="3"/>
      <c r="R72" s="8">
        <f t="shared" si="12"/>
        <v>0</v>
      </c>
      <c r="S72" s="3"/>
      <c r="T72" s="7">
        <v>1350</v>
      </c>
      <c r="U72" s="3"/>
      <c r="V72" s="8">
        <f t="shared" si="13"/>
        <v>0</v>
      </c>
      <c r="W72" s="3"/>
      <c r="X72" s="7">
        <f t="shared" si="14"/>
        <v>504.69000000000005</v>
      </c>
      <c r="Y72" s="3"/>
      <c r="Z72" s="8">
        <f t="shared" si="15"/>
        <v>0.37384444444444448</v>
      </c>
    </row>
    <row r="73" spans="1:26" s="69" customFormat="1" ht="15" customHeight="1" outlineLevel="1" collapsed="1" x14ac:dyDescent="0.3">
      <c r="A73" s="25"/>
      <c r="B73" s="14" t="str">
        <f>CONCATENATE("     ","Services                                          ")</f>
        <v xml:space="preserve">     Services                                          </v>
      </c>
      <c r="C73" s="14"/>
      <c r="D73" s="2">
        <f>SUM(OSRRefD22_14x_0)</f>
        <v>1938.08</v>
      </c>
      <c r="E73" s="2"/>
      <c r="F73" s="6">
        <f t="shared" si="8"/>
        <v>0</v>
      </c>
      <c r="G73" s="2"/>
      <c r="H73" s="2">
        <f>SUM(OSRRefH22_14x_0)</f>
        <v>650</v>
      </c>
      <c r="I73" s="2"/>
      <c r="J73" s="6">
        <f t="shared" si="9"/>
        <v>0</v>
      </c>
      <c r="K73" s="2"/>
      <c r="L73" s="2">
        <f t="shared" si="10"/>
        <v>1288.08</v>
      </c>
      <c r="M73" s="2"/>
      <c r="N73" s="6">
        <f t="shared" si="11"/>
        <v>1.9816615384615384</v>
      </c>
      <c r="O73" s="14"/>
      <c r="P73" s="2">
        <f>SUM(OSRRefP22_14x_0)</f>
        <v>8104.68</v>
      </c>
      <c r="Q73" s="2"/>
      <c r="R73" s="6">
        <f t="shared" si="12"/>
        <v>0</v>
      </c>
      <c r="S73" s="2"/>
      <c r="T73" s="2">
        <f>SUM(OSRRefT22_14x_0)</f>
        <v>5850</v>
      </c>
      <c r="U73" s="2"/>
      <c r="V73" s="6">
        <f t="shared" si="13"/>
        <v>0</v>
      </c>
      <c r="W73" s="2"/>
      <c r="X73" s="2">
        <f t="shared" si="14"/>
        <v>2254.6800000000003</v>
      </c>
      <c r="Y73" s="2"/>
      <c r="Z73" s="6">
        <f t="shared" si="15"/>
        <v>0.38541538461538466</v>
      </c>
    </row>
    <row r="74" spans="1:26" s="70" customFormat="1" ht="15" hidden="1" customHeight="1" outlineLevel="2" x14ac:dyDescent="0.3">
      <c r="A74" s="26"/>
      <c r="B74" s="12" t="str">
        <f>CONCATENATE("          ","6281"," - ","STORAGE FEE")</f>
        <v xml:space="preserve">          6281 - STORAGE FEE</v>
      </c>
      <c r="C74" s="12"/>
      <c r="D74" s="7">
        <v>1938.08</v>
      </c>
      <c r="E74" s="3"/>
      <c r="F74" s="8">
        <f t="shared" si="8"/>
        <v>0</v>
      </c>
      <c r="G74" s="3"/>
      <c r="H74" s="7">
        <v>625</v>
      </c>
      <c r="I74" s="3"/>
      <c r="J74" s="8">
        <f t="shared" si="9"/>
        <v>0</v>
      </c>
      <c r="K74" s="3"/>
      <c r="L74" s="7">
        <f t="shared" si="10"/>
        <v>1313.08</v>
      </c>
      <c r="M74" s="3"/>
      <c r="N74" s="8">
        <f t="shared" si="11"/>
        <v>2.1009279999999997</v>
      </c>
      <c r="O74" s="12"/>
      <c r="P74" s="7">
        <v>8104.68</v>
      </c>
      <c r="Q74" s="3"/>
      <c r="R74" s="8">
        <f t="shared" si="12"/>
        <v>0</v>
      </c>
      <c r="S74" s="3"/>
      <c r="T74" s="7">
        <v>5625</v>
      </c>
      <c r="U74" s="3"/>
      <c r="V74" s="8">
        <f t="shared" si="13"/>
        <v>0</v>
      </c>
      <c r="W74" s="3"/>
      <c r="X74" s="7">
        <f t="shared" si="14"/>
        <v>2479.6800000000003</v>
      </c>
      <c r="Y74" s="3"/>
      <c r="Z74" s="8">
        <f t="shared" si="15"/>
        <v>0.44083200000000006</v>
      </c>
    </row>
    <row r="75" spans="1:26" s="70" customFormat="1" ht="15" hidden="1" customHeight="1" outlineLevel="2" x14ac:dyDescent="0.3">
      <c r="A75" s="26"/>
      <c r="B75" s="12" t="str">
        <f>CONCATENATE("          ","6286"," - ","LAUNDRY EXPENSE")</f>
        <v xml:space="preserve">          6286 - LAUNDRY EXPENSE</v>
      </c>
      <c r="C75" s="12"/>
      <c r="D75" s="7"/>
      <c r="E75" s="3"/>
      <c r="F75" s="8">
        <f t="shared" si="8"/>
        <v>0</v>
      </c>
      <c r="G75" s="3"/>
      <c r="H75" s="7">
        <v>25</v>
      </c>
      <c r="I75" s="3"/>
      <c r="J75" s="8">
        <f t="shared" si="9"/>
        <v>0</v>
      </c>
      <c r="K75" s="3"/>
      <c r="L75" s="7">
        <f t="shared" si="10"/>
        <v>-25</v>
      </c>
      <c r="M75" s="3"/>
      <c r="N75" s="8">
        <f t="shared" si="11"/>
        <v>-1</v>
      </c>
      <c r="O75" s="12"/>
      <c r="P75" s="7"/>
      <c r="Q75" s="3"/>
      <c r="R75" s="8">
        <f t="shared" si="12"/>
        <v>0</v>
      </c>
      <c r="S75" s="3"/>
      <c r="T75" s="7">
        <v>225</v>
      </c>
      <c r="U75" s="3"/>
      <c r="V75" s="8">
        <f t="shared" si="13"/>
        <v>0</v>
      </c>
      <c r="W75" s="3"/>
      <c r="X75" s="7">
        <f t="shared" si="14"/>
        <v>-225</v>
      </c>
      <c r="Y75" s="3"/>
      <c r="Z75" s="8">
        <f t="shared" si="15"/>
        <v>-1</v>
      </c>
    </row>
    <row r="76" spans="1:26" s="69" customFormat="1" ht="15" customHeight="1" outlineLevel="1" collapsed="1" x14ac:dyDescent="0.3">
      <c r="A76" s="25"/>
      <c r="B76" s="14" t="str">
        <f>CONCATENATE("     ","Subscriptions &amp; Dues                              ")</f>
        <v xml:space="preserve">     Subscriptions &amp; Dues                              </v>
      </c>
      <c r="C76" s="14"/>
      <c r="D76" s="2">
        <f>SUM(OSRRefD22_15x_0)</f>
        <v>775</v>
      </c>
      <c r="E76" s="2"/>
      <c r="F76" s="6">
        <f t="shared" si="8"/>
        <v>0</v>
      </c>
      <c r="G76" s="2"/>
      <c r="H76" s="2">
        <f>SUM(OSRRefH22_15x_0)</f>
        <v>0</v>
      </c>
      <c r="I76" s="2"/>
      <c r="J76" s="6">
        <f t="shared" si="9"/>
        <v>0</v>
      </c>
      <c r="K76" s="2"/>
      <c r="L76" s="2">
        <f t="shared" si="10"/>
        <v>775</v>
      </c>
      <c r="M76" s="2"/>
      <c r="N76" s="6">
        <f t="shared" si="11"/>
        <v>0</v>
      </c>
      <c r="O76" s="14"/>
      <c r="P76" s="2">
        <f>SUM(OSRRefP22_15x_0)</f>
        <v>4505.8999999999996</v>
      </c>
      <c r="Q76" s="2"/>
      <c r="R76" s="6">
        <f t="shared" si="12"/>
        <v>0</v>
      </c>
      <c r="S76" s="2"/>
      <c r="T76" s="2">
        <f>SUM(OSRRefT22_15x_0)</f>
        <v>3825</v>
      </c>
      <c r="U76" s="2"/>
      <c r="V76" s="6">
        <f t="shared" si="13"/>
        <v>0</v>
      </c>
      <c r="W76" s="2"/>
      <c r="X76" s="2">
        <f t="shared" si="14"/>
        <v>680.89999999999964</v>
      </c>
      <c r="Y76" s="2"/>
      <c r="Z76" s="6">
        <f t="shared" si="15"/>
        <v>0.17801307189542473</v>
      </c>
    </row>
    <row r="77" spans="1:26" s="70" customFormat="1" ht="15" hidden="1" customHeight="1" outlineLevel="2" x14ac:dyDescent="0.3">
      <c r="A77" s="26"/>
      <c r="B77" s="12" t="str">
        <f>CONCATENATE("          ","6258"," - ","MEMBERSHIP DUES")</f>
        <v xml:space="preserve">          6258 - MEMBERSHIP DUES</v>
      </c>
      <c r="C77" s="12"/>
      <c r="D77" s="7">
        <v>775</v>
      </c>
      <c r="E77" s="3"/>
      <c r="F77" s="8">
        <f t="shared" si="8"/>
        <v>0</v>
      </c>
      <c r="G77" s="3"/>
      <c r="H77" s="7"/>
      <c r="I77" s="3"/>
      <c r="J77" s="8">
        <f t="shared" si="9"/>
        <v>0</v>
      </c>
      <c r="K77" s="3"/>
      <c r="L77" s="7">
        <f t="shared" si="10"/>
        <v>775</v>
      </c>
      <c r="M77" s="3"/>
      <c r="N77" s="8">
        <f t="shared" si="11"/>
        <v>0</v>
      </c>
      <c r="O77" s="12"/>
      <c r="P77" s="7">
        <v>3227</v>
      </c>
      <c r="Q77" s="3"/>
      <c r="R77" s="8">
        <f t="shared" si="12"/>
        <v>0</v>
      </c>
      <c r="S77" s="3"/>
      <c r="T77" s="7">
        <v>3225</v>
      </c>
      <c r="U77" s="3"/>
      <c r="V77" s="8">
        <f t="shared" si="13"/>
        <v>0</v>
      </c>
      <c r="W77" s="3"/>
      <c r="X77" s="7">
        <f t="shared" si="14"/>
        <v>2</v>
      </c>
      <c r="Y77" s="3"/>
      <c r="Z77" s="8">
        <f t="shared" si="15"/>
        <v>6.2015503875968996E-4</v>
      </c>
    </row>
    <row r="78" spans="1:26" s="70" customFormat="1" ht="15" hidden="1" customHeight="1" outlineLevel="2" x14ac:dyDescent="0.3">
      <c r="A78" s="26"/>
      <c r="B78" s="12" t="str">
        <f>CONCATENATE("          ","6275"," - ","SUBSCRIPTIONS")</f>
        <v xml:space="preserve">          6275 - SUBSCRIPTIONS</v>
      </c>
      <c r="C78" s="12"/>
      <c r="D78" s="7"/>
      <c r="E78" s="3"/>
      <c r="F78" s="8">
        <f t="shared" si="8"/>
        <v>0</v>
      </c>
      <c r="G78" s="3"/>
      <c r="H78" s="7"/>
      <c r="I78" s="3"/>
      <c r="J78" s="8">
        <f t="shared" si="9"/>
        <v>0</v>
      </c>
      <c r="K78" s="3"/>
      <c r="L78" s="7">
        <f t="shared" si="10"/>
        <v>0</v>
      </c>
      <c r="M78" s="3"/>
      <c r="N78" s="8">
        <f t="shared" si="11"/>
        <v>0</v>
      </c>
      <c r="O78" s="12"/>
      <c r="P78" s="7">
        <v>1278.9000000000001</v>
      </c>
      <c r="Q78" s="3"/>
      <c r="R78" s="8">
        <f t="shared" si="12"/>
        <v>0</v>
      </c>
      <c r="S78" s="3"/>
      <c r="T78" s="7">
        <v>600</v>
      </c>
      <c r="U78" s="3"/>
      <c r="V78" s="8">
        <f t="shared" si="13"/>
        <v>0</v>
      </c>
      <c r="W78" s="3"/>
      <c r="X78" s="7">
        <f t="shared" si="14"/>
        <v>678.90000000000009</v>
      </c>
      <c r="Y78" s="3"/>
      <c r="Z78" s="8">
        <f t="shared" si="15"/>
        <v>1.1315000000000002</v>
      </c>
    </row>
    <row r="79" spans="1:26" s="69" customFormat="1" ht="15" customHeight="1" outlineLevel="1" collapsed="1" x14ac:dyDescent="0.3">
      <c r="A79" s="25"/>
      <c r="B79" s="14" t="str">
        <f>CONCATENATE("     ","Supplies                                          ")</f>
        <v xml:space="preserve">     Supplies                                          </v>
      </c>
      <c r="C79" s="14"/>
      <c r="D79" s="2">
        <f>SUM(OSRRefD22_16x_0)</f>
        <v>4659.3999999999996</v>
      </c>
      <c r="E79" s="2"/>
      <c r="F79" s="6">
        <f t="shared" si="8"/>
        <v>0</v>
      </c>
      <c r="G79" s="2"/>
      <c r="H79" s="2">
        <f>SUM(OSRRefH22_16x_0)</f>
        <v>2784</v>
      </c>
      <c r="I79" s="2"/>
      <c r="J79" s="6">
        <f t="shared" si="9"/>
        <v>0</v>
      </c>
      <c r="K79" s="2"/>
      <c r="L79" s="2">
        <f t="shared" si="10"/>
        <v>1875.3999999999996</v>
      </c>
      <c r="M79" s="2"/>
      <c r="N79" s="6">
        <f t="shared" si="11"/>
        <v>0.67363505747126429</v>
      </c>
      <c r="O79" s="14"/>
      <c r="P79" s="2">
        <f>SUM(OSRRefP22_16x_0)</f>
        <v>43923.87</v>
      </c>
      <c r="Q79" s="2"/>
      <c r="R79" s="6">
        <f t="shared" si="12"/>
        <v>0</v>
      </c>
      <c r="S79" s="2"/>
      <c r="T79" s="2">
        <f>SUM(OSRRefT22_16x_0)</f>
        <v>30056</v>
      </c>
      <c r="U79" s="2"/>
      <c r="V79" s="6">
        <f t="shared" si="13"/>
        <v>0</v>
      </c>
      <c r="W79" s="2"/>
      <c r="X79" s="2">
        <f t="shared" si="14"/>
        <v>13867.870000000003</v>
      </c>
      <c r="Y79" s="2"/>
      <c r="Z79" s="6">
        <f t="shared" si="15"/>
        <v>0.46140105137077464</v>
      </c>
    </row>
    <row r="80" spans="1:26" s="70" customFormat="1" ht="15" hidden="1" customHeight="1" outlineLevel="2" x14ac:dyDescent="0.3">
      <c r="A80" s="26"/>
      <c r="B80" s="12" t="str">
        <f>CONCATENATE("          ","6234"," - ","EXPENDABLE SUPPLIES &amp; EQUIPMEN")</f>
        <v xml:space="preserve">          6234 - EXPENDABLE SUPPLIES &amp; EQUIPMEN</v>
      </c>
      <c r="C80" s="12"/>
      <c r="D80" s="7">
        <v>2697.42</v>
      </c>
      <c r="E80" s="3"/>
      <c r="F80" s="8">
        <f t="shared" si="8"/>
        <v>0</v>
      </c>
      <c r="G80" s="3"/>
      <c r="H80" s="7">
        <v>125</v>
      </c>
      <c r="I80" s="3"/>
      <c r="J80" s="8">
        <f t="shared" si="9"/>
        <v>0</v>
      </c>
      <c r="K80" s="3"/>
      <c r="L80" s="7">
        <f t="shared" si="10"/>
        <v>2572.42</v>
      </c>
      <c r="M80" s="3"/>
      <c r="N80" s="8">
        <f t="shared" si="11"/>
        <v>20.579360000000001</v>
      </c>
      <c r="O80" s="12"/>
      <c r="P80" s="7">
        <v>2723.52</v>
      </c>
      <c r="Q80" s="3"/>
      <c r="R80" s="8">
        <f t="shared" si="12"/>
        <v>0</v>
      </c>
      <c r="S80" s="3"/>
      <c r="T80" s="7">
        <v>1125</v>
      </c>
      <c r="U80" s="3"/>
      <c r="V80" s="8">
        <f t="shared" si="13"/>
        <v>0</v>
      </c>
      <c r="W80" s="3"/>
      <c r="X80" s="7">
        <f t="shared" si="14"/>
        <v>1598.52</v>
      </c>
      <c r="Y80" s="3"/>
      <c r="Z80" s="8">
        <f t="shared" si="15"/>
        <v>1.4209066666666665</v>
      </c>
    </row>
    <row r="81" spans="1:26" s="70" customFormat="1" ht="15" hidden="1" customHeight="1" outlineLevel="2" x14ac:dyDescent="0.3">
      <c r="A81" s="26"/>
      <c r="B81" s="12" t="str">
        <f>CONCATENATE("          ","6235"," - ","COVID-19 EXPENSES")</f>
        <v xml:space="preserve">          6235 - COVID-19 EXPENSES</v>
      </c>
      <c r="C81" s="12"/>
      <c r="D81" s="7"/>
      <c r="E81" s="3"/>
      <c r="F81" s="8">
        <f t="shared" si="8"/>
        <v>0</v>
      </c>
      <c r="G81" s="3"/>
      <c r="H81" s="7"/>
      <c r="I81" s="3"/>
      <c r="J81" s="8">
        <f t="shared" si="9"/>
        <v>0</v>
      </c>
      <c r="K81" s="3"/>
      <c r="L81" s="7">
        <f t="shared" si="10"/>
        <v>0</v>
      </c>
      <c r="M81" s="3"/>
      <c r="N81" s="8">
        <f t="shared" si="11"/>
        <v>0</v>
      </c>
      <c r="O81" s="12"/>
      <c r="P81" s="7">
        <v>2636.13</v>
      </c>
      <c r="Q81" s="3"/>
      <c r="R81" s="8">
        <f t="shared" si="12"/>
        <v>0</v>
      </c>
      <c r="S81" s="3"/>
      <c r="T81" s="7"/>
      <c r="U81" s="3"/>
      <c r="V81" s="8">
        <f t="shared" si="13"/>
        <v>0</v>
      </c>
      <c r="W81" s="3"/>
      <c r="X81" s="7">
        <f t="shared" si="14"/>
        <v>2636.13</v>
      </c>
      <c r="Y81" s="3"/>
      <c r="Z81" s="8">
        <f t="shared" si="15"/>
        <v>0</v>
      </c>
    </row>
    <row r="82" spans="1:26" s="70" customFormat="1" ht="15" hidden="1" customHeight="1" outlineLevel="2" x14ac:dyDescent="0.3">
      <c r="A82" s="26"/>
      <c r="B82" s="12" t="str">
        <f>CONCATENATE("          ","6241"," - ","OFFICE EXPENSE")</f>
        <v xml:space="preserve">          6241 - OFFICE EXPENSE</v>
      </c>
      <c r="C82" s="12"/>
      <c r="D82" s="7">
        <v>1961.98</v>
      </c>
      <c r="E82" s="3"/>
      <c r="F82" s="8">
        <f t="shared" ref="F82:F93" si="16">IF(D$12=0,0,D82/D$12)</f>
        <v>0</v>
      </c>
      <c r="G82" s="3"/>
      <c r="H82" s="7">
        <v>2242</v>
      </c>
      <c r="I82" s="3"/>
      <c r="J82" s="8">
        <f t="shared" ref="J82:J93" si="17">IF(H$12=0,0,H82/H$12)</f>
        <v>0</v>
      </c>
      <c r="K82" s="3"/>
      <c r="L82" s="7">
        <f t="shared" ref="L82:L93" si="18">+D82-H82</f>
        <v>-280.02</v>
      </c>
      <c r="M82" s="3"/>
      <c r="N82" s="8">
        <f t="shared" ref="N82:N93" si="19">IF(H82=0,0,L82/H82)</f>
        <v>-0.12489741302408564</v>
      </c>
      <c r="O82" s="12"/>
      <c r="P82" s="7">
        <v>26627.93</v>
      </c>
      <c r="Q82" s="3"/>
      <c r="R82" s="8">
        <f t="shared" ref="R82:R93" si="20">IF(P$12=0,0,P82/P$12)</f>
        <v>0</v>
      </c>
      <c r="S82" s="3"/>
      <c r="T82" s="7">
        <v>20178</v>
      </c>
      <c r="U82" s="3"/>
      <c r="V82" s="8">
        <f t="shared" ref="V82:V93" si="21">IF(T$12=0,0,T82/T$12)</f>
        <v>0</v>
      </c>
      <c r="W82" s="3"/>
      <c r="X82" s="7">
        <f t="shared" ref="X82:X93" si="22">+P82-T82</f>
        <v>6449.93</v>
      </c>
      <c r="Y82" s="3"/>
      <c r="Z82" s="8">
        <f t="shared" ref="Z82:Z93" si="23">IF(T82=0,0,X82/T82)</f>
        <v>0.31965160075329568</v>
      </c>
    </row>
    <row r="83" spans="1:26" s="70" customFormat="1" ht="15" hidden="1" customHeight="1" outlineLevel="2" x14ac:dyDescent="0.3">
      <c r="A83" s="26"/>
      <c r="B83" s="12" t="str">
        <f>CONCATENATE("          ","6244"," - ","SAFETY SUPPLY EXPENSE")</f>
        <v xml:space="preserve">          6244 - SAFETY SUPPLY EXPENSE</v>
      </c>
      <c r="C83" s="12"/>
      <c r="D83" s="7"/>
      <c r="E83" s="3"/>
      <c r="F83" s="8">
        <f t="shared" si="16"/>
        <v>0</v>
      </c>
      <c r="G83" s="3"/>
      <c r="H83" s="7">
        <v>417</v>
      </c>
      <c r="I83" s="3"/>
      <c r="J83" s="8">
        <f t="shared" si="17"/>
        <v>0</v>
      </c>
      <c r="K83" s="3"/>
      <c r="L83" s="7">
        <f t="shared" si="18"/>
        <v>-417</v>
      </c>
      <c r="M83" s="3"/>
      <c r="N83" s="8">
        <f t="shared" si="19"/>
        <v>-1</v>
      </c>
      <c r="O83" s="12"/>
      <c r="P83" s="7">
        <v>650</v>
      </c>
      <c r="Q83" s="3"/>
      <c r="R83" s="8">
        <f t="shared" si="20"/>
        <v>0</v>
      </c>
      <c r="S83" s="3"/>
      <c r="T83" s="7">
        <v>3753</v>
      </c>
      <c r="U83" s="3"/>
      <c r="V83" s="8">
        <f t="shared" si="21"/>
        <v>0</v>
      </c>
      <c r="W83" s="3"/>
      <c r="X83" s="7">
        <f t="shared" si="22"/>
        <v>-3103</v>
      </c>
      <c r="Y83" s="3"/>
      <c r="Z83" s="8">
        <f t="shared" si="23"/>
        <v>-0.82680522248867572</v>
      </c>
    </row>
    <row r="84" spans="1:26" s="70" customFormat="1" ht="15" hidden="1" customHeight="1" outlineLevel="2" x14ac:dyDescent="0.3">
      <c r="A84" s="26"/>
      <c r="B84" s="12" t="str">
        <f>CONCATENATE("          ","6247"," - ","STORE SUPPLIES")</f>
        <v xml:space="preserve">          6247 - STORE SUPPLIES</v>
      </c>
      <c r="C84" s="12"/>
      <c r="D84" s="7"/>
      <c r="E84" s="3"/>
      <c r="F84" s="8">
        <f t="shared" si="16"/>
        <v>0</v>
      </c>
      <c r="G84" s="3"/>
      <c r="H84" s="7"/>
      <c r="I84" s="3"/>
      <c r="J84" s="8">
        <f t="shared" si="17"/>
        <v>0</v>
      </c>
      <c r="K84" s="3"/>
      <c r="L84" s="7">
        <f t="shared" si="18"/>
        <v>0</v>
      </c>
      <c r="M84" s="3"/>
      <c r="N84" s="8">
        <f t="shared" si="19"/>
        <v>0</v>
      </c>
      <c r="O84" s="12"/>
      <c r="P84" s="7"/>
      <c r="Q84" s="3"/>
      <c r="R84" s="8">
        <f t="shared" si="20"/>
        <v>0</v>
      </c>
      <c r="S84" s="3"/>
      <c r="T84" s="7">
        <v>5000</v>
      </c>
      <c r="U84" s="3"/>
      <c r="V84" s="8">
        <f t="shared" si="21"/>
        <v>0</v>
      </c>
      <c r="W84" s="3"/>
      <c r="X84" s="7">
        <f t="shared" si="22"/>
        <v>-5000</v>
      </c>
      <c r="Y84" s="3"/>
      <c r="Z84" s="8">
        <f t="shared" si="23"/>
        <v>-1</v>
      </c>
    </row>
    <row r="85" spans="1:26" s="70" customFormat="1" ht="15" hidden="1" customHeight="1" outlineLevel="2" x14ac:dyDescent="0.3">
      <c r="A85" s="26"/>
      <c r="B85" s="12" t="str">
        <f>CONCATENATE("          ","6248"," - ","UNIFORMS")</f>
        <v xml:space="preserve">          6248 - UNIFORMS</v>
      </c>
      <c r="C85" s="12"/>
      <c r="D85" s="7"/>
      <c r="E85" s="3"/>
      <c r="F85" s="8">
        <f t="shared" si="16"/>
        <v>0</v>
      </c>
      <c r="G85" s="3"/>
      <c r="H85" s="7"/>
      <c r="I85" s="3"/>
      <c r="J85" s="8">
        <f t="shared" si="17"/>
        <v>0</v>
      </c>
      <c r="K85" s="3"/>
      <c r="L85" s="7">
        <f t="shared" si="18"/>
        <v>0</v>
      </c>
      <c r="M85" s="3"/>
      <c r="N85" s="8">
        <f t="shared" si="19"/>
        <v>0</v>
      </c>
      <c r="O85" s="12"/>
      <c r="P85" s="7">
        <v>11286.29</v>
      </c>
      <c r="Q85" s="3"/>
      <c r="R85" s="8">
        <f t="shared" si="20"/>
        <v>0</v>
      </c>
      <c r="S85" s="3"/>
      <c r="T85" s="7"/>
      <c r="U85" s="3"/>
      <c r="V85" s="8">
        <f t="shared" si="21"/>
        <v>0</v>
      </c>
      <c r="W85" s="3"/>
      <c r="X85" s="7">
        <f t="shared" si="22"/>
        <v>11286.29</v>
      </c>
      <c r="Y85" s="3"/>
      <c r="Z85" s="8">
        <f t="shared" si="23"/>
        <v>0</v>
      </c>
    </row>
    <row r="86" spans="1:26" s="69" customFormat="1" ht="15" customHeight="1" outlineLevel="1" collapsed="1" x14ac:dyDescent="0.3">
      <c r="A86" s="25"/>
      <c r="B86" s="14" t="str">
        <f>CONCATENATE("     ","Telephone/Data Lines                              ")</f>
        <v xml:space="preserve">     Telephone/Data Lines                              </v>
      </c>
      <c r="C86" s="14"/>
      <c r="D86" s="2">
        <f>SUM(OSRRefD22_17x_0)</f>
        <v>2162.1799999999998</v>
      </c>
      <c r="E86" s="2"/>
      <c r="F86" s="6">
        <f t="shared" si="16"/>
        <v>0</v>
      </c>
      <c r="G86" s="2"/>
      <c r="H86" s="2">
        <f>SUM(OSRRefH22_17x_0)</f>
        <v>1805</v>
      </c>
      <c r="I86" s="2"/>
      <c r="J86" s="6">
        <f t="shared" si="17"/>
        <v>0</v>
      </c>
      <c r="K86" s="2"/>
      <c r="L86" s="2">
        <f t="shared" si="18"/>
        <v>357.17999999999984</v>
      </c>
      <c r="M86" s="2"/>
      <c r="N86" s="6">
        <f t="shared" si="19"/>
        <v>0.19788365650969519</v>
      </c>
      <c r="O86" s="14"/>
      <c r="P86" s="2">
        <f>SUM(OSRRefP22_17x_0)</f>
        <v>20883.879999999997</v>
      </c>
      <c r="Q86" s="2"/>
      <c r="R86" s="6">
        <f t="shared" si="20"/>
        <v>0</v>
      </c>
      <c r="S86" s="2"/>
      <c r="T86" s="2">
        <f>SUM(OSRRefT22_17x_0)</f>
        <v>16245</v>
      </c>
      <c r="U86" s="2"/>
      <c r="V86" s="6">
        <f t="shared" si="21"/>
        <v>0</v>
      </c>
      <c r="W86" s="2"/>
      <c r="X86" s="2">
        <f t="shared" si="22"/>
        <v>4638.8799999999974</v>
      </c>
      <c r="Y86" s="2"/>
      <c r="Z86" s="6">
        <f t="shared" si="23"/>
        <v>0.28555740227762372</v>
      </c>
    </row>
    <row r="87" spans="1:26" s="70" customFormat="1" ht="15" hidden="1" customHeight="1" outlineLevel="2" x14ac:dyDescent="0.3">
      <c r="A87" s="26"/>
      <c r="B87" s="12" t="str">
        <f>CONCATENATE("          ","6303"," - ","DATA PHONE LINES")</f>
        <v xml:space="preserve">          6303 - DATA PHONE LINES</v>
      </c>
      <c r="C87" s="12"/>
      <c r="D87" s="7">
        <v>81.99</v>
      </c>
      <c r="E87" s="3"/>
      <c r="F87" s="8">
        <f t="shared" si="16"/>
        <v>0</v>
      </c>
      <c r="G87" s="3"/>
      <c r="H87" s="7">
        <v>236</v>
      </c>
      <c r="I87" s="3"/>
      <c r="J87" s="8">
        <f t="shared" si="17"/>
        <v>0</v>
      </c>
      <c r="K87" s="3"/>
      <c r="L87" s="7">
        <f t="shared" si="18"/>
        <v>-154.01</v>
      </c>
      <c r="M87" s="3"/>
      <c r="N87" s="8">
        <f t="shared" si="19"/>
        <v>-0.65258474576271186</v>
      </c>
      <c r="O87" s="12"/>
      <c r="P87" s="7">
        <v>1424.83</v>
      </c>
      <c r="Q87" s="3"/>
      <c r="R87" s="8">
        <f t="shared" si="20"/>
        <v>0</v>
      </c>
      <c r="S87" s="3"/>
      <c r="T87" s="7">
        <v>2124</v>
      </c>
      <c r="U87" s="3"/>
      <c r="V87" s="8">
        <f t="shared" si="21"/>
        <v>0</v>
      </c>
      <c r="W87" s="3"/>
      <c r="X87" s="7">
        <f t="shared" si="22"/>
        <v>-699.17000000000007</v>
      </c>
      <c r="Y87" s="3"/>
      <c r="Z87" s="8">
        <f t="shared" si="23"/>
        <v>-0.32917608286252359</v>
      </c>
    </row>
    <row r="88" spans="1:26" s="70" customFormat="1" ht="15" hidden="1" customHeight="1" outlineLevel="2" x14ac:dyDescent="0.3">
      <c r="A88" s="26"/>
      <c r="B88" s="12" t="str">
        <f>CONCATENATE("          ","6309"," - ","TELEPHONE")</f>
        <v xml:space="preserve">          6309 - TELEPHONE</v>
      </c>
      <c r="C88" s="12"/>
      <c r="D88" s="7">
        <v>2080.19</v>
      </c>
      <c r="E88" s="3"/>
      <c r="F88" s="8">
        <f t="shared" si="16"/>
        <v>0</v>
      </c>
      <c r="G88" s="3"/>
      <c r="H88" s="7">
        <v>1569</v>
      </c>
      <c r="I88" s="3"/>
      <c r="J88" s="8">
        <f t="shared" si="17"/>
        <v>0</v>
      </c>
      <c r="K88" s="3"/>
      <c r="L88" s="7">
        <f t="shared" si="18"/>
        <v>511.19000000000005</v>
      </c>
      <c r="M88" s="3"/>
      <c r="N88" s="8">
        <f t="shared" si="19"/>
        <v>0.3258062460165711</v>
      </c>
      <c r="O88" s="12"/>
      <c r="P88" s="7">
        <v>19459.05</v>
      </c>
      <c r="Q88" s="3"/>
      <c r="R88" s="8">
        <f t="shared" si="20"/>
        <v>0</v>
      </c>
      <c r="S88" s="3"/>
      <c r="T88" s="7">
        <v>14121</v>
      </c>
      <c r="U88" s="3"/>
      <c r="V88" s="8">
        <f t="shared" si="21"/>
        <v>0</v>
      </c>
      <c r="W88" s="3"/>
      <c r="X88" s="7">
        <f t="shared" si="22"/>
        <v>5338.0499999999993</v>
      </c>
      <c r="Y88" s="3"/>
      <c r="Z88" s="8">
        <f t="shared" si="23"/>
        <v>0.37802209475249621</v>
      </c>
    </row>
    <row r="89" spans="1:26" s="69" customFormat="1" ht="15" customHeight="1" outlineLevel="1" collapsed="1" x14ac:dyDescent="0.3">
      <c r="A89" s="25"/>
      <c r="B89" s="14" t="str">
        <f>CONCATENATE("     ","Training                                          ")</f>
        <v xml:space="preserve">     Training                                          </v>
      </c>
      <c r="C89" s="14"/>
      <c r="D89" s="2">
        <f>SUM(OSRRefD22_18x_0)</f>
        <v>-595</v>
      </c>
      <c r="E89" s="2"/>
      <c r="F89" s="6">
        <f t="shared" si="16"/>
        <v>0</v>
      </c>
      <c r="G89" s="2"/>
      <c r="H89" s="2">
        <f>SUM(OSRRefH22_18x_0)</f>
        <v>333</v>
      </c>
      <c r="I89" s="2"/>
      <c r="J89" s="6">
        <f t="shared" si="17"/>
        <v>0</v>
      </c>
      <c r="K89" s="2"/>
      <c r="L89" s="2">
        <f t="shared" si="18"/>
        <v>-928</v>
      </c>
      <c r="M89" s="2"/>
      <c r="N89" s="6">
        <f t="shared" si="19"/>
        <v>-2.7867867867867866</v>
      </c>
      <c r="O89" s="14"/>
      <c r="P89" s="2">
        <f>SUM(OSRRefP22_18x_0)</f>
        <v>1169</v>
      </c>
      <c r="Q89" s="2"/>
      <c r="R89" s="6">
        <f t="shared" si="20"/>
        <v>0</v>
      </c>
      <c r="S89" s="2"/>
      <c r="T89" s="2">
        <f>SUM(OSRRefT22_18x_0)</f>
        <v>11047</v>
      </c>
      <c r="U89" s="2"/>
      <c r="V89" s="6">
        <f t="shared" si="21"/>
        <v>0</v>
      </c>
      <c r="W89" s="2"/>
      <c r="X89" s="2">
        <f t="shared" si="22"/>
        <v>-9878</v>
      </c>
      <c r="Y89" s="2"/>
      <c r="Z89" s="6">
        <f t="shared" si="23"/>
        <v>-0.8941794152258532</v>
      </c>
    </row>
    <row r="90" spans="1:26" s="70" customFormat="1" ht="15" hidden="1" customHeight="1" outlineLevel="2" x14ac:dyDescent="0.3">
      <c r="A90" s="26"/>
      <c r="B90" s="12" t="str">
        <f>CONCATENATE("          ","6376"," - ","TRAINING")</f>
        <v xml:space="preserve">          6376 - TRAINING</v>
      </c>
      <c r="C90" s="12"/>
      <c r="D90" s="7">
        <v>-595</v>
      </c>
      <c r="E90" s="3"/>
      <c r="F90" s="8">
        <f t="shared" si="16"/>
        <v>0</v>
      </c>
      <c r="G90" s="3"/>
      <c r="H90" s="7">
        <v>333</v>
      </c>
      <c r="I90" s="3"/>
      <c r="J90" s="8">
        <f t="shared" si="17"/>
        <v>0</v>
      </c>
      <c r="K90" s="3"/>
      <c r="L90" s="7">
        <f t="shared" si="18"/>
        <v>-928</v>
      </c>
      <c r="M90" s="3"/>
      <c r="N90" s="8">
        <f t="shared" si="19"/>
        <v>-2.7867867867867866</v>
      </c>
      <c r="O90" s="12"/>
      <c r="P90" s="7">
        <v>1169</v>
      </c>
      <c r="Q90" s="3"/>
      <c r="R90" s="8">
        <f t="shared" si="20"/>
        <v>0</v>
      </c>
      <c r="S90" s="3"/>
      <c r="T90" s="7">
        <v>11047</v>
      </c>
      <c r="U90" s="3"/>
      <c r="V90" s="8">
        <f t="shared" si="21"/>
        <v>0</v>
      </c>
      <c r="W90" s="3"/>
      <c r="X90" s="7">
        <f t="shared" si="22"/>
        <v>-9878</v>
      </c>
      <c r="Y90" s="3"/>
      <c r="Z90" s="8">
        <f t="shared" si="23"/>
        <v>-0.8941794152258532</v>
      </c>
    </row>
    <row r="91" spans="1:26" s="69" customFormat="1" ht="15" customHeight="1" outlineLevel="1" collapsed="1" x14ac:dyDescent="0.3">
      <c r="A91" s="25"/>
      <c r="B91" s="14" t="str">
        <f>CONCATENATE("     ","Travel                                            ")</f>
        <v xml:space="preserve">     Travel                                            </v>
      </c>
      <c r="C91" s="14"/>
      <c r="D91" s="2">
        <f>SUM(OSRRefD22_19x_0)</f>
        <v>0</v>
      </c>
      <c r="E91" s="2"/>
      <c r="F91" s="6">
        <f t="shared" si="16"/>
        <v>0</v>
      </c>
      <c r="G91" s="2"/>
      <c r="H91" s="2">
        <f>SUM(OSRRefH22_19x_0)</f>
        <v>0</v>
      </c>
      <c r="I91" s="2"/>
      <c r="J91" s="6">
        <f t="shared" si="17"/>
        <v>0</v>
      </c>
      <c r="K91" s="2"/>
      <c r="L91" s="2">
        <f t="shared" si="18"/>
        <v>0</v>
      </c>
      <c r="M91" s="2"/>
      <c r="N91" s="6">
        <f t="shared" si="19"/>
        <v>0</v>
      </c>
      <c r="O91" s="14"/>
      <c r="P91" s="2">
        <f>SUM(OSRRefP22_19x_0)</f>
        <v>30.4</v>
      </c>
      <c r="Q91" s="2"/>
      <c r="R91" s="6">
        <f t="shared" si="20"/>
        <v>0</v>
      </c>
      <c r="S91" s="2"/>
      <c r="T91" s="2">
        <f>SUM(OSRRefT22_19x_0)</f>
        <v>7720</v>
      </c>
      <c r="U91" s="2"/>
      <c r="V91" s="6">
        <f t="shared" si="21"/>
        <v>0</v>
      </c>
      <c r="W91" s="2"/>
      <c r="X91" s="2">
        <f t="shared" si="22"/>
        <v>-7689.6</v>
      </c>
      <c r="Y91" s="2"/>
      <c r="Z91" s="6">
        <f t="shared" si="23"/>
        <v>-0.99606217616580317</v>
      </c>
    </row>
    <row r="92" spans="1:26" s="70" customFormat="1" ht="15" hidden="1" customHeight="1" outlineLevel="2" x14ac:dyDescent="0.3">
      <c r="A92" s="26"/>
      <c r="B92" s="12" t="str">
        <f>CONCATENATE("          ","6292"," - ","TRAVEL/CONFERENCE")</f>
        <v xml:space="preserve">          6292 - TRAVEL/CONFERENCE</v>
      </c>
      <c r="C92" s="12"/>
      <c r="D92" s="7"/>
      <c r="E92" s="3"/>
      <c r="F92" s="8">
        <f t="shared" si="16"/>
        <v>0</v>
      </c>
      <c r="G92" s="3"/>
      <c r="H92" s="7"/>
      <c r="I92" s="3"/>
      <c r="J92" s="8">
        <f t="shared" si="17"/>
        <v>0</v>
      </c>
      <c r="K92" s="3"/>
      <c r="L92" s="7">
        <f t="shared" si="18"/>
        <v>0</v>
      </c>
      <c r="M92" s="3"/>
      <c r="N92" s="8">
        <f t="shared" si="19"/>
        <v>0</v>
      </c>
      <c r="O92" s="12"/>
      <c r="P92" s="7">
        <v>0</v>
      </c>
      <c r="Q92" s="3"/>
      <c r="R92" s="8">
        <f t="shared" si="20"/>
        <v>0</v>
      </c>
      <c r="S92" s="3"/>
      <c r="T92" s="7">
        <v>6220</v>
      </c>
      <c r="U92" s="3"/>
      <c r="V92" s="8">
        <f t="shared" si="21"/>
        <v>0</v>
      </c>
      <c r="W92" s="3"/>
      <c r="X92" s="7">
        <f t="shared" si="22"/>
        <v>-6220</v>
      </c>
      <c r="Y92" s="3"/>
      <c r="Z92" s="8">
        <f t="shared" si="23"/>
        <v>-1</v>
      </c>
    </row>
    <row r="93" spans="1:26" s="70" customFormat="1" ht="15" hidden="1" customHeight="1" outlineLevel="2" x14ac:dyDescent="0.3">
      <c r="A93" s="26"/>
      <c r="B93" s="12" t="str">
        <f>CONCATENATE("          ","6294"," - ","TRAVEL OPERATIONAL")</f>
        <v xml:space="preserve">          6294 - TRAVEL OPERATIONAL</v>
      </c>
      <c r="C93" s="12"/>
      <c r="D93" s="7"/>
      <c r="E93" s="3"/>
      <c r="F93" s="8">
        <f t="shared" si="16"/>
        <v>0</v>
      </c>
      <c r="G93" s="3"/>
      <c r="H93" s="7"/>
      <c r="I93" s="3"/>
      <c r="J93" s="8">
        <f t="shared" si="17"/>
        <v>0</v>
      </c>
      <c r="K93" s="3"/>
      <c r="L93" s="7">
        <f t="shared" si="18"/>
        <v>0</v>
      </c>
      <c r="M93" s="3"/>
      <c r="N93" s="8">
        <f t="shared" si="19"/>
        <v>0</v>
      </c>
      <c r="O93" s="12"/>
      <c r="P93" s="7">
        <v>30.4</v>
      </c>
      <c r="Q93" s="3"/>
      <c r="R93" s="8">
        <f t="shared" si="20"/>
        <v>0</v>
      </c>
      <c r="S93" s="3"/>
      <c r="T93" s="7">
        <v>1500</v>
      </c>
      <c r="U93" s="3"/>
      <c r="V93" s="8">
        <f t="shared" si="21"/>
        <v>0</v>
      </c>
      <c r="W93" s="3"/>
      <c r="X93" s="7">
        <f t="shared" si="22"/>
        <v>-1469.6</v>
      </c>
      <c r="Y93" s="3"/>
      <c r="Z93" s="8">
        <f t="shared" si="23"/>
        <v>-0.97973333333333323</v>
      </c>
    </row>
    <row r="94" spans="1:26" s="65" customFormat="1" ht="15" customHeight="1" x14ac:dyDescent="0.3">
      <c r="A94" s="35"/>
      <c r="B94" s="35"/>
      <c r="C94" s="35"/>
      <c r="D94" s="2"/>
      <c r="E94" s="2"/>
      <c r="F94" s="6"/>
      <c r="G94" s="2"/>
      <c r="H94" s="2"/>
      <c r="I94" s="2"/>
      <c r="J94" s="6"/>
      <c r="K94" s="2"/>
      <c r="L94" s="2"/>
      <c r="M94" s="2"/>
      <c r="N94" s="6"/>
      <c r="O94" s="35"/>
      <c r="P94" s="2"/>
      <c r="Q94" s="2"/>
      <c r="R94" s="6"/>
      <c r="S94" s="2"/>
      <c r="T94" s="2"/>
      <c r="U94" s="2"/>
      <c r="V94" s="6"/>
      <c r="W94" s="2"/>
      <c r="X94" s="2"/>
      <c r="Y94" s="2"/>
      <c r="Z94" s="6"/>
    </row>
    <row r="95" spans="1:26" s="63" customFormat="1" ht="15" customHeight="1" x14ac:dyDescent="0.3">
      <c r="A95" s="11"/>
      <c r="B95" s="28" t="s">
        <v>291</v>
      </c>
      <c r="C95" s="11"/>
      <c r="D95" s="5">
        <f>SUM(0)</f>
        <v>0</v>
      </c>
      <c r="E95" s="5"/>
      <c r="F95" s="13">
        <f>IF(D$12=0,0,D95/D$12)</f>
        <v>0</v>
      </c>
      <c r="G95" s="5"/>
      <c r="H95" s="5">
        <f>SUM(0)</f>
        <v>0</v>
      </c>
      <c r="I95" s="5"/>
      <c r="J95" s="13">
        <f>IF(H$12=0,0,H95/H$12)</f>
        <v>0</v>
      </c>
      <c r="K95" s="5"/>
      <c r="L95" s="5">
        <f>+D95-H95</f>
        <v>0</v>
      </c>
      <c r="M95" s="5"/>
      <c r="N95" s="13">
        <f>IF(H95=0,0,L95/H95)</f>
        <v>0</v>
      </c>
      <c r="O95" s="11"/>
      <c r="P95" s="5">
        <f>SUM(0)</f>
        <v>0</v>
      </c>
      <c r="Q95" s="5"/>
      <c r="R95" s="13">
        <f>IF(P$12=0,0,P95/P$12)</f>
        <v>0</v>
      </c>
      <c r="S95" s="5"/>
      <c r="T95" s="5">
        <f>SUM(0)</f>
        <v>0</v>
      </c>
      <c r="U95" s="5"/>
      <c r="V95" s="13">
        <f>IF(T$12=0,0,T95/T$12)</f>
        <v>0</v>
      </c>
      <c r="W95" s="5"/>
      <c r="X95" s="5">
        <f>+P95-T95</f>
        <v>0</v>
      </c>
      <c r="Y95" s="5"/>
      <c r="Z95" s="13">
        <f>IF(T95=0,0,X95/T95)</f>
        <v>0</v>
      </c>
    </row>
    <row r="96" spans="1:26" ht="15" customHeight="1" x14ac:dyDescent="0.3">
      <c r="A96" s="10"/>
      <c r="B96" s="11"/>
      <c r="C96" s="11"/>
      <c r="D96" s="4"/>
      <c r="E96" s="4"/>
      <c r="F96" s="9"/>
      <c r="G96" s="4"/>
      <c r="H96" s="4"/>
      <c r="I96" s="4"/>
      <c r="J96" s="9"/>
      <c r="K96" s="4"/>
      <c r="L96" s="4"/>
      <c r="M96" s="4"/>
      <c r="N96" s="9"/>
      <c r="O96" s="11"/>
      <c r="P96" s="4"/>
      <c r="Q96" s="4"/>
      <c r="R96" s="9"/>
      <c r="S96" s="4"/>
      <c r="T96" s="4"/>
      <c r="U96" s="4"/>
      <c r="V96" s="9"/>
      <c r="W96" s="4"/>
      <c r="X96" s="4"/>
      <c r="Y96" s="4"/>
      <c r="Z96" s="9"/>
    </row>
    <row r="97" spans="1:26" s="63" customFormat="1" ht="15" customHeight="1" x14ac:dyDescent="0.3">
      <c r="A97" s="11"/>
      <c r="B97" s="27" t="s">
        <v>292</v>
      </c>
      <c r="C97" s="27"/>
      <c r="D97" s="21">
        <f>+D16-D18+D95</f>
        <v>-256640.54000000004</v>
      </c>
      <c r="E97" s="15"/>
      <c r="F97" s="23">
        <f>IF(D$12=0,0,D97/D$12)</f>
        <v>0</v>
      </c>
      <c r="G97" s="15"/>
      <c r="H97" s="21">
        <f>+H16-H18+H95</f>
        <v>-243411.46615984</v>
      </c>
      <c r="I97" s="15"/>
      <c r="J97" s="23">
        <f>IF(H$12=0,0,H97/H$12)</f>
        <v>0</v>
      </c>
      <c r="K97" s="16"/>
      <c r="L97" s="21">
        <f>+D97-H97</f>
        <v>-13229.073840160039</v>
      </c>
      <c r="M97" s="16"/>
      <c r="N97" s="23">
        <f>IF(H97=0,0,L97/H97)</f>
        <v>5.4348605876573447E-2</v>
      </c>
      <c r="O97" s="28"/>
      <c r="P97" s="21">
        <f>+P16-P18+P95</f>
        <v>-2209677.14</v>
      </c>
      <c r="Q97" s="15"/>
      <c r="R97" s="23">
        <f>IF(P$12=0,0,P97/P$12)</f>
        <v>0</v>
      </c>
      <c r="S97" s="15"/>
      <c r="T97" s="21">
        <f>+T16-T18+T95</f>
        <v>-2336602.3636069009</v>
      </c>
      <c r="U97" s="15"/>
      <c r="V97" s="23">
        <f>IF(T$12=0,0,T97/T$12)</f>
        <v>0</v>
      </c>
      <c r="W97" s="16"/>
      <c r="X97" s="21">
        <f>+P97-T97</f>
        <v>126925.22360690078</v>
      </c>
      <c r="Y97" s="16"/>
      <c r="Z97" s="23">
        <f>IF(T97=0,0,X97/T97)</f>
        <v>-5.4320420788658452E-2</v>
      </c>
    </row>
    <row r="98" spans="1:26" ht="15" customHeight="1" x14ac:dyDescent="0.3">
      <c r="A98" s="10"/>
      <c r="B98" s="11"/>
      <c r="C98" s="10"/>
      <c r="D98" s="4"/>
      <c r="E98" s="4"/>
      <c r="F98" s="9"/>
      <c r="G98" s="4"/>
      <c r="H98" s="4"/>
      <c r="I98" s="4"/>
      <c r="J98" s="9"/>
      <c r="K98" s="4"/>
      <c r="L98" s="4"/>
      <c r="M98" s="4"/>
      <c r="N98" s="9"/>
      <c r="P98" s="4"/>
      <c r="Q98" s="4"/>
      <c r="R98" s="9"/>
      <c r="S98" s="4"/>
      <c r="T98" s="4"/>
      <c r="U98" s="4"/>
      <c r="V98" s="9"/>
      <c r="W98" s="4"/>
      <c r="X98" s="4"/>
      <c r="Y98" s="4"/>
      <c r="Z98" s="9"/>
    </row>
    <row r="99" spans="1:26" s="63" customFormat="1" ht="15" customHeight="1" x14ac:dyDescent="0.3">
      <c r="A99" s="49"/>
      <c r="B99" s="11" t="s">
        <v>293</v>
      </c>
      <c r="C99" s="11"/>
      <c r="D99" s="5"/>
      <c r="E99" s="5"/>
      <c r="F99" s="13">
        <f>IF(D$12=0,0,D99/D$12)</f>
        <v>0</v>
      </c>
      <c r="G99" s="5"/>
      <c r="H99" s="5"/>
      <c r="I99" s="5"/>
      <c r="J99" s="13">
        <f>IF(H$12=0,0,H99/H$12)</f>
        <v>0</v>
      </c>
      <c r="K99" s="5"/>
      <c r="L99" s="5">
        <f>+D99-H99</f>
        <v>0</v>
      </c>
      <c r="M99" s="5"/>
      <c r="N99" s="13">
        <f>IF(H99=0,0,L99/H99)</f>
        <v>0</v>
      </c>
      <c r="O99" s="11"/>
      <c r="P99" s="5"/>
      <c r="Q99" s="5"/>
      <c r="R99" s="13">
        <f>IF(P$12=0,0,P99/P$12)</f>
        <v>0</v>
      </c>
      <c r="S99" s="5"/>
      <c r="T99" s="5"/>
      <c r="U99" s="5"/>
      <c r="V99" s="13">
        <f>IF(T$12=0,0,T99/T$12)</f>
        <v>0</v>
      </c>
      <c r="W99" s="5"/>
      <c r="X99" s="5">
        <f>+P99-T99</f>
        <v>0</v>
      </c>
      <c r="Y99" s="5"/>
      <c r="Z99" s="13">
        <f>IF(T99=0,0,X99/T99)</f>
        <v>0</v>
      </c>
    </row>
    <row r="100" spans="1:26" ht="15" customHeight="1" x14ac:dyDescent="0.3">
      <c r="A100" s="10"/>
      <c r="B100" s="11"/>
      <c r="C100" s="11"/>
      <c r="D100" s="4"/>
      <c r="E100" s="4"/>
      <c r="F100" s="9"/>
      <c r="G100" s="4"/>
      <c r="H100" s="4"/>
      <c r="I100" s="4"/>
      <c r="J100" s="9"/>
      <c r="K100" s="4"/>
      <c r="L100" s="4"/>
      <c r="M100" s="4"/>
      <c r="N100" s="9"/>
      <c r="O100" s="11"/>
      <c r="P100" s="4"/>
      <c r="Q100" s="4"/>
      <c r="R100" s="9"/>
      <c r="S100" s="4"/>
      <c r="T100" s="4"/>
      <c r="U100" s="4"/>
      <c r="V100" s="9"/>
      <c r="W100" s="4"/>
      <c r="X100" s="4"/>
      <c r="Y100" s="4"/>
      <c r="Z100" s="9"/>
    </row>
    <row r="101" spans="1:26" s="63" customFormat="1" ht="15" customHeight="1" x14ac:dyDescent="0.3">
      <c r="A101" s="11"/>
      <c r="B101" s="27" t="s">
        <v>294</v>
      </c>
      <c r="C101" s="27"/>
      <c r="D101" s="34">
        <f>+D97-D99</f>
        <v>-256640.54000000004</v>
      </c>
      <c r="E101" s="15"/>
      <c r="F101" s="29">
        <f>IF(D$12=0,0,D101/D$12)</f>
        <v>0</v>
      </c>
      <c r="G101" s="15"/>
      <c r="H101" s="34">
        <f>+H97-H99</f>
        <v>-243411.46615984</v>
      </c>
      <c r="I101" s="15"/>
      <c r="J101" s="29">
        <f>IF(H$12=0,0,H101/H$12)</f>
        <v>0</v>
      </c>
      <c r="K101" s="16"/>
      <c r="L101" s="34">
        <f>D101-H101</f>
        <v>-13229.073840160039</v>
      </c>
      <c r="M101" s="16"/>
      <c r="N101" s="29">
        <f>IF(H101=0,0,L101/H101)</f>
        <v>5.4348605876573447E-2</v>
      </c>
      <c r="O101" s="28"/>
      <c r="P101" s="34">
        <f>+P97-P99</f>
        <v>-2209677.14</v>
      </c>
      <c r="Q101" s="15"/>
      <c r="R101" s="29">
        <f>IF(P$12=0,0,P101/P$12)</f>
        <v>0</v>
      </c>
      <c r="S101" s="15"/>
      <c r="T101" s="34">
        <f>+T97-T99</f>
        <v>-2336602.3636069009</v>
      </c>
      <c r="U101" s="15"/>
      <c r="V101" s="29">
        <f>IF(T$12=0,0,T101/T$12)</f>
        <v>0</v>
      </c>
      <c r="W101" s="16"/>
      <c r="X101" s="34">
        <f>P101-T101</f>
        <v>126925.22360690078</v>
      </c>
      <c r="Y101" s="16"/>
      <c r="Z101" s="29">
        <f>IF(T101=0,0,X101/T101)</f>
        <v>-5.4320420788658452E-2</v>
      </c>
    </row>
    <row r="102" spans="1:26" ht="15" customHeight="1" x14ac:dyDescent="0.3">
      <c r="A102" s="10"/>
      <c r="B102" s="10"/>
      <c r="C102" s="10"/>
      <c r="D102" s="4"/>
      <c r="E102" s="4"/>
      <c r="F102" s="9"/>
      <c r="G102" s="4"/>
      <c r="H102" s="4"/>
      <c r="I102" s="4"/>
      <c r="J102" s="9"/>
      <c r="K102" s="4"/>
      <c r="L102" s="4"/>
      <c r="M102" s="4"/>
      <c r="N102" s="9"/>
      <c r="P102" s="4"/>
      <c r="Q102" s="4"/>
      <c r="R102" s="9"/>
      <c r="S102" s="4"/>
      <c r="T102" s="4"/>
      <c r="U102" s="4"/>
      <c r="V102" s="9"/>
      <c r="W102" s="4"/>
      <c r="X102" s="4"/>
      <c r="Y102" s="4"/>
      <c r="Z102" s="9"/>
    </row>
    <row r="103" spans="1:26" ht="15" customHeight="1" x14ac:dyDescent="0.3">
      <c r="A103" s="10"/>
      <c r="B103" s="10"/>
      <c r="C103" s="10"/>
      <c r="D103" s="4"/>
      <c r="E103" s="4"/>
      <c r="F103" s="9"/>
      <c r="G103" s="4"/>
      <c r="H103" s="4"/>
      <c r="I103" s="4"/>
      <c r="J103" s="9"/>
      <c r="K103" s="4"/>
      <c r="L103" s="4"/>
      <c r="M103" s="4"/>
      <c r="N103" s="9"/>
      <c r="P103" s="4"/>
      <c r="Q103" s="4"/>
      <c r="R103" s="9"/>
      <c r="S103" s="4"/>
      <c r="T103" s="4"/>
      <c r="U103" s="4"/>
      <c r="V103" s="9"/>
      <c r="W103" s="4"/>
      <c r="X103" s="4"/>
      <c r="Y103" s="4"/>
      <c r="Z103" s="9"/>
    </row>
    <row r="104" spans="1:26" s="63" customFormat="1" ht="15" customHeight="1" x14ac:dyDescent="0.3">
      <c r="A104" s="11"/>
      <c r="B104" s="27" t="s">
        <v>297</v>
      </c>
      <c r="C104" s="27"/>
      <c r="D104" s="32">
        <f>SUM(D101:D103)</f>
        <v>-256640.54000000004</v>
      </c>
      <c r="E104" s="15"/>
      <c r="F104" s="31">
        <f>IF(D$12=0,0,D104/D$12)</f>
        <v>0</v>
      </c>
      <c r="G104" s="15"/>
      <c r="H104" s="32">
        <f>SUM(H101:H103)</f>
        <v>-243411.46615984</v>
      </c>
      <c r="I104" s="15"/>
      <c r="J104" s="31">
        <f>IF(H$12=0,0,H104/H$12)</f>
        <v>0</v>
      </c>
      <c r="K104" s="16"/>
      <c r="L104" s="32">
        <f>+D104-H104</f>
        <v>-13229.073840160039</v>
      </c>
      <c r="M104" s="16"/>
      <c r="N104" s="31">
        <f>IF(H104=0,0,L104/H104)</f>
        <v>5.4348605876573447E-2</v>
      </c>
      <c r="O104" s="28"/>
      <c r="P104" s="32">
        <f>SUM(P101:P103)</f>
        <v>-2209677.14</v>
      </c>
      <c r="Q104" s="15"/>
      <c r="R104" s="31">
        <f>IF(P$12=0,0,P104/P$12)</f>
        <v>0</v>
      </c>
      <c r="S104" s="15"/>
      <c r="T104" s="32">
        <f>SUM(T101:T103)</f>
        <v>-2336602.3636069009</v>
      </c>
      <c r="U104" s="15"/>
      <c r="V104" s="31">
        <f>IF(T$12=0,0,T104/T$12)</f>
        <v>0</v>
      </c>
      <c r="W104" s="16"/>
      <c r="X104" s="32">
        <f>+P104-T104</f>
        <v>126925.22360690078</v>
      </c>
      <c r="Y104" s="16"/>
      <c r="Z104" s="31">
        <f>IF(T104=0,0,X104/T104)</f>
        <v>-5.4320420788658452E-2</v>
      </c>
    </row>
    <row r="105" spans="1:26" ht="15" customHeight="1" x14ac:dyDescent="0.3">
      <c r="A105" s="10"/>
      <c r="C105" s="10"/>
      <c r="D105" s="19"/>
      <c r="E105" s="19"/>
      <c r="G105" s="19"/>
      <c r="H105" s="19"/>
      <c r="I105" s="19"/>
      <c r="J105" s="40"/>
      <c r="K105" s="19"/>
      <c r="L105" s="19"/>
      <c r="M105" s="19"/>
      <c r="P105" s="19"/>
      <c r="Q105" s="19"/>
      <c r="R105" s="40"/>
      <c r="S105" s="19"/>
      <c r="T105" s="19"/>
      <c r="U105" s="19"/>
      <c r="V105" s="40"/>
      <c r="W105" s="19"/>
      <c r="X105" s="19"/>
    </row>
    <row r="106" spans="1:26" ht="15" customHeight="1" x14ac:dyDescent="0.3">
      <c r="A106" s="10"/>
      <c r="B106" s="51">
        <v>44663.047620833335</v>
      </c>
      <c r="D106" s="19"/>
      <c r="E106" s="19"/>
      <c r="G106" s="19"/>
      <c r="H106" s="19"/>
      <c r="I106" s="19"/>
      <c r="J106" s="40"/>
      <c r="K106" s="19"/>
      <c r="L106" s="19"/>
      <c r="M106" s="19"/>
      <c r="P106" s="19"/>
      <c r="Q106" s="19"/>
      <c r="R106" s="40"/>
      <c r="S106" s="19"/>
      <c r="T106" s="19"/>
      <c r="U106" s="19"/>
      <c r="V106" s="40"/>
      <c r="W106" s="19"/>
      <c r="X106" s="19"/>
    </row>
    <row r="107" spans="1:26" ht="15" customHeight="1" x14ac:dyDescent="0.3">
      <c r="A107" s="10"/>
      <c r="B107" s="58" t="s">
        <v>298</v>
      </c>
      <c r="D107" s="19"/>
      <c r="E107" s="19"/>
      <c r="G107" s="19"/>
      <c r="H107" s="19"/>
      <c r="I107" s="19"/>
      <c r="J107" s="40"/>
      <c r="K107" s="19"/>
      <c r="L107" s="19"/>
      <c r="M107" s="19"/>
      <c r="P107" s="19"/>
      <c r="Q107" s="19"/>
      <c r="R107" s="40"/>
      <c r="S107" s="19"/>
      <c r="T107" s="19"/>
      <c r="U107" s="19"/>
      <c r="V107" s="40"/>
      <c r="W107" s="19"/>
      <c r="X107" s="19"/>
    </row>
    <row r="108" spans="1:26" ht="15" customHeight="1" x14ac:dyDescent="0.3">
      <c r="A108" s="10"/>
      <c r="B108" s="50"/>
      <c r="D108" s="19"/>
      <c r="E108" s="19"/>
      <c r="G108" s="19"/>
      <c r="H108" s="19"/>
      <c r="I108" s="19"/>
      <c r="J108" s="40"/>
      <c r="K108" s="19"/>
      <c r="L108" s="19"/>
      <c r="M108" s="19"/>
      <c r="P108" s="19"/>
      <c r="Q108" s="19"/>
      <c r="R108" s="40"/>
      <c r="S108" s="19"/>
      <c r="T108" s="19"/>
      <c r="U108" s="19"/>
      <c r="V108" s="40"/>
      <c r="W108" s="19"/>
      <c r="X108" s="19"/>
    </row>
    <row r="109" spans="1:26" ht="15" customHeight="1" x14ac:dyDescent="0.3">
      <c r="D109" s="19"/>
      <c r="E109" s="19"/>
      <c r="G109" s="19"/>
      <c r="H109" s="19"/>
      <c r="I109" s="19"/>
      <c r="J109" s="40"/>
      <c r="K109" s="19"/>
      <c r="L109" s="19"/>
      <c r="M109" s="19"/>
      <c r="P109" s="19"/>
      <c r="Q109" s="19"/>
      <c r="R109" s="40"/>
      <c r="S109" s="19"/>
      <c r="T109" s="19"/>
      <c r="U109" s="19"/>
      <c r="V109" s="40"/>
      <c r="W109" s="19"/>
      <c r="X109" s="19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B373EB-4CE4-32E1-7A4A-B87517FF3525}">
  <sheetPr>
    <tabColor rgb="FF92D050"/>
    <outlinePr summaryBelow="0" summaryRight="0"/>
  </sheetPr>
  <dimension ref="A2:Z43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6" customWidth="1"/>
    <col min="2" max="2" width="33.44140625" style="66" customWidth="1"/>
    <col min="3" max="3" width="1.88671875" style="66" customWidth="1"/>
    <col min="4" max="4" width="15" style="66" customWidth="1"/>
    <col min="5" max="5" width="1.88671875" style="66" customWidth="1" outlineLevel="1"/>
    <col min="6" max="6" width="15" style="67" customWidth="1" outlineLevel="1"/>
    <col min="7" max="7" width="1.88671875" style="66" customWidth="1" outlineLevel="1"/>
    <col min="8" max="8" width="15" style="66" customWidth="1" outlineLevel="1"/>
    <col min="9" max="9" width="1.88671875" style="66" customWidth="1" outlineLevel="1"/>
    <col min="10" max="10" width="15" style="68" customWidth="1" outlineLevel="1"/>
    <col min="11" max="11" width="1.88671875" style="66" customWidth="1" outlineLevel="1"/>
    <col min="12" max="12" width="15" style="66" customWidth="1" outlineLevel="1"/>
    <col min="13" max="13" width="1.88671875" style="66" customWidth="1" outlineLevel="1"/>
    <col min="14" max="14" width="15" style="67" customWidth="1" outlineLevel="1"/>
    <col min="15" max="15" width="1.88671875" style="64" customWidth="1"/>
    <col min="16" max="16" width="15" style="66" customWidth="1"/>
    <col min="17" max="17" width="1.88671875" style="66" customWidth="1" outlineLevel="1"/>
    <col min="18" max="18" width="15" style="68" customWidth="1" outlineLevel="1"/>
    <col min="19" max="19" width="1.88671875" style="66" customWidth="1" outlineLevel="1"/>
    <col min="20" max="20" width="15" style="66" customWidth="1" outlineLevel="1"/>
    <col min="21" max="21" width="1.88671875" style="66" customWidth="1" outlineLevel="1"/>
    <col min="22" max="22" width="15" style="68" customWidth="1" outlineLevel="1"/>
    <col min="23" max="23" width="1.88671875" style="66" customWidth="1" outlineLevel="1"/>
    <col min="24" max="24" width="15" style="66" customWidth="1" outlineLevel="1"/>
    <col min="25" max="25" width="1.88671875" style="66" customWidth="1" outlineLevel="1"/>
    <col min="26" max="26" width="15" style="68" customWidth="1" outlineLevel="1"/>
  </cols>
  <sheetData>
    <row r="2" spans="1:26" ht="15" customHeight="1" x14ac:dyDescent="0.3">
      <c r="D2" s="54" t="s">
        <v>276</v>
      </c>
    </row>
    <row r="3" spans="1:26" ht="15" customHeight="1" x14ac:dyDescent="0.3">
      <c r="D3" s="54" t="s">
        <v>277</v>
      </c>
      <c r="E3" s="18"/>
      <c r="F3" s="44"/>
      <c r="G3" s="18"/>
      <c r="H3" s="18"/>
      <c r="I3" s="18"/>
      <c r="J3" s="38"/>
      <c r="K3" s="18"/>
      <c r="L3" s="18"/>
      <c r="M3" s="18"/>
      <c r="N3" s="44"/>
      <c r="O3" s="53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ht="15" customHeight="1" x14ac:dyDescent="0.3">
      <c r="D4" s="54" t="str">
        <f>CONCATENATE("Period ",RIGHT(202209,2),", ",2022)</f>
        <v>Period 09, 2022</v>
      </c>
      <c r="E4" s="18"/>
      <c r="F4" s="44"/>
      <c r="G4" s="18"/>
      <c r="H4" s="18"/>
      <c r="I4" s="18"/>
      <c r="J4" s="38"/>
      <c r="K4" s="18"/>
      <c r="L4" s="18"/>
      <c r="M4" s="18"/>
      <c r="N4" s="44"/>
      <c r="O4" s="53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ht="15" customHeight="1" x14ac:dyDescent="0.3">
      <c r="A5" s="24"/>
      <c r="D5" s="60">
        <v>44646</v>
      </c>
      <c r="E5" s="18"/>
      <c r="F5" s="44"/>
      <c r="G5" s="18"/>
      <c r="H5" s="18"/>
      <c r="I5" s="18"/>
      <c r="J5" s="38"/>
      <c r="K5" s="18"/>
      <c r="L5" s="18"/>
      <c r="M5" s="18"/>
      <c r="N5" s="44"/>
      <c r="O5" s="53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ht="15" customHeight="1" x14ac:dyDescent="0.3">
      <c r="A6" s="24"/>
      <c r="B6" s="47"/>
      <c r="C6" s="47"/>
      <c r="D6" s="24" t="str">
        <f>CONCATENATE("Department ","200"," - ","Corporate Expense")</f>
        <v>Department 200 - Corporate Expense</v>
      </c>
      <c r="E6" s="18"/>
      <c r="F6" s="44"/>
      <c r="G6" s="18"/>
      <c r="H6" s="18"/>
      <c r="I6" s="18"/>
      <c r="J6" s="38"/>
      <c r="K6" s="18"/>
      <c r="L6" s="18"/>
      <c r="M6" s="18"/>
      <c r="N6" s="44"/>
      <c r="O6" s="59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ht="15" customHeight="1" x14ac:dyDescent="0.3">
      <c r="B7" s="52"/>
    </row>
    <row r="8" spans="1:26" ht="15" customHeight="1" x14ac:dyDescent="0.3">
      <c r="B8" s="52"/>
    </row>
    <row r="9" spans="1:26" ht="15" customHeight="1" x14ac:dyDescent="0.3">
      <c r="B9" s="10"/>
      <c r="C9" s="10"/>
      <c r="D9" s="17" t="s">
        <v>279</v>
      </c>
      <c r="E9" s="17"/>
      <c r="F9" s="36"/>
      <c r="G9" s="17"/>
      <c r="H9" s="17"/>
      <c r="I9" s="17"/>
      <c r="J9" s="43"/>
      <c r="K9" s="17"/>
      <c r="L9" s="17"/>
      <c r="M9" s="17"/>
      <c r="N9" s="36"/>
      <c r="P9" s="17" t="s">
        <v>280</v>
      </c>
      <c r="Q9" s="17"/>
      <c r="R9" s="36"/>
      <c r="S9" s="17"/>
      <c r="T9" s="17"/>
      <c r="U9" s="17"/>
      <c r="V9" s="43"/>
      <c r="W9" s="17"/>
      <c r="X9" s="17"/>
      <c r="Y9" s="17"/>
      <c r="Z9" s="36"/>
    </row>
    <row r="10" spans="1:26" ht="15" customHeight="1" x14ac:dyDescent="0.3">
      <c r="A10" s="11"/>
      <c r="B10" s="57"/>
      <c r="C10" s="11"/>
      <c r="D10" s="41" t="s">
        <v>281</v>
      </c>
      <c r="E10" s="33"/>
      <c r="F10" s="37" t="s">
        <v>282</v>
      </c>
      <c r="G10" s="33"/>
      <c r="H10" s="48" t="s">
        <v>283</v>
      </c>
      <c r="I10" s="33"/>
      <c r="J10" s="45" t="s">
        <v>284</v>
      </c>
      <c r="K10" s="11"/>
      <c r="L10" s="41" t="s">
        <v>285</v>
      </c>
      <c r="M10" s="11"/>
      <c r="N10" s="37" t="s">
        <v>286</v>
      </c>
      <c r="O10" s="11"/>
      <c r="P10" s="56" t="s">
        <v>281</v>
      </c>
      <c r="Q10" s="33"/>
      <c r="R10" s="37" t="s">
        <v>282</v>
      </c>
      <c r="S10" s="33"/>
      <c r="T10" s="48" t="s">
        <v>283</v>
      </c>
      <c r="U10" s="33"/>
      <c r="V10" s="45" t="s">
        <v>284</v>
      </c>
      <c r="W10" s="11"/>
      <c r="X10" s="41" t="s">
        <v>285</v>
      </c>
      <c r="Y10" s="11"/>
      <c r="Z10" s="37" t="s">
        <v>286</v>
      </c>
    </row>
    <row r="11" spans="1:26" ht="16.5" customHeight="1" x14ac:dyDescent="0.3">
      <c r="A11" s="10"/>
      <c r="B11" s="55"/>
      <c r="C11" s="10"/>
      <c r="D11" s="10"/>
      <c r="E11" s="10"/>
      <c r="F11" s="9"/>
      <c r="G11" s="10"/>
      <c r="H11" s="10"/>
      <c r="I11" s="10"/>
      <c r="J11" s="46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6"/>
      <c r="W11" s="10"/>
      <c r="X11" s="10"/>
      <c r="Y11" s="10"/>
      <c r="Z11" s="9"/>
    </row>
    <row r="12" spans="1:26" s="63" customFormat="1" ht="15" customHeight="1" x14ac:dyDescent="0.3">
      <c r="A12" s="11"/>
      <c r="B12" s="28" t="s">
        <v>287</v>
      </c>
      <c r="C12" s="11"/>
      <c r="D12" s="5">
        <f>SUM(0)</f>
        <v>0</v>
      </c>
      <c r="E12" s="5"/>
      <c r="F12" s="13"/>
      <c r="G12" s="5"/>
      <c r="H12" s="5">
        <f>SUM(0)</f>
        <v>0</v>
      </c>
      <c r="I12" s="5"/>
      <c r="J12" s="13"/>
      <c r="K12" s="5"/>
      <c r="L12" s="5">
        <f>+D12-H12</f>
        <v>0</v>
      </c>
      <c r="M12" s="5"/>
      <c r="N12" s="13">
        <f>IF(H12=0,0,L12/H12)</f>
        <v>0</v>
      </c>
      <c r="O12" s="11"/>
      <c r="P12" s="5">
        <f>SUM(0)</f>
        <v>0</v>
      </c>
      <c r="Q12" s="5"/>
      <c r="R12" s="13"/>
      <c r="S12" s="5"/>
      <c r="T12" s="5">
        <f>SUM(0)</f>
        <v>0</v>
      </c>
      <c r="U12" s="5"/>
      <c r="V12" s="13"/>
      <c r="W12" s="5"/>
      <c r="X12" s="5">
        <f>+P12-T12</f>
        <v>0</v>
      </c>
      <c r="Y12" s="5"/>
      <c r="Z12" s="13">
        <f>IF(T12=0,0,X12/T12)</f>
        <v>0</v>
      </c>
    </row>
    <row r="13" spans="1:26" ht="15" customHeight="1" x14ac:dyDescent="0.3">
      <c r="A13" s="10"/>
      <c r="B13" s="11"/>
      <c r="C13" s="10"/>
      <c r="D13" s="4"/>
      <c r="E13" s="4"/>
      <c r="F13" s="9"/>
      <c r="G13" s="4"/>
      <c r="H13" s="4"/>
      <c r="I13" s="4"/>
      <c r="J13" s="9"/>
      <c r="K13" s="4"/>
      <c r="L13" s="4"/>
      <c r="M13" s="4"/>
      <c r="N13" s="9"/>
      <c r="P13" s="4"/>
      <c r="Q13" s="4"/>
      <c r="R13" s="9"/>
      <c r="S13" s="4"/>
      <c r="T13" s="4"/>
      <c r="U13" s="4"/>
      <c r="V13" s="9"/>
      <c r="W13" s="4"/>
      <c r="X13" s="4"/>
      <c r="Y13" s="4"/>
      <c r="Z13" s="9"/>
    </row>
    <row r="14" spans="1:26" s="63" customFormat="1" ht="15" customHeight="1" x14ac:dyDescent="0.3">
      <c r="A14" s="11"/>
      <c r="B14" s="28" t="s">
        <v>288</v>
      </c>
      <c r="C14" s="11"/>
      <c r="D14" s="5">
        <f>SUM(0)</f>
        <v>0</v>
      </c>
      <c r="E14" s="5"/>
      <c r="F14" s="13">
        <f>IF(D$12=0,0,D14/D$12)</f>
        <v>0</v>
      </c>
      <c r="G14" s="5"/>
      <c r="H14" s="5">
        <f>SUM(0)</f>
        <v>0</v>
      </c>
      <c r="I14" s="5"/>
      <c r="J14" s="13">
        <f>IF(H$12=0,0,H14/H$12)</f>
        <v>0</v>
      </c>
      <c r="K14" s="5"/>
      <c r="L14" s="5">
        <f>+D14-H14</f>
        <v>0</v>
      </c>
      <c r="M14" s="5"/>
      <c r="N14" s="13">
        <f>IF(H14=0,0,L14/H14)</f>
        <v>0</v>
      </c>
      <c r="O14" s="11"/>
      <c r="P14" s="5">
        <f>SUM(0)</f>
        <v>0</v>
      </c>
      <c r="Q14" s="5"/>
      <c r="R14" s="13">
        <f>IF(P$12=0,0,P14/P$12)</f>
        <v>0</v>
      </c>
      <c r="S14" s="5"/>
      <c r="T14" s="5">
        <f>SUM(0)</f>
        <v>0</v>
      </c>
      <c r="U14" s="5"/>
      <c r="V14" s="13">
        <f>IF(T$12=0,0,T14/T$12)</f>
        <v>0</v>
      </c>
      <c r="W14" s="5"/>
      <c r="X14" s="5">
        <f>+P14-T14</f>
        <v>0</v>
      </c>
      <c r="Y14" s="5"/>
      <c r="Z14" s="13">
        <f>IF(T14=0,0,X14/T14)</f>
        <v>0</v>
      </c>
    </row>
    <row r="15" spans="1:26" ht="15" customHeight="1" x14ac:dyDescent="0.3">
      <c r="A15" s="10"/>
      <c r="B15" s="11"/>
      <c r="C15" s="11"/>
      <c r="D15" s="4"/>
      <c r="E15" s="4"/>
      <c r="F15" s="9"/>
      <c r="G15" s="4"/>
      <c r="H15" s="4"/>
      <c r="I15" s="4"/>
      <c r="J15" s="9"/>
      <c r="K15" s="4"/>
      <c r="L15" s="4"/>
      <c r="M15" s="4"/>
      <c r="N15" s="9"/>
      <c r="O15" s="11"/>
      <c r="P15" s="4"/>
      <c r="Q15" s="4"/>
      <c r="R15" s="9"/>
      <c r="S15" s="4"/>
      <c r="T15" s="4"/>
      <c r="U15" s="4"/>
      <c r="V15" s="9"/>
      <c r="W15" s="4"/>
      <c r="X15" s="4"/>
      <c r="Y15" s="4"/>
      <c r="Z15" s="9"/>
    </row>
    <row r="16" spans="1:26" s="63" customFormat="1" ht="15" customHeight="1" x14ac:dyDescent="0.3">
      <c r="A16" s="11"/>
      <c r="B16" s="27" t="s">
        <v>289</v>
      </c>
      <c r="C16" s="27"/>
      <c r="D16" s="21">
        <f>D12-D14</f>
        <v>0</v>
      </c>
      <c r="E16" s="15"/>
      <c r="F16" s="23">
        <f>IF(D$12=0,0,D16/D$12)</f>
        <v>0</v>
      </c>
      <c r="G16" s="15"/>
      <c r="H16" s="21">
        <f>H12-H14</f>
        <v>0</v>
      </c>
      <c r="I16" s="15"/>
      <c r="J16" s="23">
        <f>IF(H$12=0,0,H16/H$12)</f>
        <v>0</v>
      </c>
      <c r="K16" s="16"/>
      <c r="L16" s="21">
        <f>+D16-H16</f>
        <v>0</v>
      </c>
      <c r="M16" s="16"/>
      <c r="N16" s="23">
        <f>IF(H16=0,0,L16/H16)</f>
        <v>0</v>
      </c>
      <c r="O16" s="28"/>
      <c r="P16" s="21">
        <f>P12-P14</f>
        <v>0</v>
      </c>
      <c r="Q16" s="15"/>
      <c r="R16" s="23">
        <f>IF(P$12=0,0,P16/P$12)</f>
        <v>0</v>
      </c>
      <c r="S16" s="15"/>
      <c r="T16" s="21">
        <f>T12-T14</f>
        <v>0</v>
      </c>
      <c r="U16" s="15"/>
      <c r="V16" s="23">
        <f>IF(T$12=0,0,T16/T$12)</f>
        <v>0</v>
      </c>
      <c r="W16" s="16"/>
      <c r="X16" s="21">
        <f>+P16-T16</f>
        <v>0</v>
      </c>
      <c r="Y16" s="16"/>
      <c r="Z16" s="23">
        <f>IF(T16=0,0,X16/T16)</f>
        <v>0</v>
      </c>
    </row>
    <row r="17" spans="1:26" ht="15" customHeight="1" x14ac:dyDescent="0.3">
      <c r="A17" s="10"/>
      <c r="B17" s="11"/>
      <c r="C17" s="10"/>
      <c r="D17" s="2"/>
      <c r="E17" s="2"/>
      <c r="F17" s="6"/>
      <c r="G17" s="2"/>
      <c r="H17" s="2"/>
      <c r="I17" s="2"/>
      <c r="J17" s="6"/>
      <c r="K17" s="2"/>
      <c r="L17" s="2"/>
      <c r="M17" s="2"/>
      <c r="N17" s="6"/>
      <c r="O17" s="35"/>
      <c r="P17" s="2"/>
      <c r="Q17" s="2"/>
      <c r="R17" s="6"/>
      <c r="S17" s="2"/>
      <c r="T17" s="2"/>
      <c r="U17" s="2"/>
      <c r="V17" s="6"/>
      <c r="W17" s="2"/>
      <c r="X17" s="2"/>
      <c r="Y17" s="2"/>
      <c r="Z17" s="6"/>
    </row>
    <row r="18" spans="1:26" s="63" customFormat="1" ht="15" customHeight="1" x14ac:dyDescent="0.3">
      <c r="A18" s="11"/>
      <c r="B18" s="28" t="s">
        <v>290</v>
      </c>
      <c r="C18" s="11"/>
      <c r="D18" s="22" cm="1">
        <f t="array" ref="D18">SUM(OSRRefD22x_0)</f>
        <v>31022.09</v>
      </c>
      <c r="E18" s="22"/>
      <c r="F18" s="30">
        <f t="shared" ref="F18:F27" si="0">IF(D$12=0,0,D18/D$12)</f>
        <v>0</v>
      </c>
      <c r="G18" s="22"/>
      <c r="H18" s="22" cm="1">
        <f t="array" ref="H18">SUM(OSRRefH22x_0)</f>
        <v>46508</v>
      </c>
      <c r="I18" s="22"/>
      <c r="J18" s="30">
        <f t="shared" ref="J18:J27" si="1">IF(H$12=0,0,H18/H$12)</f>
        <v>0</v>
      </c>
      <c r="K18" s="5"/>
      <c r="L18" s="22">
        <f t="shared" ref="L18:L27" si="2">+D18-H18</f>
        <v>-15485.91</v>
      </c>
      <c r="M18" s="5"/>
      <c r="N18" s="30">
        <f t="shared" ref="N18:N27" si="3">IF(H18=0,0,L18/H18)</f>
        <v>-0.33297303689687796</v>
      </c>
      <c r="O18" s="11"/>
      <c r="P18" s="22" cm="1">
        <f t="array" ref="P18">SUM(OSRRefP22x_0)</f>
        <v>300506.99</v>
      </c>
      <c r="Q18" s="22"/>
      <c r="R18" s="30">
        <f t="shared" ref="R18:R27" si="4">IF(P$12=0,0,P18/P$12)</f>
        <v>0</v>
      </c>
      <c r="S18" s="22"/>
      <c r="T18" s="22" cm="1">
        <f t="array" ref="T18">SUM(OSRRefT22x_0)</f>
        <v>419072</v>
      </c>
      <c r="U18" s="22"/>
      <c r="V18" s="30">
        <f t="shared" ref="V18:V27" si="5">IF(T$12=0,0,T18/T$12)</f>
        <v>0</v>
      </c>
      <c r="W18" s="5"/>
      <c r="X18" s="22">
        <f t="shared" ref="X18:X27" si="6">+P18-T18</f>
        <v>-118565.01000000001</v>
      </c>
      <c r="Y18" s="5"/>
      <c r="Z18" s="30">
        <f t="shared" ref="Z18:Z27" si="7">IF(T18=0,0,X18/T18)</f>
        <v>-0.28292276744807576</v>
      </c>
    </row>
    <row r="19" spans="1:26" s="69" customFormat="1" ht="15" customHeight="1" outlineLevel="1" collapsed="1" x14ac:dyDescent="0.3">
      <c r="A19" s="25"/>
      <c r="B19" s="14" t="str">
        <f>CONCATENATE("     ","*Benefits                                         ")</f>
        <v xml:space="preserve">     *Benefits                                         </v>
      </c>
      <c r="C19" s="14"/>
      <c r="D19" s="2">
        <f>SUM(OSRRefD22_0x_0)</f>
        <v>26491.86</v>
      </c>
      <c r="E19" s="2"/>
      <c r="F19" s="6">
        <f t="shared" si="0"/>
        <v>0</v>
      </c>
      <c r="G19" s="2"/>
      <c r="H19" s="2">
        <f>SUM(OSRRefH22_0x_0)</f>
        <v>35000</v>
      </c>
      <c r="I19" s="2"/>
      <c r="J19" s="6">
        <f t="shared" si="1"/>
        <v>0</v>
      </c>
      <c r="K19" s="2"/>
      <c r="L19" s="2">
        <f t="shared" si="2"/>
        <v>-8508.14</v>
      </c>
      <c r="M19" s="2"/>
      <c r="N19" s="6">
        <f t="shared" si="3"/>
        <v>-0.24308971428571427</v>
      </c>
      <c r="O19" s="14"/>
      <c r="P19" s="2">
        <f>SUM(OSRRefP22_0x_0)</f>
        <v>245191.94</v>
      </c>
      <c r="Q19" s="2"/>
      <c r="R19" s="6">
        <f t="shared" si="4"/>
        <v>0</v>
      </c>
      <c r="S19" s="2"/>
      <c r="T19" s="2">
        <f>SUM(OSRRefT22_0x_0)</f>
        <v>315000</v>
      </c>
      <c r="U19" s="2"/>
      <c r="V19" s="6">
        <f t="shared" si="5"/>
        <v>0</v>
      </c>
      <c r="W19" s="2"/>
      <c r="X19" s="2">
        <f t="shared" si="6"/>
        <v>-69808.06</v>
      </c>
      <c r="Y19" s="2"/>
      <c r="Z19" s="6">
        <f t="shared" si="7"/>
        <v>-0.22161288888888889</v>
      </c>
    </row>
    <row r="20" spans="1:26" s="70" customFormat="1" ht="15" hidden="1" customHeight="1" outlineLevel="2" x14ac:dyDescent="0.3">
      <c r="A20" s="26"/>
      <c r="B20" s="12" t="str">
        <f>CONCATENATE("          ","6120"," - ","RETIREES HEALTH INSURANCE")</f>
        <v xml:space="preserve">          6120 - RETIREES HEALTH INSURANCE</v>
      </c>
      <c r="C20" s="12"/>
      <c r="D20" s="7">
        <v>26491.86</v>
      </c>
      <c r="E20" s="3"/>
      <c r="F20" s="8">
        <f t="shared" si="0"/>
        <v>0</v>
      </c>
      <c r="G20" s="3"/>
      <c r="H20" s="7">
        <v>35000</v>
      </c>
      <c r="I20" s="3"/>
      <c r="J20" s="8">
        <f t="shared" si="1"/>
        <v>0</v>
      </c>
      <c r="K20" s="3"/>
      <c r="L20" s="7">
        <f t="shared" si="2"/>
        <v>-8508.14</v>
      </c>
      <c r="M20" s="3"/>
      <c r="N20" s="8">
        <f t="shared" si="3"/>
        <v>-0.24308971428571427</v>
      </c>
      <c r="O20" s="12"/>
      <c r="P20" s="7">
        <v>245191.94</v>
      </c>
      <c r="Q20" s="3"/>
      <c r="R20" s="8">
        <f t="shared" si="4"/>
        <v>0</v>
      </c>
      <c r="S20" s="3"/>
      <c r="T20" s="7">
        <v>315000</v>
      </c>
      <c r="U20" s="3"/>
      <c r="V20" s="8">
        <f t="shared" si="5"/>
        <v>0</v>
      </c>
      <c r="W20" s="3"/>
      <c r="X20" s="7">
        <f t="shared" si="6"/>
        <v>-69808.06</v>
      </c>
      <c r="Y20" s="3"/>
      <c r="Z20" s="8">
        <f t="shared" si="7"/>
        <v>-0.22161288888888889</v>
      </c>
    </row>
    <row r="21" spans="1:26" s="69" customFormat="1" ht="15" customHeight="1" outlineLevel="1" collapsed="1" x14ac:dyDescent="0.3">
      <c r="A21" s="25"/>
      <c r="B21" s="14" t="str">
        <f>CONCATENATE("     ","Bank/card Fees                                    ")</f>
        <v xml:space="preserve">     Bank/card Fees                                    </v>
      </c>
      <c r="C21" s="14"/>
      <c r="D21" s="2">
        <f>SUM(OSRRefD22_1x_0)</f>
        <v>272.95</v>
      </c>
      <c r="E21" s="2"/>
      <c r="F21" s="6">
        <f t="shared" si="0"/>
        <v>0</v>
      </c>
      <c r="G21" s="2"/>
      <c r="H21" s="2">
        <f>SUM(OSRRefH22_1x_0)</f>
        <v>2000</v>
      </c>
      <c r="I21" s="2"/>
      <c r="J21" s="6">
        <f t="shared" si="1"/>
        <v>0</v>
      </c>
      <c r="K21" s="2"/>
      <c r="L21" s="2">
        <f t="shared" si="2"/>
        <v>-1727.05</v>
      </c>
      <c r="M21" s="2"/>
      <c r="N21" s="6">
        <f t="shared" si="3"/>
        <v>-0.86352499999999999</v>
      </c>
      <c r="O21" s="14"/>
      <c r="P21" s="2">
        <f>SUM(OSRRefP22_1x_0)</f>
        <v>9808.7800000000007</v>
      </c>
      <c r="Q21" s="2"/>
      <c r="R21" s="6">
        <f t="shared" si="4"/>
        <v>0</v>
      </c>
      <c r="S21" s="2"/>
      <c r="T21" s="2">
        <f>SUM(OSRRefT22_1x_0)</f>
        <v>31000</v>
      </c>
      <c r="U21" s="2"/>
      <c r="V21" s="6">
        <f t="shared" si="5"/>
        <v>0</v>
      </c>
      <c r="W21" s="2"/>
      <c r="X21" s="2">
        <f t="shared" si="6"/>
        <v>-21191.22</v>
      </c>
      <c r="Y21" s="2"/>
      <c r="Z21" s="6">
        <f t="shared" si="7"/>
        <v>-0.68358774193548388</v>
      </c>
    </row>
    <row r="22" spans="1:26" s="70" customFormat="1" ht="15" hidden="1" customHeight="1" outlineLevel="2" x14ac:dyDescent="0.3">
      <c r="A22" s="26"/>
      <c r="B22" s="12" t="str">
        <f>CONCATENATE("          ","6381"," - ","BANK/CREDIT CARD FEES")</f>
        <v xml:space="preserve">          6381 - BANK/CREDIT CARD FEES</v>
      </c>
      <c r="C22" s="12"/>
      <c r="D22" s="7">
        <v>272.95</v>
      </c>
      <c r="E22" s="3"/>
      <c r="F22" s="8">
        <f t="shared" si="0"/>
        <v>0</v>
      </c>
      <c r="G22" s="3"/>
      <c r="H22" s="7">
        <v>2000</v>
      </c>
      <c r="I22" s="3"/>
      <c r="J22" s="8">
        <f t="shared" si="1"/>
        <v>0</v>
      </c>
      <c r="K22" s="3"/>
      <c r="L22" s="7">
        <f t="shared" si="2"/>
        <v>-1727.05</v>
      </c>
      <c r="M22" s="3"/>
      <c r="N22" s="8">
        <f t="shared" si="3"/>
        <v>-0.86352499999999999</v>
      </c>
      <c r="O22" s="12"/>
      <c r="P22" s="7">
        <v>9808.7800000000007</v>
      </c>
      <c r="Q22" s="3"/>
      <c r="R22" s="8">
        <f t="shared" si="4"/>
        <v>0</v>
      </c>
      <c r="S22" s="3"/>
      <c r="T22" s="7">
        <v>31000</v>
      </c>
      <c r="U22" s="3"/>
      <c r="V22" s="8">
        <f t="shared" si="5"/>
        <v>0</v>
      </c>
      <c r="W22" s="3"/>
      <c r="X22" s="7">
        <f t="shared" si="6"/>
        <v>-21191.22</v>
      </c>
      <c r="Y22" s="3"/>
      <c r="Z22" s="8">
        <f t="shared" si="7"/>
        <v>-0.68358774193548388</v>
      </c>
    </row>
    <row r="23" spans="1:26" s="69" customFormat="1" ht="15" customHeight="1" outlineLevel="1" collapsed="1" x14ac:dyDescent="0.3">
      <c r="A23" s="25"/>
      <c r="B23" s="14" t="str">
        <f>CONCATENATE("     ","Board                                             ")</f>
        <v xml:space="preserve">     Board                                             </v>
      </c>
      <c r="C23" s="14"/>
      <c r="D23" s="2">
        <f>SUM(OSRRefD22_2x_0)</f>
        <v>4257.28</v>
      </c>
      <c r="E23" s="2"/>
      <c r="F23" s="6">
        <f t="shared" si="0"/>
        <v>0</v>
      </c>
      <c r="G23" s="2"/>
      <c r="H23" s="2">
        <f>SUM(OSRRefH22_2x_0)</f>
        <v>1508</v>
      </c>
      <c r="I23" s="2"/>
      <c r="J23" s="6">
        <f t="shared" si="1"/>
        <v>0</v>
      </c>
      <c r="K23" s="2"/>
      <c r="L23" s="2">
        <f t="shared" si="2"/>
        <v>2749.2799999999997</v>
      </c>
      <c r="M23" s="2"/>
      <c r="N23" s="6">
        <f t="shared" si="3"/>
        <v>1.823129973474801</v>
      </c>
      <c r="O23" s="14"/>
      <c r="P23" s="2">
        <f>SUM(OSRRefP22_2x_0)</f>
        <v>14343.02</v>
      </c>
      <c r="Q23" s="2"/>
      <c r="R23" s="6">
        <f t="shared" si="4"/>
        <v>0</v>
      </c>
      <c r="S23" s="2"/>
      <c r="T23" s="2">
        <f>SUM(OSRRefT22_2x_0)</f>
        <v>15072</v>
      </c>
      <c r="U23" s="2"/>
      <c r="V23" s="6">
        <f t="shared" si="5"/>
        <v>0</v>
      </c>
      <c r="W23" s="2"/>
      <c r="X23" s="2">
        <f t="shared" si="6"/>
        <v>-728.97999999999956</v>
      </c>
      <c r="Y23" s="2"/>
      <c r="Z23" s="6">
        <f t="shared" si="7"/>
        <v>-4.8366507430997845E-2</v>
      </c>
    </row>
    <row r="24" spans="1:26" s="70" customFormat="1" ht="15" hidden="1" customHeight="1" outlineLevel="2" x14ac:dyDescent="0.3">
      <c r="A24" s="26"/>
      <c r="B24" s="12" t="str">
        <f>CONCATENATE("          ","6397"," - ","BOARD EXPENSES")</f>
        <v xml:space="preserve">          6397 - BOARD EXPENSES</v>
      </c>
      <c r="C24" s="12"/>
      <c r="D24" s="7">
        <v>4257.28</v>
      </c>
      <c r="E24" s="3"/>
      <c r="F24" s="8">
        <f t="shared" si="0"/>
        <v>0</v>
      </c>
      <c r="G24" s="3"/>
      <c r="H24" s="7">
        <v>1508</v>
      </c>
      <c r="I24" s="3"/>
      <c r="J24" s="8">
        <f t="shared" si="1"/>
        <v>0</v>
      </c>
      <c r="K24" s="3"/>
      <c r="L24" s="7">
        <f t="shared" si="2"/>
        <v>2749.2799999999997</v>
      </c>
      <c r="M24" s="3"/>
      <c r="N24" s="8">
        <f t="shared" si="3"/>
        <v>1.823129973474801</v>
      </c>
      <c r="O24" s="12"/>
      <c r="P24" s="7">
        <v>14343.02</v>
      </c>
      <c r="Q24" s="3"/>
      <c r="R24" s="8">
        <f t="shared" si="4"/>
        <v>0</v>
      </c>
      <c r="S24" s="3"/>
      <c r="T24" s="7">
        <v>15072</v>
      </c>
      <c r="U24" s="3"/>
      <c r="V24" s="8">
        <f t="shared" si="5"/>
        <v>0</v>
      </c>
      <c r="W24" s="3"/>
      <c r="X24" s="7">
        <f t="shared" si="6"/>
        <v>-728.97999999999956</v>
      </c>
      <c r="Y24" s="3"/>
      <c r="Z24" s="8">
        <f t="shared" si="7"/>
        <v>-4.8366507430997845E-2</v>
      </c>
    </row>
    <row r="25" spans="1:26" s="69" customFormat="1" ht="15" customHeight="1" outlineLevel="1" collapsed="1" x14ac:dyDescent="0.3">
      <c r="A25" s="25"/>
      <c r="B25" s="14" t="str">
        <f>CONCATENATE("     ","Professional Services                             ")</f>
        <v xml:space="preserve">     Professional Services                             </v>
      </c>
      <c r="C25" s="14"/>
      <c r="D25" s="2">
        <f>SUM(OSRRefD22_3x_0)</f>
        <v>0</v>
      </c>
      <c r="E25" s="2"/>
      <c r="F25" s="6">
        <f t="shared" si="0"/>
        <v>0</v>
      </c>
      <c r="G25" s="2"/>
      <c r="H25" s="2">
        <f>SUM(OSRRefH22_3x_0)</f>
        <v>8000</v>
      </c>
      <c r="I25" s="2"/>
      <c r="J25" s="6">
        <f t="shared" si="1"/>
        <v>0</v>
      </c>
      <c r="K25" s="2"/>
      <c r="L25" s="2">
        <f t="shared" si="2"/>
        <v>-8000</v>
      </c>
      <c r="M25" s="2"/>
      <c r="N25" s="6">
        <f t="shared" si="3"/>
        <v>-1</v>
      </c>
      <c r="O25" s="14"/>
      <c r="P25" s="2">
        <f>SUM(OSRRefP22_3x_0)</f>
        <v>31163.25</v>
      </c>
      <c r="Q25" s="2"/>
      <c r="R25" s="6">
        <f t="shared" si="4"/>
        <v>0</v>
      </c>
      <c r="S25" s="2"/>
      <c r="T25" s="2">
        <f>SUM(OSRRefT22_3x_0)</f>
        <v>58000</v>
      </c>
      <c r="U25" s="2"/>
      <c r="V25" s="6">
        <f t="shared" si="5"/>
        <v>0</v>
      </c>
      <c r="W25" s="2"/>
      <c r="X25" s="2">
        <f t="shared" si="6"/>
        <v>-26836.75</v>
      </c>
      <c r="Y25" s="2"/>
      <c r="Z25" s="6">
        <f t="shared" si="7"/>
        <v>-0.46270258620689653</v>
      </c>
    </row>
    <row r="26" spans="1:26" s="70" customFormat="1" ht="15" hidden="1" customHeight="1" outlineLevel="2" x14ac:dyDescent="0.3">
      <c r="A26" s="26"/>
      <c r="B26" s="12" t="str">
        <f>CONCATENATE("          ","6331"," - ","INDIRECT COSTS-AUXILIARY ORGAN")</f>
        <v xml:space="preserve">          6331 - INDIRECT COSTS-AUXILIARY ORGAN</v>
      </c>
      <c r="C26" s="12"/>
      <c r="D26" s="7"/>
      <c r="E26" s="3"/>
      <c r="F26" s="8">
        <f t="shared" si="0"/>
        <v>0</v>
      </c>
      <c r="G26" s="3"/>
      <c r="H26" s="7">
        <v>0</v>
      </c>
      <c r="I26" s="3"/>
      <c r="J26" s="8">
        <f t="shared" si="1"/>
        <v>0</v>
      </c>
      <c r="K26" s="3"/>
      <c r="L26" s="7">
        <f t="shared" si="2"/>
        <v>0</v>
      </c>
      <c r="M26" s="3"/>
      <c r="N26" s="8">
        <f t="shared" si="3"/>
        <v>0</v>
      </c>
      <c r="O26" s="12"/>
      <c r="P26" s="7">
        <v>31163.25</v>
      </c>
      <c r="Q26" s="3"/>
      <c r="R26" s="8">
        <f t="shared" si="4"/>
        <v>0</v>
      </c>
      <c r="S26" s="3"/>
      <c r="T26" s="7">
        <v>39000</v>
      </c>
      <c r="U26" s="3"/>
      <c r="V26" s="8">
        <f t="shared" si="5"/>
        <v>0</v>
      </c>
      <c r="W26" s="3"/>
      <c r="X26" s="7">
        <f t="shared" si="6"/>
        <v>-7836.75</v>
      </c>
      <c r="Y26" s="3"/>
      <c r="Z26" s="8">
        <f t="shared" si="7"/>
        <v>-0.2009423076923077</v>
      </c>
    </row>
    <row r="27" spans="1:26" s="70" customFormat="1" ht="15" hidden="1" customHeight="1" outlineLevel="2" x14ac:dyDescent="0.3">
      <c r="A27" s="26"/>
      <c r="B27" s="12" t="str">
        <f>CONCATENATE("          ","6332"," - ","CONSULTANT FEES")</f>
        <v xml:space="preserve">          6332 - CONSULTANT FEES</v>
      </c>
      <c r="C27" s="12"/>
      <c r="D27" s="7"/>
      <c r="E27" s="3"/>
      <c r="F27" s="8">
        <f t="shared" si="0"/>
        <v>0</v>
      </c>
      <c r="G27" s="3"/>
      <c r="H27" s="7">
        <v>8000</v>
      </c>
      <c r="I27" s="3"/>
      <c r="J27" s="8">
        <f t="shared" si="1"/>
        <v>0</v>
      </c>
      <c r="K27" s="3"/>
      <c r="L27" s="7">
        <f t="shared" si="2"/>
        <v>-8000</v>
      </c>
      <c r="M27" s="3"/>
      <c r="N27" s="8">
        <f t="shared" si="3"/>
        <v>-1</v>
      </c>
      <c r="O27" s="12"/>
      <c r="P27" s="7"/>
      <c r="Q27" s="3"/>
      <c r="R27" s="8">
        <f t="shared" si="4"/>
        <v>0</v>
      </c>
      <c r="S27" s="3"/>
      <c r="T27" s="7">
        <v>19000</v>
      </c>
      <c r="U27" s="3"/>
      <c r="V27" s="8">
        <f t="shared" si="5"/>
        <v>0</v>
      </c>
      <c r="W27" s="3"/>
      <c r="X27" s="7">
        <f t="shared" si="6"/>
        <v>-19000</v>
      </c>
      <c r="Y27" s="3"/>
      <c r="Z27" s="8">
        <f t="shared" si="7"/>
        <v>-1</v>
      </c>
    </row>
    <row r="28" spans="1:26" s="65" customFormat="1" ht="15" customHeight="1" x14ac:dyDescent="0.3">
      <c r="A28" s="35"/>
      <c r="B28" s="35"/>
      <c r="C28" s="35"/>
      <c r="D28" s="2"/>
      <c r="E28" s="2"/>
      <c r="F28" s="6"/>
      <c r="G28" s="2"/>
      <c r="H28" s="2"/>
      <c r="I28" s="2"/>
      <c r="J28" s="6"/>
      <c r="K28" s="2"/>
      <c r="L28" s="2"/>
      <c r="M28" s="2"/>
      <c r="N28" s="6"/>
      <c r="O28" s="35"/>
      <c r="P28" s="2"/>
      <c r="Q28" s="2"/>
      <c r="R28" s="6"/>
      <c r="S28" s="2"/>
      <c r="T28" s="2"/>
      <c r="U28" s="2"/>
      <c r="V28" s="6"/>
      <c r="W28" s="2"/>
      <c r="X28" s="2"/>
      <c r="Y28" s="2"/>
      <c r="Z28" s="6"/>
    </row>
    <row r="29" spans="1:26" s="63" customFormat="1" ht="15" customHeight="1" x14ac:dyDescent="0.3">
      <c r="A29" s="11"/>
      <c r="B29" s="28" t="s">
        <v>291</v>
      </c>
      <c r="C29" s="11"/>
      <c r="D29" s="5">
        <f>SUM(0)</f>
        <v>0</v>
      </c>
      <c r="E29" s="5"/>
      <c r="F29" s="13">
        <f>IF(D$12=0,0,D29/D$12)</f>
        <v>0</v>
      </c>
      <c r="G29" s="5"/>
      <c r="H29" s="5">
        <f>SUM(0)</f>
        <v>0</v>
      </c>
      <c r="I29" s="5"/>
      <c r="J29" s="13">
        <f>IF(H$12=0,0,H29/H$12)</f>
        <v>0</v>
      </c>
      <c r="K29" s="5"/>
      <c r="L29" s="5">
        <f>+D29-H29</f>
        <v>0</v>
      </c>
      <c r="M29" s="5"/>
      <c r="N29" s="13">
        <f>IF(H29=0,0,L29/H29)</f>
        <v>0</v>
      </c>
      <c r="O29" s="11"/>
      <c r="P29" s="5">
        <f>SUM(0)</f>
        <v>0</v>
      </c>
      <c r="Q29" s="5"/>
      <c r="R29" s="13">
        <f>IF(P$12=0,0,P29/P$12)</f>
        <v>0</v>
      </c>
      <c r="S29" s="5"/>
      <c r="T29" s="5">
        <f>SUM(0)</f>
        <v>0</v>
      </c>
      <c r="U29" s="5"/>
      <c r="V29" s="13">
        <f>IF(T$12=0,0,T29/T$12)</f>
        <v>0</v>
      </c>
      <c r="W29" s="5"/>
      <c r="X29" s="5">
        <f>+P29-T29</f>
        <v>0</v>
      </c>
      <c r="Y29" s="5"/>
      <c r="Z29" s="13">
        <f>IF(T29=0,0,X29/T29)</f>
        <v>0</v>
      </c>
    </row>
    <row r="30" spans="1:26" ht="15" customHeight="1" x14ac:dyDescent="0.3">
      <c r="A30" s="10"/>
      <c r="B30" s="11"/>
      <c r="C30" s="11"/>
      <c r="D30" s="4"/>
      <c r="E30" s="4"/>
      <c r="F30" s="9"/>
      <c r="G30" s="4"/>
      <c r="H30" s="4"/>
      <c r="I30" s="4"/>
      <c r="J30" s="9"/>
      <c r="K30" s="4"/>
      <c r="L30" s="4"/>
      <c r="M30" s="4"/>
      <c r="N30" s="9"/>
      <c r="O30" s="11"/>
      <c r="P30" s="4"/>
      <c r="Q30" s="4"/>
      <c r="R30" s="9"/>
      <c r="S30" s="4"/>
      <c r="T30" s="4"/>
      <c r="U30" s="4"/>
      <c r="V30" s="9"/>
      <c r="W30" s="4"/>
      <c r="X30" s="4"/>
      <c r="Y30" s="4"/>
      <c r="Z30" s="9"/>
    </row>
    <row r="31" spans="1:26" s="63" customFormat="1" ht="15" customHeight="1" x14ac:dyDescent="0.3">
      <c r="A31" s="11"/>
      <c r="B31" s="27" t="s">
        <v>292</v>
      </c>
      <c r="C31" s="27"/>
      <c r="D31" s="21">
        <f>+D16-D18+D29</f>
        <v>-31022.09</v>
      </c>
      <c r="E31" s="15"/>
      <c r="F31" s="23">
        <f>IF(D$12=0,0,D31/D$12)</f>
        <v>0</v>
      </c>
      <c r="G31" s="15"/>
      <c r="H31" s="21">
        <f>+H16-H18+H29</f>
        <v>-46508</v>
      </c>
      <c r="I31" s="15"/>
      <c r="J31" s="23">
        <f>IF(H$12=0,0,H31/H$12)</f>
        <v>0</v>
      </c>
      <c r="K31" s="16"/>
      <c r="L31" s="21">
        <f>+D31-H31</f>
        <v>15485.91</v>
      </c>
      <c r="M31" s="16"/>
      <c r="N31" s="23">
        <f>IF(H31=0,0,L31/H31)</f>
        <v>-0.33297303689687796</v>
      </c>
      <c r="O31" s="28"/>
      <c r="P31" s="21">
        <f>+P16-P18+P29</f>
        <v>-300506.99</v>
      </c>
      <c r="Q31" s="15"/>
      <c r="R31" s="23">
        <f>IF(P$12=0,0,P31/P$12)</f>
        <v>0</v>
      </c>
      <c r="S31" s="15"/>
      <c r="T31" s="21">
        <f>+T16-T18+T29</f>
        <v>-419072</v>
      </c>
      <c r="U31" s="15"/>
      <c r="V31" s="23">
        <f>IF(T$12=0,0,T31/T$12)</f>
        <v>0</v>
      </c>
      <c r="W31" s="16"/>
      <c r="X31" s="21">
        <f>+P31-T31</f>
        <v>118565.01000000001</v>
      </c>
      <c r="Y31" s="16"/>
      <c r="Z31" s="23">
        <f>IF(T31=0,0,X31/T31)</f>
        <v>-0.28292276744807576</v>
      </c>
    </row>
    <row r="32" spans="1:26" ht="15" customHeight="1" x14ac:dyDescent="0.3">
      <c r="A32" s="10"/>
      <c r="B32" s="11"/>
      <c r="C32" s="10"/>
      <c r="D32" s="4"/>
      <c r="E32" s="4"/>
      <c r="F32" s="9"/>
      <c r="G32" s="4"/>
      <c r="H32" s="4"/>
      <c r="I32" s="4"/>
      <c r="J32" s="9"/>
      <c r="K32" s="4"/>
      <c r="L32" s="4"/>
      <c r="M32" s="4"/>
      <c r="N32" s="9"/>
      <c r="P32" s="4"/>
      <c r="Q32" s="4"/>
      <c r="R32" s="9"/>
      <c r="S32" s="4"/>
      <c r="T32" s="4"/>
      <c r="U32" s="4"/>
      <c r="V32" s="9"/>
      <c r="W32" s="4"/>
      <c r="X32" s="4"/>
      <c r="Y32" s="4"/>
      <c r="Z32" s="9"/>
    </row>
    <row r="33" spans="1:26" s="63" customFormat="1" ht="15" customHeight="1" x14ac:dyDescent="0.3">
      <c r="A33" s="49"/>
      <c r="B33" s="11" t="s">
        <v>293</v>
      </c>
      <c r="C33" s="11"/>
      <c r="D33" s="5"/>
      <c r="E33" s="5"/>
      <c r="F33" s="13">
        <f>IF(D$12=0,0,D33/D$12)</f>
        <v>0</v>
      </c>
      <c r="G33" s="5"/>
      <c r="H33" s="5"/>
      <c r="I33" s="5"/>
      <c r="J33" s="13">
        <f>IF(H$12=0,0,H33/H$12)</f>
        <v>0</v>
      </c>
      <c r="K33" s="5"/>
      <c r="L33" s="5">
        <f>+D33-H33</f>
        <v>0</v>
      </c>
      <c r="M33" s="5"/>
      <c r="N33" s="13">
        <f>IF(H33=0,0,L33/H33)</f>
        <v>0</v>
      </c>
      <c r="O33" s="11"/>
      <c r="P33" s="5"/>
      <c r="Q33" s="5"/>
      <c r="R33" s="13">
        <f>IF(P$12=0,0,P33/P$12)</f>
        <v>0</v>
      </c>
      <c r="S33" s="5"/>
      <c r="T33" s="5"/>
      <c r="U33" s="5"/>
      <c r="V33" s="13">
        <f>IF(T$12=0,0,T33/T$12)</f>
        <v>0</v>
      </c>
      <c r="W33" s="5"/>
      <c r="X33" s="5">
        <f>+P33-T33</f>
        <v>0</v>
      </c>
      <c r="Y33" s="5"/>
      <c r="Z33" s="13">
        <f>IF(T33=0,0,X33/T33)</f>
        <v>0</v>
      </c>
    </row>
    <row r="34" spans="1:26" ht="15" customHeight="1" x14ac:dyDescent="0.3">
      <c r="A34" s="10"/>
      <c r="B34" s="11"/>
      <c r="C34" s="11"/>
      <c r="D34" s="4"/>
      <c r="E34" s="4"/>
      <c r="F34" s="9"/>
      <c r="G34" s="4"/>
      <c r="H34" s="4"/>
      <c r="I34" s="4"/>
      <c r="J34" s="9"/>
      <c r="K34" s="4"/>
      <c r="L34" s="4"/>
      <c r="M34" s="4"/>
      <c r="N34" s="9"/>
      <c r="O34" s="11"/>
      <c r="P34" s="4"/>
      <c r="Q34" s="4"/>
      <c r="R34" s="9"/>
      <c r="S34" s="4"/>
      <c r="T34" s="4"/>
      <c r="U34" s="4"/>
      <c r="V34" s="9"/>
      <c r="W34" s="4"/>
      <c r="X34" s="4"/>
      <c r="Y34" s="4"/>
      <c r="Z34" s="9"/>
    </row>
    <row r="35" spans="1:26" s="63" customFormat="1" ht="15" customHeight="1" x14ac:dyDescent="0.3">
      <c r="A35" s="11"/>
      <c r="B35" s="27" t="s">
        <v>294</v>
      </c>
      <c r="C35" s="27"/>
      <c r="D35" s="34">
        <f>+D31-D33</f>
        <v>-31022.09</v>
      </c>
      <c r="E35" s="15"/>
      <c r="F35" s="29">
        <f>IF(D$12=0,0,D35/D$12)</f>
        <v>0</v>
      </c>
      <c r="G35" s="15"/>
      <c r="H35" s="34">
        <f>+H31-H33</f>
        <v>-46508</v>
      </c>
      <c r="I35" s="15"/>
      <c r="J35" s="29">
        <f>IF(H$12=0,0,H35/H$12)</f>
        <v>0</v>
      </c>
      <c r="K35" s="16"/>
      <c r="L35" s="34">
        <f>D35-H35</f>
        <v>15485.91</v>
      </c>
      <c r="M35" s="16"/>
      <c r="N35" s="29">
        <f>IF(H35=0,0,L35/H35)</f>
        <v>-0.33297303689687796</v>
      </c>
      <c r="O35" s="28"/>
      <c r="P35" s="34">
        <f>+P31-P33</f>
        <v>-300506.99</v>
      </c>
      <c r="Q35" s="15"/>
      <c r="R35" s="29">
        <f>IF(P$12=0,0,P35/P$12)</f>
        <v>0</v>
      </c>
      <c r="S35" s="15"/>
      <c r="T35" s="34">
        <f>+T31-T33</f>
        <v>-419072</v>
      </c>
      <c r="U35" s="15"/>
      <c r="V35" s="29">
        <f>IF(T$12=0,0,T35/T$12)</f>
        <v>0</v>
      </c>
      <c r="W35" s="16"/>
      <c r="X35" s="34">
        <f>P35-T35</f>
        <v>118565.01000000001</v>
      </c>
      <c r="Y35" s="16"/>
      <c r="Z35" s="29">
        <f>IF(T35=0,0,X35/T35)</f>
        <v>-0.28292276744807576</v>
      </c>
    </row>
    <row r="36" spans="1:26" ht="15" customHeight="1" x14ac:dyDescent="0.3">
      <c r="A36" s="10"/>
      <c r="B36" s="10"/>
      <c r="C36" s="10"/>
      <c r="D36" s="4"/>
      <c r="E36" s="4"/>
      <c r="F36" s="9"/>
      <c r="G36" s="4"/>
      <c r="H36" s="4"/>
      <c r="I36" s="4"/>
      <c r="J36" s="9"/>
      <c r="K36" s="4"/>
      <c r="L36" s="4"/>
      <c r="M36" s="4"/>
      <c r="N36" s="9"/>
      <c r="P36" s="4"/>
      <c r="Q36" s="4"/>
      <c r="R36" s="9"/>
      <c r="S36" s="4"/>
      <c r="T36" s="4"/>
      <c r="U36" s="4"/>
      <c r="V36" s="9"/>
      <c r="W36" s="4"/>
      <c r="X36" s="4"/>
      <c r="Y36" s="4"/>
      <c r="Z36" s="9"/>
    </row>
    <row r="37" spans="1:26" ht="15" customHeight="1" x14ac:dyDescent="0.3">
      <c r="A37" s="10"/>
      <c r="B37" s="10"/>
      <c r="C37" s="10"/>
      <c r="D37" s="4"/>
      <c r="E37" s="4"/>
      <c r="F37" s="9"/>
      <c r="G37" s="4"/>
      <c r="H37" s="4"/>
      <c r="I37" s="4"/>
      <c r="J37" s="9"/>
      <c r="K37" s="4"/>
      <c r="L37" s="4"/>
      <c r="M37" s="4"/>
      <c r="N37" s="9"/>
      <c r="P37" s="4"/>
      <c r="Q37" s="4"/>
      <c r="R37" s="9"/>
      <c r="S37" s="4"/>
      <c r="T37" s="4"/>
      <c r="U37" s="4"/>
      <c r="V37" s="9"/>
      <c r="W37" s="4"/>
      <c r="X37" s="4"/>
      <c r="Y37" s="4"/>
      <c r="Z37" s="9"/>
    </row>
    <row r="38" spans="1:26" s="63" customFormat="1" ht="15" customHeight="1" x14ac:dyDescent="0.3">
      <c r="A38" s="11"/>
      <c r="B38" s="27" t="s">
        <v>297</v>
      </c>
      <c r="C38" s="27"/>
      <c r="D38" s="32">
        <f>SUM(D35:D37)</f>
        <v>-31022.09</v>
      </c>
      <c r="E38" s="15"/>
      <c r="F38" s="31">
        <f>IF(D$12=0,0,D38/D$12)</f>
        <v>0</v>
      </c>
      <c r="G38" s="15"/>
      <c r="H38" s="32">
        <f>SUM(H35:H37)</f>
        <v>-46508</v>
      </c>
      <c r="I38" s="15"/>
      <c r="J38" s="31">
        <f>IF(H$12=0,0,H38/H$12)</f>
        <v>0</v>
      </c>
      <c r="K38" s="16"/>
      <c r="L38" s="32">
        <f>+D38-H38</f>
        <v>15485.91</v>
      </c>
      <c r="M38" s="16"/>
      <c r="N38" s="31">
        <f>IF(H38=0,0,L38/H38)</f>
        <v>-0.33297303689687796</v>
      </c>
      <c r="O38" s="28"/>
      <c r="P38" s="32">
        <f>SUM(P35:P37)</f>
        <v>-300506.99</v>
      </c>
      <c r="Q38" s="15"/>
      <c r="R38" s="31">
        <f>IF(P$12=0,0,P38/P$12)</f>
        <v>0</v>
      </c>
      <c r="S38" s="15"/>
      <c r="T38" s="32">
        <f>SUM(T35:T37)</f>
        <v>-419072</v>
      </c>
      <c r="U38" s="15"/>
      <c r="V38" s="31">
        <f>IF(T$12=0,0,T38/T$12)</f>
        <v>0</v>
      </c>
      <c r="W38" s="16"/>
      <c r="X38" s="32">
        <f>+P38-T38</f>
        <v>118565.01000000001</v>
      </c>
      <c r="Y38" s="16"/>
      <c r="Z38" s="31">
        <f>IF(T38=0,0,X38/T38)</f>
        <v>-0.28292276744807576</v>
      </c>
    </row>
    <row r="39" spans="1:26" ht="15" customHeight="1" x14ac:dyDescent="0.3">
      <c r="A39" s="10"/>
      <c r="C39" s="10"/>
      <c r="D39" s="19"/>
      <c r="E39" s="19"/>
      <c r="G39" s="19"/>
      <c r="H39" s="19"/>
      <c r="I39" s="19"/>
      <c r="J39" s="40"/>
      <c r="K39" s="19"/>
      <c r="L39" s="19"/>
      <c r="M39" s="19"/>
      <c r="P39" s="19"/>
      <c r="Q39" s="19"/>
      <c r="R39" s="40"/>
      <c r="S39" s="19"/>
      <c r="T39" s="19"/>
      <c r="U39" s="19"/>
      <c r="V39" s="40"/>
      <c r="W39" s="19"/>
      <c r="X39" s="19"/>
    </row>
    <row r="40" spans="1:26" ht="15" customHeight="1" x14ac:dyDescent="0.3">
      <c r="A40" s="10"/>
      <c r="B40" s="51">
        <v>44663.047665428239</v>
      </c>
      <c r="D40" s="19"/>
      <c r="E40" s="19"/>
      <c r="G40" s="19"/>
      <c r="H40" s="19"/>
      <c r="I40" s="19"/>
      <c r="J40" s="40"/>
      <c r="K40" s="19"/>
      <c r="L40" s="19"/>
      <c r="M40" s="19"/>
      <c r="P40" s="19"/>
      <c r="Q40" s="19"/>
      <c r="R40" s="40"/>
      <c r="S40" s="19"/>
      <c r="T40" s="19"/>
      <c r="U40" s="19"/>
      <c r="V40" s="40"/>
      <c r="W40" s="19"/>
      <c r="X40" s="19"/>
    </row>
    <row r="41" spans="1:26" ht="15" customHeight="1" x14ac:dyDescent="0.3">
      <c r="A41" s="10"/>
      <c r="B41" s="58" t="s">
        <v>298</v>
      </c>
      <c r="D41" s="19"/>
      <c r="E41" s="19"/>
      <c r="G41" s="19"/>
      <c r="H41" s="19"/>
      <c r="I41" s="19"/>
      <c r="J41" s="40"/>
      <c r="K41" s="19"/>
      <c r="L41" s="19"/>
      <c r="M41" s="19"/>
      <c r="P41" s="19"/>
      <c r="Q41" s="19"/>
      <c r="R41" s="40"/>
      <c r="S41" s="19"/>
      <c r="T41" s="19"/>
      <c r="U41" s="19"/>
      <c r="V41" s="40"/>
      <c r="W41" s="19"/>
      <c r="X41" s="19"/>
    </row>
    <row r="42" spans="1:26" ht="15" customHeight="1" x14ac:dyDescent="0.3">
      <c r="A42" s="10"/>
      <c r="B42" s="50"/>
      <c r="D42" s="19"/>
      <c r="E42" s="19"/>
      <c r="G42" s="19"/>
      <c r="H42" s="19"/>
      <c r="I42" s="19"/>
      <c r="J42" s="40"/>
      <c r="K42" s="19"/>
      <c r="L42" s="19"/>
      <c r="M42" s="19"/>
      <c r="P42" s="19"/>
      <c r="Q42" s="19"/>
      <c r="R42" s="40"/>
      <c r="S42" s="19"/>
      <c r="T42" s="19"/>
      <c r="U42" s="19"/>
      <c r="V42" s="40"/>
      <c r="W42" s="19"/>
      <c r="X42" s="19"/>
    </row>
    <row r="43" spans="1:26" ht="15" customHeight="1" x14ac:dyDescent="0.3">
      <c r="D43" s="19"/>
      <c r="E43" s="19"/>
      <c r="G43" s="19"/>
      <c r="H43" s="19"/>
      <c r="I43" s="19"/>
      <c r="J43" s="40"/>
      <c r="K43" s="19"/>
      <c r="L43" s="19"/>
      <c r="M43" s="19"/>
      <c r="P43" s="19"/>
      <c r="Q43" s="19"/>
      <c r="R43" s="40"/>
      <c r="S43" s="19"/>
      <c r="T43" s="19"/>
      <c r="U43" s="19"/>
      <c r="V43" s="40"/>
      <c r="W43" s="19"/>
      <c r="X43" s="19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4E420C-7AF6-75B9-7E04-2BEB8724608C}">
  <sheetPr>
    <tabColor rgb="FF92D050"/>
    <outlinePr summaryBelow="0" summaryRight="0"/>
  </sheetPr>
  <dimension ref="A2:Z87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6" customWidth="1"/>
    <col min="2" max="2" width="33.44140625" style="66" customWidth="1"/>
    <col min="3" max="3" width="1.88671875" style="66" customWidth="1"/>
    <col min="4" max="4" width="15" style="66" customWidth="1"/>
    <col min="5" max="5" width="1.88671875" style="66" customWidth="1" outlineLevel="1"/>
    <col min="6" max="6" width="15" style="67" customWidth="1" outlineLevel="1"/>
    <col min="7" max="7" width="1.88671875" style="66" customWidth="1" outlineLevel="1"/>
    <col min="8" max="8" width="15" style="66" customWidth="1" outlineLevel="1"/>
    <col min="9" max="9" width="1.88671875" style="66" customWidth="1" outlineLevel="1"/>
    <col min="10" max="10" width="15" style="68" customWidth="1" outlineLevel="1"/>
    <col min="11" max="11" width="1.88671875" style="66" customWidth="1" outlineLevel="1"/>
    <col min="12" max="12" width="15" style="66" customWidth="1" outlineLevel="1"/>
    <col min="13" max="13" width="1.88671875" style="66" customWidth="1" outlineLevel="1"/>
    <col min="14" max="14" width="15" style="67" customWidth="1" outlineLevel="1"/>
    <col min="15" max="15" width="1.88671875" style="64" customWidth="1"/>
    <col min="16" max="16" width="15" style="66" customWidth="1"/>
    <col min="17" max="17" width="1.88671875" style="66" customWidth="1" outlineLevel="1"/>
    <col min="18" max="18" width="15" style="68" customWidth="1" outlineLevel="1"/>
    <col min="19" max="19" width="1.88671875" style="66" customWidth="1" outlineLevel="1"/>
    <col min="20" max="20" width="15" style="66" customWidth="1" outlineLevel="1"/>
    <col min="21" max="21" width="1.88671875" style="66" customWidth="1" outlineLevel="1"/>
    <col min="22" max="22" width="15" style="68" customWidth="1" outlineLevel="1"/>
    <col min="23" max="23" width="1.88671875" style="66" customWidth="1" outlineLevel="1"/>
    <col min="24" max="24" width="15" style="66" customWidth="1" outlineLevel="1"/>
    <col min="25" max="25" width="1.88671875" style="66" customWidth="1" outlineLevel="1"/>
    <col min="26" max="26" width="15" style="68" customWidth="1" outlineLevel="1"/>
  </cols>
  <sheetData>
    <row r="2" spans="1:26" ht="15" customHeight="1" x14ac:dyDescent="0.3">
      <c r="D2" s="54" t="s">
        <v>276</v>
      </c>
    </row>
    <row r="3" spans="1:26" ht="15" customHeight="1" x14ac:dyDescent="0.3">
      <c r="D3" s="54" t="s">
        <v>277</v>
      </c>
      <c r="E3" s="18"/>
      <c r="F3" s="44"/>
      <c r="G3" s="18"/>
      <c r="H3" s="18"/>
      <c r="I3" s="18"/>
      <c r="J3" s="38"/>
      <c r="K3" s="18"/>
      <c r="L3" s="18"/>
      <c r="M3" s="18"/>
      <c r="N3" s="44"/>
      <c r="O3" s="53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ht="15" customHeight="1" x14ac:dyDescent="0.3">
      <c r="D4" s="54" t="str">
        <f>CONCATENATE("Period ",RIGHT(202209,2),", ",2022)</f>
        <v>Period 09, 2022</v>
      </c>
      <c r="E4" s="18"/>
      <c r="F4" s="44"/>
      <c r="G4" s="18"/>
      <c r="H4" s="18"/>
      <c r="I4" s="18"/>
      <c r="J4" s="38"/>
      <c r="K4" s="18"/>
      <c r="L4" s="18"/>
      <c r="M4" s="18"/>
      <c r="N4" s="44"/>
      <c r="O4" s="53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ht="15" customHeight="1" x14ac:dyDescent="0.3">
      <c r="A5" s="24"/>
      <c r="D5" s="60">
        <v>44646</v>
      </c>
      <c r="E5" s="18"/>
      <c r="F5" s="44"/>
      <c r="G5" s="18"/>
      <c r="H5" s="18"/>
      <c r="I5" s="18"/>
      <c r="J5" s="38"/>
      <c r="K5" s="18"/>
      <c r="L5" s="18"/>
      <c r="M5" s="18"/>
      <c r="N5" s="44"/>
      <c r="O5" s="53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ht="15" customHeight="1" x14ac:dyDescent="0.3">
      <c r="A6" s="24"/>
      <c r="B6" s="47"/>
      <c r="C6" s="47"/>
      <c r="D6" s="24" t="str">
        <f>CONCATENATE("Department ","201"," - ","General Manager")</f>
        <v>Department 201 - General Manager</v>
      </c>
      <c r="E6" s="18"/>
      <c r="F6" s="44"/>
      <c r="G6" s="18"/>
      <c r="H6" s="18"/>
      <c r="I6" s="18"/>
      <c r="J6" s="38"/>
      <c r="K6" s="18"/>
      <c r="L6" s="18"/>
      <c r="M6" s="18"/>
      <c r="N6" s="44"/>
      <c r="O6" s="59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ht="15" customHeight="1" x14ac:dyDescent="0.3">
      <c r="B7" s="52"/>
    </row>
    <row r="8" spans="1:26" ht="15" customHeight="1" x14ac:dyDescent="0.3">
      <c r="B8" s="52"/>
    </row>
    <row r="9" spans="1:26" ht="15" customHeight="1" x14ac:dyDescent="0.3">
      <c r="B9" s="10"/>
      <c r="C9" s="10"/>
      <c r="D9" s="17" t="s">
        <v>279</v>
      </c>
      <c r="E9" s="17"/>
      <c r="F9" s="36"/>
      <c r="G9" s="17"/>
      <c r="H9" s="17"/>
      <c r="I9" s="17"/>
      <c r="J9" s="43"/>
      <c r="K9" s="17"/>
      <c r="L9" s="17"/>
      <c r="M9" s="17"/>
      <c r="N9" s="36"/>
      <c r="P9" s="17" t="s">
        <v>280</v>
      </c>
      <c r="Q9" s="17"/>
      <c r="R9" s="36"/>
      <c r="S9" s="17"/>
      <c r="T9" s="17"/>
      <c r="U9" s="17"/>
      <c r="V9" s="43"/>
      <c r="W9" s="17"/>
      <c r="X9" s="17"/>
      <c r="Y9" s="17"/>
      <c r="Z9" s="36"/>
    </row>
    <row r="10" spans="1:26" ht="15" customHeight="1" x14ac:dyDescent="0.3">
      <c r="A10" s="11"/>
      <c r="B10" s="57"/>
      <c r="C10" s="11"/>
      <c r="D10" s="41" t="s">
        <v>281</v>
      </c>
      <c r="E10" s="33"/>
      <c r="F10" s="37" t="s">
        <v>282</v>
      </c>
      <c r="G10" s="33"/>
      <c r="H10" s="48" t="s">
        <v>283</v>
      </c>
      <c r="I10" s="33"/>
      <c r="J10" s="45" t="s">
        <v>284</v>
      </c>
      <c r="K10" s="11"/>
      <c r="L10" s="41" t="s">
        <v>285</v>
      </c>
      <c r="M10" s="11"/>
      <c r="N10" s="37" t="s">
        <v>286</v>
      </c>
      <c r="O10" s="11"/>
      <c r="P10" s="56" t="s">
        <v>281</v>
      </c>
      <c r="Q10" s="33"/>
      <c r="R10" s="37" t="s">
        <v>282</v>
      </c>
      <c r="S10" s="33"/>
      <c r="T10" s="48" t="s">
        <v>283</v>
      </c>
      <c r="U10" s="33"/>
      <c r="V10" s="45" t="s">
        <v>284</v>
      </c>
      <c r="W10" s="11"/>
      <c r="X10" s="41" t="s">
        <v>285</v>
      </c>
      <c r="Y10" s="11"/>
      <c r="Z10" s="37" t="s">
        <v>286</v>
      </c>
    </row>
    <row r="11" spans="1:26" ht="16.5" customHeight="1" x14ac:dyDescent="0.3">
      <c r="A11" s="10"/>
      <c r="B11" s="55"/>
      <c r="C11" s="10"/>
      <c r="D11" s="10"/>
      <c r="E11" s="10"/>
      <c r="F11" s="9"/>
      <c r="G11" s="10"/>
      <c r="H11" s="10"/>
      <c r="I11" s="10"/>
      <c r="J11" s="46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6"/>
      <c r="W11" s="10"/>
      <c r="X11" s="10"/>
      <c r="Y11" s="10"/>
      <c r="Z11" s="9"/>
    </row>
    <row r="12" spans="1:26" s="63" customFormat="1" ht="15" customHeight="1" x14ac:dyDescent="0.3">
      <c r="A12" s="11"/>
      <c r="B12" s="28" t="s">
        <v>287</v>
      </c>
      <c r="C12" s="11"/>
      <c r="D12" s="5">
        <f>SUM(0)</f>
        <v>0</v>
      </c>
      <c r="E12" s="5"/>
      <c r="F12" s="13"/>
      <c r="G12" s="5"/>
      <c r="H12" s="5">
        <f>SUM(0)</f>
        <v>0</v>
      </c>
      <c r="I12" s="5"/>
      <c r="J12" s="13"/>
      <c r="K12" s="5"/>
      <c r="L12" s="5">
        <f>+D12-H12</f>
        <v>0</v>
      </c>
      <c r="M12" s="5"/>
      <c r="N12" s="13">
        <f>IF(H12=0,0,L12/H12)</f>
        <v>0</v>
      </c>
      <c r="O12" s="11"/>
      <c r="P12" s="5">
        <f>SUM(0)</f>
        <v>0</v>
      </c>
      <c r="Q12" s="5"/>
      <c r="R12" s="13"/>
      <c r="S12" s="5"/>
      <c r="T12" s="5">
        <f>SUM(0)</f>
        <v>0</v>
      </c>
      <c r="U12" s="5"/>
      <c r="V12" s="13"/>
      <c r="W12" s="5"/>
      <c r="X12" s="5">
        <f>+P12-T12</f>
        <v>0</v>
      </c>
      <c r="Y12" s="5"/>
      <c r="Z12" s="13">
        <f>IF(T12=0,0,X12/T12)</f>
        <v>0</v>
      </c>
    </row>
    <row r="13" spans="1:26" ht="15" customHeight="1" x14ac:dyDescent="0.3">
      <c r="A13" s="10"/>
      <c r="B13" s="11"/>
      <c r="C13" s="10"/>
      <c r="D13" s="4"/>
      <c r="E13" s="4"/>
      <c r="F13" s="9"/>
      <c r="G13" s="4"/>
      <c r="H13" s="4"/>
      <c r="I13" s="4"/>
      <c r="J13" s="9"/>
      <c r="K13" s="4"/>
      <c r="L13" s="4"/>
      <c r="M13" s="4"/>
      <c r="N13" s="9"/>
      <c r="P13" s="4"/>
      <c r="Q13" s="4"/>
      <c r="R13" s="9"/>
      <c r="S13" s="4"/>
      <c r="T13" s="4"/>
      <c r="U13" s="4"/>
      <c r="V13" s="9"/>
      <c r="W13" s="4"/>
      <c r="X13" s="4"/>
      <c r="Y13" s="4"/>
      <c r="Z13" s="9"/>
    </row>
    <row r="14" spans="1:26" s="63" customFormat="1" ht="15" customHeight="1" x14ac:dyDescent="0.3">
      <c r="A14" s="11"/>
      <c r="B14" s="28" t="s">
        <v>288</v>
      </c>
      <c r="C14" s="11"/>
      <c r="D14" s="5">
        <f>SUM(0)</f>
        <v>0</v>
      </c>
      <c r="E14" s="5"/>
      <c r="F14" s="13">
        <f>IF(D$12=0,0,D14/D$12)</f>
        <v>0</v>
      </c>
      <c r="G14" s="5"/>
      <c r="H14" s="5">
        <f>SUM(0)</f>
        <v>0</v>
      </c>
      <c r="I14" s="5"/>
      <c r="J14" s="13">
        <f>IF(H$12=0,0,H14/H$12)</f>
        <v>0</v>
      </c>
      <c r="K14" s="5"/>
      <c r="L14" s="5">
        <f>+D14-H14</f>
        <v>0</v>
      </c>
      <c r="M14" s="5"/>
      <c r="N14" s="13">
        <f>IF(H14=0,0,L14/H14)</f>
        <v>0</v>
      </c>
      <c r="O14" s="11"/>
      <c r="P14" s="5">
        <f>SUM(0)</f>
        <v>0</v>
      </c>
      <c r="Q14" s="5"/>
      <c r="R14" s="13">
        <f>IF(P$12=0,0,P14/P$12)</f>
        <v>0</v>
      </c>
      <c r="S14" s="5"/>
      <c r="T14" s="5">
        <f>SUM(0)</f>
        <v>0</v>
      </c>
      <c r="U14" s="5"/>
      <c r="V14" s="13">
        <f>IF(T$12=0,0,T14/T$12)</f>
        <v>0</v>
      </c>
      <c r="W14" s="5"/>
      <c r="X14" s="5">
        <f>+P14-T14</f>
        <v>0</v>
      </c>
      <c r="Y14" s="5"/>
      <c r="Z14" s="13">
        <f>IF(T14=0,0,X14/T14)</f>
        <v>0</v>
      </c>
    </row>
    <row r="15" spans="1:26" ht="15" customHeight="1" x14ac:dyDescent="0.3">
      <c r="A15" s="10"/>
      <c r="B15" s="11"/>
      <c r="C15" s="11"/>
      <c r="D15" s="4"/>
      <c r="E15" s="4"/>
      <c r="F15" s="9"/>
      <c r="G15" s="4"/>
      <c r="H15" s="4"/>
      <c r="I15" s="4"/>
      <c r="J15" s="9"/>
      <c r="K15" s="4"/>
      <c r="L15" s="4"/>
      <c r="M15" s="4"/>
      <c r="N15" s="9"/>
      <c r="O15" s="11"/>
      <c r="P15" s="4"/>
      <c r="Q15" s="4"/>
      <c r="R15" s="9"/>
      <c r="S15" s="4"/>
      <c r="T15" s="4"/>
      <c r="U15" s="4"/>
      <c r="V15" s="9"/>
      <c r="W15" s="4"/>
      <c r="X15" s="4"/>
      <c r="Y15" s="4"/>
      <c r="Z15" s="9"/>
    </row>
    <row r="16" spans="1:26" s="63" customFormat="1" ht="15" customHeight="1" x14ac:dyDescent="0.3">
      <c r="A16" s="11"/>
      <c r="B16" s="27" t="s">
        <v>289</v>
      </c>
      <c r="C16" s="27"/>
      <c r="D16" s="21">
        <f>D12-D14</f>
        <v>0</v>
      </c>
      <c r="E16" s="15"/>
      <c r="F16" s="23">
        <f>IF(D$12=0,0,D16/D$12)</f>
        <v>0</v>
      </c>
      <c r="G16" s="15"/>
      <c r="H16" s="21">
        <f>H12-H14</f>
        <v>0</v>
      </c>
      <c r="I16" s="15"/>
      <c r="J16" s="23">
        <f>IF(H$12=0,0,H16/H$12)</f>
        <v>0</v>
      </c>
      <c r="K16" s="16"/>
      <c r="L16" s="21">
        <f>+D16-H16</f>
        <v>0</v>
      </c>
      <c r="M16" s="16"/>
      <c r="N16" s="23">
        <f>IF(H16=0,0,L16/H16)</f>
        <v>0</v>
      </c>
      <c r="O16" s="28"/>
      <c r="P16" s="21">
        <f>P12-P14</f>
        <v>0</v>
      </c>
      <c r="Q16" s="15"/>
      <c r="R16" s="23">
        <f>IF(P$12=0,0,P16/P$12)</f>
        <v>0</v>
      </c>
      <c r="S16" s="15"/>
      <c r="T16" s="21">
        <f>T12-T14</f>
        <v>0</v>
      </c>
      <c r="U16" s="15"/>
      <c r="V16" s="23">
        <f>IF(T$12=0,0,T16/T$12)</f>
        <v>0</v>
      </c>
      <c r="W16" s="16"/>
      <c r="X16" s="21">
        <f>+P16-T16</f>
        <v>0</v>
      </c>
      <c r="Y16" s="16"/>
      <c r="Z16" s="23">
        <f>IF(T16=0,0,X16/T16)</f>
        <v>0</v>
      </c>
    </row>
    <row r="17" spans="1:26" ht="15" customHeight="1" x14ac:dyDescent="0.3">
      <c r="A17" s="10"/>
      <c r="B17" s="11"/>
      <c r="C17" s="10"/>
      <c r="D17" s="2"/>
      <c r="E17" s="2"/>
      <c r="F17" s="6"/>
      <c r="G17" s="2"/>
      <c r="H17" s="2"/>
      <c r="I17" s="2"/>
      <c r="J17" s="6"/>
      <c r="K17" s="2"/>
      <c r="L17" s="2"/>
      <c r="M17" s="2"/>
      <c r="N17" s="6"/>
      <c r="O17" s="35"/>
      <c r="P17" s="2"/>
      <c r="Q17" s="2"/>
      <c r="R17" s="6"/>
      <c r="S17" s="2"/>
      <c r="T17" s="2"/>
      <c r="U17" s="2"/>
      <c r="V17" s="6"/>
      <c r="W17" s="2"/>
      <c r="X17" s="2"/>
      <c r="Y17" s="2"/>
      <c r="Z17" s="6"/>
    </row>
    <row r="18" spans="1:26" s="63" customFormat="1" ht="15" customHeight="1" x14ac:dyDescent="0.3">
      <c r="A18" s="11"/>
      <c r="B18" s="28" t="s">
        <v>290</v>
      </c>
      <c r="C18" s="11"/>
      <c r="D18" s="22" cm="1">
        <f t="array" ref="D18">SUM(OSRRefD22x_0)</f>
        <v>49480.820000000007</v>
      </c>
      <c r="E18" s="22"/>
      <c r="F18" s="30">
        <f t="shared" ref="F18:F49" si="0">IF(D$12=0,0,D18/D$12)</f>
        <v>0</v>
      </c>
      <c r="G18" s="22"/>
      <c r="H18" s="22" cm="1">
        <f t="array" ref="H18">SUM(OSRRefH22x_0)</f>
        <v>30042.382430769179</v>
      </c>
      <c r="I18" s="22"/>
      <c r="J18" s="30">
        <f t="shared" ref="J18:J49" si="1">IF(H$12=0,0,H18/H$12)</f>
        <v>0</v>
      </c>
      <c r="K18" s="5"/>
      <c r="L18" s="22">
        <f t="shared" ref="L18:L49" si="2">+D18-H18</f>
        <v>19438.437569230828</v>
      </c>
      <c r="M18" s="5"/>
      <c r="N18" s="30">
        <f t="shared" ref="N18:N49" si="3">IF(H18=0,0,L18/H18)</f>
        <v>0.64703382343346139</v>
      </c>
      <c r="O18" s="11"/>
      <c r="P18" s="22" cm="1">
        <f t="array" ref="P18">SUM(OSRRefP22x_0)</f>
        <v>440806.99</v>
      </c>
      <c r="Q18" s="22"/>
      <c r="R18" s="30">
        <f t="shared" ref="R18:R49" si="4">IF(P$12=0,0,P18/P$12)</f>
        <v>0</v>
      </c>
      <c r="S18" s="22"/>
      <c r="T18" s="22" cm="1">
        <f t="array" ref="T18">SUM(OSRRefT22x_0)</f>
        <v>432646.30148846155</v>
      </c>
      <c r="U18" s="22"/>
      <c r="V18" s="30">
        <f t="shared" ref="V18:V49" si="5">IF(T$12=0,0,T18/T$12)</f>
        <v>0</v>
      </c>
      <c r="W18" s="5"/>
      <c r="X18" s="22">
        <f t="shared" ref="X18:X49" si="6">+P18-T18</f>
        <v>8160.6885115384357</v>
      </c>
      <c r="Y18" s="5"/>
      <c r="Z18" s="30">
        <f t="shared" ref="Z18:Z49" si="7">IF(T18=0,0,X18/T18)</f>
        <v>1.8862263431959736E-2</v>
      </c>
    </row>
    <row r="19" spans="1:26" s="69" customFormat="1" ht="15" customHeight="1" outlineLevel="1" collapsed="1" x14ac:dyDescent="0.3">
      <c r="A19" s="25"/>
      <c r="B19" s="14" t="str">
        <f>CONCATENATE("     ","*Benefits                                         ")</f>
        <v xml:space="preserve">     *Benefits                                         </v>
      </c>
      <c r="C19" s="14"/>
      <c r="D19" s="2">
        <f>SUM(OSRRefD22_0x_0)</f>
        <v>11350.75</v>
      </c>
      <c r="E19" s="2"/>
      <c r="F19" s="6">
        <f t="shared" si="0"/>
        <v>0</v>
      </c>
      <c r="G19" s="2"/>
      <c r="H19" s="2">
        <f>SUM(OSRRefH22_0x_0)</f>
        <v>8338.1208923076883</v>
      </c>
      <c r="I19" s="2"/>
      <c r="J19" s="6">
        <f t="shared" si="1"/>
        <v>0</v>
      </c>
      <c r="K19" s="2"/>
      <c r="L19" s="2">
        <f t="shared" si="2"/>
        <v>3012.6291076923117</v>
      </c>
      <c r="M19" s="2"/>
      <c r="N19" s="6">
        <f t="shared" si="3"/>
        <v>0.36130791896668285</v>
      </c>
      <c r="O19" s="14"/>
      <c r="P19" s="2">
        <f>SUM(OSRRefP22_0x_0)</f>
        <v>128797.26</v>
      </c>
      <c r="Q19" s="2"/>
      <c r="R19" s="6">
        <f t="shared" si="4"/>
        <v>0</v>
      </c>
      <c r="S19" s="2"/>
      <c r="T19" s="2">
        <f>SUM(OSRRefT22_0x_0)</f>
        <v>88446.424565384572</v>
      </c>
      <c r="U19" s="2"/>
      <c r="V19" s="6">
        <f t="shared" si="5"/>
        <v>0</v>
      </c>
      <c r="W19" s="2"/>
      <c r="X19" s="2">
        <f t="shared" si="6"/>
        <v>40350.835434615423</v>
      </c>
      <c r="Y19" s="2"/>
      <c r="Z19" s="6">
        <f t="shared" si="7"/>
        <v>0.4562178248911104</v>
      </c>
    </row>
    <row r="20" spans="1:26" s="70" customFormat="1" ht="15" hidden="1" customHeight="1" outlineLevel="2" x14ac:dyDescent="0.3">
      <c r="A20" s="26"/>
      <c r="B20" s="12" t="str">
        <f>CONCATENATE("          ","6111"," - ","F.I.C.A.")</f>
        <v xml:space="preserve">          6111 - F.I.C.A.</v>
      </c>
      <c r="C20" s="12"/>
      <c r="D20" s="7">
        <v>1717.46</v>
      </c>
      <c r="E20" s="3"/>
      <c r="F20" s="8">
        <f t="shared" si="0"/>
        <v>0</v>
      </c>
      <c r="G20" s="3"/>
      <c r="H20" s="7">
        <v>1430.0513538461501</v>
      </c>
      <c r="I20" s="3"/>
      <c r="J20" s="8">
        <f t="shared" si="1"/>
        <v>0</v>
      </c>
      <c r="K20" s="3"/>
      <c r="L20" s="7">
        <f t="shared" si="2"/>
        <v>287.40864615384999</v>
      </c>
      <c r="M20" s="3"/>
      <c r="N20" s="8">
        <f t="shared" si="3"/>
        <v>0.20097784976802338</v>
      </c>
      <c r="O20" s="12"/>
      <c r="P20" s="7">
        <v>15487.54</v>
      </c>
      <c r="Q20" s="3"/>
      <c r="R20" s="8">
        <f t="shared" si="4"/>
        <v>0</v>
      </c>
      <c r="S20" s="3"/>
      <c r="T20" s="7">
        <v>16157.2196423077</v>
      </c>
      <c r="U20" s="3"/>
      <c r="V20" s="8">
        <f t="shared" si="5"/>
        <v>0</v>
      </c>
      <c r="W20" s="3"/>
      <c r="X20" s="7">
        <f t="shared" si="6"/>
        <v>-669.6796423076994</v>
      </c>
      <c r="Y20" s="3"/>
      <c r="Z20" s="8">
        <f t="shared" si="7"/>
        <v>-4.1447703078451838E-2</v>
      </c>
    </row>
    <row r="21" spans="1:26" s="70" customFormat="1" ht="15" hidden="1" customHeight="1" outlineLevel="2" x14ac:dyDescent="0.3">
      <c r="A21" s="26"/>
      <c r="B21" s="12" t="str">
        <f>CONCATENATE("          ","6112"," - ","COMPENSATION INSURANCE")</f>
        <v xml:space="preserve">          6112 - COMPENSATION INSURANCE</v>
      </c>
      <c r="C21" s="12"/>
      <c r="D21" s="7">
        <v>289.61</v>
      </c>
      <c r="E21" s="3"/>
      <c r="F21" s="8">
        <f t="shared" si="0"/>
        <v>0</v>
      </c>
      <c r="G21" s="3"/>
      <c r="H21" s="7">
        <v>57.927076923076903</v>
      </c>
      <c r="I21" s="3"/>
      <c r="J21" s="8">
        <f t="shared" si="1"/>
        <v>0</v>
      </c>
      <c r="K21" s="3"/>
      <c r="L21" s="7">
        <f t="shared" si="2"/>
        <v>231.68292307692312</v>
      </c>
      <c r="M21" s="3"/>
      <c r="N21" s="8">
        <f t="shared" si="3"/>
        <v>3.9995617832500301</v>
      </c>
      <c r="O21" s="12"/>
      <c r="P21" s="7">
        <v>3029.08</v>
      </c>
      <c r="Q21" s="3"/>
      <c r="R21" s="8">
        <f t="shared" si="4"/>
        <v>0</v>
      </c>
      <c r="S21" s="3"/>
      <c r="T21" s="7">
        <v>654.48034615384597</v>
      </c>
      <c r="U21" s="3"/>
      <c r="V21" s="8">
        <f t="shared" si="5"/>
        <v>0</v>
      </c>
      <c r="W21" s="3"/>
      <c r="X21" s="7">
        <f t="shared" si="6"/>
        <v>2374.5996538461541</v>
      </c>
      <c r="Y21" s="3"/>
      <c r="Z21" s="8">
        <f t="shared" si="7"/>
        <v>3.6282214856425448</v>
      </c>
    </row>
    <row r="22" spans="1:26" s="70" customFormat="1" ht="15" hidden="1" customHeight="1" outlineLevel="2" x14ac:dyDescent="0.3">
      <c r="A22" s="26"/>
      <c r="B22" s="12" t="str">
        <f>CONCATENATE("          ","6113"," - ","GROUP INSURANCE")</f>
        <v xml:space="preserve">          6113 - GROUP INSURANCE</v>
      </c>
      <c r="C22" s="12"/>
      <c r="D22" s="7">
        <v>3588.59</v>
      </c>
      <c r="E22" s="3"/>
      <c r="F22" s="8">
        <f t="shared" si="0"/>
        <v>0</v>
      </c>
      <c r="G22" s="3"/>
      <c r="H22" s="7">
        <v>3359</v>
      </c>
      <c r="I22" s="3"/>
      <c r="J22" s="8">
        <f t="shared" si="1"/>
        <v>0</v>
      </c>
      <c r="K22" s="3"/>
      <c r="L22" s="7">
        <f t="shared" si="2"/>
        <v>229.59000000000015</v>
      </c>
      <c r="M22" s="3"/>
      <c r="N22" s="8">
        <f t="shared" si="3"/>
        <v>6.8350699612980098E-2</v>
      </c>
      <c r="O22" s="12"/>
      <c r="P22" s="7">
        <v>34422.11</v>
      </c>
      <c r="Q22" s="3"/>
      <c r="R22" s="8">
        <f t="shared" si="4"/>
        <v>0</v>
      </c>
      <c r="S22" s="3"/>
      <c r="T22" s="7">
        <v>32995</v>
      </c>
      <c r="U22" s="3"/>
      <c r="V22" s="8">
        <f t="shared" si="5"/>
        <v>0</v>
      </c>
      <c r="W22" s="3"/>
      <c r="X22" s="7">
        <f t="shared" si="6"/>
        <v>1427.1100000000006</v>
      </c>
      <c r="Y22" s="3"/>
      <c r="Z22" s="8">
        <f t="shared" si="7"/>
        <v>4.3252310956205506E-2</v>
      </c>
    </row>
    <row r="23" spans="1:26" s="70" customFormat="1" ht="15" hidden="1" customHeight="1" outlineLevel="2" x14ac:dyDescent="0.3">
      <c r="A23" s="26"/>
      <c r="B23" s="12" t="str">
        <f>CONCATENATE("          ","6114"," - ","STATE UNEMPLOYMENT INSURANCE")</f>
        <v xml:space="preserve">          6114 - STATE UNEMPLOYMENT INSURANCE</v>
      </c>
      <c r="C23" s="12"/>
      <c r="D23" s="7">
        <v>58.37</v>
      </c>
      <c r="E23" s="3"/>
      <c r="F23" s="8">
        <f t="shared" si="0"/>
        <v>0</v>
      </c>
      <c r="G23" s="3"/>
      <c r="H23" s="7">
        <v>39.240923076923103</v>
      </c>
      <c r="I23" s="3"/>
      <c r="J23" s="8">
        <f t="shared" si="1"/>
        <v>0</v>
      </c>
      <c r="K23" s="3"/>
      <c r="L23" s="7">
        <f t="shared" si="2"/>
        <v>19.129076923076894</v>
      </c>
      <c r="M23" s="3"/>
      <c r="N23" s="8">
        <f t="shared" si="3"/>
        <v>0.48747775085663997</v>
      </c>
      <c r="O23" s="12"/>
      <c r="P23" s="7">
        <v>610.51</v>
      </c>
      <c r="Q23" s="3"/>
      <c r="R23" s="8">
        <f t="shared" si="4"/>
        <v>0</v>
      </c>
      <c r="S23" s="3"/>
      <c r="T23" s="7">
        <v>443.35765384615399</v>
      </c>
      <c r="U23" s="3"/>
      <c r="V23" s="8">
        <f t="shared" si="5"/>
        <v>0</v>
      </c>
      <c r="W23" s="3"/>
      <c r="X23" s="7">
        <f t="shared" si="6"/>
        <v>167.152346153846</v>
      </c>
      <c r="Y23" s="3"/>
      <c r="Z23" s="8">
        <f t="shared" si="7"/>
        <v>0.37701468487977924</v>
      </c>
    </row>
    <row r="24" spans="1:26" s="70" customFormat="1" ht="15" hidden="1" customHeight="1" outlineLevel="2" x14ac:dyDescent="0.3">
      <c r="A24" s="26"/>
      <c r="B24" s="12" t="str">
        <f>CONCATENATE("          ","6115"," - ","P.E.R.S.")</f>
        <v xml:space="preserve">          6115 - P.E.R.S.</v>
      </c>
      <c r="C24" s="12"/>
      <c r="D24" s="7">
        <v>2407.25</v>
      </c>
      <c r="E24" s="3"/>
      <c r="F24" s="8">
        <f t="shared" si="0"/>
        <v>0</v>
      </c>
      <c r="G24" s="3"/>
      <c r="H24" s="7">
        <v>1607.00923076923</v>
      </c>
      <c r="I24" s="3"/>
      <c r="J24" s="8">
        <f t="shared" si="1"/>
        <v>0</v>
      </c>
      <c r="K24" s="3"/>
      <c r="L24" s="7">
        <f t="shared" si="2"/>
        <v>800.24076923076996</v>
      </c>
      <c r="M24" s="3"/>
      <c r="N24" s="8">
        <f t="shared" si="3"/>
        <v>0.49796899352452212</v>
      </c>
      <c r="O24" s="12"/>
      <c r="P24" s="7">
        <v>20400.75</v>
      </c>
      <c r="Q24" s="3"/>
      <c r="R24" s="8">
        <f t="shared" si="4"/>
        <v>0</v>
      </c>
      <c r="S24" s="3"/>
      <c r="T24" s="7">
        <v>18156.551538461499</v>
      </c>
      <c r="U24" s="3"/>
      <c r="V24" s="8">
        <f t="shared" si="5"/>
        <v>0</v>
      </c>
      <c r="W24" s="3"/>
      <c r="X24" s="7">
        <f t="shared" si="6"/>
        <v>2244.1984615385009</v>
      </c>
      <c r="Y24" s="3"/>
      <c r="Z24" s="8">
        <f t="shared" si="7"/>
        <v>0.12360268175289545</v>
      </c>
    </row>
    <row r="25" spans="1:26" s="70" customFormat="1" ht="15" hidden="1" customHeight="1" outlineLevel="2" x14ac:dyDescent="0.3">
      <c r="A25" s="26"/>
      <c r="B25" s="12" t="str">
        <f>CONCATENATE("          ","6116"," - ","EDUCATIONAL BENEFITS")</f>
        <v xml:space="preserve">          6116 - EDUCATIONAL BENEFITS</v>
      </c>
      <c r="C25" s="12"/>
      <c r="D25" s="7"/>
      <c r="E25" s="3"/>
      <c r="F25" s="8">
        <f t="shared" si="0"/>
        <v>0</v>
      </c>
      <c r="G25" s="3"/>
      <c r="H25" s="7">
        <v>0</v>
      </c>
      <c r="I25" s="3"/>
      <c r="J25" s="8">
        <f t="shared" si="1"/>
        <v>0</v>
      </c>
      <c r="K25" s="3"/>
      <c r="L25" s="7">
        <f t="shared" si="2"/>
        <v>0</v>
      </c>
      <c r="M25" s="3"/>
      <c r="N25" s="8">
        <f t="shared" si="3"/>
        <v>0</v>
      </c>
      <c r="O25" s="12"/>
      <c r="P25" s="7"/>
      <c r="Q25" s="3"/>
      <c r="R25" s="8">
        <f t="shared" si="4"/>
        <v>0</v>
      </c>
      <c r="S25" s="3"/>
      <c r="T25" s="7">
        <v>0</v>
      </c>
      <c r="U25" s="3"/>
      <c r="V25" s="8">
        <f t="shared" si="5"/>
        <v>0</v>
      </c>
      <c r="W25" s="3"/>
      <c r="X25" s="7">
        <f t="shared" si="6"/>
        <v>0</v>
      </c>
      <c r="Y25" s="3"/>
      <c r="Z25" s="8">
        <f t="shared" si="7"/>
        <v>0</v>
      </c>
    </row>
    <row r="26" spans="1:26" s="70" customFormat="1" ht="15" hidden="1" customHeight="1" outlineLevel="2" x14ac:dyDescent="0.3">
      <c r="A26" s="26"/>
      <c r="B26" s="12" t="str">
        <f>CONCATENATE("          ","6118"," - ","VACATION")</f>
        <v xml:space="preserve">          6118 - VACATION</v>
      </c>
      <c r="C26" s="12"/>
      <c r="D26" s="7">
        <v>1984.64</v>
      </c>
      <c r="E26" s="3"/>
      <c r="F26" s="8">
        <f t="shared" si="0"/>
        <v>0</v>
      </c>
      <c r="G26" s="3"/>
      <c r="H26" s="7">
        <v>934.30769230769204</v>
      </c>
      <c r="I26" s="3"/>
      <c r="J26" s="8">
        <f t="shared" si="1"/>
        <v>0</v>
      </c>
      <c r="K26" s="3"/>
      <c r="L26" s="7">
        <f t="shared" si="2"/>
        <v>1050.3323076923079</v>
      </c>
      <c r="M26" s="3"/>
      <c r="N26" s="8">
        <f t="shared" si="3"/>
        <v>1.1241824468960981</v>
      </c>
      <c r="O26" s="12"/>
      <c r="P26" s="7">
        <v>23669.57</v>
      </c>
      <c r="Q26" s="3"/>
      <c r="R26" s="8">
        <f t="shared" si="4"/>
        <v>0</v>
      </c>
      <c r="S26" s="3"/>
      <c r="T26" s="7">
        <v>10556.134615384601</v>
      </c>
      <c r="U26" s="3"/>
      <c r="V26" s="8">
        <f t="shared" si="5"/>
        <v>0</v>
      </c>
      <c r="W26" s="3"/>
      <c r="X26" s="7">
        <f t="shared" si="6"/>
        <v>13113.435384615399</v>
      </c>
      <c r="Y26" s="3"/>
      <c r="Z26" s="8">
        <f t="shared" si="7"/>
        <v>1.2422573093662301</v>
      </c>
    </row>
    <row r="27" spans="1:26" s="70" customFormat="1" ht="15" hidden="1" customHeight="1" outlineLevel="2" x14ac:dyDescent="0.3">
      <c r="A27" s="26"/>
      <c r="B27" s="12" t="str">
        <f>CONCATENATE("          ","6119"," - ","SICK LEAVE")</f>
        <v xml:space="preserve">          6119 - SICK LEAVE</v>
      </c>
      <c r="C27" s="12"/>
      <c r="D27" s="7">
        <v>1020.54</v>
      </c>
      <c r="E27" s="3"/>
      <c r="F27" s="8">
        <f t="shared" si="0"/>
        <v>0</v>
      </c>
      <c r="G27" s="3"/>
      <c r="H27" s="7">
        <v>560.58461538461597</v>
      </c>
      <c r="I27" s="3"/>
      <c r="J27" s="8">
        <f t="shared" si="1"/>
        <v>0</v>
      </c>
      <c r="K27" s="3"/>
      <c r="L27" s="7">
        <f t="shared" si="2"/>
        <v>459.95538461538399</v>
      </c>
      <c r="M27" s="3"/>
      <c r="N27" s="8">
        <f t="shared" si="3"/>
        <v>0.82049234315823938</v>
      </c>
      <c r="O27" s="12"/>
      <c r="P27" s="7">
        <v>29315.64</v>
      </c>
      <c r="Q27" s="3"/>
      <c r="R27" s="8">
        <f t="shared" si="4"/>
        <v>0</v>
      </c>
      <c r="S27" s="3"/>
      <c r="T27" s="7">
        <v>6333.6807692307702</v>
      </c>
      <c r="U27" s="3"/>
      <c r="V27" s="8">
        <f t="shared" si="5"/>
        <v>0</v>
      </c>
      <c r="W27" s="3"/>
      <c r="X27" s="7">
        <f t="shared" si="6"/>
        <v>22981.959230769229</v>
      </c>
      <c r="Y27" s="3"/>
      <c r="Z27" s="8">
        <f t="shared" si="7"/>
        <v>3.6285313497984211</v>
      </c>
    </row>
    <row r="28" spans="1:26" s="70" customFormat="1" ht="15" hidden="1" customHeight="1" outlineLevel="2" x14ac:dyDescent="0.3">
      <c r="A28" s="26"/>
      <c r="B28" s="12" t="str">
        <f>CONCATENATE("          ","6156"," - ","EMPLOYEE MEALS")</f>
        <v xml:space="preserve">          6156 - EMPLOYEE MEALS</v>
      </c>
      <c r="C28" s="12"/>
      <c r="D28" s="7">
        <v>284.29000000000002</v>
      </c>
      <c r="E28" s="3"/>
      <c r="F28" s="8">
        <f t="shared" si="0"/>
        <v>0</v>
      </c>
      <c r="G28" s="3"/>
      <c r="H28" s="7">
        <v>350</v>
      </c>
      <c r="I28" s="3"/>
      <c r="J28" s="8">
        <f t="shared" si="1"/>
        <v>0</v>
      </c>
      <c r="K28" s="3"/>
      <c r="L28" s="7">
        <f t="shared" si="2"/>
        <v>-65.70999999999998</v>
      </c>
      <c r="M28" s="3"/>
      <c r="N28" s="8">
        <f t="shared" si="3"/>
        <v>-0.18774285714285707</v>
      </c>
      <c r="O28" s="12"/>
      <c r="P28" s="7">
        <v>1862.06</v>
      </c>
      <c r="Q28" s="3"/>
      <c r="R28" s="8">
        <f t="shared" si="4"/>
        <v>0</v>
      </c>
      <c r="S28" s="3"/>
      <c r="T28" s="7">
        <v>3150</v>
      </c>
      <c r="U28" s="3"/>
      <c r="V28" s="8">
        <f t="shared" si="5"/>
        <v>0</v>
      </c>
      <c r="W28" s="3"/>
      <c r="X28" s="7">
        <f t="shared" si="6"/>
        <v>-1287.94</v>
      </c>
      <c r="Y28" s="3"/>
      <c r="Z28" s="8">
        <f t="shared" si="7"/>
        <v>-0.40886984126984127</v>
      </c>
    </row>
    <row r="29" spans="1:26" s="69" customFormat="1" ht="15" customHeight="1" outlineLevel="1" collapsed="1" x14ac:dyDescent="0.3">
      <c r="A29" s="25"/>
      <c r="B29" s="14" t="str">
        <f>CONCATENATE("     ","*Payroll                                          ")</f>
        <v xml:space="preserve">     *Payroll                                          </v>
      </c>
      <c r="C29" s="14"/>
      <c r="D29" s="2">
        <f>SUM(OSRRefD22_1x_0)</f>
        <v>22332.34</v>
      </c>
      <c r="E29" s="2"/>
      <c r="F29" s="6">
        <f t="shared" si="0"/>
        <v>0</v>
      </c>
      <c r="G29" s="2"/>
      <c r="H29" s="2">
        <f>SUM(OSRRefH22_1x_0)</f>
        <v>17191.261538461491</v>
      </c>
      <c r="I29" s="2"/>
      <c r="J29" s="6">
        <f t="shared" si="1"/>
        <v>0</v>
      </c>
      <c r="K29" s="2"/>
      <c r="L29" s="2">
        <f t="shared" si="2"/>
        <v>5141.0784615385091</v>
      </c>
      <c r="M29" s="2"/>
      <c r="N29" s="6">
        <f t="shared" si="3"/>
        <v>0.29905184387059258</v>
      </c>
      <c r="O29" s="14"/>
      <c r="P29" s="2">
        <f>SUM(OSRRefP22_1x_0)</f>
        <v>190221.08000000002</v>
      </c>
      <c r="Q29" s="2"/>
      <c r="R29" s="6">
        <f t="shared" si="4"/>
        <v>0</v>
      </c>
      <c r="S29" s="2"/>
      <c r="T29" s="2">
        <f>SUM(OSRRefT22_1x_0)</f>
        <v>194232.87692307698</v>
      </c>
      <c r="U29" s="2"/>
      <c r="V29" s="6">
        <f t="shared" si="5"/>
        <v>0</v>
      </c>
      <c r="W29" s="2"/>
      <c r="X29" s="2">
        <f t="shared" si="6"/>
        <v>-4011.7969230769668</v>
      </c>
      <c r="Y29" s="2"/>
      <c r="Z29" s="6">
        <f t="shared" si="7"/>
        <v>-2.0654571906823883E-2</v>
      </c>
    </row>
    <row r="30" spans="1:26" s="70" customFormat="1" ht="15" hidden="1" customHeight="1" outlineLevel="2" x14ac:dyDescent="0.3">
      <c r="A30" s="26"/>
      <c r="B30" s="12" t="str">
        <f>CONCATENATE("          ","6001"," - ","ADMINISTRATIVE SALARIES")</f>
        <v xml:space="preserve">          6001 - ADMINISTRATIVE SALARIES</v>
      </c>
      <c r="C30" s="12"/>
      <c r="D30" s="7">
        <v>17494.62</v>
      </c>
      <c r="E30" s="3"/>
      <c r="F30" s="8">
        <f t="shared" si="0"/>
        <v>0</v>
      </c>
      <c r="G30" s="3"/>
      <c r="H30" s="7">
        <v>12526.1538461538</v>
      </c>
      <c r="I30" s="3"/>
      <c r="J30" s="8">
        <f t="shared" si="1"/>
        <v>0</v>
      </c>
      <c r="K30" s="3"/>
      <c r="L30" s="7">
        <f t="shared" si="2"/>
        <v>4968.4661538461987</v>
      </c>
      <c r="M30" s="3"/>
      <c r="N30" s="8">
        <f t="shared" si="3"/>
        <v>0.39664738393515608</v>
      </c>
      <c r="O30" s="12"/>
      <c r="P30" s="7">
        <v>146815.98000000001</v>
      </c>
      <c r="Q30" s="3"/>
      <c r="R30" s="8">
        <f t="shared" si="4"/>
        <v>0</v>
      </c>
      <c r="S30" s="3"/>
      <c r="T30" s="7">
        <v>148748.07692307699</v>
      </c>
      <c r="U30" s="3"/>
      <c r="V30" s="8">
        <f t="shared" si="5"/>
        <v>0</v>
      </c>
      <c r="W30" s="3"/>
      <c r="X30" s="7">
        <f t="shared" si="6"/>
        <v>-1932.0969230769842</v>
      </c>
      <c r="Y30" s="3"/>
      <c r="Z30" s="8">
        <f t="shared" si="7"/>
        <v>-1.2989054803553134E-2</v>
      </c>
    </row>
    <row r="31" spans="1:26" s="70" customFormat="1" ht="15" hidden="1" customHeight="1" outlineLevel="2" x14ac:dyDescent="0.3">
      <c r="A31" s="26"/>
      <c r="B31" s="12" t="str">
        <f>CONCATENATE("          ","6002"," - ","STAFF SALARIES")</f>
        <v xml:space="preserve">          6002 - STAFF SALARIES</v>
      </c>
      <c r="C31" s="12"/>
      <c r="D31" s="7">
        <v>4837.72</v>
      </c>
      <c r="E31" s="3"/>
      <c r="F31" s="8">
        <f t="shared" si="0"/>
        <v>0</v>
      </c>
      <c r="G31" s="3"/>
      <c r="H31" s="7">
        <v>4665.1076923076898</v>
      </c>
      <c r="I31" s="3"/>
      <c r="J31" s="8">
        <f t="shared" si="1"/>
        <v>0</v>
      </c>
      <c r="K31" s="3"/>
      <c r="L31" s="7">
        <f t="shared" si="2"/>
        <v>172.61230769231042</v>
      </c>
      <c r="M31" s="3"/>
      <c r="N31" s="8">
        <f t="shared" si="3"/>
        <v>3.7000712325876504E-2</v>
      </c>
      <c r="O31" s="12"/>
      <c r="P31" s="7">
        <v>43275</v>
      </c>
      <c r="Q31" s="3"/>
      <c r="R31" s="8">
        <f t="shared" si="4"/>
        <v>0</v>
      </c>
      <c r="S31" s="3"/>
      <c r="T31" s="7">
        <v>45484.800000000003</v>
      </c>
      <c r="U31" s="3"/>
      <c r="V31" s="8">
        <f t="shared" si="5"/>
        <v>0</v>
      </c>
      <c r="W31" s="3"/>
      <c r="X31" s="7">
        <f t="shared" si="6"/>
        <v>-2209.8000000000029</v>
      </c>
      <c r="Y31" s="3"/>
      <c r="Z31" s="8">
        <f t="shared" si="7"/>
        <v>-4.8583262980160469E-2</v>
      </c>
    </row>
    <row r="32" spans="1:26" s="70" customFormat="1" ht="15" hidden="1" customHeight="1" outlineLevel="2" x14ac:dyDescent="0.3">
      <c r="A32" s="26"/>
      <c r="B32" s="12" t="str">
        <f>CONCATENATE("          ","6003"," - ","STAFF HOURLY-9 MONTH")</f>
        <v xml:space="preserve">          6003 - STAFF HOURLY-9 MONTH</v>
      </c>
      <c r="C32" s="12"/>
      <c r="D32" s="7"/>
      <c r="E32" s="3"/>
      <c r="F32" s="8">
        <f t="shared" si="0"/>
        <v>0</v>
      </c>
      <c r="G32" s="3"/>
      <c r="H32" s="7">
        <v>0</v>
      </c>
      <c r="I32" s="3"/>
      <c r="J32" s="8">
        <f t="shared" si="1"/>
        <v>0</v>
      </c>
      <c r="K32" s="3"/>
      <c r="L32" s="7">
        <f t="shared" si="2"/>
        <v>0</v>
      </c>
      <c r="M32" s="3"/>
      <c r="N32" s="8">
        <f t="shared" si="3"/>
        <v>0</v>
      </c>
      <c r="O32" s="12"/>
      <c r="P32" s="7"/>
      <c r="Q32" s="3"/>
      <c r="R32" s="8">
        <f t="shared" si="4"/>
        <v>0</v>
      </c>
      <c r="S32" s="3"/>
      <c r="T32" s="7">
        <v>0</v>
      </c>
      <c r="U32" s="3"/>
      <c r="V32" s="8">
        <f t="shared" si="5"/>
        <v>0</v>
      </c>
      <c r="W32" s="3"/>
      <c r="X32" s="7">
        <f t="shared" si="6"/>
        <v>0</v>
      </c>
      <c r="Y32" s="3"/>
      <c r="Z32" s="8">
        <f t="shared" si="7"/>
        <v>0</v>
      </c>
    </row>
    <row r="33" spans="1:26" s="70" customFormat="1" ht="15" hidden="1" customHeight="1" outlineLevel="2" x14ac:dyDescent="0.3">
      <c r="A33" s="26"/>
      <c r="B33" s="12" t="str">
        <f>CONCATENATE("          ","6004"," - ","STAFF HOURLY")</f>
        <v xml:space="preserve">          6004 - STAFF HOURLY</v>
      </c>
      <c r="C33" s="12"/>
      <c r="D33" s="7"/>
      <c r="E33" s="3"/>
      <c r="F33" s="8">
        <f t="shared" si="0"/>
        <v>0</v>
      </c>
      <c r="G33" s="3"/>
      <c r="H33" s="7">
        <v>0</v>
      </c>
      <c r="I33" s="3"/>
      <c r="J33" s="8">
        <f t="shared" si="1"/>
        <v>0</v>
      </c>
      <c r="K33" s="3"/>
      <c r="L33" s="7">
        <f t="shared" si="2"/>
        <v>0</v>
      </c>
      <c r="M33" s="3"/>
      <c r="N33" s="8">
        <f t="shared" si="3"/>
        <v>0</v>
      </c>
      <c r="O33" s="12"/>
      <c r="P33" s="7">
        <v>70.88</v>
      </c>
      <c r="Q33" s="3"/>
      <c r="R33" s="8">
        <f t="shared" si="4"/>
        <v>0</v>
      </c>
      <c r="S33" s="3"/>
      <c r="T33" s="7">
        <v>0</v>
      </c>
      <c r="U33" s="3"/>
      <c r="V33" s="8">
        <f t="shared" si="5"/>
        <v>0</v>
      </c>
      <c r="W33" s="3"/>
      <c r="X33" s="7">
        <f t="shared" si="6"/>
        <v>70.88</v>
      </c>
      <c r="Y33" s="3"/>
      <c r="Z33" s="8">
        <f t="shared" si="7"/>
        <v>0</v>
      </c>
    </row>
    <row r="34" spans="1:26" s="70" customFormat="1" ht="15" hidden="1" customHeight="1" outlineLevel="2" x14ac:dyDescent="0.3">
      <c r="A34" s="26"/>
      <c r="B34" s="12" t="str">
        <f>CONCATENATE("          ","6005"," - ","TEMPORARY WAGES-HOURLY")</f>
        <v xml:space="preserve">          6005 - TEMPORARY WAGES-HOURLY</v>
      </c>
      <c r="C34" s="12"/>
      <c r="D34" s="7"/>
      <c r="E34" s="3"/>
      <c r="F34" s="8">
        <f t="shared" si="0"/>
        <v>0</v>
      </c>
      <c r="G34" s="3"/>
      <c r="H34" s="7">
        <v>0</v>
      </c>
      <c r="I34" s="3"/>
      <c r="J34" s="8">
        <f t="shared" si="1"/>
        <v>0</v>
      </c>
      <c r="K34" s="3"/>
      <c r="L34" s="7">
        <f t="shared" si="2"/>
        <v>0</v>
      </c>
      <c r="M34" s="3"/>
      <c r="N34" s="8">
        <f t="shared" si="3"/>
        <v>0</v>
      </c>
      <c r="O34" s="12"/>
      <c r="P34" s="7"/>
      <c r="Q34" s="3"/>
      <c r="R34" s="8">
        <f t="shared" si="4"/>
        <v>0</v>
      </c>
      <c r="S34" s="3"/>
      <c r="T34" s="7">
        <v>0</v>
      </c>
      <c r="U34" s="3"/>
      <c r="V34" s="8">
        <f t="shared" si="5"/>
        <v>0</v>
      </c>
      <c r="W34" s="3"/>
      <c r="X34" s="7">
        <f t="shared" si="6"/>
        <v>0</v>
      </c>
      <c r="Y34" s="3"/>
      <c r="Z34" s="8">
        <f t="shared" si="7"/>
        <v>0</v>
      </c>
    </row>
    <row r="35" spans="1:26" s="70" customFormat="1" ht="15" hidden="1" customHeight="1" outlineLevel="2" x14ac:dyDescent="0.3">
      <c r="A35" s="26"/>
      <c r="B35" s="12" t="str">
        <f>CONCATENATE("          ","6006"," - ","TEMPORARY PART TIME")</f>
        <v xml:space="preserve">          6006 - TEMPORARY PART TIME</v>
      </c>
      <c r="C35" s="12"/>
      <c r="D35" s="7"/>
      <c r="E35" s="3"/>
      <c r="F35" s="8">
        <f t="shared" si="0"/>
        <v>0</v>
      </c>
      <c r="G35" s="3"/>
      <c r="H35" s="7">
        <v>0</v>
      </c>
      <c r="I35" s="3"/>
      <c r="J35" s="8">
        <f t="shared" si="1"/>
        <v>0</v>
      </c>
      <c r="K35" s="3"/>
      <c r="L35" s="7">
        <f t="shared" si="2"/>
        <v>0</v>
      </c>
      <c r="M35" s="3"/>
      <c r="N35" s="8">
        <f t="shared" si="3"/>
        <v>0</v>
      </c>
      <c r="O35" s="12"/>
      <c r="P35" s="7"/>
      <c r="Q35" s="3"/>
      <c r="R35" s="8">
        <f t="shared" si="4"/>
        <v>0</v>
      </c>
      <c r="S35" s="3"/>
      <c r="T35" s="7">
        <v>0</v>
      </c>
      <c r="U35" s="3"/>
      <c r="V35" s="8">
        <f t="shared" si="5"/>
        <v>0</v>
      </c>
      <c r="W35" s="3"/>
      <c r="X35" s="7">
        <f t="shared" si="6"/>
        <v>0</v>
      </c>
      <c r="Y35" s="3"/>
      <c r="Z35" s="8">
        <f t="shared" si="7"/>
        <v>0</v>
      </c>
    </row>
    <row r="36" spans="1:26" s="70" customFormat="1" ht="15" hidden="1" customHeight="1" outlineLevel="2" x14ac:dyDescent="0.3">
      <c r="A36" s="26"/>
      <c r="B36" s="12" t="str">
        <f>CONCATENATE("          ","6007"," - ","STUDENT HOURLY")</f>
        <v xml:space="preserve">          6007 - STUDENT HOURLY</v>
      </c>
      <c r="C36" s="12"/>
      <c r="D36" s="7"/>
      <c r="E36" s="3"/>
      <c r="F36" s="8">
        <f t="shared" si="0"/>
        <v>0</v>
      </c>
      <c r="G36" s="3"/>
      <c r="H36" s="7">
        <v>0</v>
      </c>
      <c r="I36" s="3"/>
      <c r="J36" s="8">
        <f t="shared" si="1"/>
        <v>0</v>
      </c>
      <c r="K36" s="3"/>
      <c r="L36" s="7">
        <f t="shared" si="2"/>
        <v>0</v>
      </c>
      <c r="M36" s="3"/>
      <c r="N36" s="8">
        <f t="shared" si="3"/>
        <v>0</v>
      </c>
      <c r="O36" s="12"/>
      <c r="P36" s="7">
        <v>59.22</v>
      </c>
      <c r="Q36" s="3"/>
      <c r="R36" s="8">
        <f t="shared" si="4"/>
        <v>0</v>
      </c>
      <c r="S36" s="3"/>
      <c r="T36" s="7">
        <v>0</v>
      </c>
      <c r="U36" s="3"/>
      <c r="V36" s="8">
        <f t="shared" si="5"/>
        <v>0</v>
      </c>
      <c r="W36" s="3"/>
      <c r="X36" s="7">
        <f t="shared" si="6"/>
        <v>59.22</v>
      </c>
      <c r="Y36" s="3"/>
      <c r="Z36" s="8">
        <f t="shared" si="7"/>
        <v>0</v>
      </c>
    </row>
    <row r="37" spans="1:26" s="70" customFormat="1" ht="15" hidden="1" customHeight="1" outlineLevel="2" x14ac:dyDescent="0.3">
      <c r="A37" s="26"/>
      <c r="B37" s="12" t="str">
        <f>CONCATENATE("          ","6008"," - ","STUDENT HOURLY-FICA EXEMPT")</f>
        <v xml:space="preserve">          6008 - STUDENT HOURLY-FICA EXEMPT</v>
      </c>
      <c r="C37" s="12"/>
      <c r="D37" s="7"/>
      <c r="E37" s="3"/>
      <c r="F37" s="8">
        <f t="shared" si="0"/>
        <v>0</v>
      </c>
      <c r="G37" s="3"/>
      <c r="H37" s="7">
        <v>0</v>
      </c>
      <c r="I37" s="3"/>
      <c r="J37" s="8">
        <f t="shared" si="1"/>
        <v>0</v>
      </c>
      <c r="K37" s="3"/>
      <c r="L37" s="7">
        <f t="shared" si="2"/>
        <v>0</v>
      </c>
      <c r="M37" s="3"/>
      <c r="N37" s="8">
        <f t="shared" si="3"/>
        <v>0</v>
      </c>
      <c r="O37" s="12"/>
      <c r="P37" s="7"/>
      <c r="Q37" s="3"/>
      <c r="R37" s="8">
        <f t="shared" si="4"/>
        <v>0</v>
      </c>
      <c r="S37" s="3"/>
      <c r="T37" s="7">
        <v>0</v>
      </c>
      <c r="U37" s="3"/>
      <c r="V37" s="8">
        <f t="shared" si="5"/>
        <v>0</v>
      </c>
      <c r="W37" s="3"/>
      <c r="X37" s="7">
        <f t="shared" si="6"/>
        <v>0</v>
      </c>
      <c r="Y37" s="3"/>
      <c r="Z37" s="8">
        <f t="shared" si="7"/>
        <v>0</v>
      </c>
    </row>
    <row r="38" spans="1:26" s="70" customFormat="1" ht="15" hidden="1" customHeight="1" outlineLevel="2" x14ac:dyDescent="0.3">
      <c r="A38" s="26"/>
      <c r="B38" s="12" t="str">
        <f>CONCATENATE("          ","6009"," - ","TEMPORARY-SEASONAL")</f>
        <v xml:space="preserve">          6009 - TEMPORARY-SEASONAL</v>
      </c>
      <c r="C38" s="12"/>
      <c r="D38" s="7"/>
      <c r="E38" s="3"/>
      <c r="F38" s="8">
        <f t="shared" si="0"/>
        <v>0</v>
      </c>
      <c r="G38" s="3"/>
      <c r="H38" s="7">
        <v>0</v>
      </c>
      <c r="I38" s="3"/>
      <c r="J38" s="8">
        <f t="shared" si="1"/>
        <v>0</v>
      </c>
      <c r="K38" s="3"/>
      <c r="L38" s="7">
        <f t="shared" si="2"/>
        <v>0</v>
      </c>
      <c r="M38" s="3"/>
      <c r="N38" s="8">
        <f t="shared" si="3"/>
        <v>0</v>
      </c>
      <c r="O38" s="12"/>
      <c r="P38" s="7"/>
      <c r="Q38" s="3"/>
      <c r="R38" s="8">
        <f t="shared" si="4"/>
        <v>0</v>
      </c>
      <c r="S38" s="3"/>
      <c r="T38" s="7">
        <v>0</v>
      </c>
      <c r="U38" s="3"/>
      <c r="V38" s="8">
        <f t="shared" si="5"/>
        <v>0</v>
      </c>
      <c r="W38" s="3"/>
      <c r="X38" s="7">
        <f t="shared" si="6"/>
        <v>0</v>
      </c>
      <c r="Y38" s="3"/>
      <c r="Z38" s="8">
        <f t="shared" si="7"/>
        <v>0</v>
      </c>
    </row>
    <row r="39" spans="1:26" s="70" customFormat="1" ht="15" hidden="1" customHeight="1" outlineLevel="2" x14ac:dyDescent="0.3">
      <c r="A39" s="26"/>
      <c r="B39" s="12" t="str">
        <f>CONCATENATE("          ","6010"," - ","GRATUITY")</f>
        <v xml:space="preserve">          6010 - GRATUITY</v>
      </c>
      <c r="C39" s="12"/>
      <c r="D39" s="7"/>
      <c r="E39" s="3"/>
      <c r="F39" s="8">
        <f t="shared" si="0"/>
        <v>0</v>
      </c>
      <c r="G39" s="3"/>
      <c r="H39" s="7">
        <v>0</v>
      </c>
      <c r="I39" s="3"/>
      <c r="J39" s="8">
        <f t="shared" si="1"/>
        <v>0</v>
      </c>
      <c r="K39" s="3"/>
      <c r="L39" s="7">
        <f t="shared" si="2"/>
        <v>0</v>
      </c>
      <c r="M39" s="3"/>
      <c r="N39" s="8">
        <f t="shared" si="3"/>
        <v>0</v>
      </c>
      <c r="O39" s="12"/>
      <c r="P39" s="7"/>
      <c r="Q39" s="3"/>
      <c r="R39" s="8">
        <f t="shared" si="4"/>
        <v>0</v>
      </c>
      <c r="S39" s="3"/>
      <c r="T39" s="7">
        <v>0</v>
      </c>
      <c r="U39" s="3"/>
      <c r="V39" s="8">
        <f t="shared" si="5"/>
        <v>0</v>
      </c>
      <c r="W39" s="3"/>
      <c r="X39" s="7">
        <f t="shared" si="6"/>
        <v>0</v>
      </c>
      <c r="Y39" s="3"/>
      <c r="Z39" s="8">
        <f t="shared" si="7"/>
        <v>0</v>
      </c>
    </row>
    <row r="40" spans="1:26" s="69" customFormat="1" ht="15" customHeight="1" outlineLevel="1" collapsed="1" x14ac:dyDescent="0.3">
      <c r="A40" s="25"/>
      <c r="B40" s="14" t="str">
        <f>CONCATENATE("     ","Advertising/Promo                                 ")</f>
        <v xml:space="preserve">     Advertising/Promo                                 </v>
      </c>
      <c r="C40" s="14"/>
      <c r="D40" s="2">
        <f>SUM(OSRRefD22_2x_0)</f>
        <v>2.21</v>
      </c>
      <c r="E40" s="2"/>
      <c r="F40" s="6">
        <f t="shared" si="0"/>
        <v>0</v>
      </c>
      <c r="G40" s="2"/>
      <c r="H40" s="2">
        <f>SUM(OSRRefH22_2x_0)</f>
        <v>250</v>
      </c>
      <c r="I40" s="2"/>
      <c r="J40" s="6">
        <f t="shared" si="1"/>
        <v>0</v>
      </c>
      <c r="K40" s="2"/>
      <c r="L40" s="2">
        <f t="shared" si="2"/>
        <v>-247.79</v>
      </c>
      <c r="M40" s="2"/>
      <c r="N40" s="6">
        <f t="shared" si="3"/>
        <v>-0.99115999999999993</v>
      </c>
      <c r="O40" s="14"/>
      <c r="P40" s="2">
        <f>SUM(OSRRefP22_2x_0)</f>
        <v>1969.62</v>
      </c>
      <c r="Q40" s="2"/>
      <c r="R40" s="6">
        <f t="shared" si="4"/>
        <v>0</v>
      </c>
      <c r="S40" s="2"/>
      <c r="T40" s="2">
        <f>SUM(OSRRefT22_2x_0)</f>
        <v>1850</v>
      </c>
      <c r="U40" s="2"/>
      <c r="V40" s="6">
        <f t="shared" si="5"/>
        <v>0</v>
      </c>
      <c r="W40" s="2"/>
      <c r="X40" s="2">
        <f t="shared" si="6"/>
        <v>119.61999999999989</v>
      </c>
      <c r="Y40" s="2"/>
      <c r="Z40" s="6">
        <f t="shared" si="7"/>
        <v>6.4659459459459404E-2</v>
      </c>
    </row>
    <row r="41" spans="1:26" s="70" customFormat="1" ht="15" hidden="1" customHeight="1" outlineLevel="2" x14ac:dyDescent="0.3">
      <c r="A41" s="26"/>
      <c r="B41" s="12" t="str">
        <f>CONCATENATE("          ","6362"," - ","ADVERTISING EXPENSE")</f>
        <v xml:space="preserve">          6362 - ADVERTISING EXPENSE</v>
      </c>
      <c r="C41" s="12"/>
      <c r="D41" s="7">
        <v>2.21</v>
      </c>
      <c r="E41" s="3"/>
      <c r="F41" s="8">
        <f t="shared" si="0"/>
        <v>0</v>
      </c>
      <c r="G41" s="3"/>
      <c r="H41" s="7">
        <v>250</v>
      </c>
      <c r="I41" s="3"/>
      <c r="J41" s="8">
        <f t="shared" si="1"/>
        <v>0</v>
      </c>
      <c r="K41" s="3"/>
      <c r="L41" s="7">
        <f t="shared" si="2"/>
        <v>-247.79</v>
      </c>
      <c r="M41" s="3"/>
      <c r="N41" s="8">
        <f t="shared" si="3"/>
        <v>-0.99115999999999993</v>
      </c>
      <c r="O41" s="12"/>
      <c r="P41" s="7">
        <v>1969.62</v>
      </c>
      <c r="Q41" s="3"/>
      <c r="R41" s="8">
        <f t="shared" si="4"/>
        <v>0</v>
      </c>
      <c r="S41" s="3"/>
      <c r="T41" s="7">
        <v>1850</v>
      </c>
      <c r="U41" s="3"/>
      <c r="V41" s="8">
        <f t="shared" si="5"/>
        <v>0</v>
      </c>
      <c r="W41" s="3"/>
      <c r="X41" s="7">
        <f t="shared" si="6"/>
        <v>119.61999999999989</v>
      </c>
      <c r="Y41" s="3"/>
      <c r="Z41" s="8">
        <f t="shared" si="7"/>
        <v>6.4659459459459404E-2</v>
      </c>
    </row>
    <row r="42" spans="1:26" s="69" customFormat="1" ht="15" customHeight="1" outlineLevel="1" collapsed="1" x14ac:dyDescent="0.3">
      <c r="A42" s="25"/>
      <c r="B42" s="14" t="str">
        <f>CONCATENATE("     ","Depreciation                                      ")</f>
        <v xml:space="preserve">     Depreciation                                      </v>
      </c>
      <c r="C42" s="14"/>
      <c r="D42" s="2">
        <f>SUM(OSRRefD22_3x_0)</f>
        <v>314.87</v>
      </c>
      <c r="E42" s="2"/>
      <c r="F42" s="6">
        <f t="shared" si="0"/>
        <v>0</v>
      </c>
      <c r="G42" s="2"/>
      <c r="H42" s="2">
        <f>SUM(OSRRefH22_3x_0)</f>
        <v>315</v>
      </c>
      <c r="I42" s="2"/>
      <c r="J42" s="6">
        <f t="shared" si="1"/>
        <v>0</v>
      </c>
      <c r="K42" s="2"/>
      <c r="L42" s="2">
        <f t="shared" si="2"/>
        <v>-0.12999999999999545</v>
      </c>
      <c r="M42" s="2"/>
      <c r="N42" s="6">
        <f t="shared" si="3"/>
        <v>-4.1269841269839827E-4</v>
      </c>
      <c r="O42" s="14"/>
      <c r="P42" s="2">
        <f>SUM(OSRRefP22_3x_0)</f>
        <v>2833.83</v>
      </c>
      <c r="Q42" s="2"/>
      <c r="R42" s="6">
        <f t="shared" si="4"/>
        <v>0</v>
      </c>
      <c r="S42" s="2"/>
      <c r="T42" s="2">
        <f>SUM(OSRRefT22_3x_0)</f>
        <v>2835</v>
      </c>
      <c r="U42" s="2"/>
      <c r="V42" s="6">
        <f t="shared" si="5"/>
        <v>0</v>
      </c>
      <c r="W42" s="2"/>
      <c r="X42" s="2">
        <f t="shared" si="6"/>
        <v>-1.1700000000000728</v>
      </c>
      <c r="Y42" s="2"/>
      <c r="Z42" s="6">
        <f t="shared" si="7"/>
        <v>-4.1269841269843838E-4</v>
      </c>
    </row>
    <row r="43" spans="1:26" s="70" customFormat="1" ht="15" hidden="1" customHeight="1" outlineLevel="2" x14ac:dyDescent="0.3">
      <c r="A43" s="26"/>
      <c r="B43" s="12" t="str">
        <f>CONCATENATE("          ","6322"," - ","EQUIPMENT DEPRECIATION EXPENSE")</f>
        <v xml:space="preserve">          6322 - EQUIPMENT DEPRECIATION EXPENSE</v>
      </c>
      <c r="C43" s="12"/>
      <c r="D43" s="7">
        <v>314.87</v>
      </c>
      <c r="E43" s="3"/>
      <c r="F43" s="8">
        <f t="shared" si="0"/>
        <v>0</v>
      </c>
      <c r="G43" s="3"/>
      <c r="H43" s="7">
        <v>315</v>
      </c>
      <c r="I43" s="3"/>
      <c r="J43" s="8">
        <f t="shared" si="1"/>
        <v>0</v>
      </c>
      <c r="K43" s="3"/>
      <c r="L43" s="7">
        <f t="shared" si="2"/>
        <v>-0.12999999999999545</v>
      </c>
      <c r="M43" s="3"/>
      <c r="N43" s="8">
        <f t="shared" si="3"/>
        <v>-4.1269841269839827E-4</v>
      </c>
      <c r="O43" s="12"/>
      <c r="P43" s="7">
        <v>2833.83</v>
      </c>
      <c r="Q43" s="3"/>
      <c r="R43" s="8">
        <f t="shared" si="4"/>
        <v>0</v>
      </c>
      <c r="S43" s="3"/>
      <c r="T43" s="7">
        <v>2835</v>
      </c>
      <c r="U43" s="3"/>
      <c r="V43" s="8">
        <f t="shared" si="5"/>
        <v>0</v>
      </c>
      <c r="W43" s="3"/>
      <c r="X43" s="7">
        <f t="shared" si="6"/>
        <v>-1.1700000000000728</v>
      </c>
      <c r="Y43" s="3"/>
      <c r="Z43" s="8">
        <f t="shared" si="7"/>
        <v>-4.1269841269843838E-4</v>
      </c>
    </row>
    <row r="44" spans="1:26" s="69" customFormat="1" ht="15" customHeight="1" outlineLevel="1" collapsed="1" x14ac:dyDescent="0.3">
      <c r="A44" s="25"/>
      <c r="B44" s="14" t="str">
        <f>CONCATENATE("     ","Donations                                         ")</f>
        <v xml:space="preserve">     Donations                                         </v>
      </c>
      <c r="C44" s="14"/>
      <c r="D44" s="2">
        <f>SUM(OSRRefD22_4x_0)</f>
        <v>0</v>
      </c>
      <c r="E44" s="2"/>
      <c r="F44" s="6">
        <f t="shared" si="0"/>
        <v>0</v>
      </c>
      <c r="G44" s="2"/>
      <c r="H44" s="2">
        <f>SUM(OSRRefH22_4x_0)</f>
        <v>500</v>
      </c>
      <c r="I44" s="2"/>
      <c r="J44" s="6">
        <f t="shared" si="1"/>
        <v>0</v>
      </c>
      <c r="K44" s="2"/>
      <c r="L44" s="2">
        <f t="shared" si="2"/>
        <v>-500</v>
      </c>
      <c r="M44" s="2"/>
      <c r="N44" s="6">
        <f t="shared" si="3"/>
        <v>-1</v>
      </c>
      <c r="O44" s="14"/>
      <c r="P44" s="2">
        <f>SUM(OSRRefP22_4x_0)</f>
        <v>25300</v>
      </c>
      <c r="Q44" s="2"/>
      <c r="R44" s="6">
        <f t="shared" si="4"/>
        <v>0</v>
      </c>
      <c r="S44" s="2"/>
      <c r="T44" s="2">
        <f>SUM(OSRRefT22_4x_0)</f>
        <v>53450</v>
      </c>
      <c r="U44" s="2"/>
      <c r="V44" s="6">
        <f t="shared" si="5"/>
        <v>0</v>
      </c>
      <c r="W44" s="2"/>
      <c r="X44" s="2">
        <f t="shared" si="6"/>
        <v>-28150</v>
      </c>
      <c r="Y44" s="2"/>
      <c r="Z44" s="6">
        <f t="shared" si="7"/>
        <v>-0.52666043030869969</v>
      </c>
    </row>
    <row r="45" spans="1:26" s="70" customFormat="1" ht="15" hidden="1" customHeight="1" outlineLevel="2" x14ac:dyDescent="0.3">
      <c r="A45" s="26"/>
      <c r="B45" s="12" t="str">
        <f>CONCATENATE("          ","6399"," - ","DONATION-ON CAMPUS")</f>
        <v xml:space="preserve">          6399 - DONATION-ON CAMPUS</v>
      </c>
      <c r="C45" s="12"/>
      <c r="D45" s="7"/>
      <c r="E45" s="3"/>
      <c r="F45" s="8">
        <f t="shared" si="0"/>
        <v>0</v>
      </c>
      <c r="G45" s="3"/>
      <c r="H45" s="7">
        <v>500</v>
      </c>
      <c r="I45" s="3"/>
      <c r="J45" s="8">
        <f t="shared" si="1"/>
        <v>0</v>
      </c>
      <c r="K45" s="3"/>
      <c r="L45" s="7">
        <f t="shared" si="2"/>
        <v>-500</v>
      </c>
      <c r="M45" s="3"/>
      <c r="N45" s="8">
        <f t="shared" si="3"/>
        <v>-1</v>
      </c>
      <c r="O45" s="12"/>
      <c r="P45" s="7">
        <v>25300</v>
      </c>
      <c r="Q45" s="3"/>
      <c r="R45" s="8">
        <f t="shared" si="4"/>
        <v>0</v>
      </c>
      <c r="S45" s="3"/>
      <c r="T45" s="7">
        <v>53450</v>
      </c>
      <c r="U45" s="3"/>
      <c r="V45" s="8">
        <f t="shared" si="5"/>
        <v>0</v>
      </c>
      <c r="W45" s="3"/>
      <c r="X45" s="7">
        <f t="shared" si="6"/>
        <v>-28150</v>
      </c>
      <c r="Y45" s="3"/>
      <c r="Z45" s="8">
        <f t="shared" si="7"/>
        <v>-0.52666043030869969</v>
      </c>
    </row>
    <row r="46" spans="1:26" s="69" customFormat="1" ht="15" customHeight="1" outlineLevel="1" collapsed="1" x14ac:dyDescent="0.3">
      <c r="A46" s="25"/>
      <c r="B46" s="14" t="str">
        <f>CONCATENATE("     ","Employees' Appreciation                           ")</f>
        <v xml:space="preserve">     Employees' Appreciation                           </v>
      </c>
      <c r="C46" s="14"/>
      <c r="D46" s="2">
        <f>SUM(OSRRefD22_5x_0)</f>
        <v>0</v>
      </c>
      <c r="E46" s="2"/>
      <c r="F46" s="6">
        <f t="shared" si="0"/>
        <v>0</v>
      </c>
      <c r="G46" s="2"/>
      <c r="H46" s="2">
        <f>SUM(OSRRefH22_5x_0)</f>
        <v>0</v>
      </c>
      <c r="I46" s="2"/>
      <c r="J46" s="6">
        <f t="shared" si="1"/>
        <v>0</v>
      </c>
      <c r="K46" s="2"/>
      <c r="L46" s="2">
        <f t="shared" si="2"/>
        <v>0</v>
      </c>
      <c r="M46" s="2"/>
      <c r="N46" s="6">
        <f t="shared" si="3"/>
        <v>0</v>
      </c>
      <c r="O46" s="14"/>
      <c r="P46" s="2">
        <f>SUM(OSRRefP22_5x_0)</f>
        <v>635.58000000000004</v>
      </c>
      <c r="Q46" s="2"/>
      <c r="R46" s="6">
        <f t="shared" si="4"/>
        <v>0</v>
      </c>
      <c r="S46" s="2"/>
      <c r="T46" s="2">
        <f>SUM(OSRRefT22_5x_0)</f>
        <v>3000</v>
      </c>
      <c r="U46" s="2"/>
      <c r="V46" s="6">
        <f t="shared" si="5"/>
        <v>0</v>
      </c>
      <c r="W46" s="2"/>
      <c r="X46" s="2">
        <f t="shared" si="6"/>
        <v>-2364.42</v>
      </c>
      <c r="Y46" s="2"/>
      <c r="Z46" s="6">
        <f t="shared" si="7"/>
        <v>-0.78814000000000006</v>
      </c>
    </row>
    <row r="47" spans="1:26" s="70" customFormat="1" ht="15" hidden="1" customHeight="1" outlineLevel="2" x14ac:dyDescent="0.3">
      <c r="A47" s="26"/>
      <c r="B47" s="12" t="str">
        <f>CONCATENATE("          ","6277"," - ","EMPLOYEE APPRECIATION")</f>
        <v xml:space="preserve">          6277 - EMPLOYEE APPRECIATION</v>
      </c>
      <c r="C47" s="12"/>
      <c r="D47" s="7"/>
      <c r="E47" s="3"/>
      <c r="F47" s="8">
        <f t="shared" si="0"/>
        <v>0</v>
      </c>
      <c r="G47" s="3"/>
      <c r="H47" s="7"/>
      <c r="I47" s="3"/>
      <c r="J47" s="8">
        <f t="shared" si="1"/>
        <v>0</v>
      </c>
      <c r="K47" s="3"/>
      <c r="L47" s="7">
        <f t="shared" si="2"/>
        <v>0</v>
      </c>
      <c r="M47" s="3"/>
      <c r="N47" s="8">
        <f t="shared" si="3"/>
        <v>0</v>
      </c>
      <c r="O47" s="12"/>
      <c r="P47" s="7">
        <v>635.58000000000004</v>
      </c>
      <c r="Q47" s="3"/>
      <c r="R47" s="8">
        <f t="shared" si="4"/>
        <v>0</v>
      </c>
      <c r="S47" s="3"/>
      <c r="T47" s="7">
        <v>3000</v>
      </c>
      <c r="U47" s="3"/>
      <c r="V47" s="8">
        <f t="shared" si="5"/>
        <v>0</v>
      </c>
      <c r="W47" s="3"/>
      <c r="X47" s="7">
        <f t="shared" si="6"/>
        <v>-2364.42</v>
      </c>
      <c r="Y47" s="3"/>
      <c r="Z47" s="8">
        <f t="shared" si="7"/>
        <v>-0.78814000000000006</v>
      </c>
    </row>
    <row r="48" spans="1:26" s="69" customFormat="1" ht="15" customHeight="1" outlineLevel="1" collapsed="1" x14ac:dyDescent="0.3">
      <c r="A48" s="25"/>
      <c r="B48" s="14" t="str">
        <f>CONCATENATE("     ","Equipment Rental                                  ")</f>
        <v xml:space="preserve">     Equipment Rental                                  </v>
      </c>
      <c r="C48" s="14"/>
      <c r="D48" s="2">
        <f>SUM(OSRRefD22_6x_0)</f>
        <v>117.71</v>
      </c>
      <c r="E48" s="2"/>
      <c r="F48" s="6">
        <f t="shared" si="0"/>
        <v>0</v>
      </c>
      <c r="G48" s="2"/>
      <c r="H48" s="2">
        <f>SUM(OSRRefH22_6x_0)</f>
        <v>118</v>
      </c>
      <c r="I48" s="2"/>
      <c r="J48" s="6">
        <f t="shared" si="1"/>
        <v>0</v>
      </c>
      <c r="K48" s="2"/>
      <c r="L48" s="2">
        <f t="shared" si="2"/>
        <v>-0.29000000000000625</v>
      </c>
      <c r="M48" s="2"/>
      <c r="N48" s="6">
        <f t="shared" si="3"/>
        <v>-2.457627118644121E-3</v>
      </c>
      <c r="O48" s="14"/>
      <c r="P48" s="2">
        <f>SUM(OSRRefP22_6x_0)</f>
        <v>1059.3900000000001</v>
      </c>
      <c r="Q48" s="2"/>
      <c r="R48" s="6">
        <f t="shared" si="4"/>
        <v>0</v>
      </c>
      <c r="S48" s="2"/>
      <c r="T48" s="2">
        <f>SUM(OSRRefT22_6x_0)</f>
        <v>1062</v>
      </c>
      <c r="U48" s="2"/>
      <c r="V48" s="6">
        <f t="shared" si="5"/>
        <v>0</v>
      </c>
      <c r="W48" s="2"/>
      <c r="X48" s="2">
        <f t="shared" si="6"/>
        <v>-2.6099999999999</v>
      </c>
      <c r="Y48" s="2"/>
      <c r="Z48" s="6">
        <f t="shared" si="7"/>
        <v>-2.4576271186439735E-3</v>
      </c>
    </row>
    <row r="49" spans="1:26" s="70" customFormat="1" ht="15" hidden="1" customHeight="1" outlineLevel="2" x14ac:dyDescent="0.3">
      <c r="A49" s="26"/>
      <c r="B49" s="12" t="str">
        <f>CONCATENATE("          ","6351"," - ","EQUIPMENT RENTAL")</f>
        <v xml:space="preserve">          6351 - EQUIPMENT RENTAL</v>
      </c>
      <c r="C49" s="12"/>
      <c r="D49" s="7">
        <v>117.71</v>
      </c>
      <c r="E49" s="3"/>
      <c r="F49" s="8">
        <f t="shared" si="0"/>
        <v>0</v>
      </c>
      <c r="G49" s="3"/>
      <c r="H49" s="7">
        <v>118</v>
      </c>
      <c r="I49" s="3"/>
      <c r="J49" s="8">
        <f t="shared" si="1"/>
        <v>0</v>
      </c>
      <c r="K49" s="3"/>
      <c r="L49" s="7">
        <f t="shared" si="2"/>
        <v>-0.29000000000000625</v>
      </c>
      <c r="M49" s="3"/>
      <c r="N49" s="8">
        <f t="shared" si="3"/>
        <v>-2.457627118644121E-3</v>
      </c>
      <c r="O49" s="12"/>
      <c r="P49" s="7">
        <v>1059.3900000000001</v>
      </c>
      <c r="Q49" s="3"/>
      <c r="R49" s="8">
        <f t="shared" si="4"/>
        <v>0</v>
      </c>
      <c r="S49" s="3"/>
      <c r="T49" s="7">
        <v>1062</v>
      </c>
      <c r="U49" s="3"/>
      <c r="V49" s="8">
        <f t="shared" si="5"/>
        <v>0</v>
      </c>
      <c r="W49" s="3"/>
      <c r="X49" s="7">
        <f t="shared" si="6"/>
        <v>-2.6099999999999</v>
      </c>
      <c r="Y49" s="3"/>
      <c r="Z49" s="8">
        <f t="shared" si="7"/>
        <v>-2.4576271186439735E-3</v>
      </c>
    </row>
    <row r="50" spans="1:26" s="69" customFormat="1" ht="15" customHeight="1" outlineLevel="1" collapsed="1" x14ac:dyDescent="0.3">
      <c r="A50" s="25"/>
      <c r="B50" s="14" t="str">
        <f>CONCATENATE("     ","Freight out/Postage                               ")</f>
        <v xml:space="preserve">     Freight out/Postage                               </v>
      </c>
      <c r="C50" s="14"/>
      <c r="D50" s="2">
        <f>SUM(OSRRefD22_7x_0)</f>
        <v>0</v>
      </c>
      <c r="E50" s="2"/>
      <c r="F50" s="6">
        <f t="shared" ref="F50:F71" si="8">IF(D$12=0,0,D50/D$12)</f>
        <v>0</v>
      </c>
      <c r="G50" s="2"/>
      <c r="H50" s="2">
        <f>SUM(OSRRefH22_7x_0)</f>
        <v>100</v>
      </c>
      <c r="I50" s="2"/>
      <c r="J50" s="6">
        <f t="shared" ref="J50:J71" si="9">IF(H$12=0,0,H50/H$12)</f>
        <v>0</v>
      </c>
      <c r="K50" s="2"/>
      <c r="L50" s="2">
        <f t="shared" ref="L50:L71" si="10">+D50-H50</f>
        <v>-100</v>
      </c>
      <c r="M50" s="2"/>
      <c r="N50" s="6">
        <f t="shared" ref="N50:N71" si="11">IF(H50=0,0,L50/H50)</f>
        <v>-1</v>
      </c>
      <c r="O50" s="14"/>
      <c r="P50" s="2">
        <f>SUM(OSRRefP22_7x_0)</f>
        <v>32.17</v>
      </c>
      <c r="Q50" s="2"/>
      <c r="R50" s="6">
        <f t="shared" ref="R50:R71" si="12">IF(P$12=0,0,P50/P$12)</f>
        <v>0</v>
      </c>
      <c r="S50" s="2"/>
      <c r="T50" s="2">
        <f>SUM(OSRRefT22_7x_0)</f>
        <v>675</v>
      </c>
      <c r="U50" s="2"/>
      <c r="V50" s="6">
        <f t="shared" ref="V50:V71" si="13">IF(T$12=0,0,T50/T$12)</f>
        <v>0</v>
      </c>
      <c r="W50" s="2"/>
      <c r="X50" s="2">
        <f t="shared" ref="X50:X71" si="14">+P50-T50</f>
        <v>-642.83000000000004</v>
      </c>
      <c r="Y50" s="2"/>
      <c r="Z50" s="6">
        <f t="shared" ref="Z50:Z71" si="15">IF(T50=0,0,X50/T50)</f>
        <v>-0.95234074074074082</v>
      </c>
    </row>
    <row r="51" spans="1:26" s="70" customFormat="1" ht="15" hidden="1" customHeight="1" outlineLevel="2" x14ac:dyDescent="0.3">
      <c r="A51" s="26"/>
      <c r="B51" s="12" t="str">
        <f>CONCATENATE("          ","6307"," - ","POSTAGE")</f>
        <v xml:space="preserve">          6307 - POSTAGE</v>
      </c>
      <c r="C51" s="12"/>
      <c r="D51" s="7"/>
      <c r="E51" s="3"/>
      <c r="F51" s="8">
        <f t="shared" si="8"/>
        <v>0</v>
      </c>
      <c r="G51" s="3"/>
      <c r="H51" s="7">
        <v>100</v>
      </c>
      <c r="I51" s="3"/>
      <c r="J51" s="8">
        <f t="shared" si="9"/>
        <v>0</v>
      </c>
      <c r="K51" s="3"/>
      <c r="L51" s="7">
        <f t="shared" si="10"/>
        <v>-100</v>
      </c>
      <c r="M51" s="3"/>
      <c r="N51" s="8">
        <f t="shared" si="11"/>
        <v>-1</v>
      </c>
      <c r="O51" s="12"/>
      <c r="P51" s="7">
        <v>32.17</v>
      </c>
      <c r="Q51" s="3"/>
      <c r="R51" s="8">
        <f t="shared" si="12"/>
        <v>0</v>
      </c>
      <c r="S51" s="3"/>
      <c r="T51" s="7">
        <v>675</v>
      </c>
      <c r="U51" s="3"/>
      <c r="V51" s="8">
        <f t="shared" si="13"/>
        <v>0</v>
      </c>
      <c r="W51" s="3"/>
      <c r="X51" s="7">
        <f t="shared" si="14"/>
        <v>-642.83000000000004</v>
      </c>
      <c r="Y51" s="3"/>
      <c r="Z51" s="8">
        <f t="shared" si="15"/>
        <v>-0.95234074074074082</v>
      </c>
    </row>
    <row r="52" spans="1:26" s="69" customFormat="1" ht="15" customHeight="1" outlineLevel="1" collapsed="1" x14ac:dyDescent="0.3">
      <c r="A52" s="25"/>
      <c r="B52" s="14" t="str">
        <f>CONCATENATE("     ","Insurance                                         ")</f>
        <v xml:space="preserve">     Insurance                                         </v>
      </c>
      <c r="C52" s="14"/>
      <c r="D52" s="2">
        <f>SUM(OSRRefD22_8x_0)</f>
        <v>156.47999999999999</v>
      </c>
      <c r="E52" s="2"/>
      <c r="F52" s="6">
        <f t="shared" si="8"/>
        <v>0</v>
      </c>
      <c r="G52" s="2"/>
      <c r="H52" s="2">
        <f>SUM(OSRRefH22_8x_0)</f>
        <v>150</v>
      </c>
      <c r="I52" s="2"/>
      <c r="J52" s="6">
        <f t="shared" si="9"/>
        <v>0</v>
      </c>
      <c r="K52" s="2"/>
      <c r="L52" s="2">
        <f t="shared" si="10"/>
        <v>6.4799999999999898</v>
      </c>
      <c r="M52" s="2"/>
      <c r="N52" s="6">
        <f t="shared" si="11"/>
        <v>4.3199999999999933E-2</v>
      </c>
      <c r="O52" s="14"/>
      <c r="P52" s="2">
        <f>SUM(OSRRefP22_8x_0)</f>
        <v>1408.32</v>
      </c>
      <c r="Q52" s="2"/>
      <c r="R52" s="6">
        <f t="shared" si="12"/>
        <v>0</v>
      </c>
      <c r="S52" s="2"/>
      <c r="T52" s="2">
        <f>SUM(OSRRefT22_8x_0)</f>
        <v>1350</v>
      </c>
      <c r="U52" s="2"/>
      <c r="V52" s="6">
        <f t="shared" si="13"/>
        <v>0</v>
      </c>
      <c r="W52" s="2"/>
      <c r="X52" s="2">
        <f t="shared" si="14"/>
        <v>58.319999999999936</v>
      </c>
      <c r="Y52" s="2"/>
      <c r="Z52" s="6">
        <f t="shared" si="15"/>
        <v>4.3199999999999954E-2</v>
      </c>
    </row>
    <row r="53" spans="1:26" s="70" customFormat="1" ht="15" hidden="1" customHeight="1" outlineLevel="2" x14ac:dyDescent="0.3">
      <c r="A53" s="26"/>
      <c r="B53" s="12" t="str">
        <f>CONCATENATE("          ","6314"," - ","LIABILITY INSURANCE")</f>
        <v xml:space="preserve">          6314 - LIABILITY INSURANCE</v>
      </c>
      <c r="C53" s="12"/>
      <c r="D53" s="7">
        <v>156.47999999999999</v>
      </c>
      <c r="E53" s="3"/>
      <c r="F53" s="8">
        <f t="shared" si="8"/>
        <v>0</v>
      </c>
      <c r="G53" s="3"/>
      <c r="H53" s="7">
        <v>150</v>
      </c>
      <c r="I53" s="3"/>
      <c r="J53" s="8">
        <f t="shared" si="9"/>
        <v>0</v>
      </c>
      <c r="K53" s="3"/>
      <c r="L53" s="7">
        <f t="shared" si="10"/>
        <v>6.4799999999999898</v>
      </c>
      <c r="M53" s="3"/>
      <c r="N53" s="8">
        <f t="shared" si="11"/>
        <v>4.3199999999999933E-2</v>
      </c>
      <c r="O53" s="12"/>
      <c r="P53" s="7">
        <v>1408.32</v>
      </c>
      <c r="Q53" s="3"/>
      <c r="R53" s="8">
        <f t="shared" si="12"/>
        <v>0</v>
      </c>
      <c r="S53" s="3"/>
      <c r="T53" s="7">
        <v>1350</v>
      </c>
      <c r="U53" s="3"/>
      <c r="V53" s="8">
        <f t="shared" si="13"/>
        <v>0</v>
      </c>
      <c r="W53" s="3"/>
      <c r="X53" s="7">
        <f t="shared" si="14"/>
        <v>58.319999999999936</v>
      </c>
      <c r="Y53" s="3"/>
      <c r="Z53" s="8">
        <f t="shared" si="15"/>
        <v>4.3199999999999954E-2</v>
      </c>
    </row>
    <row r="54" spans="1:26" s="69" customFormat="1" ht="15" customHeight="1" outlineLevel="1" collapsed="1" x14ac:dyDescent="0.3">
      <c r="A54" s="25"/>
      <c r="B54" s="14" t="str">
        <f>CONCATENATE("     ","Professional Services                             ")</f>
        <v xml:space="preserve">     Professional Services                             </v>
      </c>
      <c r="C54" s="14"/>
      <c r="D54" s="2">
        <f>SUM(OSRRefD22_9x_0)</f>
        <v>5000</v>
      </c>
      <c r="E54" s="2"/>
      <c r="F54" s="6">
        <f t="shared" si="8"/>
        <v>0</v>
      </c>
      <c r="G54" s="2"/>
      <c r="H54" s="2">
        <f>SUM(OSRRefH22_9x_0)</f>
        <v>1000</v>
      </c>
      <c r="I54" s="2"/>
      <c r="J54" s="6">
        <f t="shared" si="9"/>
        <v>0</v>
      </c>
      <c r="K54" s="2"/>
      <c r="L54" s="2">
        <f t="shared" si="10"/>
        <v>4000</v>
      </c>
      <c r="M54" s="2"/>
      <c r="N54" s="6">
        <f t="shared" si="11"/>
        <v>4</v>
      </c>
      <c r="O54" s="14"/>
      <c r="P54" s="2">
        <f>SUM(OSRRefP22_9x_0)</f>
        <v>56875</v>
      </c>
      <c r="Q54" s="2"/>
      <c r="R54" s="6">
        <f t="shared" si="12"/>
        <v>0</v>
      </c>
      <c r="S54" s="2"/>
      <c r="T54" s="2">
        <f>SUM(OSRRefT22_9x_0)</f>
        <v>59500</v>
      </c>
      <c r="U54" s="2"/>
      <c r="V54" s="6">
        <f t="shared" si="13"/>
        <v>0</v>
      </c>
      <c r="W54" s="2"/>
      <c r="X54" s="2">
        <f t="shared" si="14"/>
        <v>-2625</v>
      </c>
      <c r="Y54" s="2"/>
      <c r="Z54" s="6">
        <f t="shared" si="15"/>
        <v>-4.4117647058823532E-2</v>
      </c>
    </row>
    <row r="55" spans="1:26" s="70" customFormat="1" ht="15" hidden="1" customHeight="1" outlineLevel="2" x14ac:dyDescent="0.3">
      <c r="A55" s="26"/>
      <c r="B55" s="12" t="str">
        <f>CONCATENATE("          ","6331"," - ","INDIRECT COSTS-AUXILIARY ORGAN")</f>
        <v xml:space="preserve">          6331 - INDIRECT COSTS-AUXILIARY ORGAN</v>
      </c>
      <c r="C55" s="12"/>
      <c r="D55" s="7"/>
      <c r="E55" s="3"/>
      <c r="F55" s="8">
        <f t="shared" si="8"/>
        <v>0</v>
      </c>
      <c r="G55" s="3"/>
      <c r="H55" s="7"/>
      <c r="I55" s="3"/>
      <c r="J55" s="8">
        <f t="shared" si="9"/>
        <v>0</v>
      </c>
      <c r="K55" s="3"/>
      <c r="L55" s="7">
        <f t="shared" si="10"/>
        <v>0</v>
      </c>
      <c r="M55" s="3"/>
      <c r="N55" s="8">
        <f t="shared" si="11"/>
        <v>0</v>
      </c>
      <c r="O55" s="12"/>
      <c r="P55" s="7">
        <v>48350</v>
      </c>
      <c r="Q55" s="3"/>
      <c r="R55" s="8">
        <f t="shared" si="12"/>
        <v>0</v>
      </c>
      <c r="S55" s="3"/>
      <c r="T55" s="7">
        <v>51000</v>
      </c>
      <c r="U55" s="3"/>
      <c r="V55" s="8">
        <f t="shared" si="13"/>
        <v>0</v>
      </c>
      <c r="W55" s="3"/>
      <c r="X55" s="7">
        <f t="shared" si="14"/>
        <v>-2650</v>
      </c>
      <c r="Y55" s="3"/>
      <c r="Z55" s="8">
        <f t="shared" si="15"/>
        <v>-5.1960784313725493E-2</v>
      </c>
    </row>
    <row r="56" spans="1:26" s="70" customFormat="1" ht="15" hidden="1" customHeight="1" outlineLevel="2" x14ac:dyDescent="0.3">
      <c r="A56" s="26"/>
      <c r="B56" s="12" t="str">
        <f>CONCATENATE("          ","6334"," - ","LEGAL COUNCIL EXPENSE")</f>
        <v xml:space="preserve">          6334 - LEGAL COUNCIL EXPENSE</v>
      </c>
      <c r="C56" s="12"/>
      <c r="D56" s="7"/>
      <c r="E56" s="3"/>
      <c r="F56" s="8">
        <f t="shared" si="8"/>
        <v>0</v>
      </c>
      <c r="G56" s="3"/>
      <c r="H56" s="7">
        <v>1000</v>
      </c>
      <c r="I56" s="3"/>
      <c r="J56" s="8">
        <f t="shared" si="9"/>
        <v>0</v>
      </c>
      <c r="K56" s="3"/>
      <c r="L56" s="7">
        <f t="shared" si="10"/>
        <v>-1000</v>
      </c>
      <c r="M56" s="3"/>
      <c r="N56" s="8">
        <f t="shared" si="11"/>
        <v>-1</v>
      </c>
      <c r="O56" s="12"/>
      <c r="P56" s="7">
        <v>200</v>
      </c>
      <c r="Q56" s="3"/>
      <c r="R56" s="8">
        <f t="shared" si="12"/>
        <v>0</v>
      </c>
      <c r="S56" s="3"/>
      <c r="T56" s="7">
        <v>3500</v>
      </c>
      <c r="U56" s="3"/>
      <c r="V56" s="8">
        <f t="shared" si="13"/>
        <v>0</v>
      </c>
      <c r="W56" s="3"/>
      <c r="X56" s="7">
        <f t="shared" si="14"/>
        <v>-3300</v>
      </c>
      <c r="Y56" s="3"/>
      <c r="Z56" s="8">
        <f t="shared" si="15"/>
        <v>-0.94285714285714284</v>
      </c>
    </row>
    <row r="57" spans="1:26" s="70" customFormat="1" ht="15" hidden="1" customHeight="1" outlineLevel="2" x14ac:dyDescent="0.3">
      <c r="A57" s="26"/>
      <c r="B57" s="12" t="str">
        <f>CONCATENATE("          ","6336"," - ","PROFESSIONAL SERVICES")</f>
        <v xml:space="preserve">          6336 - PROFESSIONAL SERVICES</v>
      </c>
      <c r="C57" s="12"/>
      <c r="D57" s="7">
        <v>5000</v>
      </c>
      <c r="E57" s="3"/>
      <c r="F57" s="8">
        <f t="shared" si="8"/>
        <v>0</v>
      </c>
      <c r="G57" s="3"/>
      <c r="H57" s="7"/>
      <c r="I57" s="3"/>
      <c r="J57" s="8">
        <f t="shared" si="9"/>
        <v>0</v>
      </c>
      <c r="K57" s="3"/>
      <c r="L57" s="7">
        <f t="shared" si="10"/>
        <v>5000</v>
      </c>
      <c r="M57" s="3"/>
      <c r="N57" s="8">
        <f t="shared" si="11"/>
        <v>0</v>
      </c>
      <c r="O57" s="12"/>
      <c r="P57" s="7">
        <v>8325</v>
      </c>
      <c r="Q57" s="3"/>
      <c r="R57" s="8">
        <f t="shared" si="12"/>
        <v>0</v>
      </c>
      <c r="S57" s="3"/>
      <c r="T57" s="7">
        <v>5000</v>
      </c>
      <c r="U57" s="3"/>
      <c r="V57" s="8">
        <f t="shared" si="13"/>
        <v>0</v>
      </c>
      <c r="W57" s="3"/>
      <c r="X57" s="7">
        <f t="shared" si="14"/>
        <v>3325</v>
      </c>
      <c r="Y57" s="3"/>
      <c r="Z57" s="8">
        <f t="shared" si="15"/>
        <v>0.66500000000000004</v>
      </c>
    </row>
    <row r="58" spans="1:26" s="69" customFormat="1" ht="15" customHeight="1" outlineLevel="1" collapsed="1" x14ac:dyDescent="0.3">
      <c r="A58" s="25"/>
      <c r="B58" s="14" t="str">
        <f>CONCATENATE("     ","Repair and Maintenance                            ")</f>
        <v xml:space="preserve">     Repair and Maintenance                            </v>
      </c>
      <c r="C58" s="14"/>
      <c r="D58" s="2">
        <f>SUM(OSRRefD22_10x_0)</f>
        <v>9603.02</v>
      </c>
      <c r="E58" s="2"/>
      <c r="F58" s="6">
        <f t="shared" si="8"/>
        <v>0</v>
      </c>
      <c r="G58" s="2"/>
      <c r="H58" s="2">
        <f>SUM(OSRRefH22_10x_0)</f>
        <v>1530</v>
      </c>
      <c r="I58" s="2"/>
      <c r="J58" s="6">
        <f t="shared" si="9"/>
        <v>0</v>
      </c>
      <c r="K58" s="2"/>
      <c r="L58" s="2">
        <f t="shared" si="10"/>
        <v>8073.02</v>
      </c>
      <c r="M58" s="2"/>
      <c r="N58" s="6">
        <f t="shared" si="11"/>
        <v>5.2764836601307197</v>
      </c>
      <c r="O58" s="14"/>
      <c r="P58" s="2">
        <f>SUM(OSRRefP22_10x_0)</f>
        <v>25525.710000000003</v>
      </c>
      <c r="Q58" s="2"/>
      <c r="R58" s="6">
        <f t="shared" si="12"/>
        <v>0</v>
      </c>
      <c r="S58" s="2"/>
      <c r="T58" s="2">
        <f>SUM(OSRRefT22_10x_0)</f>
        <v>13770</v>
      </c>
      <c r="U58" s="2"/>
      <c r="V58" s="6">
        <f t="shared" si="13"/>
        <v>0</v>
      </c>
      <c r="W58" s="2"/>
      <c r="X58" s="2">
        <f t="shared" si="14"/>
        <v>11755.710000000003</v>
      </c>
      <c r="Y58" s="2"/>
      <c r="Z58" s="6">
        <f t="shared" si="15"/>
        <v>0.85371895424836619</v>
      </c>
    </row>
    <row r="59" spans="1:26" s="70" customFormat="1" ht="15" hidden="1" customHeight="1" outlineLevel="2" x14ac:dyDescent="0.3">
      <c r="A59" s="26"/>
      <c r="B59" s="12" t="str">
        <f>CONCATENATE("          ","6373"," - ","MAINTENANCE CONTRACTS")</f>
        <v xml:space="preserve">          6373 - MAINTENANCE CONTRACTS</v>
      </c>
      <c r="C59" s="12"/>
      <c r="D59" s="7">
        <v>9603.02</v>
      </c>
      <c r="E59" s="3"/>
      <c r="F59" s="8">
        <f t="shared" si="8"/>
        <v>0</v>
      </c>
      <c r="G59" s="3"/>
      <c r="H59" s="7">
        <v>1530</v>
      </c>
      <c r="I59" s="3"/>
      <c r="J59" s="8">
        <f t="shared" si="9"/>
        <v>0</v>
      </c>
      <c r="K59" s="3"/>
      <c r="L59" s="7">
        <f t="shared" si="10"/>
        <v>8073.02</v>
      </c>
      <c r="M59" s="3"/>
      <c r="N59" s="8">
        <f t="shared" si="11"/>
        <v>5.2764836601307197</v>
      </c>
      <c r="O59" s="12"/>
      <c r="P59" s="7">
        <v>25427.72</v>
      </c>
      <c r="Q59" s="3"/>
      <c r="R59" s="8">
        <f t="shared" si="12"/>
        <v>0</v>
      </c>
      <c r="S59" s="3"/>
      <c r="T59" s="7">
        <v>13770</v>
      </c>
      <c r="U59" s="3"/>
      <c r="V59" s="8">
        <f t="shared" si="13"/>
        <v>0</v>
      </c>
      <c r="W59" s="3"/>
      <c r="X59" s="7">
        <f t="shared" si="14"/>
        <v>11657.720000000001</v>
      </c>
      <c r="Y59" s="3"/>
      <c r="Z59" s="8">
        <f t="shared" si="15"/>
        <v>0.84660275962236753</v>
      </c>
    </row>
    <row r="60" spans="1:26" s="70" customFormat="1" ht="15" hidden="1" customHeight="1" outlineLevel="2" x14ac:dyDescent="0.3">
      <c r="A60" s="26"/>
      <c r="B60" s="12" t="str">
        <f>CONCATENATE("          ","6375"," - ","OUTSIDE REPAIRS &amp; MAINTENANCE")</f>
        <v xml:space="preserve">          6375 - OUTSIDE REPAIRS &amp; MAINTENANCE</v>
      </c>
      <c r="C60" s="12"/>
      <c r="D60" s="7"/>
      <c r="E60" s="3"/>
      <c r="F60" s="8">
        <f t="shared" si="8"/>
        <v>0</v>
      </c>
      <c r="G60" s="3"/>
      <c r="H60" s="7"/>
      <c r="I60" s="3"/>
      <c r="J60" s="8">
        <f t="shared" si="9"/>
        <v>0</v>
      </c>
      <c r="K60" s="3"/>
      <c r="L60" s="7">
        <f t="shared" si="10"/>
        <v>0</v>
      </c>
      <c r="M60" s="3"/>
      <c r="N60" s="8">
        <f t="shared" si="11"/>
        <v>0</v>
      </c>
      <c r="O60" s="12"/>
      <c r="P60" s="7">
        <v>97.99</v>
      </c>
      <c r="Q60" s="3"/>
      <c r="R60" s="8">
        <f t="shared" si="12"/>
        <v>0</v>
      </c>
      <c r="S60" s="3"/>
      <c r="T60" s="7"/>
      <c r="U60" s="3"/>
      <c r="V60" s="8">
        <f t="shared" si="13"/>
        <v>0</v>
      </c>
      <c r="W60" s="3"/>
      <c r="X60" s="7">
        <f t="shared" si="14"/>
        <v>97.99</v>
      </c>
      <c r="Y60" s="3"/>
      <c r="Z60" s="8">
        <f t="shared" si="15"/>
        <v>0</v>
      </c>
    </row>
    <row r="61" spans="1:26" s="69" customFormat="1" ht="15" customHeight="1" outlineLevel="1" collapsed="1" x14ac:dyDescent="0.3">
      <c r="A61" s="25"/>
      <c r="B61" s="14" t="str">
        <f>CONCATENATE("     ","Subscriptions &amp; Dues                              ")</f>
        <v xml:space="preserve">     Subscriptions &amp; Dues                              </v>
      </c>
      <c r="C61" s="14"/>
      <c r="D61" s="2">
        <f>SUM(OSRRefD22_11x_0)</f>
        <v>775</v>
      </c>
      <c r="E61" s="2"/>
      <c r="F61" s="6">
        <f t="shared" si="8"/>
        <v>0</v>
      </c>
      <c r="G61" s="2"/>
      <c r="H61" s="2">
        <f>SUM(OSRRefH22_11x_0)</f>
        <v>0</v>
      </c>
      <c r="I61" s="2"/>
      <c r="J61" s="6">
        <f t="shared" si="9"/>
        <v>0</v>
      </c>
      <c r="K61" s="2"/>
      <c r="L61" s="2">
        <f t="shared" si="10"/>
        <v>775</v>
      </c>
      <c r="M61" s="2"/>
      <c r="N61" s="6">
        <f t="shared" si="11"/>
        <v>0</v>
      </c>
      <c r="O61" s="14"/>
      <c r="P61" s="2">
        <f>SUM(OSRRefP22_11x_0)</f>
        <v>1775</v>
      </c>
      <c r="Q61" s="2"/>
      <c r="R61" s="6">
        <f t="shared" si="12"/>
        <v>0</v>
      </c>
      <c r="S61" s="2"/>
      <c r="T61" s="2">
        <f>SUM(OSRRefT22_11x_0)</f>
        <v>1975</v>
      </c>
      <c r="U61" s="2"/>
      <c r="V61" s="6">
        <f t="shared" si="13"/>
        <v>0</v>
      </c>
      <c r="W61" s="2"/>
      <c r="X61" s="2">
        <f t="shared" si="14"/>
        <v>-200</v>
      </c>
      <c r="Y61" s="2"/>
      <c r="Z61" s="6">
        <f t="shared" si="15"/>
        <v>-0.10126582278481013</v>
      </c>
    </row>
    <row r="62" spans="1:26" s="70" customFormat="1" ht="15" hidden="1" customHeight="1" outlineLevel="2" x14ac:dyDescent="0.3">
      <c r="A62" s="26"/>
      <c r="B62" s="12" t="str">
        <f>CONCATENATE("          ","6258"," - ","MEMBERSHIP DUES")</f>
        <v xml:space="preserve">          6258 - MEMBERSHIP DUES</v>
      </c>
      <c r="C62" s="12"/>
      <c r="D62" s="7">
        <v>775</v>
      </c>
      <c r="E62" s="3"/>
      <c r="F62" s="8">
        <f t="shared" si="8"/>
        <v>0</v>
      </c>
      <c r="G62" s="3"/>
      <c r="H62" s="7"/>
      <c r="I62" s="3"/>
      <c r="J62" s="8">
        <f t="shared" si="9"/>
        <v>0</v>
      </c>
      <c r="K62" s="3"/>
      <c r="L62" s="7">
        <f t="shared" si="10"/>
        <v>775</v>
      </c>
      <c r="M62" s="3"/>
      <c r="N62" s="8">
        <f t="shared" si="11"/>
        <v>0</v>
      </c>
      <c r="O62" s="12"/>
      <c r="P62" s="7">
        <v>1775</v>
      </c>
      <c r="Q62" s="3"/>
      <c r="R62" s="8">
        <f t="shared" si="12"/>
        <v>0</v>
      </c>
      <c r="S62" s="3"/>
      <c r="T62" s="7">
        <v>1975</v>
      </c>
      <c r="U62" s="3"/>
      <c r="V62" s="8">
        <f t="shared" si="13"/>
        <v>0</v>
      </c>
      <c r="W62" s="3"/>
      <c r="X62" s="7">
        <f t="shared" si="14"/>
        <v>-200</v>
      </c>
      <c r="Y62" s="3"/>
      <c r="Z62" s="8">
        <f t="shared" si="15"/>
        <v>-0.10126582278481013</v>
      </c>
    </row>
    <row r="63" spans="1:26" s="69" customFormat="1" ht="15" customHeight="1" outlineLevel="1" collapsed="1" x14ac:dyDescent="0.3">
      <c r="A63" s="25"/>
      <c r="B63" s="14" t="str">
        <f>CONCATENATE("     ","Supplies                                          ")</f>
        <v xml:space="preserve">     Supplies                                          </v>
      </c>
      <c r="C63" s="14"/>
      <c r="D63" s="2">
        <f>SUM(OSRRefD22_12x_0)</f>
        <v>0</v>
      </c>
      <c r="E63" s="2"/>
      <c r="F63" s="6">
        <f t="shared" si="8"/>
        <v>0</v>
      </c>
      <c r="G63" s="2"/>
      <c r="H63" s="2">
        <f>SUM(OSRRefH22_12x_0)</f>
        <v>125</v>
      </c>
      <c r="I63" s="2"/>
      <c r="J63" s="6">
        <f t="shared" si="9"/>
        <v>0</v>
      </c>
      <c r="K63" s="2"/>
      <c r="L63" s="2">
        <f t="shared" si="10"/>
        <v>-125</v>
      </c>
      <c r="M63" s="2"/>
      <c r="N63" s="6">
        <f t="shared" si="11"/>
        <v>-1</v>
      </c>
      <c r="O63" s="14"/>
      <c r="P63" s="2">
        <f>SUM(OSRRefP22_12x_0)</f>
        <v>409.15</v>
      </c>
      <c r="Q63" s="2"/>
      <c r="R63" s="6">
        <f t="shared" si="12"/>
        <v>0</v>
      </c>
      <c r="S63" s="2"/>
      <c r="T63" s="2">
        <f>SUM(OSRRefT22_12x_0)</f>
        <v>1125</v>
      </c>
      <c r="U63" s="2"/>
      <c r="V63" s="6">
        <f t="shared" si="13"/>
        <v>0</v>
      </c>
      <c r="W63" s="2"/>
      <c r="X63" s="2">
        <f t="shared" si="14"/>
        <v>-715.85</v>
      </c>
      <c r="Y63" s="2"/>
      <c r="Z63" s="6">
        <f t="shared" si="15"/>
        <v>-0.63631111111111116</v>
      </c>
    </row>
    <row r="64" spans="1:26" s="70" customFormat="1" ht="15" hidden="1" customHeight="1" outlineLevel="2" x14ac:dyDescent="0.3">
      <c r="A64" s="26"/>
      <c r="B64" s="12" t="str">
        <f>CONCATENATE("          ","6234"," - ","EXPENDABLE SUPPLIES &amp; EQUIPMEN")</f>
        <v xml:space="preserve">          6234 - EXPENDABLE SUPPLIES &amp; EQUIPMEN</v>
      </c>
      <c r="C64" s="12"/>
      <c r="D64" s="7"/>
      <c r="E64" s="3"/>
      <c r="F64" s="8">
        <f t="shared" si="8"/>
        <v>0</v>
      </c>
      <c r="G64" s="3"/>
      <c r="H64" s="7">
        <v>125</v>
      </c>
      <c r="I64" s="3"/>
      <c r="J64" s="8">
        <f t="shared" si="9"/>
        <v>0</v>
      </c>
      <c r="K64" s="3"/>
      <c r="L64" s="7">
        <f t="shared" si="10"/>
        <v>-125</v>
      </c>
      <c r="M64" s="3"/>
      <c r="N64" s="8">
        <f t="shared" si="11"/>
        <v>-1</v>
      </c>
      <c r="O64" s="12"/>
      <c r="P64" s="7"/>
      <c r="Q64" s="3"/>
      <c r="R64" s="8">
        <f t="shared" si="12"/>
        <v>0</v>
      </c>
      <c r="S64" s="3"/>
      <c r="T64" s="7">
        <v>1125</v>
      </c>
      <c r="U64" s="3"/>
      <c r="V64" s="8">
        <f t="shared" si="13"/>
        <v>0</v>
      </c>
      <c r="W64" s="3"/>
      <c r="X64" s="7">
        <f t="shared" si="14"/>
        <v>-1125</v>
      </c>
      <c r="Y64" s="3"/>
      <c r="Z64" s="8">
        <f t="shared" si="15"/>
        <v>-1</v>
      </c>
    </row>
    <row r="65" spans="1:26" s="70" customFormat="1" ht="15" hidden="1" customHeight="1" outlineLevel="2" x14ac:dyDescent="0.3">
      <c r="A65" s="26"/>
      <c r="B65" s="12" t="str">
        <f>CONCATENATE("          ","6241"," - ","OFFICE EXPENSE")</f>
        <v xml:space="preserve">          6241 - OFFICE EXPENSE</v>
      </c>
      <c r="C65" s="12"/>
      <c r="D65" s="7"/>
      <c r="E65" s="3"/>
      <c r="F65" s="8">
        <f t="shared" si="8"/>
        <v>0</v>
      </c>
      <c r="G65" s="3"/>
      <c r="H65" s="7"/>
      <c r="I65" s="3"/>
      <c r="J65" s="8">
        <f t="shared" si="9"/>
        <v>0</v>
      </c>
      <c r="K65" s="3"/>
      <c r="L65" s="7">
        <f t="shared" si="10"/>
        <v>0</v>
      </c>
      <c r="M65" s="3"/>
      <c r="N65" s="8">
        <f t="shared" si="11"/>
        <v>0</v>
      </c>
      <c r="O65" s="12"/>
      <c r="P65" s="7">
        <v>409.15</v>
      </c>
      <c r="Q65" s="3"/>
      <c r="R65" s="8">
        <f t="shared" si="12"/>
        <v>0</v>
      </c>
      <c r="S65" s="3"/>
      <c r="T65" s="7"/>
      <c r="U65" s="3"/>
      <c r="V65" s="8">
        <f t="shared" si="13"/>
        <v>0</v>
      </c>
      <c r="W65" s="3"/>
      <c r="X65" s="7">
        <f t="shared" si="14"/>
        <v>409.15</v>
      </c>
      <c r="Y65" s="3"/>
      <c r="Z65" s="8">
        <f t="shared" si="15"/>
        <v>0</v>
      </c>
    </row>
    <row r="66" spans="1:26" s="69" customFormat="1" ht="15" customHeight="1" outlineLevel="1" collapsed="1" x14ac:dyDescent="0.3">
      <c r="A66" s="25"/>
      <c r="B66" s="14" t="str">
        <f>CONCATENATE("     ","Telephone/Data Lines                              ")</f>
        <v xml:space="preserve">     Telephone/Data Lines                              </v>
      </c>
      <c r="C66" s="14"/>
      <c r="D66" s="2">
        <f>SUM(OSRRefD22_13x_0)</f>
        <v>423.44</v>
      </c>
      <c r="E66" s="2"/>
      <c r="F66" s="6">
        <f t="shared" si="8"/>
        <v>0</v>
      </c>
      <c r="G66" s="2"/>
      <c r="H66" s="2">
        <f>SUM(OSRRefH22_13x_0)</f>
        <v>425</v>
      </c>
      <c r="I66" s="2"/>
      <c r="J66" s="6">
        <f t="shared" si="9"/>
        <v>0</v>
      </c>
      <c r="K66" s="2"/>
      <c r="L66" s="2">
        <f t="shared" si="10"/>
        <v>-1.5600000000000023</v>
      </c>
      <c r="M66" s="2"/>
      <c r="N66" s="6">
        <f t="shared" si="11"/>
        <v>-3.670588235294123E-3</v>
      </c>
      <c r="O66" s="14"/>
      <c r="P66" s="2">
        <f>SUM(OSRRefP22_13x_0)</f>
        <v>3964.88</v>
      </c>
      <c r="Q66" s="2"/>
      <c r="R66" s="6">
        <f t="shared" si="12"/>
        <v>0</v>
      </c>
      <c r="S66" s="2"/>
      <c r="T66" s="2">
        <f>SUM(OSRRefT22_13x_0)</f>
        <v>3825</v>
      </c>
      <c r="U66" s="2"/>
      <c r="V66" s="6">
        <f t="shared" si="13"/>
        <v>0</v>
      </c>
      <c r="W66" s="2"/>
      <c r="X66" s="2">
        <f t="shared" si="14"/>
        <v>139.88000000000011</v>
      </c>
      <c r="Y66" s="2"/>
      <c r="Z66" s="6">
        <f t="shared" si="15"/>
        <v>3.6569934640522904E-2</v>
      </c>
    </row>
    <row r="67" spans="1:26" s="70" customFormat="1" ht="15" hidden="1" customHeight="1" outlineLevel="2" x14ac:dyDescent="0.3">
      <c r="A67" s="26"/>
      <c r="B67" s="12" t="str">
        <f>CONCATENATE("          ","6309"," - ","TELEPHONE")</f>
        <v xml:space="preserve">          6309 - TELEPHONE</v>
      </c>
      <c r="C67" s="12"/>
      <c r="D67" s="7">
        <v>423.44</v>
      </c>
      <c r="E67" s="3"/>
      <c r="F67" s="8">
        <f t="shared" si="8"/>
        <v>0</v>
      </c>
      <c r="G67" s="3"/>
      <c r="H67" s="7">
        <v>425</v>
      </c>
      <c r="I67" s="3"/>
      <c r="J67" s="8">
        <f t="shared" si="9"/>
        <v>0</v>
      </c>
      <c r="K67" s="3"/>
      <c r="L67" s="7">
        <f t="shared" si="10"/>
        <v>-1.5600000000000023</v>
      </c>
      <c r="M67" s="3"/>
      <c r="N67" s="8">
        <f t="shared" si="11"/>
        <v>-3.670588235294123E-3</v>
      </c>
      <c r="O67" s="12"/>
      <c r="P67" s="7">
        <v>3964.88</v>
      </c>
      <c r="Q67" s="3"/>
      <c r="R67" s="8">
        <f t="shared" si="12"/>
        <v>0</v>
      </c>
      <c r="S67" s="3"/>
      <c r="T67" s="7">
        <v>3825</v>
      </c>
      <c r="U67" s="3"/>
      <c r="V67" s="8">
        <f t="shared" si="13"/>
        <v>0</v>
      </c>
      <c r="W67" s="3"/>
      <c r="X67" s="7">
        <f t="shared" si="14"/>
        <v>139.88000000000011</v>
      </c>
      <c r="Y67" s="3"/>
      <c r="Z67" s="8">
        <f t="shared" si="15"/>
        <v>3.6569934640522904E-2</v>
      </c>
    </row>
    <row r="68" spans="1:26" s="69" customFormat="1" ht="15" customHeight="1" outlineLevel="1" collapsed="1" x14ac:dyDescent="0.3">
      <c r="A68" s="25"/>
      <c r="B68" s="14" t="str">
        <f>CONCATENATE("     ","Training                                          ")</f>
        <v xml:space="preserve">     Training                                          </v>
      </c>
      <c r="C68" s="14"/>
      <c r="D68" s="2">
        <f>SUM(OSRRefD22_14x_0)</f>
        <v>-595</v>
      </c>
      <c r="E68" s="2"/>
      <c r="F68" s="6">
        <f t="shared" si="8"/>
        <v>0</v>
      </c>
      <c r="G68" s="2"/>
      <c r="H68" s="2">
        <f>SUM(OSRRefH22_14x_0)</f>
        <v>0</v>
      </c>
      <c r="I68" s="2"/>
      <c r="J68" s="6">
        <f t="shared" si="9"/>
        <v>0</v>
      </c>
      <c r="K68" s="2"/>
      <c r="L68" s="2">
        <f t="shared" si="10"/>
        <v>-595</v>
      </c>
      <c r="M68" s="2"/>
      <c r="N68" s="6">
        <f t="shared" si="11"/>
        <v>0</v>
      </c>
      <c r="O68" s="14"/>
      <c r="P68" s="2">
        <f>SUM(OSRRefP22_14x_0)</f>
        <v>0</v>
      </c>
      <c r="Q68" s="2"/>
      <c r="R68" s="6">
        <f t="shared" si="12"/>
        <v>0</v>
      </c>
      <c r="S68" s="2"/>
      <c r="T68" s="2">
        <f>SUM(OSRRefT22_14x_0)</f>
        <v>4050</v>
      </c>
      <c r="U68" s="2"/>
      <c r="V68" s="6">
        <f t="shared" si="13"/>
        <v>0</v>
      </c>
      <c r="W68" s="2"/>
      <c r="X68" s="2">
        <f t="shared" si="14"/>
        <v>-4050</v>
      </c>
      <c r="Y68" s="2"/>
      <c r="Z68" s="6">
        <f t="shared" si="15"/>
        <v>-1</v>
      </c>
    </row>
    <row r="69" spans="1:26" s="70" customFormat="1" ht="15" hidden="1" customHeight="1" outlineLevel="2" x14ac:dyDescent="0.3">
      <c r="A69" s="26"/>
      <c r="B69" s="12" t="str">
        <f>CONCATENATE("          ","6376"," - ","TRAINING")</f>
        <v xml:space="preserve">          6376 - TRAINING</v>
      </c>
      <c r="C69" s="12"/>
      <c r="D69" s="7">
        <v>-595</v>
      </c>
      <c r="E69" s="3"/>
      <c r="F69" s="8">
        <f t="shared" si="8"/>
        <v>0</v>
      </c>
      <c r="G69" s="3"/>
      <c r="H69" s="7"/>
      <c r="I69" s="3"/>
      <c r="J69" s="8">
        <f t="shared" si="9"/>
        <v>0</v>
      </c>
      <c r="K69" s="3"/>
      <c r="L69" s="7">
        <f t="shared" si="10"/>
        <v>-595</v>
      </c>
      <c r="M69" s="3"/>
      <c r="N69" s="8">
        <f t="shared" si="11"/>
        <v>0</v>
      </c>
      <c r="O69" s="12"/>
      <c r="P69" s="7">
        <v>0</v>
      </c>
      <c r="Q69" s="3"/>
      <c r="R69" s="8">
        <f t="shared" si="12"/>
        <v>0</v>
      </c>
      <c r="S69" s="3"/>
      <c r="T69" s="7">
        <v>4050</v>
      </c>
      <c r="U69" s="3"/>
      <c r="V69" s="8">
        <f t="shared" si="13"/>
        <v>0</v>
      </c>
      <c r="W69" s="3"/>
      <c r="X69" s="7">
        <f t="shared" si="14"/>
        <v>-4050</v>
      </c>
      <c r="Y69" s="3"/>
      <c r="Z69" s="8">
        <f t="shared" si="15"/>
        <v>-1</v>
      </c>
    </row>
    <row r="70" spans="1:26" s="69" customFormat="1" ht="15" customHeight="1" outlineLevel="1" collapsed="1" x14ac:dyDescent="0.3">
      <c r="A70" s="25"/>
      <c r="B70" s="14" t="str">
        <f>CONCATENATE("     ","Travel                                            ")</f>
        <v xml:space="preserve">     Travel                                            </v>
      </c>
      <c r="C70" s="14"/>
      <c r="D70" s="2">
        <f>SUM(OSRRefD22_15x_0)</f>
        <v>0</v>
      </c>
      <c r="E70" s="2"/>
      <c r="F70" s="6">
        <f t="shared" si="8"/>
        <v>0</v>
      </c>
      <c r="G70" s="2"/>
      <c r="H70" s="2">
        <f>SUM(OSRRefH22_15x_0)</f>
        <v>0</v>
      </c>
      <c r="I70" s="2"/>
      <c r="J70" s="6">
        <f t="shared" si="9"/>
        <v>0</v>
      </c>
      <c r="K70" s="2"/>
      <c r="L70" s="2">
        <f t="shared" si="10"/>
        <v>0</v>
      </c>
      <c r="M70" s="2"/>
      <c r="N70" s="6">
        <f t="shared" si="11"/>
        <v>0</v>
      </c>
      <c r="O70" s="14"/>
      <c r="P70" s="2">
        <f>SUM(OSRRefP22_15x_0)</f>
        <v>0</v>
      </c>
      <c r="Q70" s="2"/>
      <c r="R70" s="6">
        <f t="shared" si="12"/>
        <v>0</v>
      </c>
      <c r="S70" s="2"/>
      <c r="T70" s="2">
        <f>SUM(OSRRefT22_15x_0)</f>
        <v>1500</v>
      </c>
      <c r="U70" s="2"/>
      <c r="V70" s="6">
        <f t="shared" si="13"/>
        <v>0</v>
      </c>
      <c r="W70" s="2"/>
      <c r="X70" s="2">
        <f t="shared" si="14"/>
        <v>-1500</v>
      </c>
      <c r="Y70" s="2"/>
      <c r="Z70" s="6">
        <f t="shared" si="15"/>
        <v>-1</v>
      </c>
    </row>
    <row r="71" spans="1:26" s="70" customFormat="1" ht="15" hidden="1" customHeight="1" outlineLevel="2" x14ac:dyDescent="0.3">
      <c r="A71" s="26"/>
      <c r="B71" s="12" t="str">
        <f>CONCATENATE("          ","6294"," - ","TRAVEL OPERATIONAL")</f>
        <v xml:space="preserve">          6294 - TRAVEL OPERATIONAL</v>
      </c>
      <c r="C71" s="12"/>
      <c r="D71" s="7"/>
      <c r="E71" s="3"/>
      <c r="F71" s="8">
        <f t="shared" si="8"/>
        <v>0</v>
      </c>
      <c r="G71" s="3"/>
      <c r="H71" s="7"/>
      <c r="I71" s="3"/>
      <c r="J71" s="8">
        <f t="shared" si="9"/>
        <v>0</v>
      </c>
      <c r="K71" s="3"/>
      <c r="L71" s="7">
        <f t="shared" si="10"/>
        <v>0</v>
      </c>
      <c r="M71" s="3"/>
      <c r="N71" s="8">
        <f t="shared" si="11"/>
        <v>0</v>
      </c>
      <c r="O71" s="12"/>
      <c r="P71" s="7"/>
      <c r="Q71" s="3"/>
      <c r="R71" s="8">
        <f t="shared" si="12"/>
        <v>0</v>
      </c>
      <c r="S71" s="3"/>
      <c r="T71" s="7">
        <v>1500</v>
      </c>
      <c r="U71" s="3"/>
      <c r="V71" s="8">
        <f t="shared" si="13"/>
        <v>0</v>
      </c>
      <c r="W71" s="3"/>
      <c r="X71" s="7">
        <f t="shared" si="14"/>
        <v>-1500</v>
      </c>
      <c r="Y71" s="3"/>
      <c r="Z71" s="8">
        <f t="shared" si="15"/>
        <v>-1</v>
      </c>
    </row>
    <row r="72" spans="1:26" s="65" customFormat="1" ht="15" customHeight="1" x14ac:dyDescent="0.3">
      <c r="A72" s="35"/>
      <c r="B72" s="35"/>
      <c r="C72" s="35"/>
      <c r="D72" s="2"/>
      <c r="E72" s="2"/>
      <c r="F72" s="6"/>
      <c r="G72" s="2"/>
      <c r="H72" s="2"/>
      <c r="I72" s="2"/>
      <c r="J72" s="6"/>
      <c r="K72" s="2"/>
      <c r="L72" s="2"/>
      <c r="M72" s="2"/>
      <c r="N72" s="6"/>
      <c r="O72" s="35"/>
      <c r="P72" s="2"/>
      <c r="Q72" s="2"/>
      <c r="R72" s="6"/>
      <c r="S72" s="2"/>
      <c r="T72" s="2"/>
      <c r="U72" s="2"/>
      <c r="V72" s="6"/>
      <c r="W72" s="2"/>
      <c r="X72" s="2"/>
      <c r="Y72" s="2"/>
      <c r="Z72" s="6"/>
    </row>
    <row r="73" spans="1:26" s="63" customFormat="1" ht="15" customHeight="1" x14ac:dyDescent="0.3">
      <c r="A73" s="11"/>
      <c r="B73" s="28" t="s">
        <v>291</v>
      </c>
      <c r="C73" s="11"/>
      <c r="D73" s="5">
        <f>SUM(0)</f>
        <v>0</v>
      </c>
      <c r="E73" s="5"/>
      <c r="F73" s="13">
        <f>IF(D$12=0,0,D73/D$12)</f>
        <v>0</v>
      </c>
      <c r="G73" s="5"/>
      <c r="H73" s="5">
        <f>SUM(0)</f>
        <v>0</v>
      </c>
      <c r="I73" s="5"/>
      <c r="J73" s="13">
        <f>IF(H$12=0,0,H73/H$12)</f>
        <v>0</v>
      </c>
      <c r="K73" s="5"/>
      <c r="L73" s="5">
        <f>+D73-H73</f>
        <v>0</v>
      </c>
      <c r="M73" s="5"/>
      <c r="N73" s="13">
        <f>IF(H73=0,0,L73/H73)</f>
        <v>0</v>
      </c>
      <c r="O73" s="11"/>
      <c r="P73" s="5">
        <f>SUM(0)</f>
        <v>0</v>
      </c>
      <c r="Q73" s="5"/>
      <c r="R73" s="13">
        <f>IF(P$12=0,0,P73/P$12)</f>
        <v>0</v>
      </c>
      <c r="S73" s="5"/>
      <c r="T73" s="5">
        <f>SUM(0)</f>
        <v>0</v>
      </c>
      <c r="U73" s="5"/>
      <c r="V73" s="13">
        <f>IF(T$12=0,0,T73/T$12)</f>
        <v>0</v>
      </c>
      <c r="W73" s="5"/>
      <c r="X73" s="5">
        <f>+P73-T73</f>
        <v>0</v>
      </c>
      <c r="Y73" s="5"/>
      <c r="Z73" s="13">
        <f>IF(T73=0,0,X73/T73)</f>
        <v>0</v>
      </c>
    </row>
    <row r="74" spans="1:26" ht="15" customHeight="1" x14ac:dyDescent="0.3">
      <c r="A74" s="10"/>
      <c r="B74" s="11"/>
      <c r="C74" s="11"/>
      <c r="D74" s="4"/>
      <c r="E74" s="4"/>
      <c r="F74" s="9"/>
      <c r="G74" s="4"/>
      <c r="H74" s="4"/>
      <c r="I74" s="4"/>
      <c r="J74" s="9"/>
      <c r="K74" s="4"/>
      <c r="L74" s="4"/>
      <c r="M74" s="4"/>
      <c r="N74" s="9"/>
      <c r="O74" s="11"/>
      <c r="P74" s="4"/>
      <c r="Q74" s="4"/>
      <c r="R74" s="9"/>
      <c r="S74" s="4"/>
      <c r="T74" s="4"/>
      <c r="U74" s="4"/>
      <c r="V74" s="9"/>
      <c r="W74" s="4"/>
      <c r="X74" s="4"/>
      <c r="Y74" s="4"/>
      <c r="Z74" s="9"/>
    </row>
    <row r="75" spans="1:26" s="63" customFormat="1" ht="15" customHeight="1" x14ac:dyDescent="0.3">
      <c r="A75" s="11"/>
      <c r="B75" s="27" t="s">
        <v>292</v>
      </c>
      <c r="C75" s="27"/>
      <c r="D75" s="21">
        <f>+D16-D18+D73</f>
        <v>-49480.820000000007</v>
      </c>
      <c r="E75" s="15"/>
      <c r="F75" s="23">
        <f>IF(D$12=0,0,D75/D$12)</f>
        <v>0</v>
      </c>
      <c r="G75" s="15"/>
      <c r="H75" s="21">
        <f>+H16-H18+H73</f>
        <v>-30042.382430769179</v>
      </c>
      <c r="I75" s="15"/>
      <c r="J75" s="23">
        <f>IF(H$12=0,0,H75/H$12)</f>
        <v>0</v>
      </c>
      <c r="K75" s="16"/>
      <c r="L75" s="21">
        <f>+D75-H75</f>
        <v>-19438.437569230828</v>
      </c>
      <c r="M75" s="16"/>
      <c r="N75" s="23">
        <f>IF(H75=0,0,L75/H75)</f>
        <v>0.64703382343346139</v>
      </c>
      <c r="O75" s="28"/>
      <c r="P75" s="21">
        <f>+P16-P18+P73</f>
        <v>-440806.99</v>
      </c>
      <c r="Q75" s="15"/>
      <c r="R75" s="23">
        <f>IF(P$12=0,0,P75/P$12)</f>
        <v>0</v>
      </c>
      <c r="S75" s="15"/>
      <c r="T75" s="21">
        <f>+T16-T18+T73</f>
        <v>-432646.30148846155</v>
      </c>
      <c r="U75" s="15"/>
      <c r="V75" s="23">
        <f>IF(T$12=0,0,T75/T$12)</f>
        <v>0</v>
      </c>
      <c r="W75" s="16"/>
      <c r="X75" s="21">
        <f>+P75-T75</f>
        <v>-8160.6885115384357</v>
      </c>
      <c r="Y75" s="16"/>
      <c r="Z75" s="23">
        <f>IF(T75=0,0,X75/T75)</f>
        <v>1.8862263431959736E-2</v>
      </c>
    </row>
    <row r="76" spans="1:26" ht="15" customHeight="1" x14ac:dyDescent="0.3">
      <c r="A76" s="10"/>
      <c r="B76" s="11"/>
      <c r="C76" s="10"/>
      <c r="D76" s="4"/>
      <c r="E76" s="4"/>
      <c r="F76" s="9"/>
      <c r="G76" s="4"/>
      <c r="H76" s="4"/>
      <c r="I76" s="4"/>
      <c r="J76" s="9"/>
      <c r="K76" s="4"/>
      <c r="L76" s="4"/>
      <c r="M76" s="4"/>
      <c r="N76" s="9"/>
      <c r="P76" s="4"/>
      <c r="Q76" s="4"/>
      <c r="R76" s="9"/>
      <c r="S76" s="4"/>
      <c r="T76" s="4"/>
      <c r="U76" s="4"/>
      <c r="V76" s="9"/>
      <c r="W76" s="4"/>
      <c r="X76" s="4"/>
      <c r="Y76" s="4"/>
      <c r="Z76" s="9"/>
    </row>
    <row r="77" spans="1:26" s="63" customFormat="1" ht="15" customHeight="1" x14ac:dyDescent="0.3">
      <c r="A77" s="49"/>
      <c r="B77" s="11" t="s">
        <v>293</v>
      </c>
      <c r="C77" s="11"/>
      <c r="D77" s="5"/>
      <c r="E77" s="5"/>
      <c r="F77" s="13">
        <f>IF(D$12=0,0,D77/D$12)</f>
        <v>0</v>
      </c>
      <c r="G77" s="5"/>
      <c r="H77" s="5"/>
      <c r="I77" s="5"/>
      <c r="J77" s="13">
        <f>IF(H$12=0,0,H77/H$12)</f>
        <v>0</v>
      </c>
      <c r="K77" s="5"/>
      <c r="L77" s="5">
        <f>+D77-H77</f>
        <v>0</v>
      </c>
      <c r="M77" s="5"/>
      <c r="N77" s="13">
        <f>IF(H77=0,0,L77/H77)</f>
        <v>0</v>
      </c>
      <c r="O77" s="11"/>
      <c r="P77" s="5"/>
      <c r="Q77" s="5"/>
      <c r="R77" s="13">
        <f>IF(P$12=0,0,P77/P$12)</f>
        <v>0</v>
      </c>
      <c r="S77" s="5"/>
      <c r="T77" s="5"/>
      <c r="U77" s="5"/>
      <c r="V77" s="13">
        <f>IF(T$12=0,0,T77/T$12)</f>
        <v>0</v>
      </c>
      <c r="W77" s="5"/>
      <c r="X77" s="5">
        <f>+P77-T77</f>
        <v>0</v>
      </c>
      <c r="Y77" s="5"/>
      <c r="Z77" s="13">
        <f>IF(T77=0,0,X77/T77)</f>
        <v>0</v>
      </c>
    </row>
    <row r="78" spans="1:26" ht="15" customHeight="1" x14ac:dyDescent="0.3">
      <c r="A78" s="10"/>
      <c r="B78" s="11"/>
      <c r="C78" s="11"/>
      <c r="D78" s="4"/>
      <c r="E78" s="4"/>
      <c r="F78" s="9"/>
      <c r="G78" s="4"/>
      <c r="H78" s="4"/>
      <c r="I78" s="4"/>
      <c r="J78" s="9"/>
      <c r="K78" s="4"/>
      <c r="L78" s="4"/>
      <c r="M78" s="4"/>
      <c r="N78" s="9"/>
      <c r="O78" s="11"/>
      <c r="P78" s="4"/>
      <c r="Q78" s="4"/>
      <c r="R78" s="9"/>
      <c r="S78" s="4"/>
      <c r="T78" s="4"/>
      <c r="U78" s="4"/>
      <c r="V78" s="9"/>
      <c r="W78" s="4"/>
      <c r="X78" s="4"/>
      <c r="Y78" s="4"/>
      <c r="Z78" s="9"/>
    </row>
    <row r="79" spans="1:26" s="63" customFormat="1" ht="15" customHeight="1" x14ac:dyDescent="0.3">
      <c r="A79" s="11"/>
      <c r="B79" s="27" t="s">
        <v>294</v>
      </c>
      <c r="C79" s="27"/>
      <c r="D79" s="34">
        <f>+D75-D77</f>
        <v>-49480.820000000007</v>
      </c>
      <c r="E79" s="15"/>
      <c r="F79" s="29">
        <f>IF(D$12=0,0,D79/D$12)</f>
        <v>0</v>
      </c>
      <c r="G79" s="15"/>
      <c r="H79" s="34">
        <f>+H75-H77</f>
        <v>-30042.382430769179</v>
      </c>
      <c r="I79" s="15"/>
      <c r="J79" s="29">
        <f>IF(H$12=0,0,H79/H$12)</f>
        <v>0</v>
      </c>
      <c r="K79" s="16"/>
      <c r="L79" s="34">
        <f>D79-H79</f>
        <v>-19438.437569230828</v>
      </c>
      <c r="M79" s="16"/>
      <c r="N79" s="29">
        <f>IF(H79=0,0,L79/H79)</f>
        <v>0.64703382343346139</v>
      </c>
      <c r="O79" s="28"/>
      <c r="P79" s="34">
        <f>+P75-P77</f>
        <v>-440806.99</v>
      </c>
      <c r="Q79" s="15"/>
      <c r="R79" s="29">
        <f>IF(P$12=0,0,P79/P$12)</f>
        <v>0</v>
      </c>
      <c r="S79" s="15"/>
      <c r="T79" s="34">
        <f>+T75-T77</f>
        <v>-432646.30148846155</v>
      </c>
      <c r="U79" s="15"/>
      <c r="V79" s="29">
        <f>IF(T$12=0,0,T79/T$12)</f>
        <v>0</v>
      </c>
      <c r="W79" s="16"/>
      <c r="X79" s="34">
        <f>P79-T79</f>
        <v>-8160.6885115384357</v>
      </c>
      <c r="Y79" s="16"/>
      <c r="Z79" s="29">
        <f>IF(T79=0,0,X79/T79)</f>
        <v>1.8862263431959736E-2</v>
      </c>
    </row>
    <row r="80" spans="1:26" ht="15" customHeight="1" x14ac:dyDescent="0.3">
      <c r="A80" s="10"/>
      <c r="B80" s="10"/>
      <c r="C80" s="10"/>
      <c r="D80" s="4"/>
      <c r="E80" s="4"/>
      <c r="F80" s="9"/>
      <c r="G80" s="4"/>
      <c r="H80" s="4"/>
      <c r="I80" s="4"/>
      <c r="J80" s="9"/>
      <c r="K80" s="4"/>
      <c r="L80" s="4"/>
      <c r="M80" s="4"/>
      <c r="N80" s="9"/>
      <c r="P80" s="4"/>
      <c r="Q80" s="4"/>
      <c r="R80" s="9"/>
      <c r="S80" s="4"/>
      <c r="T80" s="4"/>
      <c r="U80" s="4"/>
      <c r="V80" s="9"/>
      <c r="W80" s="4"/>
      <c r="X80" s="4"/>
      <c r="Y80" s="4"/>
      <c r="Z80" s="9"/>
    </row>
    <row r="81" spans="1:26" ht="15" customHeight="1" x14ac:dyDescent="0.3">
      <c r="A81" s="10"/>
      <c r="B81" s="10"/>
      <c r="C81" s="10"/>
      <c r="D81" s="4"/>
      <c r="E81" s="4"/>
      <c r="F81" s="9"/>
      <c r="G81" s="4"/>
      <c r="H81" s="4"/>
      <c r="I81" s="4"/>
      <c r="J81" s="9"/>
      <c r="K81" s="4"/>
      <c r="L81" s="4"/>
      <c r="M81" s="4"/>
      <c r="N81" s="9"/>
      <c r="P81" s="4"/>
      <c r="Q81" s="4"/>
      <c r="R81" s="9"/>
      <c r="S81" s="4"/>
      <c r="T81" s="4"/>
      <c r="U81" s="4"/>
      <c r="V81" s="9"/>
      <c r="W81" s="4"/>
      <c r="X81" s="4"/>
      <c r="Y81" s="4"/>
      <c r="Z81" s="9"/>
    </row>
    <row r="82" spans="1:26" s="63" customFormat="1" ht="15" customHeight="1" x14ac:dyDescent="0.3">
      <c r="A82" s="11"/>
      <c r="B82" s="27" t="s">
        <v>297</v>
      </c>
      <c r="C82" s="27"/>
      <c r="D82" s="32">
        <f>SUM(D79:D81)</f>
        <v>-49480.820000000007</v>
      </c>
      <c r="E82" s="15"/>
      <c r="F82" s="31">
        <f>IF(D$12=0,0,D82/D$12)</f>
        <v>0</v>
      </c>
      <c r="G82" s="15"/>
      <c r="H82" s="32">
        <f>SUM(H79:H81)</f>
        <v>-30042.382430769179</v>
      </c>
      <c r="I82" s="15"/>
      <c r="J82" s="31">
        <f>IF(H$12=0,0,H82/H$12)</f>
        <v>0</v>
      </c>
      <c r="K82" s="16"/>
      <c r="L82" s="32">
        <f>+D82-H82</f>
        <v>-19438.437569230828</v>
      </c>
      <c r="M82" s="16"/>
      <c r="N82" s="31">
        <f>IF(H82=0,0,L82/H82)</f>
        <v>0.64703382343346139</v>
      </c>
      <c r="O82" s="28"/>
      <c r="P82" s="32">
        <f>SUM(P79:P81)</f>
        <v>-440806.99</v>
      </c>
      <c r="Q82" s="15"/>
      <c r="R82" s="31">
        <f>IF(P$12=0,0,P82/P$12)</f>
        <v>0</v>
      </c>
      <c r="S82" s="15"/>
      <c r="T82" s="32">
        <f>SUM(T79:T81)</f>
        <v>-432646.30148846155</v>
      </c>
      <c r="U82" s="15"/>
      <c r="V82" s="31">
        <f>IF(T$12=0,0,T82/T$12)</f>
        <v>0</v>
      </c>
      <c r="W82" s="16"/>
      <c r="X82" s="32">
        <f>+P82-T82</f>
        <v>-8160.6885115384357</v>
      </c>
      <c r="Y82" s="16"/>
      <c r="Z82" s="31">
        <f>IF(T82=0,0,X82/T82)</f>
        <v>1.8862263431959736E-2</v>
      </c>
    </row>
    <row r="83" spans="1:26" ht="15" customHeight="1" x14ac:dyDescent="0.3">
      <c r="A83" s="10"/>
      <c r="C83" s="10"/>
      <c r="D83" s="19"/>
      <c r="E83" s="19"/>
      <c r="G83" s="19"/>
      <c r="H83" s="19"/>
      <c r="I83" s="19"/>
      <c r="J83" s="40"/>
      <c r="K83" s="19"/>
      <c r="L83" s="19"/>
      <c r="M83" s="19"/>
      <c r="P83" s="19"/>
      <c r="Q83" s="19"/>
      <c r="R83" s="40"/>
      <c r="S83" s="19"/>
      <c r="T83" s="19"/>
      <c r="U83" s="19"/>
      <c r="V83" s="40"/>
      <c r="W83" s="19"/>
      <c r="X83" s="19"/>
    </row>
    <row r="84" spans="1:26" ht="15" customHeight="1" x14ac:dyDescent="0.3">
      <c r="A84" s="10"/>
      <c r="B84" s="51">
        <v>44663.047665428239</v>
      </c>
      <c r="D84" s="19"/>
      <c r="E84" s="19"/>
      <c r="G84" s="19"/>
      <c r="H84" s="19"/>
      <c r="I84" s="19"/>
      <c r="J84" s="40"/>
      <c r="K84" s="19"/>
      <c r="L84" s="19"/>
      <c r="M84" s="19"/>
      <c r="P84" s="19"/>
      <c r="Q84" s="19"/>
      <c r="R84" s="40"/>
      <c r="S84" s="19"/>
      <c r="T84" s="19"/>
      <c r="U84" s="19"/>
      <c r="V84" s="40"/>
      <c r="W84" s="19"/>
      <c r="X84" s="19"/>
    </row>
    <row r="85" spans="1:26" ht="15" customHeight="1" x14ac:dyDescent="0.3">
      <c r="A85" s="10"/>
      <c r="B85" s="58" t="s">
        <v>298</v>
      </c>
      <c r="D85" s="19"/>
      <c r="E85" s="19"/>
      <c r="G85" s="19"/>
      <c r="H85" s="19"/>
      <c r="I85" s="19"/>
      <c r="J85" s="40"/>
      <c r="K85" s="19"/>
      <c r="L85" s="19"/>
      <c r="M85" s="19"/>
      <c r="P85" s="19"/>
      <c r="Q85" s="19"/>
      <c r="R85" s="40"/>
      <c r="S85" s="19"/>
      <c r="T85" s="19"/>
      <c r="U85" s="19"/>
      <c r="V85" s="40"/>
      <c r="W85" s="19"/>
      <c r="X85" s="19"/>
    </row>
    <row r="86" spans="1:26" ht="15" customHeight="1" x14ac:dyDescent="0.3">
      <c r="A86" s="10"/>
      <c r="B86" s="50"/>
      <c r="D86" s="19"/>
      <c r="E86" s="19"/>
      <c r="G86" s="19"/>
      <c r="H86" s="19"/>
      <c r="I86" s="19"/>
      <c r="J86" s="40"/>
      <c r="K86" s="19"/>
      <c r="L86" s="19"/>
      <c r="M86" s="19"/>
      <c r="P86" s="19"/>
      <c r="Q86" s="19"/>
      <c r="R86" s="40"/>
      <c r="S86" s="19"/>
      <c r="T86" s="19"/>
      <c r="U86" s="19"/>
      <c r="V86" s="40"/>
      <c r="W86" s="19"/>
      <c r="X86" s="19"/>
    </row>
    <row r="87" spans="1:26" ht="15" customHeight="1" x14ac:dyDescent="0.3">
      <c r="D87" s="19"/>
      <c r="E87" s="19"/>
      <c r="G87" s="19"/>
      <c r="H87" s="19"/>
      <c r="I87" s="19"/>
      <c r="J87" s="40"/>
      <c r="K87" s="19"/>
      <c r="L87" s="19"/>
      <c r="M87" s="19"/>
      <c r="P87" s="19"/>
      <c r="Q87" s="19"/>
      <c r="R87" s="40"/>
      <c r="S87" s="19"/>
      <c r="T87" s="19"/>
      <c r="U87" s="19"/>
      <c r="V87" s="40"/>
      <c r="W87" s="19"/>
      <c r="X87" s="19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B854DD-C865-31E1-C85E-3F4F94745A43}">
  <sheetPr>
    <tabColor rgb="FF92D050"/>
    <outlinePr summaryBelow="0" summaryRight="0"/>
  </sheetPr>
  <dimension ref="A2:Z80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6" customWidth="1"/>
    <col min="2" max="2" width="33.44140625" style="66" customWidth="1"/>
    <col min="3" max="3" width="1.88671875" style="66" customWidth="1"/>
    <col min="4" max="4" width="15" style="66" customWidth="1"/>
    <col min="5" max="5" width="1.88671875" style="66" customWidth="1" outlineLevel="1"/>
    <col min="6" max="6" width="15" style="67" customWidth="1" outlineLevel="1"/>
    <col min="7" max="7" width="1.88671875" style="66" customWidth="1" outlineLevel="1"/>
    <col min="8" max="8" width="15" style="66" customWidth="1" outlineLevel="1"/>
    <col min="9" max="9" width="1.88671875" style="66" customWidth="1" outlineLevel="1"/>
    <col min="10" max="10" width="15" style="68" customWidth="1" outlineLevel="1"/>
    <col min="11" max="11" width="1.88671875" style="66" customWidth="1" outlineLevel="1"/>
    <col min="12" max="12" width="15" style="66" customWidth="1" outlineLevel="1"/>
    <col min="13" max="13" width="1.88671875" style="66" customWidth="1" outlineLevel="1"/>
    <col min="14" max="14" width="15" style="67" customWidth="1" outlineLevel="1"/>
    <col min="15" max="15" width="1.88671875" style="64" customWidth="1"/>
    <col min="16" max="16" width="15" style="66" customWidth="1"/>
    <col min="17" max="17" width="1.88671875" style="66" customWidth="1" outlineLevel="1"/>
    <col min="18" max="18" width="15" style="68" customWidth="1" outlineLevel="1"/>
    <col min="19" max="19" width="1.88671875" style="66" customWidth="1" outlineLevel="1"/>
    <col min="20" max="20" width="15" style="66" customWidth="1" outlineLevel="1"/>
    <col min="21" max="21" width="1.88671875" style="66" customWidth="1" outlineLevel="1"/>
    <col min="22" max="22" width="15" style="68" customWidth="1" outlineLevel="1"/>
    <col min="23" max="23" width="1.88671875" style="66" customWidth="1" outlineLevel="1"/>
    <col min="24" max="24" width="15" style="66" customWidth="1" outlineLevel="1"/>
    <col min="25" max="25" width="1.88671875" style="66" customWidth="1" outlineLevel="1"/>
    <col min="26" max="26" width="15" style="68" customWidth="1" outlineLevel="1"/>
  </cols>
  <sheetData>
    <row r="2" spans="1:26" ht="15" customHeight="1" x14ac:dyDescent="0.3">
      <c r="D2" s="54" t="s">
        <v>276</v>
      </c>
    </row>
    <row r="3" spans="1:26" ht="15" customHeight="1" x14ac:dyDescent="0.3">
      <c r="D3" s="54" t="s">
        <v>277</v>
      </c>
      <c r="E3" s="18"/>
      <c r="F3" s="44"/>
      <c r="G3" s="18"/>
      <c r="H3" s="18"/>
      <c r="I3" s="18"/>
      <c r="J3" s="38"/>
      <c r="K3" s="18"/>
      <c r="L3" s="18"/>
      <c r="M3" s="18"/>
      <c r="N3" s="44"/>
      <c r="O3" s="53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ht="15" customHeight="1" x14ac:dyDescent="0.3">
      <c r="D4" s="54" t="str">
        <f>CONCATENATE("Period ",RIGHT(202209,2),", ",2022)</f>
        <v>Period 09, 2022</v>
      </c>
      <c r="E4" s="18"/>
      <c r="F4" s="44"/>
      <c r="G4" s="18"/>
      <c r="H4" s="18"/>
      <c r="I4" s="18"/>
      <c r="J4" s="38"/>
      <c r="K4" s="18"/>
      <c r="L4" s="18"/>
      <c r="M4" s="18"/>
      <c r="N4" s="44"/>
      <c r="O4" s="53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ht="15" customHeight="1" x14ac:dyDescent="0.3">
      <c r="A5" s="24"/>
      <c r="D5" s="60">
        <v>44646</v>
      </c>
      <c r="E5" s="18"/>
      <c r="F5" s="44"/>
      <c r="G5" s="18"/>
      <c r="H5" s="18"/>
      <c r="I5" s="18"/>
      <c r="J5" s="38"/>
      <c r="K5" s="18"/>
      <c r="L5" s="18"/>
      <c r="M5" s="18"/>
      <c r="N5" s="44"/>
      <c r="O5" s="53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ht="15" customHeight="1" x14ac:dyDescent="0.3">
      <c r="A6" s="24"/>
      <c r="B6" s="47"/>
      <c r="C6" s="47"/>
      <c r="D6" s="24" t="str">
        <f>CONCATENATE("Department ","202"," - ","Accounting")</f>
        <v>Department 202 - Accounting</v>
      </c>
      <c r="E6" s="18"/>
      <c r="F6" s="44"/>
      <c r="G6" s="18"/>
      <c r="H6" s="18"/>
      <c r="I6" s="18"/>
      <c r="J6" s="38"/>
      <c r="K6" s="18"/>
      <c r="L6" s="18"/>
      <c r="M6" s="18"/>
      <c r="N6" s="44"/>
      <c r="O6" s="59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ht="15" customHeight="1" x14ac:dyDescent="0.3">
      <c r="B7" s="52"/>
    </row>
    <row r="8" spans="1:26" ht="15" customHeight="1" x14ac:dyDescent="0.3">
      <c r="B8" s="52"/>
    </row>
    <row r="9" spans="1:26" ht="15" customHeight="1" x14ac:dyDescent="0.3">
      <c r="B9" s="10"/>
      <c r="C9" s="10"/>
      <c r="D9" s="17" t="s">
        <v>279</v>
      </c>
      <c r="E9" s="17"/>
      <c r="F9" s="36"/>
      <c r="G9" s="17"/>
      <c r="H9" s="17"/>
      <c r="I9" s="17"/>
      <c r="J9" s="43"/>
      <c r="K9" s="17"/>
      <c r="L9" s="17"/>
      <c r="M9" s="17"/>
      <c r="N9" s="36"/>
      <c r="P9" s="17" t="s">
        <v>280</v>
      </c>
      <c r="Q9" s="17"/>
      <c r="R9" s="36"/>
      <c r="S9" s="17"/>
      <c r="T9" s="17"/>
      <c r="U9" s="17"/>
      <c r="V9" s="43"/>
      <c r="W9" s="17"/>
      <c r="X9" s="17"/>
      <c r="Y9" s="17"/>
      <c r="Z9" s="36"/>
    </row>
    <row r="10" spans="1:26" ht="15" customHeight="1" x14ac:dyDescent="0.3">
      <c r="A10" s="11"/>
      <c r="B10" s="57"/>
      <c r="C10" s="11"/>
      <c r="D10" s="41" t="s">
        <v>281</v>
      </c>
      <c r="E10" s="33"/>
      <c r="F10" s="37" t="s">
        <v>282</v>
      </c>
      <c r="G10" s="33"/>
      <c r="H10" s="48" t="s">
        <v>283</v>
      </c>
      <c r="I10" s="33"/>
      <c r="J10" s="45" t="s">
        <v>284</v>
      </c>
      <c r="K10" s="11"/>
      <c r="L10" s="41" t="s">
        <v>285</v>
      </c>
      <c r="M10" s="11"/>
      <c r="N10" s="37" t="s">
        <v>286</v>
      </c>
      <c r="O10" s="11"/>
      <c r="P10" s="56" t="s">
        <v>281</v>
      </c>
      <c r="Q10" s="33"/>
      <c r="R10" s="37" t="s">
        <v>282</v>
      </c>
      <c r="S10" s="33"/>
      <c r="T10" s="48" t="s">
        <v>283</v>
      </c>
      <c r="U10" s="33"/>
      <c r="V10" s="45" t="s">
        <v>284</v>
      </c>
      <c r="W10" s="11"/>
      <c r="X10" s="41" t="s">
        <v>285</v>
      </c>
      <c r="Y10" s="11"/>
      <c r="Z10" s="37" t="s">
        <v>286</v>
      </c>
    </row>
    <row r="11" spans="1:26" ht="16.5" customHeight="1" x14ac:dyDescent="0.3">
      <c r="A11" s="10"/>
      <c r="B11" s="55"/>
      <c r="C11" s="10"/>
      <c r="D11" s="10"/>
      <c r="E11" s="10"/>
      <c r="F11" s="9"/>
      <c r="G11" s="10"/>
      <c r="H11" s="10"/>
      <c r="I11" s="10"/>
      <c r="J11" s="46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6"/>
      <c r="W11" s="10"/>
      <c r="X11" s="10"/>
      <c r="Y11" s="10"/>
      <c r="Z11" s="9"/>
    </row>
    <row r="12" spans="1:26" s="63" customFormat="1" ht="15" customHeight="1" x14ac:dyDescent="0.3">
      <c r="A12" s="11"/>
      <c r="B12" s="28" t="s">
        <v>287</v>
      </c>
      <c r="C12" s="11"/>
      <c r="D12" s="5">
        <f>SUM(0)</f>
        <v>0</v>
      </c>
      <c r="E12" s="5"/>
      <c r="F12" s="13"/>
      <c r="G12" s="5"/>
      <c r="H12" s="5">
        <f>SUM(0)</f>
        <v>0</v>
      </c>
      <c r="I12" s="5"/>
      <c r="J12" s="13"/>
      <c r="K12" s="5"/>
      <c r="L12" s="5">
        <f>+D12-H12</f>
        <v>0</v>
      </c>
      <c r="M12" s="5"/>
      <c r="N12" s="13">
        <f>IF(H12=0,0,L12/H12)</f>
        <v>0</v>
      </c>
      <c r="O12" s="11"/>
      <c r="P12" s="5">
        <f>SUM(0)</f>
        <v>0</v>
      </c>
      <c r="Q12" s="5"/>
      <c r="R12" s="13"/>
      <c r="S12" s="5"/>
      <c r="T12" s="5">
        <f>SUM(0)</f>
        <v>0</v>
      </c>
      <c r="U12" s="5"/>
      <c r="V12" s="13"/>
      <c r="W12" s="5"/>
      <c r="X12" s="5">
        <f>+P12-T12</f>
        <v>0</v>
      </c>
      <c r="Y12" s="5"/>
      <c r="Z12" s="13">
        <f>IF(T12=0,0,X12/T12)</f>
        <v>0</v>
      </c>
    </row>
    <row r="13" spans="1:26" ht="15" customHeight="1" x14ac:dyDescent="0.3">
      <c r="A13" s="10"/>
      <c r="B13" s="11"/>
      <c r="C13" s="10"/>
      <c r="D13" s="4"/>
      <c r="E13" s="4"/>
      <c r="F13" s="9"/>
      <c r="G13" s="4"/>
      <c r="H13" s="4"/>
      <c r="I13" s="4"/>
      <c r="J13" s="9"/>
      <c r="K13" s="4"/>
      <c r="L13" s="4"/>
      <c r="M13" s="4"/>
      <c r="N13" s="9"/>
      <c r="P13" s="4"/>
      <c r="Q13" s="4"/>
      <c r="R13" s="9"/>
      <c r="S13" s="4"/>
      <c r="T13" s="4"/>
      <c r="U13" s="4"/>
      <c r="V13" s="9"/>
      <c r="W13" s="4"/>
      <c r="X13" s="4"/>
      <c r="Y13" s="4"/>
      <c r="Z13" s="9"/>
    </row>
    <row r="14" spans="1:26" s="63" customFormat="1" ht="15" customHeight="1" x14ac:dyDescent="0.3">
      <c r="A14" s="11"/>
      <c r="B14" s="28" t="s">
        <v>288</v>
      </c>
      <c r="C14" s="11"/>
      <c r="D14" s="5">
        <f>SUM(0)</f>
        <v>0</v>
      </c>
      <c r="E14" s="5"/>
      <c r="F14" s="13">
        <f>IF(D$12=0,0,D14/D$12)</f>
        <v>0</v>
      </c>
      <c r="G14" s="5"/>
      <c r="H14" s="5">
        <f>SUM(0)</f>
        <v>0</v>
      </c>
      <c r="I14" s="5"/>
      <c r="J14" s="13">
        <f>IF(H$12=0,0,H14/H$12)</f>
        <v>0</v>
      </c>
      <c r="K14" s="5"/>
      <c r="L14" s="5">
        <f>+D14-H14</f>
        <v>0</v>
      </c>
      <c r="M14" s="5"/>
      <c r="N14" s="13">
        <f>IF(H14=0,0,L14/H14)</f>
        <v>0</v>
      </c>
      <c r="O14" s="11"/>
      <c r="P14" s="5">
        <f>SUM(0)</f>
        <v>0</v>
      </c>
      <c r="Q14" s="5"/>
      <c r="R14" s="13">
        <f>IF(P$12=0,0,P14/P$12)</f>
        <v>0</v>
      </c>
      <c r="S14" s="5"/>
      <c r="T14" s="5">
        <f>SUM(0)</f>
        <v>0</v>
      </c>
      <c r="U14" s="5"/>
      <c r="V14" s="13">
        <f>IF(T$12=0,0,T14/T$12)</f>
        <v>0</v>
      </c>
      <c r="W14" s="5"/>
      <c r="X14" s="5">
        <f>+P14-T14</f>
        <v>0</v>
      </c>
      <c r="Y14" s="5"/>
      <c r="Z14" s="13">
        <f>IF(T14=0,0,X14/T14)</f>
        <v>0</v>
      </c>
    </row>
    <row r="15" spans="1:26" ht="15" customHeight="1" x14ac:dyDescent="0.3">
      <c r="A15" s="10"/>
      <c r="B15" s="11"/>
      <c r="C15" s="11"/>
      <c r="D15" s="4"/>
      <c r="E15" s="4"/>
      <c r="F15" s="9"/>
      <c r="G15" s="4"/>
      <c r="H15" s="4"/>
      <c r="I15" s="4"/>
      <c r="J15" s="9"/>
      <c r="K15" s="4"/>
      <c r="L15" s="4"/>
      <c r="M15" s="4"/>
      <c r="N15" s="9"/>
      <c r="O15" s="11"/>
      <c r="P15" s="4"/>
      <c r="Q15" s="4"/>
      <c r="R15" s="9"/>
      <c r="S15" s="4"/>
      <c r="T15" s="4"/>
      <c r="U15" s="4"/>
      <c r="V15" s="9"/>
      <c r="W15" s="4"/>
      <c r="X15" s="4"/>
      <c r="Y15" s="4"/>
      <c r="Z15" s="9"/>
    </row>
    <row r="16" spans="1:26" s="63" customFormat="1" ht="15" customHeight="1" x14ac:dyDescent="0.3">
      <c r="A16" s="11"/>
      <c r="B16" s="27" t="s">
        <v>289</v>
      </c>
      <c r="C16" s="27"/>
      <c r="D16" s="21">
        <f>D12-D14</f>
        <v>0</v>
      </c>
      <c r="E16" s="15"/>
      <c r="F16" s="23">
        <f>IF(D$12=0,0,D16/D$12)</f>
        <v>0</v>
      </c>
      <c r="G16" s="15"/>
      <c r="H16" s="21">
        <f>H12-H14</f>
        <v>0</v>
      </c>
      <c r="I16" s="15"/>
      <c r="J16" s="23">
        <f>IF(H$12=0,0,H16/H$12)</f>
        <v>0</v>
      </c>
      <c r="K16" s="16"/>
      <c r="L16" s="21">
        <f>+D16-H16</f>
        <v>0</v>
      </c>
      <c r="M16" s="16"/>
      <c r="N16" s="23">
        <f>IF(H16=0,0,L16/H16)</f>
        <v>0</v>
      </c>
      <c r="O16" s="28"/>
      <c r="P16" s="21">
        <f>P12-P14</f>
        <v>0</v>
      </c>
      <c r="Q16" s="15"/>
      <c r="R16" s="23">
        <f>IF(P$12=0,0,P16/P$12)</f>
        <v>0</v>
      </c>
      <c r="S16" s="15"/>
      <c r="T16" s="21">
        <f>T12-T14</f>
        <v>0</v>
      </c>
      <c r="U16" s="15"/>
      <c r="V16" s="23">
        <f>IF(T$12=0,0,T16/T$12)</f>
        <v>0</v>
      </c>
      <c r="W16" s="16"/>
      <c r="X16" s="21">
        <f>+P16-T16</f>
        <v>0</v>
      </c>
      <c r="Y16" s="16"/>
      <c r="Z16" s="23">
        <f>IF(T16=0,0,X16/T16)</f>
        <v>0</v>
      </c>
    </row>
    <row r="17" spans="1:26" ht="15" customHeight="1" x14ac:dyDescent="0.3">
      <c r="A17" s="10"/>
      <c r="B17" s="11"/>
      <c r="C17" s="10"/>
      <c r="D17" s="2"/>
      <c r="E17" s="2"/>
      <c r="F17" s="6"/>
      <c r="G17" s="2"/>
      <c r="H17" s="2"/>
      <c r="I17" s="2"/>
      <c r="J17" s="6"/>
      <c r="K17" s="2"/>
      <c r="L17" s="2"/>
      <c r="M17" s="2"/>
      <c r="N17" s="6"/>
      <c r="O17" s="35"/>
      <c r="P17" s="2"/>
      <c r="Q17" s="2"/>
      <c r="R17" s="6"/>
      <c r="S17" s="2"/>
      <c r="T17" s="2"/>
      <c r="U17" s="2"/>
      <c r="V17" s="6"/>
      <c r="W17" s="2"/>
      <c r="X17" s="2"/>
      <c r="Y17" s="2"/>
      <c r="Z17" s="6"/>
    </row>
    <row r="18" spans="1:26" s="63" customFormat="1" ht="15" customHeight="1" x14ac:dyDescent="0.3">
      <c r="A18" s="11"/>
      <c r="B18" s="28" t="s">
        <v>290</v>
      </c>
      <c r="C18" s="11"/>
      <c r="D18" s="22" cm="1">
        <f t="array" ref="D18">SUM(OSRRefD22x_0)</f>
        <v>75317.290000000008</v>
      </c>
      <c r="E18" s="22"/>
      <c r="F18" s="30">
        <f t="shared" ref="F18:F64" si="0">IF(D$12=0,0,D18/D$12)</f>
        <v>0</v>
      </c>
      <c r="G18" s="22"/>
      <c r="H18" s="22" cm="1">
        <f t="array" ref="H18">SUM(OSRRefH22x_0)</f>
        <v>54549.428504307674</v>
      </c>
      <c r="I18" s="22"/>
      <c r="J18" s="30">
        <f t="shared" ref="J18:J64" si="1">IF(H$12=0,0,H18/H$12)</f>
        <v>0</v>
      </c>
      <c r="K18" s="5"/>
      <c r="L18" s="22">
        <f t="shared" ref="L18:L64" si="2">+D18-H18</f>
        <v>20767.861495692334</v>
      </c>
      <c r="M18" s="5"/>
      <c r="N18" s="30">
        <f t="shared" ref="N18:N64" si="3">IF(H18=0,0,L18/H18)</f>
        <v>0.38071638998110369</v>
      </c>
      <c r="O18" s="11"/>
      <c r="P18" s="22" cm="1">
        <f t="array" ref="P18">SUM(OSRRefP22x_0)</f>
        <v>408339.31999999995</v>
      </c>
      <c r="Q18" s="22"/>
      <c r="R18" s="30">
        <f t="shared" ref="R18:R64" si="4">IF(P$12=0,0,P18/P$12)</f>
        <v>0</v>
      </c>
      <c r="S18" s="22"/>
      <c r="T18" s="22" cm="1">
        <f t="array" ref="T18">SUM(OSRRefT22x_0)</f>
        <v>392659.69407700002</v>
      </c>
      <c r="U18" s="22"/>
      <c r="V18" s="30">
        <f t="shared" ref="V18:V64" si="5">IF(T$12=0,0,T18/T$12)</f>
        <v>0</v>
      </c>
      <c r="W18" s="5"/>
      <c r="X18" s="22">
        <f t="shared" ref="X18:X64" si="6">+P18-T18</f>
        <v>15679.625922999927</v>
      </c>
      <c r="Y18" s="5"/>
      <c r="Z18" s="30">
        <f t="shared" ref="Z18:Z64" si="7">IF(T18=0,0,X18/T18)</f>
        <v>3.9931844697880234E-2</v>
      </c>
    </row>
    <row r="19" spans="1:26" s="69" customFormat="1" ht="15" customHeight="1" outlineLevel="1" collapsed="1" x14ac:dyDescent="0.3">
      <c r="A19" s="25"/>
      <c r="B19" s="14" t="str">
        <f>CONCATENATE("     ","*Benefits                                         ")</f>
        <v xml:space="preserve">     *Benefits                                         </v>
      </c>
      <c r="C19" s="14"/>
      <c r="D19" s="2">
        <f>SUM(OSRRefD22_0x_0)</f>
        <v>12851.099999999999</v>
      </c>
      <c r="E19" s="2"/>
      <c r="F19" s="6">
        <f t="shared" si="0"/>
        <v>0</v>
      </c>
      <c r="G19" s="2"/>
      <c r="H19" s="2">
        <f>SUM(OSRRefH22_0x_0)</f>
        <v>12762.85311969231</v>
      </c>
      <c r="I19" s="2"/>
      <c r="J19" s="6">
        <f t="shared" si="1"/>
        <v>0</v>
      </c>
      <c r="K19" s="2"/>
      <c r="L19" s="2">
        <f t="shared" si="2"/>
        <v>88.246880307688116</v>
      </c>
      <c r="M19" s="2"/>
      <c r="N19" s="6">
        <f t="shared" si="3"/>
        <v>6.9143536699900207E-3</v>
      </c>
      <c r="O19" s="14"/>
      <c r="P19" s="2">
        <f>SUM(OSRRefP22_0x_0)</f>
        <v>123699.07999999997</v>
      </c>
      <c r="Q19" s="2"/>
      <c r="R19" s="6">
        <f t="shared" si="4"/>
        <v>0</v>
      </c>
      <c r="S19" s="2"/>
      <c r="T19" s="2">
        <f>SUM(OSRRefT22_0x_0)</f>
        <v>119107.28407700002</v>
      </c>
      <c r="U19" s="2"/>
      <c r="V19" s="6">
        <f t="shared" si="5"/>
        <v>0</v>
      </c>
      <c r="W19" s="2"/>
      <c r="X19" s="2">
        <f t="shared" si="6"/>
        <v>4591.7959229999542</v>
      </c>
      <c r="Y19" s="2"/>
      <c r="Z19" s="6">
        <f t="shared" si="7"/>
        <v>3.8551764139223156E-2</v>
      </c>
    </row>
    <row r="20" spans="1:26" s="70" customFormat="1" ht="15" hidden="1" customHeight="1" outlineLevel="2" x14ac:dyDescent="0.3">
      <c r="A20" s="26"/>
      <c r="B20" s="12" t="str">
        <f>CONCATENATE("          ","6111"," - ","F.I.C.A.")</f>
        <v xml:space="preserve">          6111 - F.I.C.A.</v>
      </c>
      <c r="C20" s="12"/>
      <c r="D20" s="7">
        <v>1695.09</v>
      </c>
      <c r="E20" s="3"/>
      <c r="F20" s="8">
        <f t="shared" si="0"/>
        <v>0</v>
      </c>
      <c r="G20" s="3"/>
      <c r="H20" s="7">
        <v>1673.77703353846</v>
      </c>
      <c r="I20" s="3"/>
      <c r="J20" s="8">
        <f t="shared" si="1"/>
        <v>0</v>
      </c>
      <c r="K20" s="3"/>
      <c r="L20" s="7">
        <f t="shared" si="2"/>
        <v>21.312966461539872</v>
      </c>
      <c r="M20" s="3"/>
      <c r="N20" s="8">
        <f t="shared" si="3"/>
        <v>1.2733456150060231E-2</v>
      </c>
      <c r="O20" s="12"/>
      <c r="P20" s="7">
        <v>15821.48</v>
      </c>
      <c r="Q20" s="3"/>
      <c r="R20" s="8">
        <f t="shared" si="4"/>
        <v>0</v>
      </c>
      <c r="S20" s="3"/>
      <c r="T20" s="7">
        <v>16319.326077</v>
      </c>
      <c r="U20" s="3"/>
      <c r="V20" s="8">
        <f t="shared" si="5"/>
        <v>0</v>
      </c>
      <c r="W20" s="3"/>
      <c r="X20" s="7">
        <f t="shared" si="6"/>
        <v>-497.84607700000015</v>
      </c>
      <c r="Y20" s="3"/>
      <c r="Z20" s="8">
        <f t="shared" si="7"/>
        <v>-3.0506534071995193E-2</v>
      </c>
    </row>
    <row r="21" spans="1:26" s="70" customFormat="1" ht="15" hidden="1" customHeight="1" outlineLevel="2" x14ac:dyDescent="0.3">
      <c r="A21" s="26"/>
      <c r="B21" s="12" t="str">
        <f>CONCATENATE("          ","6112"," - ","COMPENSATION INSURANCE")</f>
        <v xml:space="preserve">          6112 - COMPENSATION INSURANCE</v>
      </c>
      <c r="C21" s="12"/>
      <c r="D21" s="7">
        <v>291.89999999999998</v>
      </c>
      <c r="E21" s="3"/>
      <c r="F21" s="8">
        <f t="shared" si="0"/>
        <v>0</v>
      </c>
      <c r="G21" s="3"/>
      <c r="H21" s="7">
        <v>75.229750769230805</v>
      </c>
      <c r="I21" s="3"/>
      <c r="J21" s="8">
        <f t="shared" si="1"/>
        <v>0</v>
      </c>
      <c r="K21" s="3"/>
      <c r="L21" s="7">
        <f t="shared" si="2"/>
        <v>216.67024923076917</v>
      </c>
      <c r="M21" s="3"/>
      <c r="N21" s="8">
        <f t="shared" si="3"/>
        <v>2.880113878024277</v>
      </c>
      <c r="O21" s="12"/>
      <c r="P21" s="7">
        <v>2712.62</v>
      </c>
      <c r="Q21" s="3"/>
      <c r="R21" s="8">
        <f t="shared" si="4"/>
        <v>0</v>
      </c>
      <c r="S21" s="3"/>
      <c r="T21" s="7">
        <v>714.70654999999999</v>
      </c>
      <c r="U21" s="3"/>
      <c r="V21" s="8">
        <f t="shared" si="5"/>
        <v>0</v>
      </c>
      <c r="W21" s="3"/>
      <c r="X21" s="7">
        <f t="shared" si="6"/>
        <v>1997.91345</v>
      </c>
      <c r="Y21" s="3"/>
      <c r="Z21" s="8">
        <f t="shared" si="7"/>
        <v>2.7954318454196341</v>
      </c>
    </row>
    <row r="22" spans="1:26" s="70" customFormat="1" ht="15" hidden="1" customHeight="1" outlineLevel="2" x14ac:dyDescent="0.3">
      <c r="A22" s="26"/>
      <c r="B22" s="12" t="str">
        <f>CONCATENATE("          ","6113"," - ","GROUP INSURANCE")</f>
        <v xml:space="preserve">          6113 - GROUP INSURANCE</v>
      </c>
      <c r="C22" s="12"/>
      <c r="D22" s="7">
        <v>5721.83</v>
      </c>
      <c r="E22" s="3"/>
      <c r="F22" s="8">
        <f t="shared" si="0"/>
        <v>0</v>
      </c>
      <c r="G22" s="3"/>
      <c r="H22" s="7">
        <v>6123</v>
      </c>
      <c r="I22" s="3"/>
      <c r="J22" s="8">
        <f t="shared" si="1"/>
        <v>0</v>
      </c>
      <c r="K22" s="3"/>
      <c r="L22" s="7">
        <f t="shared" si="2"/>
        <v>-401.17000000000007</v>
      </c>
      <c r="M22" s="3"/>
      <c r="N22" s="8">
        <f t="shared" si="3"/>
        <v>-6.5518536665033489E-2</v>
      </c>
      <c r="O22" s="12"/>
      <c r="P22" s="7">
        <v>54540.45</v>
      </c>
      <c r="Q22" s="3"/>
      <c r="R22" s="8">
        <f t="shared" si="4"/>
        <v>0</v>
      </c>
      <c r="S22" s="3"/>
      <c r="T22" s="7">
        <v>55107</v>
      </c>
      <c r="U22" s="3"/>
      <c r="V22" s="8">
        <f t="shared" si="5"/>
        <v>0</v>
      </c>
      <c r="W22" s="3"/>
      <c r="X22" s="7">
        <f t="shared" si="6"/>
        <v>-566.55000000000291</v>
      </c>
      <c r="Y22" s="3"/>
      <c r="Z22" s="8">
        <f t="shared" si="7"/>
        <v>-1.0280908051608742E-2</v>
      </c>
    </row>
    <row r="23" spans="1:26" s="70" customFormat="1" ht="15" hidden="1" customHeight="1" outlineLevel="2" x14ac:dyDescent="0.3">
      <c r="A23" s="26"/>
      <c r="B23" s="12" t="str">
        <f>CONCATENATE("          ","6114"," - ","STATE UNEMPLOYMENT INSURANCE")</f>
        <v xml:space="preserve">          6114 - STATE UNEMPLOYMENT INSURANCE</v>
      </c>
      <c r="C23" s="12"/>
      <c r="D23" s="7">
        <v>58.83</v>
      </c>
      <c r="E23" s="3"/>
      <c r="F23" s="8">
        <f t="shared" si="0"/>
        <v>0</v>
      </c>
      <c r="G23" s="3"/>
      <c r="H23" s="7">
        <v>50.962089230769202</v>
      </c>
      <c r="I23" s="3"/>
      <c r="J23" s="8">
        <f t="shared" si="1"/>
        <v>0</v>
      </c>
      <c r="K23" s="3"/>
      <c r="L23" s="7">
        <f t="shared" si="2"/>
        <v>7.8679107692307966</v>
      </c>
      <c r="M23" s="3"/>
      <c r="N23" s="8">
        <f t="shared" si="3"/>
        <v>0.15438752390238381</v>
      </c>
      <c r="O23" s="12"/>
      <c r="P23" s="7">
        <v>546.73</v>
      </c>
      <c r="Q23" s="3"/>
      <c r="R23" s="8">
        <f t="shared" si="4"/>
        <v>0</v>
      </c>
      <c r="S23" s="3"/>
      <c r="T23" s="7">
        <v>484.15604999999999</v>
      </c>
      <c r="U23" s="3"/>
      <c r="V23" s="8">
        <f t="shared" si="5"/>
        <v>0</v>
      </c>
      <c r="W23" s="3"/>
      <c r="X23" s="7">
        <f t="shared" si="6"/>
        <v>62.573950000000025</v>
      </c>
      <c r="Y23" s="3"/>
      <c r="Z23" s="8">
        <f t="shared" si="7"/>
        <v>0.12924335036193399</v>
      </c>
    </row>
    <row r="24" spans="1:26" s="70" customFormat="1" ht="15" hidden="1" customHeight="1" outlineLevel="2" x14ac:dyDescent="0.3">
      <c r="A24" s="26"/>
      <c r="B24" s="12" t="str">
        <f>CONCATENATE("          ","6115"," - ","P.E.R.S.")</f>
        <v xml:space="preserve">          6115 - P.E.R.S.</v>
      </c>
      <c r="C24" s="12"/>
      <c r="D24" s="7">
        <v>2025.83</v>
      </c>
      <c r="E24" s="3"/>
      <c r="F24" s="8">
        <f t="shared" si="0"/>
        <v>0</v>
      </c>
      <c r="G24" s="3"/>
      <c r="H24" s="7">
        <v>1880.89409230769</v>
      </c>
      <c r="I24" s="3"/>
      <c r="J24" s="8">
        <f t="shared" si="1"/>
        <v>0</v>
      </c>
      <c r="K24" s="3"/>
      <c r="L24" s="7">
        <f t="shared" si="2"/>
        <v>144.93590769230991</v>
      </c>
      <c r="M24" s="3"/>
      <c r="N24" s="8">
        <f t="shared" si="3"/>
        <v>7.7056921112706789E-2</v>
      </c>
      <c r="O24" s="12"/>
      <c r="P24" s="7">
        <v>18894.669999999998</v>
      </c>
      <c r="Q24" s="3"/>
      <c r="R24" s="8">
        <f t="shared" si="4"/>
        <v>0</v>
      </c>
      <c r="S24" s="3"/>
      <c r="T24" s="7">
        <v>18338.717400000001</v>
      </c>
      <c r="U24" s="3"/>
      <c r="V24" s="8">
        <f t="shared" si="5"/>
        <v>0</v>
      </c>
      <c r="W24" s="3"/>
      <c r="X24" s="7">
        <f t="shared" si="6"/>
        <v>555.95259999999689</v>
      </c>
      <c r="Y24" s="3"/>
      <c r="Z24" s="8">
        <f t="shared" si="7"/>
        <v>3.03157842434497E-2</v>
      </c>
    </row>
    <row r="25" spans="1:26" s="70" customFormat="1" ht="15" hidden="1" customHeight="1" outlineLevel="2" x14ac:dyDescent="0.3">
      <c r="A25" s="26"/>
      <c r="B25" s="12" t="str">
        <f>CONCATENATE("          ","6116"," - ","EDUCATIONAL BENEFITS")</f>
        <v xml:space="preserve">          6116 - EDUCATIONAL BENEFITS</v>
      </c>
      <c r="C25" s="12"/>
      <c r="D25" s="7"/>
      <c r="E25" s="3"/>
      <c r="F25" s="8">
        <f t="shared" si="0"/>
        <v>0</v>
      </c>
      <c r="G25" s="3"/>
      <c r="H25" s="7">
        <v>0</v>
      </c>
      <c r="I25" s="3"/>
      <c r="J25" s="8">
        <f t="shared" si="1"/>
        <v>0</v>
      </c>
      <c r="K25" s="3"/>
      <c r="L25" s="7">
        <f t="shared" si="2"/>
        <v>0</v>
      </c>
      <c r="M25" s="3"/>
      <c r="N25" s="8">
        <f t="shared" si="3"/>
        <v>0</v>
      </c>
      <c r="O25" s="12"/>
      <c r="P25" s="7"/>
      <c r="Q25" s="3"/>
      <c r="R25" s="8">
        <f t="shared" si="4"/>
        <v>0</v>
      </c>
      <c r="S25" s="3"/>
      <c r="T25" s="7">
        <v>0</v>
      </c>
      <c r="U25" s="3"/>
      <c r="V25" s="8">
        <f t="shared" si="5"/>
        <v>0</v>
      </c>
      <c r="W25" s="3"/>
      <c r="X25" s="7">
        <f t="shared" si="6"/>
        <v>0</v>
      </c>
      <c r="Y25" s="3"/>
      <c r="Z25" s="8">
        <f t="shared" si="7"/>
        <v>0</v>
      </c>
    </row>
    <row r="26" spans="1:26" s="70" customFormat="1" ht="15" hidden="1" customHeight="1" outlineLevel="2" x14ac:dyDescent="0.3">
      <c r="A26" s="26"/>
      <c r="B26" s="12" t="str">
        <f>CONCATENATE("          ","6118"," - ","VACATION")</f>
        <v xml:space="preserve">          6118 - VACATION</v>
      </c>
      <c r="C26" s="12"/>
      <c r="D26" s="7">
        <v>1370.56</v>
      </c>
      <c r="E26" s="3"/>
      <c r="F26" s="8">
        <f t="shared" si="0"/>
        <v>0</v>
      </c>
      <c r="G26" s="3"/>
      <c r="H26" s="7">
        <v>1093.54307692308</v>
      </c>
      <c r="I26" s="3"/>
      <c r="J26" s="8">
        <f t="shared" si="1"/>
        <v>0</v>
      </c>
      <c r="K26" s="3"/>
      <c r="L26" s="7">
        <f t="shared" si="2"/>
        <v>277.01692307691997</v>
      </c>
      <c r="M26" s="3"/>
      <c r="N26" s="8">
        <f t="shared" si="3"/>
        <v>0.25332054029034412</v>
      </c>
      <c r="O26" s="12"/>
      <c r="P26" s="7">
        <v>14289.43</v>
      </c>
      <c r="Q26" s="3"/>
      <c r="R26" s="8">
        <f t="shared" si="4"/>
        <v>0</v>
      </c>
      <c r="S26" s="3"/>
      <c r="T26" s="7">
        <v>10662.045</v>
      </c>
      <c r="U26" s="3"/>
      <c r="V26" s="8">
        <f t="shared" si="5"/>
        <v>0</v>
      </c>
      <c r="W26" s="3"/>
      <c r="X26" s="7">
        <f t="shared" si="6"/>
        <v>3627.3850000000002</v>
      </c>
      <c r="Y26" s="3"/>
      <c r="Z26" s="8">
        <f t="shared" si="7"/>
        <v>0.34021475242319837</v>
      </c>
    </row>
    <row r="27" spans="1:26" s="70" customFormat="1" ht="15" hidden="1" customHeight="1" outlineLevel="2" x14ac:dyDescent="0.3">
      <c r="A27" s="26"/>
      <c r="B27" s="12" t="str">
        <f>CONCATENATE("          ","6119"," - ","SICK LEAVE")</f>
        <v xml:space="preserve">          6119 - SICK LEAVE</v>
      </c>
      <c r="C27" s="12"/>
      <c r="D27" s="7">
        <v>1018.58</v>
      </c>
      <c r="E27" s="3"/>
      <c r="F27" s="8">
        <f t="shared" si="0"/>
        <v>0</v>
      </c>
      <c r="G27" s="3"/>
      <c r="H27" s="7">
        <v>1165.44707692308</v>
      </c>
      <c r="I27" s="3"/>
      <c r="J27" s="8">
        <f t="shared" si="1"/>
        <v>0</v>
      </c>
      <c r="K27" s="3"/>
      <c r="L27" s="7">
        <f t="shared" si="2"/>
        <v>-146.86707692307994</v>
      </c>
      <c r="M27" s="3"/>
      <c r="N27" s="8">
        <f t="shared" si="3"/>
        <v>-0.12601780023407552</v>
      </c>
      <c r="O27" s="12"/>
      <c r="P27" s="7">
        <v>11944.7</v>
      </c>
      <c r="Q27" s="3"/>
      <c r="R27" s="8">
        <f t="shared" si="4"/>
        <v>0</v>
      </c>
      <c r="S27" s="3"/>
      <c r="T27" s="7">
        <v>11181.333000000001</v>
      </c>
      <c r="U27" s="3"/>
      <c r="V27" s="8">
        <f t="shared" si="5"/>
        <v>0</v>
      </c>
      <c r="W27" s="3"/>
      <c r="X27" s="7">
        <f t="shared" si="6"/>
        <v>763.36700000000019</v>
      </c>
      <c r="Y27" s="3"/>
      <c r="Z27" s="8">
        <f t="shared" si="7"/>
        <v>6.8271555815393403E-2</v>
      </c>
    </row>
    <row r="28" spans="1:26" s="70" customFormat="1" ht="15" hidden="1" customHeight="1" outlineLevel="2" x14ac:dyDescent="0.3">
      <c r="A28" s="26"/>
      <c r="B28" s="12" t="str">
        <f>CONCATENATE("          ","6156"," - ","EMPLOYEE MEALS")</f>
        <v xml:space="preserve">          6156 - EMPLOYEE MEALS</v>
      </c>
      <c r="C28" s="12"/>
      <c r="D28" s="7">
        <v>668.48</v>
      </c>
      <c r="E28" s="3"/>
      <c r="F28" s="8">
        <f t="shared" si="0"/>
        <v>0</v>
      </c>
      <c r="G28" s="3"/>
      <c r="H28" s="7">
        <v>700</v>
      </c>
      <c r="I28" s="3"/>
      <c r="J28" s="8">
        <f t="shared" si="1"/>
        <v>0</v>
      </c>
      <c r="K28" s="3"/>
      <c r="L28" s="7">
        <f t="shared" si="2"/>
        <v>-31.519999999999982</v>
      </c>
      <c r="M28" s="3"/>
      <c r="N28" s="8">
        <f t="shared" si="3"/>
        <v>-4.5028571428571404E-2</v>
      </c>
      <c r="O28" s="12"/>
      <c r="P28" s="7">
        <v>4949</v>
      </c>
      <c r="Q28" s="3"/>
      <c r="R28" s="8">
        <f t="shared" si="4"/>
        <v>0</v>
      </c>
      <c r="S28" s="3"/>
      <c r="T28" s="7">
        <v>6300</v>
      </c>
      <c r="U28" s="3"/>
      <c r="V28" s="8">
        <f t="shared" si="5"/>
        <v>0</v>
      </c>
      <c r="W28" s="3"/>
      <c r="X28" s="7">
        <f t="shared" si="6"/>
        <v>-1351</v>
      </c>
      <c r="Y28" s="3"/>
      <c r="Z28" s="8">
        <f t="shared" si="7"/>
        <v>-0.21444444444444444</v>
      </c>
    </row>
    <row r="29" spans="1:26" s="69" customFormat="1" ht="15" customHeight="1" outlineLevel="1" collapsed="1" x14ac:dyDescent="0.3">
      <c r="A29" s="25"/>
      <c r="B29" s="14" t="str">
        <f>CONCATENATE("     ","*Payroll                                          ")</f>
        <v xml:space="preserve">     *Payroll                                          </v>
      </c>
      <c r="C29" s="14"/>
      <c r="D29" s="2">
        <f>SUM(OSRRefD22_1x_0)</f>
        <v>21972.440000000002</v>
      </c>
      <c r="E29" s="2"/>
      <c r="F29" s="6">
        <f t="shared" si="0"/>
        <v>0</v>
      </c>
      <c r="G29" s="2"/>
      <c r="H29" s="2">
        <f>SUM(OSRRefH22_1x_0)</f>
        <v>22080.57538461536</v>
      </c>
      <c r="I29" s="2"/>
      <c r="J29" s="6">
        <f t="shared" si="1"/>
        <v>0</v>
      </c>
      <c r="K29" s="2"/>
      <c r="L29" s="2">
        <f t="shared" si="2"/>
        <v>-108.13538461535791</v>
      </c>
      <c r="M29" s="2"/>
      <c r="N29" s="6">
        <f t="shared" si="3"/>
        <v>-4.8973082780578818E-3</v>
      </c>
      <c r="O29" s="14"/>
      <c r="P29" s="2">
        <f>SUM(OSRRefP22_1x_0)</f>
        <v>209141.54</v>
      </c>
      <c r="Q29" s="2"/>
      <c r="R29" s="6">
        <f t="shared" si="4"/>
        <v>0</v>
      </c>
      <c r="S29" s="2"/>
      <c r="T29" s="2">
        <f>SUM(OSRRefT22_1x_0)</f>
        <v>209226.41</v>
      </c>
      <c r="U29" s="2"/>
      <c r="V29" s="6">
        <f t="shared" si="5"/>
        <v>0</v>
      </c>
      <c r="W29" s="2"/>
      <c r="X29" s="2">
        <f t="shared" si="6"/>
        <v>-84.869999999995343</v>
      </c>
      <c r="Y29" s="2"/>
      <c r="Z29" s="6">
        <f t="shared" si="7"/>
        <v>-4.056371277411649E-4</v>
      </c>
    </row>
    <row r="30" spans="1:26" s="70" customFormat="1" ht="15" hidden="1" customHeight="1" outlineLevel="2" x14ac:dyDescent="0.3">
      <c r="A30" s="26"/>
      <c r="B30" s="12" t="str">
        <f>CONCATENATE("          ","6001"," - ","ADMINISTRATIVE SALARIES")</f>
        <v xml:space="preserve">          6001 - ADMINISTRATIVE SALARIES</v>
      </c>
      <c r="C30" s="12"/>
      <c r="D30" s="7"/>
      <c r="E30" s="3"/>
      <c r="F30" s="8">
        <f t="shared" si="0"/>
        <v>0</v>
      </c>
      <c r="G30" s="3"/>
      <c r="H30" s="7">
        <v>5581.9661538461596</v>
      </c>
      <c r="I30" s="3"/>
      <c r="J30" s="8">
        <f t="shared" si="1"/>
        <v>0</v>
      </c>
      <c r="K30" s="3"/>
      <c r="L30" s="7">
        <f t="shared" si="2"/>
        <v>-5581.9661538461596</v>
      </c>
      <c r="M30" s="3"/>
      <c r="N30" s="8">
        <f t="shared" si="3"/>
        <v>-1</v>
      </c>
      <c r="O30" s="12"/>
      <c r="P30" s="7"/>
      <c r="Q30" s="3"/>
      <c r="R30" s="8">
        <f t="shared" si="4"/>
        <v>0</v>
      </c>
      <c r="S30" s="3"/>
      <c r="T30" s="7">
        <v>54424.17</v>
      </c>
      <c r="U30" s="3"/>
      <c r="V30" s="8">
        <f t="shared" si="5"/>
        <v>0</v>
      </c>
      <c r="W30" s="3"/>
      <c r="X30" s="7">
        <f t="shared" si="6"/>
        <v>-54424.17</v>
      </c>
      <c r="Y30" s="3"/>
      <c r="Z30" s="8">
        <f t="shared" si="7"/>
        <v>-1</v>
      </c>
    </row>
    <row r="31" spans="1:26" s="70" customFormat="1" ht="15" hidden="1" customHeight="1" outlineLevel="2" x14ac:dyDescent="0.3">
      <c r="A31" s="26"/>
      <c r="B31" s="12" t="str">
        <f>CONCATENATE("          ","6002"," - ","STAFF SALARIES")</f>
        <v xml:space="preserve">          6002 - STAFF SALARIES</v>
      </c>
      <c r="C31" s="12"/>
      <c r="D31" s="7">
        <v>21539.360000000001</v>
      </c>
      <c r="E31" s="3"/>
      <c r="F31" s="8">
        <f t="shared" si="0"/>
        <v>0</v>
      </c>
      <c r="G31" s="3"/>
      <c r="H31" s="7">
        <v>14101.8092307692</v>
      </c>
      <c r="I31" s="3"/>
      <c r="J31" s="8">
        <f t="shared" si="1"/>
        <v>0</v>
      </c>
      <c r="K31" s="3"/>
      <c r="L31" s="7">
        <f t="shared" si="2"/>
        <v>7437.5507692308001</v>
      </c>
      <c r="M31" s="3"/>
      <c r="N31" s="8">
        <f t="shared" si="3"/>
        <v>0.52741819489392638</v>
      </c>
      <c r="O31" s="12"/>
      <c r="P31" s="7">
        <v>205305.94</v>
      </c>
      <c r="Q31" s="3"/>
      <c r="R31" s="8">
        <f t="shared" si="4"/>
        <v>0</v>
      </c>
      <c r="S31" s="3"/>
      <c r="T31" s="7">
        <v>137492.64000000001</v>
      </c>
      <c r="U31" s="3"/>
      <c r="V31" s="8">
        <f t="shared" si="5"/>
        <v>0</v>
      </c>
      <c r="W31" s="3"/>
      <c r="X31" s="7">
        <f t="shared" si="6"/>
        <v>67813.299999999988</v>
      </c>
      <c r="Y31" s="3"/>
      <c r="Z31" s="8">
        <f t="shared" si="7"/>
        <v>0.49321403676589509</v>
      </c>
    </row>
    <row r="32" spans="1:26" s="70" customFormat="1" ht="15" hidden="1" customHeight="1" outlineLevel="2" x14ac:dyDescent="0.3">
      <c r="A32" s="26"/>
      <c r="B32" s="12" t="str">
        <f>CONCATENATE("          ","6003"," - ","STAFF HOURLY-9 MONTH")</f>
        <v xml:space="preserve">          6003 - STAFF HOURLY-9 MONTH</v>
      </c>
      <c r="C32" s="12"/>
      <c r="D32" s="7"/>
      <c r="E32" s="3"/>
      <c r="F32" s="8">
        <f t="shared" si="0"/>
        <v>0</v>
      </c>
      <c r="G32" s="3"/>
      <c r="H32" s="7">
        <v>0</v>
      </c>
      <c r="I32" s="3"/>
      <c r="J32" s="8">
        <f t="shared" si="1"/>
        <v>0</v>
      </c>
      <c r="K32" s="3"/>
      <c r="L32" s="7">
        <f t="shared" si="2"/>
        <v>0</v>
      </c>
      <c r="M32" s="3"/>
      <c r="N32" s="8">
        <f t="shared" si="3"/>
        <v>0</v>
      </c>
      <c r="O32" s="12"/>
      <c r="P32" s="7"/>
      <c r="Q32" s="3"/>
      <c r="R32" s="8">
        <f t="shared" si="4"/>
        <v>0</v>
      </c>
      <c r="S32" s="3"/>
      <c r="T32" s="7">
        <v>0</v>
      </c>
      <c r="U32" s="3"/>
      <c r="V32" s="8">
        <f t="shared" si="5"/>
        <v>0</v>
      </c>
      <c r="W32" s="3"/>
      <c r="X32" s="7">
        <f t="shared" si="6"/>
        <v>0</v>
      </c>
      <c r="Y32" s="3"/>
      <c r="Z32" s="8">
        <f t="shared" si="7"/>
        <v>0</v>
      </c>
    </row>
    <row r="33" spans="1:26" s="70" customFormat="1" ht="15" hidden="1" customHeight="1" outlineLevel="2" x14ac:dyDescent="0.3">
      <c r="A33" s="26"/>
      <c r="B33" s="12" t="str">
        <f>CONCATENATE("          ","6004"," - ","STAFF HOURLY")</f>
        <v xml:space="preserve">          6004 - STAFF HOURLY</v>
      </c>
      <c r="C33" s="12"/>
      <c r="D33" s="7"/>
      <c r="E33" s="3"/>
      <c r="F33" s="8">
        <f t="shared" si="0"/>
        <v>0</v>
      </c>
      <c r="G33" s="3"/>
      <c r="H33" s="7">
        <v>0</v>
      </c>
      <c r="I33" s="3"/>
      <c r="J33" s="8">
        <f t="shared" si="1"/>
        <v>0</v>
      </c>
      <c r="K33" s="3"/>
      <c r="L33" s="7">
        <f t="shared" si="2"/>
        <v>0</v>
      </c>
      <c r="M33" s="3"/>
      <c r="N33" s="8">
        <f t="shared" si="3"/>
        <v>0</v>
      </c>
      <c r="O33" s="12"/>
      <c r="P33" s="7"/>
      <c r="Q33" s="3"/>
      <c r="R33" s="8">
        <f t="shared" si="4"/>
        <v>0</v>
      </c>
      <c r="S33" s="3"/>
      <c r="T33" s="7">
        <v>0</v>
      </c>
      <c r="U33" s="3"/>
      <c r="V33" s="8">
        <f t="shared" si="5"/>
        <v>0</v>
      </c>
      <c r="W33" s="3"/>
      <c r="X33" s="7">
        <f t="shared" si="6"/>
        <v>0</v>
      </c>
      <c r="Y33" s="3"/>
      <c r="Z33" s="8">
        <f t="shared" si="7"/>
        <v>0</v>
      </c>
    </row>
    <row r="34" spans="1:26" s="70" customFormat="1" ht="15" hidden="1" customHeight="1" outlineLevel="2" x14ac:dyDescent="0.3">
      <c r="A34" s="26"/>
      <c r="B34" s="12" t="str">
        <f>CONCATENATE("          ","6005"," - ","TEMPORARY WAGES-HOURLY")</f>
        <v xml:space="preserve">          6005 - TEMPORARY WAGES-HOURLY</v>
      </c>
      <c r="C34" s="12"/>
      <c r="D34" s="7"/>
      <c r="E34" s="3"/>
      <c r="F34" s="8">
        <f t="shared" si="0"/>
        <v>0</v>
      </c>
      <c r="G34" s="3"/>
      <c r="H34" s="7">
        <v>0</v>
      </c>
      <c r="I34" s="3"/>
      <c r="J34" s="8">
        <f t="shared" si="1"/>
        <v>0</v>
      </c>
      <c r="K34" s="3"/>
      <c r="L34" s="7">
        <f t="shared" si="2"/>
        <v>0</v>
      </c>
      <c r="M34" s="3"/>
      <c r="N34" s="8">
        <f t="shared" si="3"/>
        <v>0</v>
      </c>
      <c r="O34" s="12"/>
      <c r="P34" s="7"/>
      <c r="Q34" s="3"/>
      <c r="R34" s="8">
        <f t="shared" si="4"/>
        <v>0</v>
      </c>
      <c r="S34" s="3"/>
      <c r="T34" s="7">
        <v>0</v>
      </c>
      <c r="U34" s="3"/>
      <c r="V34" s="8">
        <f t="shared" si="5"/>
        <v>0</v>
      </c>
      <c r="W34" s="3"/>
      <c r="X34" s="7">
        <f t="shared" si="6"/>
        <v>0</v>
      </c>
      <c r="Y34" s="3"/>
      <c r="Z34" s="8">
        <f t="shared" si="7"/>
        <v>0</v>
      </c>
    </row>
    <row r="35" spans="1:26" s="70" customFormat="1" ht="15" hidden="1" customHeight="1" outlineLevel="2" x14ac:dyDescent="0.3">
      <c r="A35" s="26"/>
      <c r="B35" s="12" t="str">
        <f>CONCATENATE("          ","6006"," - ","TEMPORARY PART TIME")</f>
        <v xml:space="preserve">          6006 - TEMPORARY PART TIME</v>
      </c>
      <c r="C35" s="12"/>
      <c r="D35" s="7"/>
      <c r="E35" s="3"/>
      <c r="F35" s="8">
        <f t="shared" si="0"/>
        <v>0</v>
      </c>
      <c r="G35" s="3"/>
      <c r="H35" s="7">
        <v>0</v>
      </c>
      <c r="I35" s="3"/>
      <c r="J35" s="8">
        <f t="shared" si="1"/>
        <v>0</v>
      </c>
      <c r="K35" s="3"/>
      <c r="L35" s="7">
        <f t="shared" si="2"/>
        <v>0</v>
      </c>
      <c r="M35" s="3"/>
      <c r="N35" s="8">
        <f t="shared" si="3"/>
        <v>0</v>
      </c>
      <c r="O35" s="12"/>
      <c r="P35" s="7"/>
      <c r="Q35" s="3"/>
      <c r="R35" s="8">
        <f t="shared" si="4"/>
        <v>0</v>
      </c>
      <c r="S35" s="3"/>
      <c r="T35" s="7">
        <v>0</v>
      </c>
      <c r="U35" s="3"/>
      <c r="V35" s="8">
        <f t="shared" si="5"/>
        <v>0</v>
      </c>
      <c r="W35" s="3"/>
      <c r="X35" s="7">
        <f t="shared" si="6"/>
        <v>0</v>
      </c>
      <c r="Y35" s="3"/>
      <c r="Z35" s="8">
        <f t="shared" si="7"/>
        <v>0</v>
      </c>
    </row>
    <row r="36" spans="1:26" s="70" customFormat="1" ht="15" hidden="1" customHeight="1" outlineLevel="2" x14ac:dyDescent="0.3">
      <c r="A36" s="26"/>
      <c r="B36" s="12" t="str">
        <f>CONCATENATE("          ","6007"," - ","STUDENT HOURLY")</f>
        <v xml:space="preserve">          6007 - STUDENT HOURLY</v>
      </c>
      <c r="C36" s="12"/>
      <c r="D36" s="7">
        <v>433.08</v>
      </c>
      <c r="E36" s="3"/>
      <c r="F36" s="8">
        <f t="shared" si="0"/>
        <v>0</v>
      </c>
      <c r="G36" s="3"/>
      <c r="H36" s="7">
        <v>0</v>
      </c>
      <c r="I36" s="3"/>
      <c r="J36" s="8">
        <f t="shared" si="1"/>
        <v>0</v>
      </c>
      <c r="K36" s="3"/>
      <c r="L36" s="7">
        <f t="shared" si="2"/>
        <v>433.08</v>
      </c>
      <c r="M36" s="3"/>
      <c r="N36" s="8">
        <f t="shared" si="3"/>
        <v>0</v>
      </c>
      <c r="O36" s="12"/>
      <c r="P36" s="7">
        <v>3835.6</v>
      </c>
      <c r="Q36" s="3"/>
      <c r="R36" s="8">
        <f t="shared" si="4"/>
        <v>0</v>
      </c>
      <c r="S36" s="3"/>
      <c r="T36" s="7">
        <v>0</v>
      </c>
      <c r="U36" s="3"/>
      <c r="V36" s="8">
        <f t="shared" si="5"/>
        <v>0</v>
      </c>
      <c r="W36" s="3"/>
      <c r="X36" s="7">
        <f t="shared" si="6"/>
        <v>3835.6</v>
      </c>
      <c r="Y36" s="3"/>
      <c r="Z36" s="8">
        <f t="shared" si="7"/>
        <v>0</v>
      </c>
    </row>
    <row r="37" spans="1:26" s="70" customFormat="1" ht="15" hidden="1" customHeight="1" outlineLevel="2" x14ac:dyDescent="0.3">
      <c r="A37" s="26"/>
      <c r="B37" s="12" t="str">
        <f>CONCATENATE("          ","6008"," - ","STUDENT HOURLY-FICA EXEMPT")</f>
        <v xml:space="preserve">          6008 - STUDENT HOURLY-FICA EXEMPT</v>
      </c>
      <c r="C37" s="12"/>
      <c r="D37" s="7"/>
      <c r="E37" s="3"/>
      <c r="F37" s="8">
        <f t="shared" si="0"/>
        <v>0</v>
      </c>
      <c r="G37" s="3"/>
      <c r="H37" s="7">
        <v>2396.8000000000002</v>
      </c>
      <c r="I37" s="3"/>
      <c r="J37" s="8">
        <f t="shared" si="1"/>
        <v>0</v>
      </c>
      <c r="K37" s="3"/>
      <c r="L37" s="7">
        <f t="shared" si="2"/>
        <v>-2396.8000000000002</v>
      </c>
      <c r="M37" s="3"/>
      <c r="N37" s="8">
        <f t="shared" si="3"/>
        <v>-1</v>
      </c>
      <c r="O37" s="12"/>
      <c r="P37" s="7"/>
      <c r="Q37" s="3"/>
      <c r="R37" s="8">
        <f t="shared" si="4"/>
        <v>0</v>
      </c>
      <c r="S37" s="3"/>
      <c r="T37" s="7">
        <v>17309.599999999999</v>
      </c>
      <c r="U37" s="3"/>
      <c r="V37" s="8">
        <f t="shared" si="5"/>
        <v>0</v>
      </c>
      <c r="W37" s="3"/>
      <c r="X37" s="7">
        <f t="shared" si="6"/>
        <v>-17309.599999999999</v>
      </c>
      <c r="Y37" s="3"/>
      <c r="Z37" s="8">
        <f t="shared" si="7"/>
        <v>-1</v>
      </c>
    </row>
    <row r="38" spans="1:26" s="70" customFormat="1" ht="15" hidden="1" customHeight="1" outlineLevel="2" x14ac:dyDescent="0.3">
      <c r="A38" s="26"/>
      <c r="B38" s="12" t="str">
        <f>CONCATENATE("          ","6009"," - ","TEMPORARY-SEASONAL")</f>
        <v xml:space="preserve">          6009 - TEMPORARY-SEASONAL</v>
      </c>
      <c r="C38" s="12"/>
      <c r="D38" s="7"/>
      <c r="E38" s="3"/>
      <c r="F38" s="8">
        <f t="shared" si="0"/>
        <v>0</v>
      </c>
      <c r="G38" s="3"/>
      <c r="H38" s="7">
        <v>0</v>
      </c>
      <c r="I38" s="3"/>
      <c r="J38" s="8">
        <f t="shared" si="1"/>
        <v>0</v>
      </c>
      <c r="K38" s="3"/>
      <c r="L38" s="7">
        <f t="shared" si="2"/>
        <v>0</v>
      </c>
      <c r="M38" s="3"/>
      <c r="N38" s="8">
        <f t="shared" si="3"/>
        <v>0</v>
      </c>
      <c r="O38" s="12"/>
      <c r="P38" s="7"/>
      <c r="Q38" s="3"/>
      <c r="R38" s="8">
        <f t="shared" si="4"/>
        <v>0</v>
      </c>
      <c r="S38" s="3"/>
      <c r="T38" s="7">
        <v>0</v>
      </c>
      <c r="U38" s="3"/>
      <c r="V38" s="8">
        <f t="shared" si="5"/>
        <v>0</v>
      </c>
      <c r="W38" s="3"/>
      <c r="X38" s="7">
        <f t="shared" si="6"/>
        <v>0</v>
      </c>
      <c r="Y38" s="3"/>
      <c r="Z38" s="8">
        <f t="shared" si="7"/>
        <v>0</v>
      </c>
    </row>
    <row r="39" spans="1:26" s="70" customFormat="1" ht="15" hidden="1" customHeight="1" outlineLevel="2" x14ac:dyDescent="0.3">
      <c r="A39" s="26"/>
      <c r="B39" s="12" t="str">
        <f>CONCATENATE("          ","6010"," - ","GRATUITY")</f>
        <v xml:space="preserve">          6010 - GRATUITY</v>
      </c>
      <c r="C39" s="12"/>
      <c r="D39" s="7"/>
      <c r="E39" s="3"/>
      <c r="F39" s="8">
        <f t="shared" si="0"/>
        <v>0</v>
      </c>
      <c r="G39" s="3"/>
      <c r="H39" s="7">
        <v>0</v>
      </c>
      <c r="I39" s="3"/>
      <c r="J39" s="8">
        <f t="shared" si="1"/>
        <v>0</v>
      </c>
      <c r="K39" s="3"/>
      <c r="L39" s="7">
        <f t="shared" si="2"/>
        <v>0</v>
      </c>
      <c r="M39" s="3"/>
      <c r="N39" s="8">
        <f t="shared" si="3"/>
        <v>0</v>
      </c>
      <c r="O39" s="12"/>
      <c r="P39" s="7"/>
      <c r="Q39" s="3"/>
      <c r="R39" s="8">
        <f t="shared" si="4"/>
        <v>0</v>
      </c>
      <c r="S39" s="3"/>
      <c r="T39" s="7">
        <v>0</v>
      </c>
      <c r="U39" s="3"/>
      <c r="V39" s="8">
        <f t="shared" si="5"/>
        <v>0</v>
      </c>
      <c r="W39" s="3"/>
      <c r="X39" s="7">
        <f t="shared" si="6"/>
        <v>0</v>
      </c>
      <c r="Y39" s="3"/>
      <c r="Z39" s="8">
        <f t="shared" si="7"/>
        <v>0</v>
      </c>
    </row>
    <row r="40" spans="1:26" s="69" customFormat="1" ht="15" customHeight="1" outlineLevel="1" collapsed="1" x14ac:dyDescent="0.3">
      <c r="A40" s="25"/>
      <c r="B40" s="14" t="str">
        <f>CONCATENATE("     ","Depreciation                                      ")</f>
        <v xml:space="preserve">     Depreciation                                      </v>
      </c>
      <c r="C40" s="14"/>
      <c r="D40" s="2">
        <f>SUM(OSRRefD22_2x_0)</f>
        <v>0</v>
      </c>
      <c r="E40" s="2"/>
      <c r="F40" s="6">
        <f t="shared" si="0"/>
        <v>0</v>
      </c>
      <c r="G40" s="2"/>
      <c r="H40" s="2">
        <f>SUM(OSRRefH22_2x_0)</f>
        <v>0</v>
      </c>
      <c r="I40" s="2"/>
      <c r="J40" s="6">
        <f t="shared" si="1"/>
        <v>0</v>
      </c>
      <c r="K40" s="2"/>
      <c r="L40" s="2">
        <f t="shared" si="2"/>
        <v>0</v>
      </c>
      <c r="M40" s="2"/>
      <c r="N40" s="6">
        <f t="shared" si="3"/>
        <v>0</v>
      </c>
      <c r="O40" s="14"/>
      <c r="P40" s="2">
        <f>SUM(OSRRefP22_2x_0)</f>
        <v>12471</v>
      </c>
      <c r="Q40" s="2"/>
      <c r="R40" s="6">
        <f t="shared" si="4"/>
        <v>0</v>
      </c>
      <c r="S40" s="2"/>
      <c r="T40" s="2">
        <f>SUM(OSRRefT22_2x_0)</f>
        <v>12472</v>
      </c>
      <c r="U40" s="2"/>
      <c r="V40" s="6">
        <f t="shared" si="5"/>
        <v>0</v>
      </c>
      <c r="W40" s="2"/>
      <c r="X40" s="2">
        <f t="shared" si="6"/>
        <v>-1</v>
      </c>
      <c r="Y40" s="2"/>
      <c r="Z40" s="6">
        <f t="shared" si="7"/>
        <v>-8.0179602309172541E-5</v>
      </c>
    </row>
    <row r="41" spans="1:26" s="70" customFormat="1" ht="15" hidden="1" customHeight="1" outlineLevel="2" x14ac:dyDescent="0.3">
      <c r="A41" s="26"/>
      <c r="B41" s="12" t="str">
        <f>CONCATENATE("          ","6322"," - ","EQUIPMENT DEPRECIATION EXPENSE")</f>
        <v xml:space="preserve">          6322 - EQUIPMENT DEPRECIATION EXPENSE</v>
      </c>
      <c r="C41" s="12"/>
      <c r="D41" s="7"/>
      <c r="E41" s="3"/>
      <c r="F41" s="8">
        <f t="shared" si="0"/>
        <v>0</v>
      </c>
      <c r="G41" s="3"/>
      <c r="H41" s="7"/>
      <c r="I41" s="3"/>
      <c r="J41" s="8">
        <f t="shared" si="1"/>
        <v>0</v>
      </c>
      <c r="K41" s="3"/>
      <c r="L41" s="7">
        <f t="shared" si="2"/>
        <v>0</v>
      </c>
      <c r="M41" s="3"/>
      <c r="N41" s="8">
        <f t="shared" si="3"/>
        <v>0</v>
      </c>
      <c r="O41" s="12"/>
      <c r="P41" s="7">
        <v>12471</v>
      </c>
      <c r="Q41" s="3"/>
      <c r="R41" s="8">
        <f t="shared" si="4"/>
        <v>0</v>
      </c>
      <c r="S41" s="3"/>
      <c r="T41" s="7">
        <v>12472</v>
      </c>
      <c r="U41" s="3"/>
      <c r="V41" s="8">
        <f t="shared" si="5"/>
        <v>0</v>
      </c>
      <c r="W41" s="3"/>
      <c r="X41" s="7">
        <f t="shared" si="6"/>
        <v>-1</v>
      </c>
      <c r="Y41" s="3"/>
      <c r="Z41" s="8">
        <f t="shared" si="7"/>
        <v>-8.0179602309172541E-5</v>
      </c>
    </row>
    <row r="42" spans="1:26" s="69" customFormat="1" ht="15" customHeight="1" outlineLevel="1" collapsed="1" x14ac:dyDescent="0.3">
      <c r="A42" s="25"/>
      <c r="B42" s="14" t="str">
        <f>CONCATENATE("     ","Employees' Appreciation                           ")</f>
        <v xml:space="preserve">     Employees' Appreciation                           </v>
      </c>
      <c r="C42" s="14"/>
      <c r="D42" s="2">
        <f>SUM(OSRRefD22_3x_0)</f>
        <v>0</v>
      </c>
      <c r="E42" s="2"/>
      <c r="F42" s="6">
        <f t="shared" si="0"/>
        <v>0</v>
      </c>
      <c r="G42" s="2"/>
      <c r="H42" s="2">
        <f>SUM(OSRRefH22_3x_0)</f>
        <v>0</v>
      </c>
      <c r="I42" s="2"/>
      <c r="J42" s="6">
        <f t="shared" si="1"/>
        <v>0</v>
      </c>
      <c r="K42" s="2"/>
      <c r="L42" s="2">
        <f t="shared" si="2"/>
        <v>0</v>
      </c>
      <c r="M42" s="2"/>
      <c r="N42" s="6">
        <f t="shared" si="3"/>
        <v>0</v>
      </c>
      <c r="O42" s="14"/>
      <c r="P42" s="2">
        <f>SUM(OSRRefP22_3x_0)</f>
        <v>8.02</v>
      </c>
      <c r="Q42" s="2"/>
      <c r="R42" s="6">
        <f t="shared" si="4"/>
        <v>0</v>
      </c>
      <c r="S42" s="2"/>
      <c r="T42" s="2">
        <f>SUM(OSRRefT22_3x_0)</f>
        <v>0</v>
      </c>
      <c r="U42" s="2"/>
      <c r="V42" s="6">
        <f t="shared" si="5"/>
        <v>0</v>
      </c>
      <c r="W42" s="2"/>
      <c r="X42" s="2">
        <f t="shared" si="6"/>
        <v>8.02</v>
      </c>
      <c r="Y42" s="2"/>
      <c r="Z42" s="6">
        <f t="shared" si="7"/>
        <v>0</v>
      </c>
    </row>
    <row r="43" spans="1:26" s="70" customFormat="1" ht="15" hidden="1" customHeight="1" outlineLevel="2" x14ac:dyDescent="0.3">
      <c r="A43" s="26"/>
      <c r="B43" s="12" t="str">
        <f>CONCATENATE("          ","6277"," - ","EMPLOYEE APPRECIATION")</f>
        <v xml:space="preserve">          6277 - EMPLOYEE APPRECIATION</v>
      </c>
      <c r="C43" s="12"/>
      <c r="D43" s="7"/>
      <c r="E43" s="3"/>
      <c r="F43" s="8">
        <f t="shared" si="0"/>
        <v>0</v>
      </c>
      <c r="G43" s="3"/>
      <c r="H43" s="7"/>
      <c r="I43" s="3"/>
      <c r="J43" s="8">
        <f t="shared" si="1"/>
        <v>0</v>
      </c>
      <c r="K43" s="3"/>
      <c r="L43" s="7">
        <f t="shared" si="2"/>
        <v>0</v>
      </c>
      <c r="M43" s="3"/>
      <c r="N43" s="8">
        <f t="shared" si="3"/>
        <v>0</v>
      </c>
      <c r="O43" s="12"/>
      <c r="P43" s="7">
        <v>8.02</v>
      </c>
      <c r="Q43" s="3"/>
      <c r="R43" s="8">
        <f t="shared" si="4"/>
        <v>0</v>
      </c>
      <c r="S43" s="3"/>
      <c r="T43" s="7"/>
      <c r="U43" s="3"/>
      <c r="V43" s="8">
        <f t="shared" si="5"/>
        <v>0</v>
      </c>
      <c r="W43" s="3"/>
      <c r="X43" s="7">
        <f t="shared" si="6"/>
        <v>8.02</v>
      </c>
      <c r="Y43" s="3"/>
      <c r="Z43" s="8">
        <f t="shared" si="7"/>
        <v>0</v>
      </c>
    </row>
    <row r="44" spans="1:26" s="69" customFormat="1" ht="15" customHeight="1" outlineLevel="1" collapsed="1" x14ac:dyDescent="0.3">
      <c r="A44" s="25"/>
      <c r="B44" s="14" t="str">
        <f>CONCATENATE("     ","Equipment Rental                                  ")</f>
        <v xml:space="preserve">     Equipment Rental                                  </v>
      </c>
      <c r="C44" s="14"/>
      <c r="D44" s="2">
        <f>SUM(OSRRefD22_4x_0)</f>
        <v>91.26</v>
      </c>
      <c r="E44" s="2"/>
      <c r="F44" s="6">
        <f t="shared" si="0"/>
        <v>0</v>
      </c>
      <c r="G44" s="2"/>
      <c r="H44" s="2">
        <f>SUM(OSRRefH22_4x_0)</f>
        <v>91</v>
      </c>
      <c r="I44" s="2"/>
      <c r="J44" s="6">
        <f t="shared" si="1"/>
        <v>0</v>
      </c>
      <c r="K44" s="2"/>
      <c r="L44" s="2">
        <f t="shared" si="2"/>
        <v>0.26000000000000512</v>
      </c>
      <c r="M44" s="2"/>
      <c r="N44" s="6">
        <f t="shared" si="3"/>
        <v>2.8571428571429135E-3</v>
      </c>
      <c r="O44" s="14"/>
      <c r="P44" s="2">
        <f>SUM(OSRRefP22_4x_0)</f>
        <v>821.34</v>
      </c>
      <c r="Q44" s="2"/>
      <c r="R44" s="6">
        <f t="shared" si="4"/>
        <v>0</v>
      </c>
      <c r="S44" s="2"/>
      <c r="T44" s="2">
        <f>SUM(OSRRefT22_4x_0)</f>
        <v>819</v>
      </c>
      <c r="U44" s="2"/>
      <c r="V44" s="6">
        <f t="shared" si="5"/>
        <v>0</v>
      </c>
      <c r="W44" s="2"/>
      <c r="X44" s="2">
        <f t="shared" si="6"/>
        <v>2.3400000000000318</v>
      </c>
      <c r="Y44" s="2"/>
      <c r="Z44" s="6">
        <f t="shared" si="7"/>
        <v>2.8571428571428962E-3</v>
      </c>
    </row>
    <row r="45" spans="1:26" s="70" customFormat="1" ht="15" hidden="1" customHeight="1" outlineLevel="2" x14ac:dyDescent="0.3">
      <c r="A45" s="26"/>
      <c r="B45" s="12" t="str">
        <f>CONCATENATE("          ","6351"," - ","EQUIPMENT RENTAL")</f>
        <v xml:space="preserve">          6351 - EQUIPMENT RENTAL</v>
      </c>
      <c r="C45" s="12"/>
      <c r="D45" s="7">
        <v>91.26</v>
      </c>
      <c r="E45" s="3"/>
      <c r="F45" s="8">
        <f t="shared" si="0"/>
        <v>0</v>
      </c>
      <c r="G45" s="3"/>
      <c r="H45" s="7">
        <v>91</v>
      </c>
      <c r="I45" s="3"/>
      <c r="J45" s="8">
        <f t="shared" si="1"/>
        <v>0</v>
      </c>
      <c r="K45" s="3"/>
      <c r="L45" s="7">
        <f t="shared" si="2"/>
        <v>0.26000000000000512</v>
      </c>
      <c r="M45" s="3"/>
      <c r="N45" s="8">
        <f t="shared" si="3"/>
        <v>2.8571428571429135E-3</v>
      </c>
      <c r="O45" s="12"/>
      <c r="P45" s="7">
        <v>821.34</v>
      </c>
      <c r="Q45" s="3"/>
      <c r="R45" s="8">
        <f t="shared" si="4"/>
        <v>0</v>
      </c>
      <c r="S45" s="3"/>
      <c r="T45" s="7">
        <v>819</v>
      </c>
      <c r="U45" s="3"/>
      <c r="V45" s="8">
        <f t="shared" si="5"/>
        <v>0</v>
      </c>
      <c r="W45" s="3"/>
      <c r="X45" s="7">
        <f t="shared" si="6"/>
        <v>2.3400000000000318</v>
      </c>
      <c r="Y45" s="3"/>
      <c r="Z45" s="8">
        <f t="shared" si="7"/>
        <v>2.8571428571428962E-3</v>
      </c>
    </row>
    <row r="46" spans="1:26" s="69" customFormat="1" ht="15" customHeight="1" outlineLevel="1" collapsed="1" x14ac:dyDescent="0.3">
      <c r="A46" s="25"/>
      <c r="B46" s="14" t="str">
        <f>CONCATENATE("     ","Freight out/Postage                               ")</f>
        <v xml:space="preserve">     Freight out/Postage                               </v>
      </c>
      <c r="C46" s="14"/>
      <c r="D46" s="2">
        <f>SUM(OSRRefD22_5x_0)</f>
        <v>186.37</v>
      </c>
      <c r="E46" s="2"/>
      <c r="F46" s="6">
        <f t="shared" si="0"/>
        <v>0</v>
      </c>
      <c r="G46" s="2"/>
      <c r="H46" s="2">
        <f>SUM(OSRRefH22_5x_0)</f>
        <v>100</v>
      </c>
      <c r="I46" s="2"/>
      <c r="J46" s="6">
        <f t="shared" si="1"/>
        <v>0</v>
      </c>
      <c r="K46" s="2"/>
      <c r="L46" s="2">
        <f t="shared" si="2"/>
        <v>86.37</v>
      </c>
      <c r="M46" s="2"/>
      <c r="N46" s="6">
        <f t="shared" si="3"/>
        <v>0.86370000000000002</v>
      </c>
      <c r="O46" s="14"/>
      <c r="P46" s="2">
        <f>SUM(OSRRefP22_5x_0)</f>
        <v>1257.6199999999999</v>
      </c>
      <c r="Q46" s="2"/>
      <c r="R46" s="6">
        <f t="shared" si="4"/>
        <v>0</v>
      </c>
      <c r="S46" s="2"/>
      <c r="T46" s="2">
        <f>SUM(OSRRefT22_5x_0)</f>
        <v>900</v>
      </c>
      <c r="U46" s="2"/>
      <c r="V46" s="6">
        <f t="shared" si="5"/>
        <v>0</v>
      </c>
      <c r="W46" s="2"/>
      <c r="X46" s="2">
        <f t="shared" si="6"/>
        <v>357.61999999999989</v>
      </c>
      <c r="Y46" s="2"/>
      <c r="Z46" s="6">
        <f t="shared" si="7"/>
        <v>0.39735555555555546</v>
      </c>
    </row>
    <row r="47" spans="1:26" s="70" customFormat="1" ht="15" hidden="1" customHeight="1" outlineLevel="2" x14ac:dyDescent="0.3">
      <c r="A47" s="26"/>
      <c r="B47" s="12" t="str">
        <f>CONCATENATE("          ","6307"," - ","POSTAGE")</f>
        <v xml:space="preserve">          6307 - POSTAGE</v>
      </c>
      <c r="C47" s="12"/>
      <c r="D47" s="7">
        <v>186.37</v>
      </c>
      <c r="E47" s="3"/>
      <c r="F47" s="8">
        <f t="shared" si="0"/>
        <v>0</v>
      </c>
      <c r="G47" s="3"/>
      <c r="H47" s="7">
        <v>100</v>
      </c>
      <c r="I47" s="3"/>
      <c r="J47" s="8">
        <f t="shared" si="1"/>
        <v>0</v>
      </c>
      <c r="K47" s="3"/>
      <c r="L47" s="7">
        <f t="shared" si="2"/>
        <v>86.37</v>
      </c>
      <c r="M47" s="3"/>
      <c r="N47" s="8">
        <f t="shared" si="3"/>
        <v>0.86370000000000002</v>
      </c>
      <c r="O47" s="12"/>
      <c r="P47" s="7">
        <v>1257.6199999999999</v>
      </c>
      <c r="Q47" s="3"/>
      <c r="R47" s="8">
        <f t="shared" si="4"/>
        <v>0</v>
      </c>
      <c r="S47" s="3"/>
      <c r="T47" s="7">
        <v>900</v>
      </c>
      <c r="U47" s="3"/>
      <c r="V47" s="8">
        <f t="shared" si="5"/>
        <v>0</v>
      </c>
      <c r="W47" s="3"/>
      <c r="X47" s="7">
        <f t="shared" si="6"/>
        <v>357.61999999999989</v>
      </c>
      <c r="Y47" s="3"/>
      <c r="Z47" s="8">
        <f t="shared" si="7"/>
        <v>0.39735555555555546</v>
      </c>
    </row>
    <row r="48" spans="1:26" s="69" customFormat="1" ht="15" customHeight="1" outlineLevel="1" collapsed="1" x14ac:dyDescent="0.3">
      <c r="A48" s="25"/>
      <c r="B48" s="14" t="str">
        <f>CONCATENATE("     ","Insurance                                         ")</f>
        <v xml:space="preserve">     Insurance                                         </v>
      </c>
      <c r="C48" s="14"/>
      <c r="D48" s="2">
        <f>SUM(OSRRefD22_6x_0)</f>
        <v>179.64</v>
      </c>
      <c r="E48" s="2"/>
      <c r="F48" s="6">
        <f t="shared" si="0"/>
        <v>0</v>
      </c>
      <c r="G48" s="2"/>
      <c r="H48" s="2">
        <f>SUM(OSRRefH22_6x_0)</f>
        <v>180</v>
      </c>
      <c r="I48" s="2"/>
      <c r="J48" s="6">
        <f t="shared" si="1"/>
        <v>0</v>
      </c>
      <c r="K48" s="2"/>
      <c r="L48" s="2">
        <f t="shared" si="2"/>
        <v>-0.36000000000001364</v>
      </c>
      <c r="M48" s="2"/>
      <c r="N48" s="6">
        <f t="shared" si="3"/>
        <v>-2.0000000000000759E-3</v>
      </c>
      <c r="O48" s="14"/>
      <c r="P48" s="2">
        <f>SUM(OSRRefP22_6x_0)</f>
        <v>1616.76</v>
      </c>
      <c r="Q48" s="2"/>
      <c r="R48" s="6">
        <f t="shared" si="4"/>
        <v>0</v>
      </c>
      <c r="S48" s="2"/>
      <c r="T48" s="2">
        <f>SUM(OSRRefT22_6x_0)</f>
        <v>1620</v>
      </c>
      <c r="U48" s="2"/>
      <c r="V48" s="6">
        <f t="shared" si="5"/>
        <v>0</v>
      </c>
      <c r="W48" s="2"/>
      <c r="X48" s="2">
        <f t="shared" si="6"/>
        <v>-3.2400000000000091</v>
      </c>
      <c r="Y48" s="2"/>
      <c r="Z48" s="6">
        <f t="shared" si="7"/>
        <v>-2.0000000000000057E-3</v>
      </c>
    </row>
    <row r="49" spans="1:26" s="70" customFormat="1" ht="15" hidden="1" customHeight="1" outlineLevel="2" x14ac:dyDescent="0.3">
      <c r="A49" s="26"/>
      <c r="B49" s="12" t="str">
        <f>CONCATENATE("          ","6314"," - ","LIABILITY INSURANCE")</f>
        <v xml:space="preserve">          6314 - LIABILITY INSURANCE</v>
      </c>
      <c r="C49" s="12"/>
      <c r="D49" s="7">
        <v>179.64</v>
      </c>
      <c r="E49" s="3"/>
      <c r="F49" s="8">
        <f t="shared" si="0"/>
        <v>0</v>
      </c>
      <c r="G49" s="3"/>
      <c r="H49" s="7">
        <v>180</v>
      </c>
      <c r="I49" s="3"/>
      <c r="J49" s="8">
        <f t="shared" si="1"/>
        <v>0</v>
      </c>
      <c r="K49" s="3"/>
      <c r="L49" s="7">
        <f t="shared" si="2"/>
        <v>-0.36000000000001364</v>
      </c>
      <c r="M49" s="3"/>
      <c r="N49" s="8">
        <f t="shared" si="3"/>
        <v>-2.0000000000000759E-3</v>
      </c>
      <c r="O49" s="12"/>
      <c r="P49" s="7">
        <v>1616.76</v>
      </c>
      <c r="Q49" s="3"/>
      <c r="R49" s="8">
        <f t="shared" si="4"/>
        <v>0</v>
      </c>
      <c r="S49" s="3"/>
      <c r="T49" s="7">
        <v>1620</v>
      </c>
      <c r="U49" s="3"/>
      <c r="V49" s="8">
        <f t="shared" si="5"/>
        <v>0</v>
      </c>
      <c r="W49" s="3"/>
      <c r="X49" s="7">
        <f t="shared" si="6"/>
        <v>-3.2400000000000091</v>
      </c>
      <c r="Y49" s="3"/>
      <c r="Z49" s="8">
        <f t="shared" si="7"/>
        <v>-2.0000000000000057E-3</v>
      </c>
    </row>
    <row r="50" spans="1:26" s="69" customFormat="1" ht="15" customHeight="1" outlineLevel="1" collapsed="1" x14ac:dyDescent="0.3">
      <c r="A50" s="25"/>
      <c r="B50" s="14" t="str">
        <f>CONCATENATE("     ","Repair and Maintenance                            ")</f>
        <v xml:space="preserve">     Repair and Maintenance                            </v>
      </c>
      <c r="C50" s="14"/>
      <c r="D50" s="2">
        <f>SUM(OSRRefD22_7x_0)</f>
        <v>35200.04</v>
      </c>
      <c r="E50" s="2"/>
      <c r="F50" s="6">
        <f t="shared" si="0"/>
        <v>0</v>
      </c>
      <c r="G50" s="2"/>
      <c r="H50" s="2">
        <f>SUM(OSRRefH22_7x_0)</f>
        <v>18210</v>
      </c>
      <c r="I50" s="2"/>
      <c r="J50" s="6">
        <f t="shared" si="1"/>
        <v>0</v>
      </c>
      <c r="K50" s="2"/>
      <c r="L50" s="2">
        <f t="shared" si="2"/>
        <v>16990.04</v>
      </c>
      <c r="M50" s="2"/>
      <c r="N50" s="6">
        <f t="shared" si="3"/>
        <v>0.93300604063701265</v>
      </c>
      <c r="O50" s="14"/>
      <c r="P50" s="2">
        <f>SUM(OSRRefP22_7x_0)</f>
        <v>42475.85</v>
      </c>
      <c r="Q50" s="2"/>
      <c r="R50" s="6">
        <f t="shared" si="4"/>
        <v>0</v>
      </c>
      <c r="S50" s="2"/>
      <c r="T50" s="2">
        <f>SUM(OSRRefT22_7x_0)</f>
        <v>35390</v>
      </c>
      <c r="U50" s="2"/>
      <c r="V50" s="6">
        <f t="shared" si="5"/>
        <v>0</v>
      </c>
      <c r="W50" s="2"/>
      <c r="X50" s="2">
        <f t="shared" si="6"/>
        <v>7085.8499999999985</v>
      </c>
      <c r="Y50" s="2"/>
      <c r="Z50" s="6">
        <f t="shared" si="7"/>
        <v>0.20022181407177164</v>
      </c>
    </row>
    <row r="51" spans="1:26" s="70" customFormat="1" ht="15" hidden="1" customHeight="1" outlineLevel="2" x14ac:dyDescent="0.3">
      <c r="A51" s="26"/>
      <c r="B51" s="12" t="str">
        <f>CONCATENATE("          ","6371"," - ","COMPUTER SOFTWARE MAINTENANCE")</f>
        <v xml:space="preserve">          6371 - COMPUTER SOFTWARE MAINTENANCE</v>
      </c>
      <c r="C51" s="12"/>
      <c r="D51" s="7">
        <v>35188.82</v>
      </c>
      <c r="E51" s="3"/>
      <c r="F51" s="8">
        <f t="shared" si="0"/>
        <v>0</v>
      </c>
      <c r="G51" s="3"/>
      <c r="H51" s="7">
        <v>18000</v>
      </c>
      <c r="I51" s="3"/>
      <c r="J51" s="8">
        <f t="shared" si="1"/>
        <v>0</v>
      </c>
      <c r="K51" s="3"/>
      <c r="L51" s="7">
        <f t="shared" si="2"/>
        <v>17188.82</v>
      </c>
      <c r="M51" s="3"/>
      <c r="N51" s="8">
        <f t="shared" si="3"/>
        <v>0.95493444444444442</v>
      </c>
      <c r="O51" s="12"/>
      <c r="P51" s="7">
        <v>35668.42</v>
      </c>
      <c r="Q51" s="3"/>
      <c r="R51" s="8">
        <f t="shared" si="4"/>
        <v>0</v>
      </c>
      <c r="S51" s="3"/>
      <c r="T51" s="7">
        <v>29000</v>
      </c>
      <c r="U51" s="3"/>
      <c r="V51" s="8">
        <f t="shared" si="5"/>
        <v>0</v>
      </c>
      <c r="W51" s="3"/>
      <c r="X51" s="7">
        <f t="shared" si="6"/>
        <v>6668.4199999999983</v>
      </c>
      <c r="Y51" s="3"/>
      <c r="Z51" s="8">
        <f t="shared" si="7"/>
        <v>0.22994551724137924</v>
      </c>
    </row>
    <row r="52" spans="1:26" s="70" customFormat="1" ht="15" hidden="1" customHeight="1" outlineLevel="2" x14ac:dyDescent="0.3">
      <c r="A52" s="26"/>
      <c r="B52" s="12" t="str">
        <f>CONCATENATE("          ","6373"," - ","MAINTENANCE CONTRACTS")</f>
        <v xml:space="preserve">          6373 - MAINTENANCE CONTRACTS</v>
      </c>
      <c r="C52" s="12"/>
      <c r="D52" s="7">
        <v>11.22</v>
      </c>
      <c r="E52" s="3"/>
      <c r="F52" s="8">
        <f t="shared" si="0"/>
        <v>0</v>
      </c>
      <c r="G52" s="3"/>
      <c r="H52" s="7">
        <v>60</v>
      </c>
      <c r="I52" s="3"/>
      <c r="J52" s="8">
        <f t="shared" si="1"/>
        <v>0</v>
      </c>
      <c r="K52" s="3"/>
      <c r="L52" s="7">
        <f t="shared" si="2"/>
        <v>-48.78</v>
      </c>
      <c r="M52" s="3"/>
      <c r="N52" s="8">
        <f t="shared" si="3"/>
        <v>-0.81300000000000006</v>
      </c>
      <c r="O52" s="12"/>
      <c r="P52" s="7">
        <v>5249.87</v>
      </c>
      <c r="Q52" s="3"/>
      <c r="R52" s="8">
        <f t="shared" si="4"/>
        <v>0</v>
      </c>
      <c r="S52" s="3"/>
      <c r="T52" s="7">
        <v>5040</v>
      </c>
      <c r="U52" s="3"/>
      <c r="V52" s="8">
        <f t="shared" si="5"/>
        <v>0</v>
      </c>
      <c r="W52" s="3"/>
      <c r="X52" s="7">
        <f t="shared" si="6"/>
        <v>209.86999999999989</v>
      </c>
      <c r="Y52" s="3"/>
      <c r="Z52" s="8">
        <f t="shared" si="7"/>
        <v>4.1640873015872992E-2</v>
      </c>
    </row>
    <row r="53" spans="1:26" s="70" customFormat="1" ht="15" hidden="1" customHeight="1" outlineLevel="2" x14ac:dyDescent="0.3">
      <c r="A53" s="26"/>
      <c r="B53" s="12" t="str">
        <f>CONCATENATE("          ","6375"," - ","OUTSIDE REPAIRS &amp; MAINTENANCE")</f>
        <v xml:space="preserve">          6375 - OUTSIDE REPAIRS &amp; MAINTENANCE</v>
      </c>
      <c r="C53" s="12"/>
      <c r="D53" s="7"/>
      <c r="E53" s="3"/>
      <c r="F53" s="8">
        <f t="shared" si="0"/>
        <v>0</v>
      </c>
      <c r="G53" s="3"/>
      <c r="H53" s="7">
        <v>150</v>
      </c>
      <c r="I53" s="3"/>
      <c r="J53" s="8">
        <f t="shared" si="1"/>
        <v>0</v>
      </c>
      <c r="K53" s="3"/>
      <c r="L53" s="7">
        <f t="shared" si="2"/>
        <v>-150</v>
      </c>
      <c r="M53" s="3"/>
      <c r="N53" s="8">
        <f t="shared" si="3"/>
        <v>-1</v>
      </c>
      <c r="O53" s="12"/>
      <c r="P53" s="7">
        <v>1557.56</v>
      </c>
      <c r="Q53" s="3"/>
      <c r="R53" s="8">
        <f t="shared" si="4"/>
        <v>0</v>
      </c>
      <c r="S53" s="3"/>
      <c r="T53" s="7">
        <v>1350</v>
      </c>
      <c r="U53" s="3"/>
      <c r="V53" s="8">
        <f t="shared" si="5"/>
        <v>0</v>
      </c>
      <c r="W53" s="3"/>
      <c r="X53" s="7">
        <f t="shared" si="6"/>
        <v>207.55999999999995</v>
      </c>
      <c r="Y53" s="3"/>
      <c r="Z53" s="8">
        <f t="shared" si="7"/>
        <v>0.15374814814814811</v>
      </c>
    </row>
    <row r="54" spans="1:26" s="69" customFormat="1" ht="15" customHeight="1" outlineLevel="1" collapsed="1" x14ac:dyDescent="0.3">
      <c r="A54" s="25"/>
      <c r="B54" s="14" t="str">
        <f>CONCATENATE("     ","Services                                          ")</f>
        <v xml:space="preserve">     Services                                          </v>
      </c>
      <c r="C54" s="14"/>
      <c r="D54" s="2">
        <f>SUM(OSRRefD22_8x_0)</f>
        <v>1938.08</v>
      </c>
      <c r="E54" s="2"/>
      <c r="F54" s="6">
        <f t="shared" si="0"/>
        <v>0</v>
      </c>
      <c r="G54" s="2"/>
      <c r="H54" s="2">
        <f>SUM(OSRRefH22_8x_0)</f>
        <v>625</v>
      </c>
      <c r="I54" s="2"/>
      <c r="J54" s="6">
        <f t="shared" si="1"/>
        <v>0</v>
      </c>
      <c r="K54" s="2"/>
      <c r="L54" s="2">
        <f t="shared" si="2"/>
        <v>1313.08</v>
      </c>
      <c r="M54" s="2"/>
      <c r="N54" s="6">
        <f t="shared" si="3"/>
        <v>2.1009279999999997</v>
      </c>
      <c r="O54" s="14"/>
      <c r="P54" s="2">
        <f>SUM(OSRRefP22_8x_0)</f>
        <v>8104.68</v>
      </c>
      <c r="Q54" s="2"/>
      <c r="R54" s="6">
        <f t="shared" si="4"/>
        <v>0</v>
      </c>
      <c r="S54" s="2"/>
      <c r="T54" s="2">
        <f>SUM(OSRRefT22_8x_0)</f>
        <v>5625</v>
      </c>
      <c r="U54" s="2"/>
      <c r="V54" s="6">
        <f t="shared" si="5"/>
        <v>0</v>
      </c>
      <c r="W54" s="2"/>
      <c r="X54" s="2">
        <f t="shared" si="6"/>
        <v>2479.6800000000003</v>
      </c>
      <c r="Y54" s="2"/>
      <c r="Z54" s="6">
        <f t="shared" si="7"/>
        <v>0.44083200000000006</v>
      </c>
    </row>
    <row r="55" spans="1:26" s="70" customFormat="1" ht="15" hidden="1" customHeight="1" outlineLevel="2" x14ac:dyDescent="0.3">
      <c r="A55" s="26"/>
      <c r="B55" s="12" t="str">
        <f>CONCATENATE("          ","6281"," - ","STORAGE FEE")</f>
        <v xml:space="preserve">          6281 - STORAGE FEE</v>
      </c>
      <c r="C55" s="12"/>
      <c r="D55" s="7">
        <v>1938.08</v>
      </c>
      <c r="E55" s="3"/>
      <c r="F55" s="8">
        <f t="shared" si="0"/>
        <v>0</v>
      </c>
      <c r="G55" s="3"/>
      <c r="H55" s="7">
        <v>625</v>
      </c>
      <c r="I55" s="3"/>
      <c r="J55" s="8">
        <f t="shared" si="1"/>
        <v>0</v>
      </c>
      <c r="K55" s="3"/>
      <c r="L55" s="7">
        <f t="shared" si="2"/>
        <v>1313.08</v>
      </c>
      <c r="M55" s="3"/>
      <c r="N55" s="8">
        <f t="shared" si="3"/>
        <v>2.1009279999999997</v>
      </c>
      <c r="O55" s="12"/>
      <c r="P55" s="7">
        <v>8104.68</v>
      </c>
      <c r="Q55" s="3"/>
      <c r="R55" s="8">
        <f t="shared" si="4"/>
        <v>0</v>
      </c>
      <c r="S55" s="3"/>
      <c r="T55" s="7">
        <v>5625</v>
      </c>
      <c r="U55" s="3"/>
      <c r="V55" s="8">
        <f t="shared" si="5"/>
        <v>0</v>
      </c>
      <c r="W55" s="3"/>
      <c r="X55" s="7">
        <f t="shared" si="6"/>
        <v>2479.6800000000003</v>
      </c>
      <c r="Y55" s="3"/>
      <c r="Z55" s="8">
        <f t="shared" si="7"/>
        <v>0.44083200000000006</v>
      </c>
    </row>
    <row r="56" spans="1:26" s="69" customFormat="1" ht="15" customHeight="1" outlineLevel="1" collapsed="1" x14ac:dyDescent="0.3">
      <c r="A56" s="25"/>
      <c r="B56" s="14" t="str">
        <f>CONCATENATE("     ","Supplies                                          ")</f>
        <v xml:space="preserve">     Supplies                                          </v>
      </c>
      <c r="C56" s="14"/>
      <c r="D56" s="2">
        <f>SUM(OSRRefD22_9x_0)</f>
        <v>2608.81</v>
      </c>
      <c r="E56" s="2"/>
      <c r="F56" s="6">
        <f t="shared" si="0"/>
        <v>0</v>
      </c>
      <c r="G56" s="2"/>
      <c r="H56" s="2">
        <f>SUM(OSRRefH22_9x_0)</f>
        <v>100</v>
      </c>
      <c r="I56" s="2"/>
      <c r="J56" s="6">
        <f t="shared" si="1"/>
        <v>0</v>
      </c>
      <c r="K56" s="2"/>
      <c r="L56" s="2">
        <f t="shared" si="2"/>
        <v>2508.81</v>
      </c>
      <c r="M56" s="2"/>
      <c r="N56" s="6">
        <f t="shared" si="3"/>
        <v>25.088100000000001</v>
      </c>
      <c r="O56" s="14"/>
      <c r="P56" s="2">
        <f>SUM(OSRRefP22_9x_0)</f>
        <v>4391.3600000000006</v>
      </c>
      <c r="Q56" s="2"/>
      <c r="R56" s="6">
        <f t="shared" si="4"/>
        <v>0</v>
      </c>
      <c r="S56" s="2"/>
      <c r="T56" s="2">
        <f>SUM(OSRRefT22_9x_0)</f>
        <v>900</v>
      </c>
      <c r="U56" s="2"/>
      <c r="V56" s="6">
        <f t="shared" si="5"/>
        <v>0</v>
      </c>
      <c r="W56" s="2"/>
      <c r="X56" s="2">
        <f t="shared" si="6"/>
        <v>3491.3600000000006</v>
      </c>
      <c r="Y56" s="2"/>
      <c r="Z56" s="6">
        <f t="shared" si="7"/>
        <v>3.8792888888888895</v>
      </c>
    </row>
    <row r="57" spans="1:26" s="70" customFormat="1" ht="15" hidden="1" customHeight="1" outlineLevel="2" x14ac:dyDescent="0.3">
      <c r="A57" s="26"/>
      <c r="B57" s="12" t="str">
        <f>CONCATENATE("          ","6234"," - ","EXPENDABLE SUPPLIES &amp; EQUIPMEN")</f>
        <v xml:space="preserve">          6234 - EXPENDABLE SUPPLIES &amp; EQUIPMEN</v>
      </c>
      <c r="C57" s="12"/>
      <c r="D57" s="7">
        <v>2481.17</v>
      </c>
      <c r="E57" s="3"/>
      <c r="F57" s="8">
        <f t="shared" si="0"/>
        <v>0</v>
      </c>
      <c r="G57" s="3"/>
      <c r="H57" s="7"/>
      <c r="I57" s="3"/>
      <c r="J57" s="8">
        <f t="shared" si="1"/>
        <v>0</v>
      </c>
      <c r="K57" s="3"/>
      <c r="L57" s="7">
        <f t="shared" si="2"/>
        <v>2481.17</v>
      </c>
      <c r="M57" s="3"/>
      <c r="N57" s="8">
        <f t="shared" si="3"/>
        <v>0</v>
      </c>
      <c r="O57" s="12"/>
      <c r="P57" s="7">
        <v>2481.17</v>
      </c>
      <c r="Q57" s="3"/>
      <c r="R57" s="8">
        <f t="shared" si="4"/>
        <v>0</v>
      </c>
      <c r="S57" s="3"/>
      <c r="T57" s="7"/>
      <c r="U57" s="3"/>
      <c r="V57" s="8">
        <f t="shared" si="5"/>
        <v>0</v>
      </c>
      <c r="W57" s="3"/>
      <c r="X57" s="7">
        <f t="shared" si="6"/>
        <v>2481.17</v>
      </c>
      <c r="Y57" s="3"/>
      <c r="Z57" s="8">
        <f t="shared" si="7"/>
        <v>0</v>
      </c>
    </row>
    <row r="58" spans="1:26" s="70" customFormat="1" ht="15" hidden="1" customHeight="1" outlineLevel="2" x14ac:dyDescent="0.3">
      <c r="A58" s="26"/>
      <c r="B58" s="12" t="str">
        <f>CONCATENATE("          ","6241"," - ","OFFICE EXPENSE")</f>
        <v xml:space="preserve">          6241 - OFFICE EXPENSE</v>
      </c>
      <c r="C58" s="12"/>
      <c r="D58" s="7">
        <v>127.64</v>
      </c>
      <c r="E58" s="3"/>
      <c r="F58" s="8">
        <f t="shared" si="0"/>
        <v>0</v>
      </c>
      <c r="G58" s="3"/>
      <c r="H58" s="7">
        <v>100</v>
      </c>
      <c r="I58" s="3"/>
      <c r="J58" s="8">
        <f t="shared" si="1"/>
        <v>0</v>
      </c>
      <c r="K58" s="3"/>
      <c r="L58" s="7">
        <f t="shared" si="2"/>
        <v>27.64</v>
      </c>
      <c r="M58" s="3"/>
      <c r="N58" s="8">
        <f t="shared" si="3"/>
        <v>0.27639999999999998</v>
      </c>
      <c r="O58" s="12"/>
      <c r="P58" s="7">
        <v>1910.19</v>
      </c>
      <c r="Q58" s="3"/>
      <c r="R58" s="8">
        <f t="shared" si="4"/>
        <v>0</v>
      </c>
      <c r="S58" s="3"/>
      <c r="T58" s="7">
        <v>900</v>
      </c>
      <c r="U58" s="3"/>
      <c r="V58" s="8">
        <f t="shared" si="5"/>
        <v>0</v>
      </c>
      <c r="W58" s="3"/>
      <c r="X58" s="7">
        <f t="shared" si="6"/>
        <v>1010.19</v>
      </c>
      <c r="Y58" s="3"/>
      <c r="Z58" s="8">
        <f t="shared" si="7"/>
        <v>1.1224333333333334</v>
      </c>
    </row>
    <row r="59" spans="1:26" s="69" customFormat="1" ht="15" customHeight="1" outlineLevel="1" collapsed="1" x14ac:dyDescent="0.3">
      <c r="A59" s="25"/>
      <c r="B59" s="14" t="str">
        <f>CONCATENATE("     ","Telephone/Data Lines                              ")</f>
        <v xml:space="preserve">     Telephone/Data Lines                              </v>
      </c>
      <c r="C59" s="14"/>
      <c r="D59" s="2">
        <f>SUM(OSRRefD22_10x_0)</f>
        <v>289.55</v>
      </c>
      <c r="E59" s="2"/>
      <c r="F59" s="6">
        <f t="shared" si="0"/>
        <v>0</v>
      </c>
      <c r="G59" s="2"/>
      <c r="H59" s="2">
        <f>SUM(OSRRefH22_10x_0)</f>
        <v>400</v>
      </c>
      <c r="I59" s="2"/>
      <c r="J59" s="6">
        <f t="shared" si="1"/>
        <v>0</v>
      </c>
      <c r="K59" s="2"/>
      <c r="L59" s="2">
        <f t="shared" si="2"/>
        <v>-110.44999999999999</v>
      </c>
      <c r="M59" s="2"/>
      <c r="N59" s="6">
        <f t="shared" si="3"/>
        <v>-0.27612499999999995</v>
      </c>
      <c r="O59" s="14"/>
      <c r="P59" s="2">
        <f>SUM(OSRRefP22_10x_0)</f>
        <v>3726.67</v>
      </c>
      <c r="Q59" s="2"/>
      <c r="R59" s="6">
        <f t="shared" si="4"/>
        <v>0</v>
      </c>
      <c r="S59" s="2"/>
      <c r="T59" s="2">
        <f>SUM(OSRRefT22_10x_0)</f>
        <v>3600</v>
      </c>
      <c r="U59" s="2"/>
      <c r="V59" s="6">
        <f t="shared" si="5"/>
        <v>0</v>
      </c>
      <c r="W59" s="2"/>
      <c r="X59" s="2">
        <f t="shared" si="6"/>
        <v>126.67000000000007</v>
      </c>
      <c r="Y59" s="2"/>
      <c r="Z59" s="6">
        <f t="shared" si="7"/>
        <v>3.5186111111111133E-2</v>
      </c>
    </row>
    <row r="60" spans="1:26" s="70" customFormat="1" ht="15" hidden="1" customHeight="1" outlineLevel="2" x14ac:dyDescent="0.3">
      <c r="A60" s="26"/>
      <c r="B60" s="12" t="str">
        <f>CONCATENATE("          ","6309"," - ","TELEPHONE")</f>
        <v xml:space="preserve">          6309 - TELEPHONE</v>
      </c>
      <c r="C60" s="12"/>
      <c r="D60" s="7">
        <v>289.55</v>
      </c>
      <c r="E60" s="3"/>
      <c r="F60" s="8">
        <f t="shared" si="0"/>
        <v>0</v>
      </c>
      <c r="G60" s="3"/>
      <c r="H60" s="7">
        <v>400</v>
      </c>
      <c r="I60" s="3"/>
      <c r="J60" s="8">
        <f t="shared" si="1"/>
        <v>0</v>
      </c>
      <c r="K60" s="3"/>
      <c r="L60" s="7">
        <f t="shared" si="2"/>
        <v>-110.44999999999999</v>
      </c>
      <c r="M60" s="3"/>
      <c r="N60" s="8">
        <f t="shared" si="3"/>
        <v>-0.27612499999999995</v>
      </c>
      <c r="O60" s="12"/>
      <c r="P60" s="7">
        <v>3726.67</v>
      </c>
      <c r="Q60" s="3"/>
      <c r="R60" s="8">
        <f t="shared" si="4"/>
        <v>0</v>
      </c>
      <c r="S60" s="3"/>
      <c r="T60" s="7">
        <v>3600</v>
      </c>
      <c r="U60" s="3"/>
      <c r="V60" s="8">
        <f t="shared" si="5"/>
        <v>0</v>
      </c>
      <c r="W60" s="3"/>
      <c r="X60" s="7">
        <f t="shared" si="6"/>
        <v>126.67000000000007</v>
      </c>
      <c r="Y60" s="3"/>
      <c r="Z60" s="8">
        <f t="shared" si="7"/>
        <v>3.5186111111111133E-2</v>
      </c>
    </row>
    <row r="61" spans="1:26" s="69" customFormat="1" ht="15" customHeight="1" outlineLevel="1" collapsed="1" x14ac:dyDescent="0.3">
      <c r="A61" s="25"/>
      <c r="B61" s="14" t="str">
        <f>CONCATENATE("     ","Training                                          ")</f>
        <v xml:space="preserve">     Training                                          </v>
      </c>
      <c r="C61" s="14"/>
      <c r="D61" s="2">
        <f>SUM(OSRRefD22_11x_0)</f>
        <v>0</v>
      </c>
      <c r="E61" s="2"/>
      <c r="F61" s="6">
        <f t="shared" si="0"/>
        <v>0</v>
      </c>
      <c r="G61" s="2"/>
      <c r="H61" s="2">
        <f>SUM(OSRRefH22_11x_0)</f>
        <v>0</v>
      </c>
      <c r="I61" s="2"/>
      <c r="J61" s="6">
        <f t="shared" si="1"/>
        <v>0</v>
      </c>
      <c r="K61" s="2"/>
      <c r="L61" s="2">
        <f t="shared" si="2"/>
        <v>0</v>
      </c>
      <c r="M61" s="2"/>
      <c r="N61" s="6">
        <f t="shared" si="3"/>
        <v>0</v>
      </c>
      <c r="O61" s="14"/>
      <c r="P61" s="2">
        <f>SUM(OSRRefP22_11x_0)</f>
        <v>595</v>
      </c>
      <c r="Q61" s="2"/>
      <c r="R61" s="6">
        <f t="shared" si="4"/>
        <v>0</v>
      </c>
      <c r="S61" s="2"/>
      <c r="T61" s="2">
        <f>SUM(OSRRefT22_11x_0)</f>
        <v>3000</v>
      </c>
      <c r="U61" s="2"/>
      <c r="V61" s="6">
        <f t="shared" si="5"/>
        <v>0</v>
      </c>
      <c r="W61" s="2"/>
      <c r="X61" s="2">
        <f t="shared" si="6"/>
        <v>-2405</v>
      </c>
      <c r="Y61" s="2"/>
      <c r="Z61" s="6">
        <f t="shared" si="7"/>
        <v>-0.80166666666666664</v>
      </c>
    </row>
    <row r="62" spans="1:26" s="70" customFormat="1" ht="15" hidden="1" customHeight="1" outlineLevel="2" x14ac:dyDescent="0.3">
      <c r="A62" s="26"/>
      <c r="B62" s="12" t="str">
        <f>CONCATENATE("          ","6376"," - ","TRAINING")</f>
        <v xml:space="preserve">          6376 - TRAINING</v>
      </c>
      <c r="C62" s="12"/>
      <c r="D62" s="7"/>
      <c r="E62" s="3"/>
      <c r="F62" s="8">
        <f t="shared" si="0"/>
        <v>0</v>
      </c>
      <c r="G62" s="3"/>
      <c r="H62" s="7"/>
      <c r="I62" s="3"/>
      <c r="J62" s="8">
        <f t="shared" si="1"/>
        <v>0</v>
      </c>
      <c r="K62" s="3"/>
      <c r="L62" s="7">
        <f t="shared" si="2"/>
        <v>0</v>
      </c>
      <c r="M62" s="3"/>
      <c r="N62" s="8">
        <f t="shared" si="3"/>
        <v>0</v>
      </c>
      <c r="O62" s="12"/>
      <c r="P62" s="7">
        <v>595</v>
      </c>
      <c r="Q62" s="3"/>
      <c r="R62" s="8">
        <f t="shared" si="4"/>
        <v>0</v>
      </c>
      <c r="S62" s="3"/>
      <c r="T62" s="7">
        <v>3000</v>
      </c>
      <c r="U62" s="3"/>
      <c r="V62" s="8">
        <f t="shared" si="5"/>
        <v>0</v>
      </c>
      <c r="W62" s="3"/>
      <c r="X62" s="7">
        <f t="shared" si="6"/>
        <v>-2405</v>
      </c>
      <c r="Y62" s="3"/>
      <c r="Z62" s="8">
        <f t="shared" si="7"/>
        <v>-0.80166666666666664</v>
      </c>
    </row>
    <row r="63" spans="1:26" s="69" customFormat="1" ht="15" customHeight="1" outlineLevel="1" collapsed="1" x14ac:dyDescent="0.3">
      <c r="A63" s="25"/>
      <c r="B63" s="14" t="str">
        <f>CONCATENATE("     ","Travel                                            ")</f>
        <v xml:space="preserve">     Travel                                            </v>
      </c>
      <c r="C63" s="14"/>
      <c r="D63" s="2">
        <f>SUM(OSRRefD22_12x_0)</f>
        <v>0</v>
      </c>
      <c r="E63" s="2"/>
      <c r="F63" s="6">
        <f t="shared" si="0"/>
        <v>0</v>
      </c>
      <c r="G63" s="2"/>
      <c r="H63" s="2">
        <f>SUM(OSRRefH22_12x_0)</f>
        <v>0</v>
      </c>
      <c r="I63" s="2"/>
      <c r="J63" s="6">
        <f t="shared" si="1"/>
        <v>0</v>
      </c>
      <c r="K63" s="2"/>
      <c r="L63" s="2">
        <f t="shared" si="2"/>
        <v>0</v>
      </c>
      <c r="M63" s="2"/>
      <c r="N63" s="6">
        <f t="shared" si="3"/>
        <v>0</v>
      </c>
      <c r="O63" s="14"/>
      <c r="P63" s="2">
        <f>SUM(OSRRefP22_12x_0)</f>
        <v>30.4</v>
      </c>
      <c r="Q63" s="2"/>
      <c r="R63" s="6">
        <f t="shared" si="4"/>
        <v>0</v>
      </c>
      <c r="S63" s="2"/>
      <c r="T63" s="2">
        <f>SUM(OSRRefT22_12x_0)</f>
        <v>0</v>
      </c>
      <c r="U63" s="2"/>
      <c r="V63" s="6">
        <f t="shared" si="5"/>
        <v>0</v>
      </c>
      <c r="W63" s="2"/>
      <c r="X63" s="2">
        <f t="shared" si="6"/>
        <v>30.4</v>
      </c>
      <c r="Y63" s="2"/>
      <c r="Z63" s="6">
        <f t="shared" si="7"/>
        <v>0</v>
      </c>
    </row>
    <row r="64" spans="1:26" s="70" customFormat="1" ht="15" hidden="1" customHeight="1" outlineLevel="2" x14ac:dyDescent="0.3">
      <c r="A64" s="26"/>
      <c r="B64" s="12" t="str">
        <f>CONCATENATE("          ","6294"," - ","TRAVEL OPERATIONAL")</f>
        <v xml:space="preserve">          6294 - TRAVEL OPERATIONAL</v>
      </c>
      <c r="C64" s="12"/>
      <c r="D64" s="7"/>
      <c r="E64" s="3"/>
      <c r="F64" s="8">
        <f t="shared" si="0"/>
        <v>0</v>
      </c>
      <c r="G64" s="3"/>
      <c r="H64" s="7"/>
      <c r="I64" s="3"/>
      <c r="J64" s="8">
        <f t="shared" si="1"/>
        <v>0</v>
      </c>
      <c r="K64" s="3"/>
      <c r="L64" s="7">
        <f t="shared" si="2"/>
        <v>0</v>
      </c>
      <c r="M64" s="3"/>
      <c r="N64" s="8">
        <f t="shared" si="3"/>
        <v>0</v>
      </c>
      <c r="O64" s="12"/>
      <c r="P64" s="7">
        <v>30.4</v>
      </c>
      <c r="Q64" s="3"/>
      <c r="R64" s="8">
        <f t="shared" si="4"/>
        <v>0</v>
      </c>
      <c r="S64" s="3"/>
      <c r="T64" s="7"/>
      <c r="U64" s="3"/>
      <c r="V64" s="8">
        <f t="shared" si="5"/>
        <v>0</v>
      </c>
      <c r="W64" s="3"/>
      <c r="X64" s="7">
        <f t="shared" si="6"/>
        <v>30.4</v>
      </c>
      <c r="Y64" s="3"/>
      <c r="Z64" s="8">
        <f t="shared" si="7"/>
        <v>0</v>
      </c>
    </row>
    <row r="65" spans="1:26" s="65" customFormat="1" ht="15" customHeight="1" x14ac:dyDescent="0.3">
      <c r="A65" s="35"/>
      <c r="B65" s="35"/>
      <c r="C65" s="35"/>
      <c r="D65" s="2"/>
      <c r="E65" s="2"/>
      <c r="F65" s="6"/>
      <c r="G65" s="2"/>
      <c r="H65" s="2"/>
      <c r="I65" s="2"/>
      <c r="J65" s="6"/>
      <c r="K65" s="2"/>
      <c r="L65" s="2"/>
      <c r="M65" s="2"/>
      <c r="N65" s="6"/>
      <c r="O65" s="35"/>
      <c r="P65" s="2"/>
      <c r="Q65" s="2"/>
      <c r="R65" s="6"/>
      <c r="S65" s="2"/>
      <c r="T65" s="2"/>
      <c r="U65" s="2"/>
      <c r="V65" s="6"/>
      <c r="W65" s="2"/>
      <c r="X65" s="2"/>
      <c r="Y65" s="2"/>
      <c r="Z65" s="6"/>
    </row>
    <row r="66" spans="1:26" s="63" customFormat="1" ht="15" customHeight="1" x14ac:dyDescent="0.3">
      <c r="A66" s="11"/>
      <c r="B66" s="28" t="s">
        <v>291</v>
      </c>
      <c r="C66" s="11"/>
      <c r="D66" s="5">
        <f>SUM(0)</f>
        <v>0</v>
      </c>
      <c r="E66" s="5"/>
      <c r="F66" s="13">
        <f>IF(D$12=0,0,D66/D$12)</f>
        <v>0</v>
      </c>
      <c r="G66" s="5"/>
      <c r="H66" s="5">
        <f>SUM(0)</f>
        <v>0</v>
      </c>
      <c r="I66" s="5"/>
      <c r="J66" s="13">
        <f>IF(H$12=0,0,H66/H$12)</f>
        <v>0</v>
      </c>
      <c r="K66" s="5"/>
      <c r="L66" s="5">
        <f>+D66-H66</f>
        <v>0</v>
      </c>
      <c r="M66" s="5"/>
      <c r="N66" s="13">
        <f>IF(H66=0,0,L66/H66)</f>
        <v>0</v>
      </c>
      <c r="O66" s="11"/>
      <c r="P66" s="5">
        <f>SUM(0)</f>
        <v>0</v>
      </c>
      <c r="Q66" s="5"/>
      <c r="R66" s="13">
        <f>IF(P$12=0,0,P66/P$12)</f>
        <v>0</v>
      </c>
      <c r="S66" s="5"/>
      <c r="T66" s="5">
        <f>SUM(0)</f>
        <v>0</v>
      </c>
      <c r="U66" s="5"/>
      <c r="V66" s="13">
        <f>IF(T$12=0,0,T66/T$12)</f>
        <v>0</v>
      </c>
      <c r="W66" s="5"/>
      <c r="X66" s="5">
        <f>+P66-T66</f>
        <v>0</v>
      </c>
      <c r="Y66" s="5"/>
      <c r="Z66" s="13">
        <f>IF(T66=0,0,X66/T66)</f>
        <v>0</v>
      </c>
    </row>
    <row r="67" spans="1:26" ht="15" customHeight="1" x14ac:dyDescent="0.3">
      <c r="A67" s="10"/>
      <c r="B67" s="11"/>
      <c r="C67" s="11"/>
      <c r="D67" s="4"/>
      <c r="E67" s="4"/>
      <c r="F67" s="9"/>
      <c r="G67" s="4"/>
      <c r="H67" s="4"/>
      <c r="I67" s="4"/>
      <c r="J67" s="9"/>
      <c r="K67" s="4"/>
      <c r="L67" s="4"/>
      <c r="M67" s="4"/>
      <c r="N67" s="9"/>
      <c r="O67" s="11"/>
      <c r="P67" s="4"/>
      <c r="Q67" s="4"/>
      <c r="R67" s="9"/>
      <c r="S67" s="4"/>
      <c r="T67" s="4"/>
      <c r="U67" s="4"/>
      <c r="V67" s="9"/>
      <c r="W67" s="4"/>
      <c r="X67" s="4"/>
      <c r="Y67" s="4"/>
      <c r="Z67" s="9"/>
    </row>
    <row r="68" spans="1:26" s="63" customFormat="1" ht="15" customHeight="1" x14ac:dyDescent="0.3">
      <c r="A68" s="11"/>
      <c r="B68" s="27" t="s">
        <v>292</v>
      </c>
      <c r="C68" s="27"/>
      <c r="D68" s="21">
        <f>+D16-D18+D66</f>
        <v>-75317.290000000008</v>
      </c>
      <c r="E68" s="15"/>
      <c r="F68" s="23">
        <f>IF(D$12=0,0,D68/D$12)</f>
        <v>0</v>
      </c>
      <c r="G68" s="15"/>
      <c r="H68" s="21">
        <f>+H16-H18+H66</f>
        <v>-54549.428504307674</v>
      </c>
      <c r="I68" s="15"/>
      <c r="J68" s="23">
        <f>IF(H$12=0,0,H68/H$12)</f>
        <v>0</v>
      </c>
      <c r="K68" s="16"/>
      <c r="L68" s="21">
        <f>+D68-H68</f>
        <v>-20767.861495692334</v>
      </c>
      <c r="M68" s="16"/>
      <c r="N68" s="23">
        <f>IF(H68=0,0,L68/H68)</f>
        <v>0.38071638998110369</v>
      </c>
      <c r="O68" s="28"/>
      <c r="P68" s="21">
        <f>+P16-P18+P66</f>
        <v>-408339.31999999995</v>
      </c>
      <c r="Q68" s="15"/>
      <c r="R68" s="23">
        <f>IF(P$12=0,0,P68/P$12)</f>
        <v>0</v>
      </c>
      <c r="S68" s="15"/>
      <c r="T68" s="21">
        <f>+T16-T18+T66</f>
        <v>-392659.69407700002</v>
      </c>
      <c r="U68" s="15"/>
      <c r="V68" s="23">
        <f>IF(T$12=0,0,T68/T$12)</f>
        <v>0</v>
      </c>
      <c r="W68" s="16"/>
      <c r="X68" s="21">
        <f>+P68-T68</f>
        <v>-15679.625922999927</v>
      </c>
      <c r="Y68" s="16"/>
      <c r="Z68" s="23">
        <f>IF(T68=0,0,X68/T68)</f>
        <v>3.9931844697880234E-2</v>
      </c>
    </row>
    <row r="69" spans="1:26" ht="15" customHeight="1" x14ac:dyDescent="0.3">
      <c r="A69" s="10"/>
      <c r="B69" s="11"/>
      <c r="C69" s="10"/>
      <c r="D69" s="4"/>
      <c r="E69" s="4"/>
      <c r="F69" s="9"/>
      <c r="G69" s="4"/>
      <c r="H69" s="4"/>
      <c r="I69" s="4"/>
      <c r="J69" s="9"/>
      <c r="K69" s="4"/>
      <c r="L69" s="4"/>
      <c r="M69" s="4"/>
      <c r="N69" s="9"/>
      <c r="P69" s="4"/>
      <c r="Q69" s="4"/>
      <c r="R69" s="9"/>
      <c r="S69" s="4"/>
      <c r="T69" s="4"/>
      <c r="U69" s="4"/>
      <c r="V69" s="9"/>
      <c r="W69" s="4"/>
      <c r="X69" s="4"/>
      <c r="Y69" s="4"/>
      <c r="Z69" s="9"/>
    </row>
    <row r="70" spans="1:26" s="63" customFormat="1" ht="15" customHeight="1" x14ac:dyDescent="0.3">
      <c r="A70" s="49"/>
      <c r="B70" s="11" t="s">
        <v>293</v>
      </c>
      <c r="C70" s="11"/>
      <c r="D70" s="5"/>
      <c r="E70" s="5"/>
      <c r="F70" s="13">
        <f>IF(D$12=0,0,D70/D$12)</f>
        <v>0</v>
      </c>
      <c r="G70" s="5"/>
      <c r="H70" s="5"/>
      <c r="I70" s="5"/>
      <c r="J70" s="13">
        <f>IF(H$12=0,0,H70/H$12)</f>
        <v>0</v>
      </c>
      <c r="K70" s="5"/>
      <c r="L70" s="5">
        <f>+D70-H70</f>
        <v>0</v>
      </c>
      <c r="M70" s="5"/>
      <c r="N70" s="13">
        <f>IF(H70=0,0,L70/H70)</f>
        <v>0</v>
      </c>
      <c r="O70" s="11"/>
      <c r="P70" s="5"/>
      <c r="Q70" s="5"/>
      <c r="R70" s="13">
        <f>IF(P$12=0,0,P70/P$12)</f>
        <v>0</v>
      </c>
      <c r="S70" s="5"/>
      <c r="T70" s="5"/>
      <c r="U70" s="5"/>
      <c r="V70" s="13">
        <f>IF(T$12=0,0,T70/T$12)</f>
        <v>0</v>
      </c>
      <c r="W70" s="5"/>
      <c r="X70" s="5">
        <f>+P70-T70</f>
        <v>0</v>
      </c>
      <c r="Y70" s="5"/>
      <c r="Z70" s="13">
        <f>IF(T70=0,0,X70/T70)</f>
        <v>0</v>
      </c>
    </row>
    <row r="71" spans="1:26" ht="15" customHeight="1" x14ac:dyDescent="0.3">
      <c r="A71" s="10"/>
      <c r="B71" s="11"/>
      <c r="C71" s="11"/>
      <c r="D71" s="4"/>
      <c r="E71" s="4"/>
      <c r="F71" s="9"/>
      <c r="G71" s="4"/>
      <c r="H71" s="4"/>
      <c r="I71" s="4"/>
      <c r="J71" s="9"/>
      <c r="K71" s="4"/>
      <c r="L71" s="4"/>
      <c r="M71" s="4"/>
      <c r="N71" s="9"/>
      <c r="O71" s="11"/>
      <c r="P71" s="4"/>
      <c r="Q71" s="4"/>
      <c r="R71" s="9"/>
      <c r="S71" s="4"/>
      <c r="T71" s="4"/>
      <c r="U71" s="4"/>
      <c r="V71" s="9"/>
      <c r="W71" s="4"/>
      <c r="X71" s="4"/>
      <c r="Y71" s="4"/>
      <c r="Z71" s="9"/>
    </row>
    <row r="72" spans="1:26" s="63" customFormat="1" ht="15" customHeight="1" x14ac:dyDescent="0.3">
      <c r="A72" s="11"/>
      <c r="B72" s="27" t="s">
        <v>294</v>
      </c>
      <c r="C72" s="27"/>
      <c r="D72" s="34">
        <f>+D68-D70</f>
        <v>-75317.290000000008</v>
      </c>
      <c r="E72" s="15"/>
      <c r="F72" s="29">
        <f>IF(D$12=0,0,D72/D$12)</f>
        <v>0</v>
      </c>
      <c r="G72" s="15"/>
      <c r="H72" s="34">
        <f>+H68-H70</f>
        <v>-54549.428504307674</v>
      </c>
      <c r="I72" s="15"/>
      <c r="J72" s="29">
        <f>IF(H$12=0,0,H72/H$12)</f>
        <v>0</v>
      </c>
      <c r="K72" s="16"/>
      <c r="L72" s="34">
        <f>D72-H72</f>
        <v>-20767.861495692334</v>
      </c>
      <c r="M72" s="16"/>
      <c r="N72" s="29">
        <f>IF(H72=0,0,L72/H72)</f>
        <v>0.38071638998110369</v>
      </c>
      <c r="O72" s="28"/>
      <c r="P72" s="34">
        <f>+P68-P70</f>
        <v>-408339.31999999995</v>
      </c>
      <c r="Q72" s="15"/>
      <c r="R72" s="29">
        <f>IF(P$12=0,0,P72/P$12)</f>
        <v>0</v>
      </c>
      <c r="S72" s="15"/>
      <c r="T72" s="34">
        <f>+T68-T70</f>
        <v>-392659.69407700002</v>
      </c>
      <c r="U72" s="15"/>
      <c r="V72" s="29">
        <f>IF(T$12=0,0,T72/T$12)</f>
        <v>0</v>
      </c>
      <c r="W72" s="16"/>
      <c r="X72" s="34">
        <f>P72-T72</f>
        <v>-15679.625922999927</v>
      </c>
      <c r="Y72" s="16"/>
      <c r="Z72" s="29">
        <f>IF(T72=0,0,X72/T72)</f>
        <v>3.9931844697880234E-2</v>
      </c>
    </row>
    <row r="73" spans="1:26" ht="15" customHeight="1" x14ac:dyDescent="0.3">
      <c r="A73" s="10"/>
      <c r="B73" s="10"/>
      <c r="C73" s="10"/>
      <c r="D73" s="4"/>
      <c r="E73" s="4"/>
      <c r="F73" s="9"/>
      <c r="G73" s="4"/>
      <c r="H73" s="4"/>
      <c r="I73" s="4"/>
      <c r="J73" s="9"/>
      <c r="K73" s="4"/>
      <c r="L73" s="4"/>
      <c r="M73" s="4"/>
      <c r="N73" s="9"/>
      <c r="P73" s="4"/>
      <c r="Q73" s="4"/>
      <c r="R73" s="9"/>
      <c r="S73" s="4"/>
      <c r="T73" s="4"/>
      <c r="U73" s="4"/>
      <c r="V73" s="9"/>
      <c r="W73" s="4"/>
      <c r="X73" s="4"/>
      <c r="Y73" s="4"/>
      <c r="Z73" s="9"/>
    </row>
    <row r="74" spans="1:26" ht="15" customHeight="1" x14ac:dyDescent="0.3">
      <c r="A74" s="10"/>
      <c r="B74" s="10"/>
      <c r="C74" s="10"/>
      <c r="D74" s="4"/>
      <c r="E74" s="4"/>
      <c r="F74" s="9"/>
      <c r="G74" s="4"/>
      <c r="H74" s="4"/>
      <c r="I74" s="4"/>
      <c r="J74" s="9"/>
      <c r="K74" s="4"/>
      <c r="L74" s="4"/>
      <c r="M74" s="4"/>
      <c r="N74" s="9"/>
      <c r="P74" s="4"/>
      <c r="Q74" s="4"/>
      <c r="R74" s="9"/>
      <c r="S74" s="4"/>
      <c r="T74" s="4"/>
      <c r="U74" s="4"/>
      <c r="V74" s="9"/>
      <c r="W74" s="4"/>
      <c r="X74" s="4"/>
      <c r="Y74" s="4"/>
      <c r="Z74" s="9"/>
    </row>
    <row r="75" spans="1:26" s="63" customFormat="1" ht="15" customHeight="1" x14ac:dyDescent="0.3">
      <c r="A75" s="11"/>
      <c r="B75" s="27" t="s">
        <v>297</v>
      </c>
      <c r="C75" s="27"/>
      <c r="D75" s="32">
        <f>SUM(D72:D74)</f>
        <v>-75317.290000000008</v>
      </c>
      <c r="E75" s="15"/>
      <c r="F75" s="31">
        <f>IF(D$12=0,0,D75/D$12)</f>
        <v>0</v>
      </c>
      <c r="G75" s="15"/>
      <c r="H75" s="32">
        <f>SUM(H72:H74)</f>
        <v>-54549.428504307674</v>
      </c>
      <c r="I75" s="15"/>
      <c r="J75" s="31">
        <f>IF(H$12=0,0,H75/H$12)</f>
        <v>0</v>
      </c>
      <c r="K75" s="16"/>
      <c r="L75" s="32">
        <f>+D75-H75</f>
        <v>-20767.861495692334</v>
      </c>
      <c r="M75" s="16"/>
      <c r="N75" s="31">
        <f>IF(H75=0,0,L75/H75)</f>
        <v>0.38071638998110369</v>
      </c>
      <c r="O75" s="28"/>
      <c r="P75" s="32">
        <f>SUM(P72:P74)</f>
        <v>-408339.31999999995</v>
      </c>
      <c r="Q75" s="15"/>
      <c r="R75" s="31">
        <f>IF(P$12=0,0,P75/P$12)</f>
        <v>0</v>
      </c>
      <c r="S75" s="15"/>
      <c r="T75" s="32">
        <f>SUM(T72:T74)</f>
        <v>-392659.69407700002</v>
      </c>
      <c r="U75" s="15"/>
      <c r="V75" s="31">
        <f>IF(T$12=0,0,T75/T$12)</f>
        <v>0</v>
      </c>
      <c r="W75" s="16"/>
      <c r="X75" s="32">
        <f>+P75-T75</f>
        <v>-15679.625922999927</v>
      </c>
      <c r="Y75" s="16"/>
      <c r="Z75" s="31">
        <f>IF(T75=0,0,X75/T75)</f>
        <v>3.9931844697880234E-2</v>
      </c>
    </row>
    <row r="76" spans="1:26" ht="15" customHeight="1" x14ac:dyDescent="0.3">
      <c r="A76" s="10"/>
      <c r="C76" s="10"/>
      <c r="D76" s="19"/>
      <c r="E76" s="19"/>
      <c r="G76" s="19"/>
      <c r="H76" s="19"/>
      <c r="I76" s="19"/>
      <c r="J76" s="40"/>
      <c r="K76" s="19"/>
      <c r="L76" s="19"/>
      <c r="M76" s="19"/>
      <c r="P76" s="19"/>
      <c r="Q76" s="19"/>
      <c r="R76" s="40"/>
      <c r="S76" s="19"/>
      <c r="T76" s="19"/>
      <c r="U76" s="19"/>
      <c r="V76" s="40"/>
      <c r="W76" s="19"/>
      <c r="X76" s="19"/>
    </row>
    <row r="77" spans="1:26" ht="15" customHeight="1" x14ac:dyDescent="0.3">
      <c r="A77" s="10"/>
      <c r="B77" s="51">
        <v>44663.047665428239</v>
      </c>
      <c r="D77" s="19"/>
      <c r="E77" s="19"/>
      <c r="G77" s="19"/>
      <c r="H77" s="19"/>
      <c r="I77" s="19"/>
      <c r="J77" s="40"/>
      <c r="K77" s="19"/>
      <c r="L77" s="19"/>
      <c r="M77" s="19"/>
      <c r="P77" s="19"/>
      <c r="Q77" s="19"/>
      <c r="R77" s="40"/>
      <c r="S77" s="19"/>
      <c r="T77" s="19"/>
      <c r="U77" s="19"/>
      <c r="V77" s="40"/>
      <c r="W77" s="19"/>
      <c r="X77" s="19"/>
    </row>
    <row r="78" spans="1:26" ht="15" customHeight="1" x14ac:dyDescent="0.3">
      <c r="A78" s="10"/>
      <c r="B78" s="58" t="s">
        <v>298</v>
      </c>
      <c r="D78" s="19"/>
      <c r="E78" s="19"/>
      <c r="G78" s="19"/>
      <c r="H78" s="19"/>
      <c r="I78" s="19"/>
      <c r="J78" s="40"/>
      <c r="K78" s="19"/>
      <c r="L78" s="19"/>
      <c r="M78" s="19"/>
      <c r="P78" s="19"/>
      <c r="Q78" s="19"/>
      <c r="R78" s="40"/>
      <c r="S78" s="19"/>
      <c r="T78" s="19"/>
      <c r="U78" s="19"/>
      <c r="V78" s="40"/>
      <c r="W78" s="19"/>
      <c r="X78" s="19"/>
    </row>
    <row r="79" spans="1:26" ht="15" customHeight="1" x14ac:dyDescent="0.3">
      <c r="A79" s="10"/>
      <c r="B79" s="50"/>
      <c r="D79" s="19"/>
      <c r="E79" s="19"/>
      <c r="G79" s="19"/>
      <c r="H79" s="19"/>
      <c r="I79" s="19"/>
      <c r="J79" s="40"/>
      <c r="K79" s="19"/>
      <c r="L79" s="19"/>
      <c r="M79" s="19"/>
      <c r="P79" s="19"/>
      <c r="Q79" s="19"/>
      <c r="R79" s="40"/>
      <c r="S79" s="19"/>
      <c r="T79" s="19"/>
      <c r="U79" s="19"/>
      <c r="V79" s="40"/>
      <c r="W79" s="19"/>
      <c r="X79" s="19"/>
    </row>
    <row r="80" spans="1:26" ht="15" customHeight="1" x14ac:dyDescent="0.3">
      <c r="D80" s="19"/>
      <c r="E80" s="19"/>
      <c r="G80" s="19"/>
      <c r="H80" s="19"/>
      <c r="I80" s="19"/>
      <c r="J80" s="40"/>
      <c r="K80" s="19"/>
      <c r="L80" s="19"/>
      <c r="M80" s="19"/>
      <c r="P80" s="19"/>
      <c r="Q80" s="19"/>
      <c r="R80" s="40"/>
      <c r="S80" s="19"/>
      <c r="T80" s="19"/>
      <c r="U80" s="19"/>
      <c r="V80" s="40"/>
      <c r="W80" s="19"/>
      <c r="X80" s="19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A7C7F3-A79B-2BCA-E1FC-7E18A19FF8C3}">
  <sheetPr>
    <tabColor rgb="FF92D050"/>
    <outlinePr summaryBelow="0" summaryRight="0"/>
  </sheetPr>
  <dimension ref="A2:Z89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6" customWidth="1"/>
    <col min="2" max="2" width="33.44140625" style="66" customWidth="1"/>
    <col min="3" max="3" width="1.88671875" style="66" customWidth="1"/>
    <col min="4" max="4" width="15" style="66" customWidth="1"/>
    <col min="5" max="5" width="1.88671875" style="66" customWidth="1" outlineLevel="1"/>
    <col min="6" max="6" width="15" style="67" customWidth="1" outlineLevel="1"/>
    <col min="7" max="7" width="1.88671875" style="66" customWidth="1" outlineLevel="1"/>
    <col min="8" max="8" width="15" style="66" customWidth="1" outlineLevel="1"/>
    <col min="9" max="9" width="1.88671875" style="66" customWidth="1" outlineLevel="1"/>
    <col min="10" max="10" width="15" style="68" customWidth="1" outlineLevel="1"/>
    <col min="11" max="11" width="1.88671875" style="66" customWidth="1" outlineLevel="1"/>
    <col min="12" max="12" width="15" style="66" customWidth="1" outlineLevel="1"/>
    <col min="13" max="13" width="1.88671875" style="66" customWidth="1" outlineLevel="1"/>
    <col min="14" max="14" width="15" style="67" customWidth="1" outlineLevel="1"/>
    <col min="15" max="15" width="1.88671875" style="64" customWidth="1"/>
    <col min="16" max="16" width="15" style="66" customWidth="1"/>
    <col min="17" max="17" width="1.88671875" style="66" customWidth="1" outlineLevel="1"/>
    <col min="18" max="18" width="15" style="68" customWidth="1" outlineLevel="1"/>
    <col min="19" max="19" width="1.88671875" style="66" customWidth="1" outlineLevel="1"/>
    <col min="20" max="20" width="15" style="66" customWidth="1" outlineLevel="1"/>
    <col min="21" max="21" width="1.88671875" style="66" customWidth="1" outlineLevel="1"/>
    <col min="22" max="22" width="15" style="68" customWidth="1" outlineLevel="1"/>
    <col min="23" max="23" width="1.88671875" style="66" customWidth="1" outlineLevel="1"/>
    <col min="24" max="24" width="15" style="66" customWidth="1" outlineLevel="1"/>
    <col min="25" max="25" width="1.88671875" style="66" customWidth="1" outlineLevel="1"/>
    <col min="26" max="26" width="15" style="68" customWidth="1" outlineLevel="1"/>
  </cols>
  <sheetData>
    <row r="2" spans="1:26" ht="15" customHeight="1" x14ac:dyDescent="0.3">
      <c r="D2" s="54" t="s">
        <v>276</v>
      </c>
    </row>
    <row r="3" spans="1:26" ht="15" customHeight="1" x14ac:dyDescent="0.3">
      <c r="D3" s="54" t="s">
        <v>277</v>
      </c>
      <c r="E3" s="18"/>
      <c r="F3" s="44"/>
      <c r="G3" s="18"/>
      <c r="H3" s="18"/>
      <c r="I3" s="18"/>
      <c r="J3" s="38"/>
      <c r="K3" s="18"/>
      <c r="L3" s="18"/>
      <c r="M3" s="18"/>
      <c r="N3" s="44"/>
      <c r="O3" s="53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ht="15" customHeight="1" x14ac:dyDescent="0.3">
      <c r="D4" s="54" t="str">
        <f>CONCATENATE("Period ",RIGHT(202209,2),", ",2022)</f>
        <v>Period 09, 2022</v>
      </c>
      <c r="E4" s="18"/>
      <c r="F4" s="44"/>
      <c r="G4" s="18"/>
      <c r="H4" s="18"/>
      <c r="I4" s="18"/>
      <c r="J4" s="38"/>
      <c r="K4" s="18"/>
      <c r="L4" s="18"/>
      <c r="M4" s="18"/>
      <c r="N4" s="44"/>
      <c r="O4" s="53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ht="15" customHeight="1" x14ac:dyDescent="0.3">
      <c r="A5" s="24"/>
      <c r="D5" s="60">
        <v>44646</v>
      </c>
      <c r="E5" s="18"/>
      <c r="F5" s="44"/>
      <c r="G5" s="18"/>
      <c r="H5" s="18"/>
      <c r="I5" s="18"/>
      <c r="J5" s="38"/>
      <c r="K5" s="18"/>
      <c r="L5" s="18"/>
      <c r="M5" s="18"/>
      <c r="N5" s="44"/>
      <c r="O5" s="53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ht="15" customHeight="1" x14ac:dyDescent="0.3">
      <c r="A6" s="24"/>
      <c r="B6" s="47"/>
      <c r="C6" s="47"/>
      <c r="D6" s="24" t="str">
        <f>CONCATENATE("Department ","203"," - ","Human Resources")</f>
        <v>Department 203 - Human Resources</v>
      </c>
      <c r="E6" s="18"/>
      <c r="F6" s="44"/>
      <c r="G6" s="18"/>
      <c r="H6" s="18"/>
      <c r="I6" s="18"/>
      <c r="J6" s="38"/>
      <c r="K6" s="18"/>
      <c r="L6" s="18"/>
      <c r="M6" s="18"/>
      <c r="N6" s="44"/>
      <c r="O6" s="59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ht="15" customHeight="1" x14ac:dyDescent="0.3">
      <c r="B7" s="52"/>
    </row>
    <row r="8" spans="1:26" ht="15" customHeight="1" x14ac:dyDescent="0.3">
      <c r="B8" s="52"/>
    </row>
    <row r="9" spans="1:26" ht="15" customHeight="1" x14ac:dyDescent="0.3">
      <c r="B9" s="10"/>
      <c r="C9" s="10"/>
      <c r="D9" s="17" t="s">
        <v>279</v>
      </c>
      <c r="E9" s="17"/>
      <c r="F9" s="36"/>
      <c r="G9" s="17"/>
      <c r="H9" s="17"/>
      <c r="I9" s="17"/>
      <c r="J9" s="43"/>
      <c r="K9" s="17"/>
      <c r="L9" s="17"/>
      <c r="M9" s="17"/>
      <c r="N9" s="36"/>
      <c r="P9" s="17" t="s">
        <v>280</v>
      </c>
      <c r="Q9" s="17"/>
      <c r="R9" s="36"/>
      <c r="S9" s="17"/>
      <c r="T9" s="17"/>
      <c r="U9" s="17"/>
      <c r="V9" s="43"/>
      <c r="W9" s="17"/>
      <c r="X9" s="17"/>
      <c r="Y9" s="17"/>
      <c r="Z9" s="36"/>
    </row>
    <row r="10" spans="1:26" ht="15" customHeight="1" x14ac:dyDescent="0.3">
      <c r="A10" s="11"/>
      <c r="B10" s="57"/>
      <c r="C10" s="11"/>
      <c r="D10" s="41" t="s">
        <v>281</v>
      </c>
      <c r="E10" s="33"/>
      <c r="F10" s="37" t="s">
        <v>282</v>
      </c>
      <c r="G10" s="33"/>
      <c r="H10" s="48" t="s">
        <v>283</v>
      </c>
      <c r="I10" s="33"/>
      <c r="J10" s="45" t="s">
        <v>284</v>
      </c>
      <c r="K10" s="11"/>
      <c r="L10" s="41" t="s">
        <v>285</v>
      </c>
      <c r="M10" s="11"/>
      <c r="N10" s="37" t="s">
        <v>286</v>
      </c>
      <c r="O10" s="11"/>
      <c r="P10" s="56" t="s">
        <v>281</v>
      </c>
      <c r="Q10" s="33"/>
      <c r="R10" s="37" t="s">
        <v>282</v>
      </c>
      <c r="S10" s="33"/>
      <c r="T10" s="48" t="s">
        <v>283</v>
      </c>
      <c r="U10" s="33"/>
      <c r="V10" s="45" t="s">
        <v>284</v>
      </c>
      <c r="W10" s="11"/>
      <c r="X10" s="41" t="s">
        <v>285</v>
      </c>
      <c r="Y10" s="11"/>
      <c r="Z10" s="37" t="s">
        <v>286</v>
      </c>
    </row>
    <row r="11" spans="1:26" ht="16.5" customHeight="1" x14ac:dyDescent="0.3">
      <c r="A11" s="10"/>
      <c r="B11" s="55"/>
      <c r="C11" s="10"/>
      <c r="D11" s="10"/>
      <c r="E11" s="10"/>
      <c r="F11" s="9"/>
      <c r="G11" s="10"/>
      <c r="H11" s="10"/>
      <c r="I11" s="10"/>
      <c r="J11" s="46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6"/>
      <c r="W11" s="10"/>
      <c r="X11" s="10"/>
      <c r="Y11" s="10"/>
      <c r="Z11" s="9"/>
    </row>
    <row r="12" spans="1:26" s="63" customFormat="1" ht="15" customHeight="1" x14ac:dyDescent="0.3">
      <c r="A12" s="11"/>
      <c r="B12" s="28" t="s">
        <v>287</v>
      </c>
      <c r="C12" s="11"/>
      <c r="D12" s="5">
        <f>SUM(0)</f>
        <v>0</v>
      </c>
      <c r="E12" s="5"/>
      <c r="F12" s="13"/>
      <c r="G12" s="5"/>
      <c r="H12" s="5">
        <f>SUM(0)</f>
        <v>0</v>
      </c>
      <c r="I12" s="5"/>
      <c r="J12" s="13"/>
      <c r="K12" s="5"/>
      <c r="L12" s="5">
        <f>+D12-H12</f>
        <v>0</v>
      </c>
      <c r="M12" s="5"/>
      <c r="N12" s="13">
        <f>IF(H12=0,0,L12/H12)</f>
        <v>0</v>
      </c>
      <c r="O12" s="11"/>
      <c r="P12" s="5">
        <f>SUM(0)</f>
        <v>0</v>
      </c>
      <c r="Q12" s="5"/>
      <c r="R12" s="13"/>
      <c r="S12" s="5"/>
      <c r="T12" s="5">
        <f>SUM(0)</f>
        <v>0</v>
      </c>
      <c r="U12" s="5"/>
      <c r="V12" s="13"/>
      <c r="W12" s="5"/>
      <c r="X12" s="5">
        <f>+P12-T12</f>
        <v>0</v>
      </c>
      <c r="Y12" s="5"/>
      <c r="Z12" s="13">
        <f>IF(T12=0,0,X12/T12)</f>
        <v>0</v>
      </c>
    </row>
    <row r="13" spans="1:26" ht="15" customHeight="1" x14ac:dyDescent="0.3">
      <c r="A13" s="10"/>
      <c r="B13" s="11"/>
      <c r="C13" s="10"/>
      <c r="D13" s="4"/>
      <c r="E13" s="4"/>
      <c r="F13" s="9"/>
      <c r="G13" s="4"/>
      <c r="H13" s="4"/>
      <c r="I13" s="4"/>
      <c r="J13" s="9"/>
      <c r="K13" s="4"/>
      <c r="L13" s="4"/>
      <c r="M13" s="4"/>
      <c r="N13" s="9"/>
      <c r="P13" s="4"/>
      <c r="Q13" s="4"/>
      <c r="R13" s="9"/>
      <c r="S13" s="4"/>
      <c r="T13" s="4"/>
      <c r="U13" s="4"/>
      <c r="V13" s="9"/>
      <c r="W13" s="4"/>
      <c r="X13" s="4"/>
      <c r="Y13" s="4"/>
      <c r="Z13" s="9"/>
    </row>
    <row r="14" spans="1:26" s="63" customFormat="1" ht="15" customHeight="1" x14ac:dyDescent="0.3">
      <c r="A14" s="11"/>
      <c r="B14" s="28" t="s">
        <v>288</v>
      </c>
      <c r="C14" s="11"/>
      <c r="D14" s="5">
        <f>SUM(0)</f>
        <v>0</v>
      </c>
      <c r="E14" s="5"/>
      <c r="F14" s="13">
        <f>IF(D$12=0,0,D14/D$12)</f>
        <v>0</v>
      </c>
      <c r="G14" s="5"/>
      <c r="H14" s="5">
        <f>SUM(0)</f>
        <v>0</v>
      </c>
      <c r="I14" s="5"/>
      <c r="J14" s="13">
        <f>IF(H$12=0,0,H14/H$12)</f>
        <v>0</v>
      </c>
      <c r="K14" s="5"/>
      <c r="L14" s="5">
        <f>+D14-H14</f>
        <v>0</v>
      </c>
      <c r="M14" s="5"/>
      <c r="N14" s="13">
        <f>IF(H14=0,0,L14/H14)</f>
        <v>0</v>
      </c>
      <c r="O14" s="11"/>
      <c r="P14" s="5">
        <f>SUM(0)</f>
        <v>0</v>
      </c>
      <c r="Q14" s="5"/>
      <c r="R14" s="13">
        <f>IF(P$12=0,0,P14/P$12)</f>
        <v>0</v>
      </c>
      <c r="S14" s="5"/>
      <c r="T14" s="5">
        <f>SUM(0)</f>
        <v>0</v>
      </c>
      <c r="U14" s="5"/>
      <c r="V14" s="13">
        <f>IF(T$12=0,0,T14/T$12)</f>
        <v>0</v>
      </c>
      <c r="W14" s="5"/>
      <c r="X14" s="5">
        <f>+P14-T14</f>
        <v>0</v>
      </c>
      <c r="Y14" s="5"/>
      <c r="Z14" s="13">
        <f>IF(T14=0,0,X14/T14)</f>
        <v>0</v>
      </c>
    </row>
    <row r="15" spans="1:26" ht="15" customHeight="1" x14ac:dyDescent="0.3">
      <c r="A15" s="10"/>
      <c r="B15" s="11"/>
      <c r="C15" s="11"/>
      <c r="D15" s="4"/>
      <c r="E15" s="4"/>
      <c r="F15" s="9"/>
      <c r="G15" s="4"/>
      <c r="H15" s="4"/>
      <c r="I15" s="4"/>
      <c r="J15" s="9"/>
      <c r="K15" s="4"/>
      <c r="L15" s="4"/>
      <c r="M15" s="4"/>
      <c r="N15" s="9"/>
      <c r="O15" s="11"/>
      <c r="P15" s="4"/>
      <c r="Q15" s="4"/>
      <c r="R15" s="9"/>
      <c r="S15" s="4"/>
      <c r="T15" s="4"/>
      <c r="U15" s="4"/>
      <c r="V15" s="9"/>
      <c r="W15" s="4"/>
      <c r="X15" s="4"/>
      <c r="Y15" s="4"/>
      <c r="Z15" s="9"/>
    </row>
    <row r="16" spans="1:26" s="63" customFormat="1" ht="15" customHeight="1" x14ac:dyDescent="0.3">
      <c r="A16" s="11"/>
      <c r="B16" s="27" t="s">
        <v>289</v>
      </c>
      <c r="C16" s="27"/>
      <c r="D16" s="21">
        <f>D12-D14</f>
        <v>0</v>
      </c>
      <c r="E16" s="15"/>
      <c r="F16" s="23">
        <f>IF(D$12=0,0,D16/D$12)</f>
        <v>0</v>
      </c>
      <c r="G16" s="15"/>
      <c r="H16" s="21">
        <f>H12-H14</f>
        <v>0</v>
      </c>
      <c r="I16" s="15"/>
      <c r="J16" s="23">
        <f>IF(H$12=0,0,H16/H$12)</f>
        <v>0</v>
      </c>
      <c r="K16" s="16"/>
      <c r="L16" s="21">
        <f>+D16-H16</f>
        <v>0</v>
      </c>
      <c r="M16" s="16"/>
      <c r="N16" s="23">
        <f>IF(H16=0,0,L16/H16)</f>
        <v>0</v>
      </c>
      <c r="O16" s="28"/>
      <c r="P16" s="21">
        <f>P12-P14</f>
        <v>0</v>
      </c>
      <c r="Q16" s="15"/>
      <c r="R16" s="23">
        <f>IF(P$12=0,0,P16/P$12)</f>
        <v>0</v>
      </c>
      <c r="S16" s="15"/>
      <c r="T16" s="21">
        <f>T12-T14</f>
        <v>0</v>
      </c>
      <c r="U16" s="15"/>
      <c r="V16" s="23">
        <f>IF(T$12=0,0,T16/T$12)</f>
        <v>0</v>
      </c>
      <c r="W16" s="16"/>
      <c r="X16" s="21">
        <f>+P16-T16</f>
        <v>0</v>
      </c>
      <c r="Y16" s="16"/>
      <c r="Z16" s="23">
        <f>IF(T16=0,0,X16/T16)</f>
        <v>0</v>
      </c>
    </row>
    <row r="17" spans="1:26" ht="15" customHeight="1" x14ac:dyDescent="0.3">
      <c r="A17" s="10"/>
      <c r="B17" s="11"/>
      <c r="C17" s="10"/>
      <c r="D17" s="2"/>
      <c r="E17" s="2"/>
      <c r="F17" s="6"/>
      <c r="G17" s="2"/>
      <c r="H17" s="2"/>
      <c r="I17" s="2"/>
      <c r="J17" s="6"/>
      <c r="K17" s="2"/>
      <c r="L17" s="2"/>
      <c r="M17" s="2"/>
      <c r="N17" s="6"/>
      <c r="O17" s="35"/>
      <c r="P17" s="2"/>
      <c r="Q17" s="2"/>
      <c r="R17" s="6"/>
      <c r="S17" s="2"/>
      <c r="T17" s="2"/>
      <c r="U17" s="2"/>
      <c r="V17" s="6"/>
      <c r="W17" s="2"/>
      <c r="X17" s="2"/>
      <c r="Y17" s="2"/>
      <c r="Z17" s="6"/>
    </row>
    <row r="18" spans="1:26" s="63" customFormat="1" ht="15" customHeight="1" x14ac:dyDescent="0.3">
      <c r="A18" s="11"/>
      <c r="B18" s="28" t="s">
        <v>290</v>
      </c>
      <c r="C18" s="11"/>
      <c r="D18" s="22" cm="1">
        <f t="array" ref="D18">SUM(OSRRefD22x_0)</f>
        <v>50925.13</v>
      </c>
      <c r="E18" s="22"/>
      <c r="F18" s="30">
        <f t="shared" ref="F18:F49" si="0">IF(D$12=0,0,D18/D$12)</f>
        <v>0</v>
      </c>
      <c r="G18" s="22"/>
      <c r="H18" s="22" cm="1">
        <f t="array" ref="H18">SUM(OSRRefH22x_0)</f>
        <v>46434.26516968615</v>
      </c>
      <c r="I18" s="22"/>
      <c r="J18" s="30">
        <f t="shared" ref="J18:J49" si="1">IF(H$12=0,0,H18/H$12)</f>
        <v>0</v>
      </c>
      <c r="K18" s="5"/>
      <c r="L18" s="22">
        <f t="shared" ref="L18:L49" si="2">+D18-H18</f>
        <v>4490.8648303138471</v>
      </c>
      <c r="M18" s="5"/>
      <c r="N18" s="30">
        <f t="shared" ref="N18:N49" si="3">IF(H18=0,0,L18/H18)</f>
        <v>9.6714458900183792E-2</v>
      </c>
      <c r="O18" s="11"/>
      <c r="P18" s="22" cm="1">
        <f t="array" ref="P18">SUM(OSRRefP22x_0)</f>
        <v>499339.32</v>
      </c>
      <c r="Q18" s="22"/>
      <c r="R18" s="30">
        <f t="shared" ref="R18:R49" si="4">IF(P$12=0,0,P18/P$12)</f>
        <v>0</v>
      </c>
      <c r="S18" s="22"/>
      <c r="T18" s="22" cm="1">
        <f t="array" ref="T18">SUM(OSRRefT22x_0)</f>
        <v>442969.08540444</v>
      </c>
      <c r="U18" s="22"/>
      <c r="V18" s="30">
        <f t="shared" ref="V18:V49" si="5">IF(T$12=0,0,T18/T$12)</f>
        <v>0</v>
      </c>
      <c r="W18" s="5"/>
      <c r="X18" s="22">
        <f t="shared" ref="X18:X49" si="6">+P18-T18</f>
        <v>56370.234595560003</v>
      </c>
      <c r="Y18" s="5"/>
      <c r="Z18" s="30">
        <f t="shared" ref="Z18:Z49" si="7">IF(T18=0,0,X18/T18)</f>
        <v>0.1272554596989377</v>
      </c>
    </row>
    <row r="19" spans="1:26" s="69" customFormat="1" ht="15" customHeight="1" outlineLevel="1" collapsed="1" x14ac:dyDescent="0.3">
      <c r="A19" s="25"/>
      <c r="B19" s="14" t="str">
        <f>CONCATENATE("     ","*Benefits                                         ")</f>
        <v xml:space="preserve">     *Benefits                                         </v>
      </c>
      <c r="C19" s="14"/>
      <c r="D19" s="2">
        <f>SUM(OSRRefD22_0x_0)</f>
        <v>12760.820000000003</v>
      </c>
      <c r="E19" s="2"/>
      <c r="F19" s="6">
        <f t="shared" si="0"/>
        <v>0</v>
      </c>
      <c r="G19" s="2"/>
      <c r="H19" s="2">
        <f>SUM(OSRRefH22_0x_0)</f>
        <v>11218.47940968615</v>
      </c>
      <c r="I19" s="2"/>
      <c r="J19" s="6">
        <f t="shared" si="1"/>
        <v>0</v>
      </c>
      <c r="K19" s="2"/>
      <c r="L19" s="2">
        <f t="shared" si="2"/>
        <v>1542.3405903138537</v>
      </c>
      <c r="M19" s="2"/>
      <c r="N19" s="6">
        <f t="shared" si="3"/>
        <v>0.13748214298830741</v>
      </c>
      <c r="O19" s="14"/>
      <c r="P19" s="2">
        <f>SUM(OSRRefP22_0x_0)</f>
        <v>134382.39999999999</v>
      </c>
      <c r="Q19" s="2"/>
      <c r="R19" s="6">
        <f t="shared" si="4"/>
        <v>0</v>
      </c>
      <c r="S19" s="2"/>
      <c r="T19" s="2">
        <f>SUM(OSRRefT22_0x_0)</f>
        <v>107059.67424444</v>
      </c>
      <c r="U19" s="2"/>
      <c r="V19" s="6">
        <f t="shared" si="5"/>
        <v>0</v>
      </c>
      <c r="W19" s="2"/>
      <c r="X19" s="2">
        <f t="shared" si="6"/>
        <v>27322.725755559994</v>
      </c>
      <c r="Y19" s="2"/>
      <c r="Z19" s="6">
        <f t="shared" si="7"/>
        <v>0.25521024557926825</v>
      </c>
    </row>
    <row r="20" spans="1:26" s="70" customFormat="1" ht="15" hidden="1" customHeight="1" outlineLevel="2" x14ac:dyDescent="0.3">
      <c r="A20" s="26"/>
      <c r="B20" s="12" t="str">
        <f>CONCATENATE("          ","6111"," - ","F.I.C.A.")</f>
        <v xml:space="preserve">          6111 - F.I.C.A.</v>
      </c>
      <c r="C20" s="12"/>
      <c r="D20" s="7">
        <v>2289.5500000000002</v>
      </c>
      <c r="E20" s="3"/>
      <c r="F20" s="8">
        <f t="shared" si="0"/>
        <v>0</v>
      </c>
      <c r="G20" s="3"/>
      <c r="H20" s="7">
        <v>1560.2483342400001</v>
      </c>
      <c r="I20" s="3"/>
      <c r="J20" s="8">
        <f t="shared" si="1"/>
        <v>0</v>
      </c>
      <c r="K20" s="3"/>
      <c r="L20" s="7">
        <f t="shared" si="2"/>
        <v>729.30166576000011</v>
      </c>
      <c r="M20" s="3"/>
      <c r="N20" s="8">
        <f t="shared" si="3"/>
        <v>0.46742665879226486</v>
      </c>
      <c r="O20" s="12"/>
      <c r="P20" s="7">
        <v>20955.7</v>
      </c>
      <c r="Q20" s="3"/>
      <c r="R20" s="8">
        <f t="shared" si="4"/>
        <v>0</v>
      </c>
      <c r="S20" s="3"/>
      <c r="T20" s="7">
        <v>15212.421258840001</v>
      </c>
      <c r="U20" s="3"/>
      <c r="V20" s="8">
        <f t="shared" si="5"/>
        <v>0</v>
      </c>
      <c r="W20" s="3"/>
      <c r="X20" s="7">
        <f t="shared" si="6"/>
        <v>5743.2787411600002</v>
      </c>
      <c r="Y20" s="3"/>
      <c r="Z20" s="8">
        <f t="shared" si="7"/>
        <v>0.3775387654231937</v>
      </c>
    </row>
    <row r="21" spans="1:26" s="70" customFormat="1" ht="15" hidden="1" customHeight="1" outlineLevel="2" x14ac:dyDescent="0.3">
      <c r="A21" s="26"/>
      <c r="B21" s="12" t="str">
        <f>CONCATENATE("          ","6112"," - ","COMPENSATION INSURANCE")</f>
        <v xml:space="preserve">          6112 - COMPENSATION INSURANCE</v>
      </c>
      <c r="C21" s="12"/>
      <c r="D21" s="7">
        <v>383.38</v>
      </c>
      <c r="E21" s="3"/>
      <c r="F21" s="8">
        <f t="shared" si="0"/>
        <v>0</v>
      </c>
      <c r="G21" s="3"/>
      <c r="H21" s="7">
        <v>81.800964800000003</v>
      </c>
      <c r="I21" s="3"/>
      <c r="J21" s="8">
        <f t="shared" si="1"/>
        <v>0</v>
      </c>
      <c r="K21" s="3"/>
      <c r="L21" s="7">
        <f t="shared" si="2"/>
        <v>301.57903520000002</v>
      </c>
      <c r="M21" s="3"/>
      <c r="N21" s="8">
        <f t="shared" si="3"/>
        <v>3.6867417876714335</v>
      </c>
      <c r="O21" s="12"/>
      <c r="P21" s="7">
        <v>3507.94</v>
      </c>
      <c r="Q21" s="3"/>
      <c r="R21" s="8">
        <f t="shared" si="4"/>
        <v>0</v>
      </c>
      <c r="S21" s="3"/>
      <c r="T21" s="7">
        <v>797.55940680000003</v>
      </c>
      <c r="U21" s="3"/>
      <c r="V21" s="8">
        <f t="shared" si="5"/>
        <v>0</v>
      </c>
      <c r="W21" s="3"/>
      <c r="X21" s="7">
        <f t="shared" si="6"/>
        <v>2710.3805932</v>
      </c>
      <c r="Y21" s="3"/>
      <c r="Z21" s="8">
        <f t="shared" si="7"/>
        <v>3.3983432081563656</v>
      </c>
    </row>
    <row r="22" spans="1:26" s="70" customFormat="1" ht="15" hidden="1" customHeight="1" outlineLevel="2" x14ac:dyDescent="0.3">
      <c r="A22" s="26"/>
      <c r="B22" s="12" t="str">
        <f>CONCATENATE("          ","6113"," - ","GROUP INSURANCE")</f>
        <v xml:space="preserve">          6113 - GROUP INSURANCE</v>
      </c>
      <c r="C22" s="12"/>
      <c r="D22" s="7">
        <v>5574.36</v>
      </c>
      <c r="E22" s="3"/>
      <c r="F22" s="8">
        <f t="shared" si="0"/>
        <v>0</v>
      </c>
      <c r="G22" s="3"/>
      <c r="H22" s="7">
        <v>6238.8461538461497</v>
      </c>
      <c r="I22" s="3"/>
      <c r="J22" s="8">
        <f t="shared" si="1"/>
        <v>0</v>
      </c>
      <c r="K22" s="3"/>
      <c r="L22" s="7">
        <f t="shared" si="2"/>
        <v>-664.48615384615005</v>
      </c>
      <c r="M22" s="3"/>
      <c r="N22" s="8">
        <f t="shared" si="3"/>
        <v>-0.106507860181246</v>
      </c>
      <c r="O22" s="12"/>
      <c r="P22" s="7">
        <v>53050.47</v>
      </c>
      <c r="Q22" s="3"/>
      <c r="R22" s="8">
        <f t="shared" si="4"/>
        <v>0</v>
      </c>
      <c r="S22" s="3"/>
      <c r="T22" s="7">
        <v>59346</v>
      </c>
      <c r="U22" s="3"/>
      <c r="V22" s="8">
        <f t="shared" si="5"/>
        <v>0</v>
      </c>
      <c r="W22" s="3"/>
      <c r="X22" s="7">
        <f t="shared" si="6"/>
        <v>-6295.5299999999988</v>
      </c>
      <c r="Y22" s="3"/>
      <c r="Z22" s="8">
        <f t="shared" si="7"/>
        <v>-0.10608179152765138</v>
      </c>
    </row>
    <row r="23" spans="1:26" s="70" customFormat="1" ht="15" hidden="1" customHeight="1" outlineLevel="2" x14ac:dyDescent="0.3">
      <c r="A23" s="26"/>
      <c r="B23" s="12" t="str">
        <f>CONCATENATE("          ","6114"," - ","STATE UNEMPLOYMENT INSURANCE")</f>
        <v xml:space="preserve">          6114 - STATE UNEMPLOYMENT INSURANCE</v>
      </c>
      <c r="C23" s="12"/>
      <c r="D23" s="7">
        <v>77.27</v>
      </c>
      <c r="E23" s="3"/>
      <c r="F23" s="8">
        <f t="shared" si="0"/>
        <v>0</v>
      </c>
      <c r="G23" s="3"/>
      <c r="H23" s="7">
        <v>55.413556800000002</v>
      </c>
      <c r="I23" s="3"/>
      <c r="J23" s="8">
        <f t="shared" si="1"/>
        <v>0</v>
      </c>
      <c r="K23" s="3"/>
      <c r="L23" s="7">
        <f t="shared" si="2"/>
        <v>21.856443199999994</v>
      </c>
      <c r="M23" s="3"/>
      <c r="N23" s="8">
        <f t="shared" si="3"/>
        <v>0.39442411680745953</v>
      </c>
      <c r="O23" s="12"/>
      <c r="P23" s="7">
        <v>707.03</v>
      </c>
      <c r="Q23" s="3"/>
      <c r="R23" s="8">
        <f t="shared" si="4"/>
        <v>0</v>
      </c>
      <c r="S23" s="3"/>
      <c r="T23" s="7">
        <v>540.2821788</v>
      </c>
      <c r="U23" s="3"/>
      <c r="V23" s="8">
        <f t="shared" si="5"/>
        <v>0</v>
      </c>
      <c r="W23" s="3"/>
      <c r="X23" s="7">
        <f t="shared" si="6"/>
        <v>166.74782119999998</v>
      </c>
      <c r="Y23" s="3"/>
      <c r="Z23" s="8">
        <f t="shared" si="7"/>
        <v>0.3086309853313266</v>
      </c>
    </row>
    <row r="24" spans="1:26" s="70" customFormat="1" ht="15" hidden="1" customHeight="1" outlineLevel="2" x14ac:dyDescent="0.3">
      <c r="A24" s="26"/>
      <c r="B24" s="12" t="str">
        <f>CONCATENATE("          ","6115"," - ","P.E.R.S.")</f>
        <v xml:space="preserve">          6115 - P.E.R.S.</v>
      </c>
      <c r="C24" s="12"/>
      <c r="D24" s="7">
        <v>1287.54</v>
      </c>
      <c r="E24" s="3"/>
      <c r="F24" s="8">
        <f t="shared" si="0"/>
        <v>0</v>
      </c>
      <c r="G24" s="3"/>
      <c r="H24" s="7">
        <v>885.8</v>
      </c>
      <c r="I24" s="3"/>
      <c r="J24" s="8">
        <f t="shared" si="1"/>
        <v>0</v>
      </c>
      <c r="K24" s="3"/>
      <c r="L24" s="7">
        <f t="shared" si="2"/>
        <v>401.74</v>
      </c>
      <c r="M24" s="3"/>
      <c r="N24" s="8">
        <f t="shared" si="3"/>
        <v>0.45353352901332133</v>
      </c>
      <c r="O24" s="12"/>
      <c r="P24" s="7">
        <v>12008.79</v>
      </c>
      <c r="Q24" s="3"/>
      <c r="R24" s="8">
        <f t="shared" si="4"/>
        <v>0</v>
      </c>
      <c r="S24" s="3"/>
      <c r="T24" s="7">
        <v>8636.5499999999993</v>
      </c>
      <c r="U24" s="3"/>
      <c r="V24" s="8">
        <f t="shared" si="5"/>
        <v>0</v>
      </c>
      <c r="W24" s="3"/>
      <c r="X24" s="7">
        <f t="shared" si="6"/>
        <v>3372.2400000000016</v>
      </c>
      <c r="Y24" s="3"/>
      <c r="Z24" s="8">
        <f t="shared" si="7"/>
        <v>0.39046146898935363</v>
      </c>
    </row>
    <row r="25" spans="1:26" s="70" customFormat="1" ht="15" hidden="1" customHeight="1" outlineLevel="2" x14ac:dyDescent="0.3">
      <c r="A25" s="26"/>
      <c r="B25" s="12" t="str">
        <f>CONCATENATE("          ","6116"," - ","EDUCATIONAL BENEFITS")</f>
        <v xml:space="preserve">          6116 - EDUCATIONAL BENEFITS</v>
      </c>
      <c r="C25" s="12"/>
      <c r="D25" s="7"/>
      <c r="E25" s="3"/>
      <c r="F25" s="8">
        <f t="shared" si="0"/>
        <v>0</v>
      </c>
      <c r="G25" s="3"/>
      <c r="H25" s="7">
        <v>417</v>
      </c>
      <c r="I25" s="3"/>
      <c r="J25" s="8">
        <f t="shared" si="1"/>
        <v>0</v>
      </c>
      <c r="K25" s="3"/>
      <c r="L25" s="7">
        <f t="shared" si="2"/>
        <v>-417</v>
      </c>
      <c r="M25" s="3"/>
      <c r="N25" s="8">
        <f t="shared" si="3"/>
        <v>-1</v>
      </c>
      <c r="O25" s="12"/>
      <c r="P25" s="7">
        <v>2636</v>
      </c>
      <c r="Q25" s="3"/>
      <c r="R25" s="8">
        <f t="shared" si="4"/>
        <v>0</v>
      </c>
      <c r="S25" s="3"/>
      <c r="T25" s="7">
        <v>3753</v>
      </c>
      <c r="U25" s="3"/>
      <c r="V25" s="8">
        <f t="shared" si="5"/>
        <v>0</v>
      </c>
      <c r="W25" s="3"/>
      <c r="X25" s="7">
        <f t="shared" si="6"/>
        <v>-1117</v>
      </c>
      <c r="Y25" s="3"/>
      <c r="Z25" s="8">
        <f t="shared" si="7"/>
        <v>-0.2976285638156142</v>
      </c>
    </row>
    <row r="26" spans="1:26" s="70" customFormat="1" ht="15" hidden="1" customHeight="1" outlineLevel="2" x14ac:dyDescent="0.3">
      <c r="A26" s="26"/>
      <c r="B26" s="12" t="str">
        <f>CONCATENATE("          ","6117"," - ","RETIREMENT STAFF HOURLY")</f>
        <v xml:space="preserve">          6117 - RETIREMENT STAFF HOURLY</v>
      </c>
      <c r="C26" s="12"/>
      <c r="D26" s="7">
        <v>682.41</v>
      </c>
      <c r="E26" s="3"/>
      <c r="F26" s="8">
        <f t="shared" si="0"/>
        <v>0</v>
      </c>
      <c r="G26" s="3"/>
      <c r="H26" s="7"/>
      <c r="I26" s="3"/>
      <c r="J26" s="8">
        <f t="shared" si="1"/>
        <v>0</v>
      </c>
      <c r="K26" s="3"/>
      <c r="L26" s="7">
        <f t="shared" si="2"/>
        <v>682.41</v>
      </c>
      <c r="M26" s="3"/>
      <c r="N26" s="8">
        <f t="shared" si="3"/>
        <v>0</v>
      </c>
      <c r="O26" s="12"/>
      <c r="P26" s="7">
        <v>9325</v>
      </c>
      <c r="Q26" s="3"/>
      <c r="R26" s="8">
        <f t="shared" si="4"/>
        <v>0</v>
      </c>
      <c r="S26" s="3"/>
      <c r="T26" s="7"/>
      <c r="U26" s="3"/>
      <c r="V26" s="8">
        <f t="shared" si="5"/>
        <v>0</v>
      </c>
      <c r="W26" s="3"/>
      <c r="X26" s="7">
        <f t="shared" si="6"/>
        <v>9325</v>
      </c>
      <c r="Y26" s="3"/>
      <c r="Z26" s="8">
        <f t="shared" si="7"/>
        <v>0</v>
      </c>
    </row>
    <row r="27" spans="1:26" s="70" customFormat="1" ht="15" hidden="1" customHeight="1" outlineLevel="2" x14ac:dyDescent="0.3">
      <c r="A27" s="26"/>
      <c r="B27" s="12" t="str">
        <f>CONCATENATE("          ","6118"," - ","VACATION")</f>
        <v xml:space="preserve">          6118 - VACATION</v>
      </c>
      <c r="C27" s="12"/>
      <c r="D27" s="7">
        <v>781.36</v>
      </c>
      <c r="E27" s="3"/>
      <c r="F27" s="8">
        <f t="shared" si="0"/>
        <v>0</v>
      </c>
      <c r="G27" s="3"/>
      <c r="H27" s="7">
        <v>731.62224000000003</v>
      </c>
      <c r="I27" s="3"/>
      <c r="J27" s="8">
        <f t="shared" si="1"/>
        <v>0</v>
      </c>
      <c r="K27" s="3"/>
      <c r="L27" s="7">
        <f t="shared" si="2"/>
        <v>49.73775999999998</v>
      </c>
      <c r="M27" s="3"/>
      <c r="N27" s="8">
        <f t="shared" si="3"/>
        <v>6.798284316780745E-2</v>
      </c>
      <c r="O27" s="12"/>
      <c r="P27" s="7">
        <v>16415.22</v>
      </c>
      <c r="Q27" s="3"/>
      <c r="R27" s="8">
        <f t="shared" si="4"/>
        <v>0</v>
      </c>
      <c r="S27" s="3"/>
      <c r="T27" s="7">
        <v>7133.3168400000004</v>
      </c>
      <c r="U27" s="3"/>
      <c r="V27" s="8">
        <f t="shared" si="5"/>
        <v>0</v>
      </c>
      <c r="W27" s="3"/>
      <c r="X27" s="7">
        <f t="shared" si="6"/>
        <v>9281.9031600000017</v>
      </c>
      <c r="Y27" s="3"/>
      <c r="Z27" s="8">
        <f t="shared" si="7"/>
        <v>1.3012043861492071</v>
      </c>
    </row>
    <row r="28" spans="1:26" s="70" customFormat="1" ht="15" hidden="1" customHeight="1" outlineLevel="2" x14ac:dyDescent="0.3">
      <c r="A28" s="26"/>
      <c r="B28" s="12" t="str">
        <f>CONCATENATE("          ","6119"," - ","SICK LEAVE")</f>
        <v xml:space="preserve">          6119 - SICK LEAVE</v>
      </c>
      <c r="C28" s="12"/>
      <c r="D28" s="7">
        <v>1239.8599999999999</v>
      </c>
      <c r="E28" s="3"/>
      <c r="F28" s="8">
        <f t="shared" si="0"/>
        <v>0</v>
      </c>
      <c r="G28" s="3"/>
      <c r="H28" s="7">
        <v>547.74815999999998</v>
      </c>
      <c r="I28" s="3"/>
      <c r="J28" s="8">
        <f t="shared" si="1"/>
        <v>0</v>
      </c>
      <c r="K28" s="3"/>
      <c r="L28" s="7">
        <f t="shared" si="2"/>
        <v>692.11183999999992</v>
      </c>
      <c r="M28" s="3"/>
      <c r="N28" s="8">
        <f t="shared" si="3"/>
        <v>1.2635584937428177</v>
      </c>
      <c r="O28" s="12"/>
      <c r="P28" s="7">
        <v>13583</v>
      </c>
      <c r="Q28" s="3"/>
      <c r="R28" s="8">
        <f t="shared" si="4"/>
        <v>0</v>
      </c>
      <c r="S28" s="3"/>
      <c r="T28" s="7">
        <v>5340.5445600000003</v>
      </c>
      <c r="U28" s="3"/>
      <c r="V28" s="8">
        <f t="shared" si="5"/>
        <v>0</v>
      </c>
      <c r="W28" s="3"/>
      <c r="X28" s="7">
        <f t="shared" si="6"/>
        <v>8242.4554399999997</v>
      </c>
      <c r="Y28" s="3"/>
      <c r="Z28" s="8">
        <f t="shared" si="7"/>
        <v>1.5433735918495921</v>
      </c>
    </row>
    <row r="29" spans="1:26" s="70" customFormat="1" ht="15" hidden="1" customHeight="1" outlineLevel="2" x14ac:dyDescent="0.3">
      <c r="A29" s="26"/>
      <c r="B29" s="12" t="str">
        <f>CONCATENATE("          ","6156"," - ","EMPLOYEE MEALS")</f>
        <v xml:space="preserve">          6156 - EMPLOYEE MEALS</v>
      </c>
      <c r="C29" s="12"/>
      <c r="D29" s="7">
        <v>445.09</v>
      </c>
      <c r="E29" s="3"/>
      <c r="F29" s="8">
        <f t="shared" si="0"/>
        <v>0</v>
      </c>
      <c r="G29" s="3"/>
      <c r="H29" s="7">
        <v>700</v>
      </c>
      <c r="I29" s="3"/>
      <c r="J29" s="8">
        <f t="shared" si="1"/>
        <v>0</v>
      </c>
      <c r="K29" s="3"/>
      <c r="L29" s="7">
        <f t="shared" si="2"/>
        <v>-254.91000000000003</v>
      </c>
      <c r="M29" s="3"/>
      <c r="N29" s="8">
        <f t="shared" si="3"/>
        <v>-0.3641571428571429</v>
      </c>
      <c r="O29" s="12"/>
      <c r="P29" s="7">
        <v>2193.25</v>
      </c>
      <c r="Q29" s="3"/>
      <c r="R29" s="8">
        <f t="shared" si="4"/>
        <v>0</v>
      </c>
      <c r="S29" s="3"/>
      <c r="T29" s="7">
        <v>6300</v>
      </c>
      <c r="U29" s="3"/>
      <c r="V29" s="8">
        <f t="shared" si="5"/>
        <v>0</v>
      </c>
      <c r="W29" s="3"/>
      <c r="X29" s="7">
        <f t="shared" si="6"/>
        <v>-4106.75</v>
      </c>
      <c r="Y29" s="3"/>
      <c r="Z29" s="8">
        <f t="shared" si="7"/>
        <v>-0.65186507936507931</v>
      </c>
    </row>
    <row r="30" spans="1:26" s="69" customFormat="1" ht="15" customHeight="1" outlineLevel="1" collapsed="1" x14ac:dyDescent="0.3">
      <c r="A30" s="25"/>
      <c r="B30" s="14" t="str">
        <f>CONCATENATE("     ","*Payroll                                          ")</f>
        <v xml:space="preserve">     *Payroll                                          </v>
      </c>
      <c r="C30" s="14"/>
      <c r="D30" s="2">
        <f>SUM(OSRRefD22_1x_0)</f>
        <v>28775.86</v>
      </c>
      <c r="E30" s="2"/>
      <c r="F30" s="6">
        <f t="shared" si="0"/>
        <v>0</v>
      </c>
      <c r="G30" s="2"/>
      <c r="H30" s="2">
        <f>SUM(OSRRefH22_1x_0)</f>
        <v>23449.785759999999</v>
      </c>
      <c r="I30" s="2"/>
      <c r="J30" s="6">
        <f t="shared" si="1"/>
        <v>0</v>
      </c>
      <c r="K30" s="2"/>
      <c r="L30" s="2">
        <f t="shared" si="2"/>
        <v>5326.0742400000017</v>
      </c>
      <c r="M30" s="2"/>
      <c r="N30" s="6">
        <f t="shared" si="3"/>
        <v>0.22712677610407311</v>
      </c>
      <c r="O30" s="14"/>
      <c r="P30" s="2">
        <f>SUM(OSRRefP22_1x_0)</f>
        <v>264801.65000000002</v>
      </c>
      <c r="Q30" s="2"/>
      <c r="R30" s="6">
        <f t="shared" si="4"/>
        <v>0</v>
      </c>
      <c r="S30" s="2"/>
      <c r="T30" s="2">
        <f>SUM(OSRRefT22_1x_0)</f>
        <v>228635.41116000002</v>
      </c>
      <c r="U30" s="2"/>
      <c r="V30" s="6">
        <f t="shared" si="5"/>
        <v>0</v>
      </c>
      <c r="W30" s="2"/>
      <c r="X30" s="2">
        <f t="shared" si="6"/>
        <v>36166.238840000005</v>
      </c>
      <c r="Y30" s="2"/>
      <c r="Z30" s="6">
        <f t="shared" si="7"/>
        <v>0.15818301573018678</v>
      </c>
    </row>
    <row r="31" spans="1:26" s="70" customFormat="1" ht="15" hidden="1" customHeight="1" outlineLevel="2" x14ac:dyDescent="0.3">
      <c r="A31" s="26"/>
      <c r="B31" s="12" t="str">
        <f>CONCATENATE("          ","6001"," - ","ADMINISTRATIVE SALARIES")</f>
        <v xml:space="preserve">          6001 - ADMINISTRATIVE SALARIES</v>
      </c>
      <c r="C31" s="12"/>
      <c r="D31" s="7">
        <v>11834.04</v>
      </c>
      <c r="E31" s="3"/>
      <c r="F31" s="8">
        <f t="shared" si="0"/>
        <v>0</v>
      </c>
      <c r="G31" s="3"/>
      <c r="H31" s="7">
        <v>9785</v>
      </c>
      <c r="I31" s="3"/>
      <c r="J31" s="8">
        <f t="shared" si="1"/>
        <v>0</v>
      </c>
      <c r="K31" s="3"/>
      <c r="L31" s="7">
        <f t="shared" si="2"/>
        <v>2049.0400000000009</v>
      </c>
      <c r="M31" s="3"/>
      <c r="N31" s="8">
        <f t="shared" si="3"/>
        <v>0.20940623403168124</v>
      </c>
      <c r="O31" s="12"/>
      <c r="P31" s="7">
        <v>105186.88</v>
      </c>
      <c r="Q31" s="3"/>
      <c r="R31" s="8">
        <f t="shared" si="4"/>
        <v>0</v>
      </c>
      <c r="S31" s="3"/>
      <c r="T31" s="7">
        <v>95403.75</v>
      </c>
      <c r="U31" s="3"/>
      <c r="V31" s="8">
        <f t="shared" si="5"/>
        <v>0</v>
      </c>
      <c r="W31" s="3"/>
      <c r="X31" s="7">
        <f t="shared" si="6"/>
        <v>9783.1300000000047</v>
      </c>
      <c r="Y31" s="3"/>
      <c r="Z31" s="8">
        <f t="shared" si="7"/>
        <v>0.10254450165742966</v>
      </c>
    </row>
    <row r="32" spans="1:26" s="70" customFormat="1" ht="15" hidden="1" customHeight="1" outlineLevel="2" x14ac:dyDescent="0.3">
      <c r="A32" s="26"/>
      <c r="B32" s="12" t="str">
        <f>CONCATENATE("          ","6002"," - ","STAFF SALARIES")</f>
        <v xml:space="preserve">          6002 - STAFF SALARIES</v>
      </c>
      <c r="C32" s="12"/>
      <c r="D32" s="7"/>
      <c r="E32" s="3"/>
      <c r="F32" s="8">
        <f t="shared" si="0"/>
        <v>0</v>
      </c>
      <c r="G32" s="3"/>
      <c r="H32" s="7">
        <v>0</v>
      </c>
      <c r="I32" s="3"/>
      <c r="J32" s="8">
        <f t="shared" si="1"/>
        <v>0</v>
      </c>
      <c r="K32" s="3"/>
      <c r="L32" s="7">
        <f t="shared" si="2"/>
        <v>0</v>
      </c>
      <c r="M32" s="3"/>
      <c r="N32" s="8">
        <f t="shared" si="3"/>
        <v>0</v>
      </c>
      <c r="O32" s="12"/>
      <c r="P32" s="7">
        <v>18.5</v>
      </c>
      <c r="Q32" s="3"/>
      <c r="R32" s="8">
        <f t="shared" si="4"/>
        <v>0</v>
      </c>
      <c r="S32" s="3"/>
      <c r="T32" s="7">
        <v>0</v>
      </c>
      <c r="U32" s="3"/>
      <c r="V32" s="8">
        <f t="shared" si="5"/>
        <v>0</v>
      </c>
      <c r="W32" s="3"/>
      <c r="X32" s="7">
        <f t="shared" si="6"/>
        <v>18.5</v>
      </c>
      <c r="Y32" s="3"/>
      <c r="Z32" s="8">
        <f t="shared" si="7"/>
        <v>0</v>
      </c>
    </row>
    <row r="33" spans="1:26" s="70" customFormat="1" ht="15" hidden="1" customHeight="1" outlineLevel="2" x14ac:dyDescent="0.3">
      <c r="A33" s="26"/>
      <c r="B33" s="12" t="str">
        <f>CONCATENATE("          ","6003"," - ","STAFF HOURLY-9 MONTH")</f>
        <v xml:space="preserve">          6003 - STAFF HOURLY-9 MONTH</v>
      </c>
      <c r="C33" s="12"/>
      <c r="D33" s="7"/>
      <c r="E33" s="3"/>
      <c r="F33" s="8">
        <f t="shared" si="0"/>
        <v>0</v>
      </c>
      <c r="G33" s="3"/>
      <c r="H33" s="7">
        <v>0</v>
      </c>
      <c r="I33" s="3"/>
      <c r="J33" s="8">
        <f t="shared" si="1"/>
        <v>0</v>
      </c>
      <c r="K33" s="3"/>
      <c r="L33" s="7">
        <f t="shared" si="2"/>
        <v>0</v>
      </c>
      <c r="M33" s="3"/>
      <c r="N33" s="8">
        <f t="shared" si="3"/>
        <v>0</v>
      </c>
      <c r="O33" s="12"/>
      <c r="P33" s="7"/>
      <c r="Q33" s="3"/>
      <c r="R33" s="8">
        <f t="shared" si="4"/>
        <v>0</v>
      </c>
      <c r="S33" s="3"/>
      <c r="T33" s="7">
        <v>0</v>
      </c>
      <c r="U33" s="3"/>
      <c r="V33" s="8">
        <f t="shared" si="5"/>
        <v>0</v>
      </c>
      <c r="W33" s="3"/>
      <c r="X33" s="7">
        <f t="shared" si="6"/>
        <v>0</v>
      </c>
      <c r="Y33" s="3"/>
      <c r="Z33" s="8">
        <f t="shared" si="7"/>
        <v>0</v>
      </c>
    </row>
    <row r="34" spans="1:26" s="70" customFormat="1" ht="15" hidden="1" customHeight="1" outlineLevel="2" x14ac:dyDescent="0.3">
      <c r="A34" s="26"/>
      <c r="B34" s="12" t="str">
        <f>CONCATENATE("          ","6004"," - ","STAFF HOURLY")</f>
        <v xml:space="preserve">          6004 - STAFF HOURLY</v>
      </c>
      <c r="C34" s="12"/>
      <c r="D34" s="7">
        <v>11202.05</v>
      </c>
      <c r="E34" s="3"/>
      <c r="F34" s="8">
        <f t="shared" si="0"/>
        <v>0</v>
      </c>
      <c r="G34" s="3"/>
      <c r="H34" s="7">
        <v>9784.7857600000007</v>
      </c>
      <c r="I34" s="3"/>
      <c r="J34" s="8">
        <f t="shared" si="1"/>
        <v>0</v>
      </c>
      <c r="K34" s="3"/>
      <c r="L34" s="7">
        <f t="shared" si="2"/>
        <v>1417.2642399999986</v>
      </c>
      <c r="M34" s="3"/>
      <c r="N34" s="8">
        <f t="shared" si="3"/>
        <v>0.14484366594859391</v>
      </c>
      <c r="O34" s="12"/>
      <c r="P34" s="7">
        <v>137241.81</v>
      </c>
      <c r="Q34" s="3"/>
      <c r="R34" s="8">
        <f t="shared" si="4"/>
        <v>0</v>
      </c>
      <c r="S34" s="3"/>
      <c r="T34" s="7">
        <v>95401.661160000003</v>
      </c>
      <c r="U34" s="3"/>
      <c r="V34" s="8">
        <f t="shared" si="5"/>
        <v>0</v>
      </c>
      <c r="W34" s="3"/>
      <c r="X34" s="7">
        <f t="shared" si="6"/>
        <v>41840.148839999994</v>
      </c>
      <c r="Y34" s="3"/>
      <c r="Z34" s="8">
        <f t="shared" si="7"/>
        <v>0.43856834704197717</v>
      </c>
    </row>
    <row r="35" spans="1:26" s="70" customFormat="1" ht="15" hidden="1" customHeight="1" outlineLevel="2" x14ac:dyDescent="0.3">
      <c r="A35" s="26"/>
      <c r="B35" s="12" t="str">
        <f>CONCATENATE("          ","6005"," - ","TEMPORARY WAGES-HOURLY")</f>
        <v xml:space="preserve">          6005 - TEMPORARY WAGES-HOURLY</v>
      </c>
      <c r="C35" s="12"/>
      <c r="D35" s="7">
        <v>1562.77</v>
      </c>
      <c r="E35" s="3"/>
      <c r="F35" s="8">
        <f t="shared" si="0"/>
        <v>0</v>
      </c>
      <c r="G35" s="3"/>
      <c r="H35" s="7">
        <v>3880</v>
      </c>
      <c r="I35" s="3"/>
      <c r="J35" s="8">
        <f t="shared" si="1"/>
        <v>0</v>
      </c>
      <c r="K35" s="3"/>
      <c r="L35" s="7">
        <f t="shared" si="2"/>
        <v>-2317.23</v>
      </c>
      <c r="M35" s="3"/>
      <c r="N35" s="8">
        <f t="shared" si="3"/>
        <v>-0.59722422680412368</v>
      </c>
      <c r="O35" s="12"/>
      <c r="P35" s="7">
        <v>18177.46</v>
      </c>
      <c r="Q35" s="3"/>
      <c r="R35" s="8">
        <f t="shared" si="4"/>
        <v>0</v>
      </c>
      <c r="S35" s="3"/>
      <c r="T35" s="7">
        <v>37830</v>
      </c>
      <c r="U35" s="3"/>
      <c r="V35" s="8">
        <f t="shared" si="5"/>
        <v>0</v>
      </c>
      <c r="W35" s="3"/>
      <c r="X35" s="7">
        <f t="shared" si="6"/>
        <v>-19652.54</v>
      </c>
      <c r="Y35" s="3"/>
      <c r="Z35" s="8">
        <f t="shared" si="7"/>
        <v>-0.51949616706317736</v>
      </c>
    </row>
    <row r="36" spans="1:26" s="70" customFormat="1" ht="15" hidden="1" customHeight="1" outlineLevel="2" x14ac:dyDescent="0.3">
      <c r="A36" s="26"/>
      <c r="B36" s="12" t="str">
        <f>CONCATENATE("          ","6006"," - ","TEMPORARY PART TIME")</f>
        <v xml:space="preserve">          6006 - TEMPORARY PART TIME</v>
      </c>
      <c r="C36" s="12"/>
      <c r="D36" s="7"/>
      <c r="E36" s="3"/>
      <c r="F36" s="8">
        <f t="shared" si="0"/>
        <v>0</v>
      </c>
      <c r="G36" s="3"/>
      <c r="H36" s="7">
        <v>0</v>
      </c>
      <c r="I36" s="3"/>
      <c r="J36" s="8">
        <f t="shared" si="1"/>
        <v>0</v>
      </c>
      <c r="K36" s="3"/>
      <c r="L36" s="7">
        <f t="shared" si="2"/>
        <v>0</v>
      </c>
      <c r="M36" s="3"/>
      <c r="N36" s="8">
        <f t="shared" si="3"/>
        <v>0</v>
      </c>
      <c r="O36" s="12"/>
      <c r="P36" s="7"/>
      <c r="Q36" s="3"/>
      <c r="R36" s="8">
        <f t="shared" si="4"/>
        <v>0</v>
      </c>
      <c r="S36" s="3"/>
      <c r="T36" s="7">
        <v>0</v>
      </c>
      <c r="U36" s="3"/>
      <c r="V36" s="8">
        <f t="shared" si="5"/>
        <v>0</v>
      </c>
      <c r="W36" s="3"/>
      <c r="X36" s="7">
        <f t="shared" si="6"/>
        <v>0</v>
      </c>
      <c r="Y36" s="3"/>
      <c r="Z36" s="8">
        <f t="shared" si="7"/>
        <v>0</v>
      </c>
    </row>
    <row r="37" spans="1:26" s="70" customFormat="1" ht="15" hidden="1" customHeight="1" outlineLevel="2" x14ac:dyDescent="0.3">
      <c r="A37" s="26"/>
      <c r="B37" s="12" t="str">
        <f>CONCATENATE("          ","6007"," - ","STUDENT HOURLY")</f>
        <v xml:space="preserve">          6007 - STUDENT HOURLY</v>
      </c>
      <c r="C37" s="12"/>
      <c r="D37" s="7">
        <v>4177</v>
      </c>
      <c r="E37" s="3"/>
      <c r="F37" s="8">
        <f t="shared" si="0"/>
        <v>0</v>
      </c>
      <c r="G37" s="3"/>
      <c r="H37" s="7">
        <v>0</v>
      </c>
      <c r="I37" s="3"/>
      <c r="J37" s="8">
        <f t="shared" si="1"/>
        <v>0</v>
      </c>
      <c r="K37" s="3"/>
      <c r="L37" s="7">
        <f t="shared" si="2"/>
        <v>4177</v>
      </c>
      <c r="M37" s="3"/>
      <c r="N37" s="8">
        <f t="shared" si="3"/>
        <v>0</v>
      </c>
      <c r="O37" s="12"/>
      <c r="P37" s="7">
        <v>4177</v>
      </c>
      <c r="Q37" s="3"/>
      <c r="R37" s="8">
        <f t="shared" si="4"/>
        <v>0</v>
      </c>
      <c r="S37" s="3"/>
      <c r="T37" s="7">
        <v>0</v>
      </c>
      <c r="U37" s="3"/>
      <c r="V37" s="8">
        <f t="shared" si="5"/>
        <v>0</v>
      </c>
      <c r="W37" s="3"/>
      <c r="X37" s="7">
        <f t="shared" si="6"/>
        <v>4177</v>
      </c>
      <c r="Y37" s="3"/>
      <c r="Z37" s="8">
        <f t="shared" si="7"/>
        <v>0</v>
      </c>
    </row>
    <row r="38" spans="1:26" s="70" customFormat="1" ht="15" hidden="1" customHeight="1" outlineLevel="2" x14ac:dyDescent="0.3">
      <c r="A38" s="26"/>
      <c r="B38" s="12" t="str">
        <f>CONCATENATE("          ","6008"," - ","STUDENT HOURLY-FICA EXEMPT")</f>
        <v xml:space="preserve">          6008 - STUDENT HOURLY-FICA EXEMPT</v>
      </c>
      <c r="C38" s="12"/>
      <c r="D38" s="7"/>
      <c r="E38" s="3"/>
      <c r="F38" s="8">
        <f t="shared" si="0"/>
        <v>0</v>
      </c>
      <c r="G38" s="3"/>
      <c r="H38" s="7">
        <v>0</v>
      </c>
      <c r="I38" s="3"/>
      <c r="J38" s="8">
        <f t="shared" si="1"/>
        <v>0</v>
      </c>
      <c r="K38" s="3"/>
      <c r="L38" s="7">
        <f t="shared" si="2"/>
        <v>0</v>
      </c>
      <c r="M38" s="3"/>
      <c r="N38" s="8">
        <f t="shared" si="3"/>
        <v>0</v>
      </c>
      <c r="O38" s="12"/>
      <c r="P38" s="7"/>
      <c r="Q38" s="3"/>
      <c r="R38" s="8">
        <f t="shared" si="4"/>
        <v>0</v>
      </c>
      <c r="S38" s="3"/>
      <c r="T38" s="7">
        <v>0</v>
      </c>
      <c r="U38" s="3"/>
      <c r="V38" s="8">
        <f t="shared" si="5"/>
        <v>0</v>
      </c>
      <c r="W38" s="3"/>
      <c r="X38" s="7">
        <f t="shared" si="6"/>
        <v>0</v>
      </c>
      <c r="Y38" s="3"/>
      <c r="Z38" s="8">
        <f t="shared" si="7"/>
        <v>0</v>
      </c>
    </row>
    <row r="39" spans="1:26" s="70" customFormat="1" ht="15" hidden="1" customHeight="1" outlineLevel="2" x14ac:dyDescent="0.3">
      <c r="A39" s="26"/>
      <c r="B39" s="12" t="str">
        <f>CONCATENATE("          ","6009"," - ","TEMPORARY-SEASONAL")</f>
        <v xml:space="preserve">          6009 - TEMPORARY-SEASONAL</v>
      </c>
      <c r="C39" s="12"/>
      <c r="D39" s="7"/>
      <c r="E39" s="3"/>
      <c r="F39" s="8">
        <f t="shared" si="0"/>
        <v>0</v>
      </c>
      <c r="G39" s="3"/>
      <c r="H39" s="7">
        <v>0</v>
      </c>
      <c r="I39" s="3"/>
      <c r="J39" s="8">
        <f t="shared" si="1"/>
        <v>0</v>
      </c>
      <c r="K39" s="3"/>
      <c r="L39" s="7">
        <f t="shared" si="2"/>
        <v>0</v>
      </c>
      <c r="M39" s="3"/>
      <c r="N39" s="8">
        <f t="shared" si="3"/>
        <v>0</v>
      </c>
      <c r="O39" s="12"/>
      <c r="P39" s="7"/>
      <c r="Q39" s="3"/>
      <c r="R39" s="8">
        <f t="shared" si="4"/>
        <v>0</v>
      </c>
      <c r="S39" s="3"/>
      <c r="T39" s="7">
        <v>0</v>
      </c>
      <c r="U39" s="3"/>
      <c r="V39" s="8">
        <f t="shared" si="5"/>
        <v>0</v>
      </c>
      <c r="W39" s="3"/>
      <c r="X39" s="7">
        <f t="shared" si="6"/>
        <v>0</v>
      </c>
      <c r="Y39" s="3"/>
      <c r="Z39" s="8">
        <f t="shared" si="7"/>
        <v>0</v>
      </c>
    </row>
    <row r="40" spans="1:26" s="70" customFormat="1" ht="15" hidden="1" customHeight="1" outlineLevel="2" x14ac:dyDescent="0.3">
      <c r="A40" s="26"/>
      <c r="B40" s="12" t="str">
        <f>CONCATENATE("          ","6010"," - ","GRATUITY")</f>
        <v xml:space="preserve">          6010 - GRATUITY</v>
      </c>
      <c r="C40" s="12"/>
      <c r="D40" s="7"/>
      <c r="E40" s="3"/>
      <c r="F40" s="8">
        <f t="shared" si="0"/>
        <v>0</v>
      </c>
      <c r="G40" s="3"/>
      <c r="H40" s="7">
        <v>0</v>
      </c>
      <c r="I40" s="3"/>
      <c r="J40" s="8">
        <f t="shared" si="1"/>
        <v>0</v>
      </c>
      <c r="K40" s="3"/>
      <c r="L40" s="7">
        <f t="shared" si="2"/>
        <v>0</v>
      </c>
      <c r="M40" s="3"/>
      <c r="N40" s="8">
        <f t="shared" si="3"/>
        <v>0</v>
      </c>
      <c r="O40" s="12"/>
      <c r="P40" s="7"/>
      <c r="Q40" s="3"/>
      <c r="R40" s="8">
        <f t="shared" si="4"/>
        <v>0</v>
      </c>
      <c r="S40" s="3"/>
      <c r="T40" s="7">
        <v>0</v>
      </c>
      <c r="U40" s="3"/>
      <c r="V40" s="8">
        <f t="shared" si="5"/>
        <v>0</v>
      </c>
      <c r="W40" s="3"/>
      <c r="X40" s="7">
        <f t="shared" si="6"/>
        <v>0</v>
      </c>
      <c r="Y40" s="3"/>
      <c r="Z40" s="8">
        <f t="shared" si="7"/>
        <v>0</v>
      </c>
    </row>
    <row r="41" spans="1:26" s="69" customFormat="1" ht="15" customHeight="1" outlineLevel="1" collapsed="1" x14ac:dyDescent="0.3">
      <c r="A41" s="25"/>
      <c r="B41" s="14" t="str">
        <f>CONCATENATE("     ","Advertising/Promo                                 ")</f>
        <v xml:space="preserve">     Advertising/Promo                                 </v>
      </c>
      <c r="C41" s="14"/>
      <c r="D41" s="2">
        <f>SUM(OSRRefD22_2x_0)</f>
        <v>71.67</v>
      </c>
      <c r="E41" s="2"/>
      <c r="F41" s="6">
        <f t="shared" si="0"/>
        <v>0</v>
      </c>
      <c r="G41" s="2"/>
      <c r="H41" s="2">
        <f>SUM(OSRRefH22_2x_0)</f>
        <v>150</v>
      </c>
      <c r="I41" s="2"/>
      <c r="J41" s="6">
        <f t="shared" si="1"/>
        <v>0</v>
      </c>
      <c r="K41" s="2"/>
      <c r="L41" s="2">
        <f t="shared" si="2"/>
        <v>-78.33</v>
      </c>
      <c r="M41" s="2"/>
      <c r="N41" s="6">
        <f t="shared" si="3"/>
        <v>-0.5222</v>
      </c>
      <c r="O41" s="14"/>
      <c r="P41" s="2">
        <f>SUM(OSRRefP22_2x_0)</f>
        <v>414.93</v>
      </c>
      <c r="Q41" s="2"/>
      <c r="R41" s="6">
        <f t="shared" si="4"/>
        <v>0</v>
      </c>
      <c r="S41" s="2"/>
      <c r="T41" s="2">
        <f>SUM(OSRRefT22_2x_0)</f>
        <v>1350</v>
      </c>
      <c r="U41" s="2"/>
      <c r="V41" s="6">
        <f t="shared" si="5"/>
        <v>0</v>
      </c>
      <c r="W41" s="2"/>
      <c r="X41" s="2">
        <f t="shared" si="6"/>
        <v>-935.06999999999994</v>
      </c>
      <c r="Y41" s="2"/>
      <c r="Z41" s="6">
        <f t="shared" si="7"/>
        <v>-0.6926444444444444</v>
      </c>
    </row>
    <row r="42" spans="1:26" s="70" customFormat="1" ht="15" hidden="1" customHeight="1" outlineLevel="2" x14ac:dyDescent="0.3">
      <c r="A42" s="26"/>
      <c r="B42" s="12" t="str">
        <f>CONCATENATE("          ","6362"," - ","ADVERTISING EXPENSE")</f>
        <v xml:space="preserve">          6362 - ADVERTISING EXPENSE</v>
      </c>
      <c r="C42" s="12"/>
      <c r="D42" s="7">
        <v>71.67</v>
      </c>
      <c r="E42" s="3"/>
      <c r="F42" s="8">
        <f t="shared" si="0"/>
        <v>0</v>
      </c>
      <c r="G42" s="3"/>
      <c r="H42" s="7">
        <v>150</v>
      </c>
      <c r="I42" s="3"/>
      <c r="J42" s="8">
        <f t="shared" si="1"/>
        <v>0</v>
      </c>
      <c r="K42" s="3"/>
      <c r="L42" s="7">
        <f t="shared" si="2"/>
        <v>-78.33</v>
      </c>
      <c r="M42" s="3"/>
      <c r="N42" s="8">
        <f t="shared" si="3"/>
        <v>-0.5222</v>
      </c>
      <c r="O42" s="12"/>
      <c r="P42" s="7">
        <v>414.93</v>
      </c>
      <c r="Q42" s="3"/>
      <c r="R42" s="8">
        <f t="shared" si="4"/>
        <v>0</v>
      </c>
      <c r="S42" s="3"/>
      <c r="T42" s="7">
        <v>1350</v>
      </c>
      <c r="U42" s="3"/>
      <c r="V42" s="8">
        <f t="shared" si="5"/>
        <v>0</v>
      </c>
      <c r="W42" s="3"/>
      <c r="X42" s="7">
        <f t="shared" si="6"/>
        <v>-935.06999999999994</v>
      </c>
      <c r="Y42" s="3"/>
      <c r="Z42" s="8">
        <f t="shared" si="7"/>
        <v>-0.6926444444444444</v>
      </c>
    </row>
    <row r="43" spans="1:26" s="69" customFormat="1" ht="15" customHeight="1" outlineLevel="1" collapsed="1" x14ac:dyDescent="0.3">
      <c r="A43" s="25"/>
      <c r="B43" s="14" t="str">
        <f>CONCATENATE("     ","Employees' Appreciation                           ")</f>
        <v xml:space="preserve">     Employees' Appreciation                           </v>
      </c>
      <c r="C43" s="14"/>
      <c r="D43" s="2">
        <f>SUM(OSRRefD22_3x_0)</f>
        <v>114.87</v>
      </c>
      <c r="E43" s="2"/>
      <c r="F43" s="6">
        <f t="shared" si="0"/>
        <v>0</v>
      </c>
      <c r="G43" s="2"/>
      <c r="H43" s="2">
        <f>SUM(OSRRefH22_3x_0)</f>
        <v>250</v>
      </c>
      <c r="I43" s="2"/>
      <c r="J43" s="6">
        <f t="shared" si="1"/>
        <v>0</v>
      </c>
      <c r="K43" s="2"/>
      <c r="L43" s="2">
        <f t="shared" si="2"/>
        <v>-135.13</v>
      </c>
      <c r="M43" s="2"/>
      <c r="N43" s="6">
        <f t="shared" si="3"/>
        <v>-0.54052</v>
      </c>
      <c r="O43" s="14"/>
      <c r="P43" s="2">
        <f>SUM(OSRRefP22_3x_0)</f>
        <v>114.87</v>
      </c>
      <c r="Q43" s="2"/>
      <c r="R43" s="6">
        <f t="shared" si="4"/>
        <v>0</v>
      </c>
      <c r="S43" s="2"/>
      <c r="T43" s="2">
        <f>SUM(OSRRefT22_3x_0)</f>
        <v>2250</v>
      </c>
      <c r="U43" s="2"/>
      <c r="V43" s="6">
        <f t="shared" si="5"/>
        <v>0</v>
      </c>
      <c r="W43" s="2"/>
      <c r="X43" s="2">
        <f t="shared" si="6"/>
        <v>-2135.13</v>
      </c>
      <c r="Y43" s="2"/>
      <c r="Z43" s="6">
        <f t="shared" si="7"/>
        <v>-0.94894666666666672</v>
      </c>
    </row>
    <row r="44" spans="1:26" s="70" customFormat="1" ht="15" hidden="1" customHeight="1" outlineLevel="2" x14ac:dyDescent="0.3">
      <c r="A44" s="26"/>
      <c r="B44" s="12" t="str">
        <f>CONCATENATE("          ","6277"," - ","EMPLOYEE APPRECIATION")</f>
        <v xml:space="preserve">          6277 - EMPLOYEE APPRECIATION</v>
      </c>
      <c r="C44" s="12"/>
      <c r="D44" s="7">
        <v>114.87</v>
      </c>
      <c r="E44" s="3"/>
      <c r="F44" s="8">
        <f t="shared" si="0"/>
        <v>0</v>
      </c>
      <c r="G44" s="3"/>
      <c r="H44" s="7">
        <v>250</v>
      </c>
      <c r="I44" s="3"/>
      <c r="J44" s="8">
        <f t="shared" si="1"/>
        <v>0</v>
      </c>
      <c r="K44" s="3"/>
      <c r="L44" s="7">
        <f t="shared" si="2"/>
        <v>-135.13</v>
      </c>
      <c r="M44" s="3"/>
      <c r="N44" s="8">
        <f t="shared" si="3"/>
        <v>-0.54052</v>
      </c>
      <c r="O44" s="12"/>
      <c r="P44" s="7">
        <v>114.87</v>
      </c>
      <c r="Q44" s="3"/>
      <c r="R44" s="8">
        <f t="shared" si="4"/>
        <v>0</v>
      </c>
      <c r="S44" s="3"/>
      <c r="T44" s="7">
        <v>2250</v>
      </c>
      <c r="U44" s="3"/>
      <c r="V44" s="8">
        <f t="shared" si="5"/>
        <v>0</v>
      </c>
      <c r="W44" s="3"/>
      <c r="X44" s="7">
        <f t="shared" si="6"/>
        <v>-2135.13</v>
      </c>
      <c r="Y44" s="3"/>
      <c r="Z44" s="8">
        <f t="shared" si="7"/>
        <v>-0.94894666666666672</v>
      </c>
    </row>
    <row r="45" spans="1:26" s="69" customFormat="1" ht="15" customHeight="1" outlineLevel="1" collapsed="1" x14ac:dyDescent="0.3">
      <c r="A45" s="25"/>
      <c r="B45" s="14" t="str">
        <f>CONCATENATE("     ","Equipment Rental                                  ")</f>
        <v xml:space="preserve">     Equipment Rental                                  </v>
      </c>
      <c r="C45" s="14"/>
      <c r="D45" s="2">
        <f>SUM(OSRRefD22_4x_0)</f>
        <v>0</v>
      </c>
      <c r="E45" s="2"/>
      <c r="F45" s="6">
        <f t="shared" si="0"/>
        <v>0</v>
      </c>
      <c r="G45" s="2"/>
      <c r="H45" s="2">
        <f>SUM(OSRRefH22_4x_0)</f>
        <v>75</v>
      </c>
      <c r="I45" s="2"/>
      <c r="J45" s="6">
        <f t="shared" si="1"/>
        <v>0</v>
      </c>
      <c r="K45" s="2"/>
      <c r="L45" s="2">
        <f t="shared" si="2"/>
        <v>-75</v>
      </c>
      <c r="M45" s="2"/>
      <c r="N45" s="6">
        <f t="shared" si="3"/>
        <v>-1</v>
      </c>
      <c r="O45" s="14"/>
      <c r="P45" s="2">
        <f>SUM(OSRRefP22_4x_0)</f>
        <v>0</v>
      </c>
      <c r="Q45" s="2"/>
      <c r="R45" s="6">
        <f t="shared" si="4"/>
        <v>0</v>
      </c>
      <c r="S45" s="2"/>
      <c r="T45" s="2">
        <f>SUM(OSRRefT22_4x_0)</f>
        <v>675</v>
      </c>
      <c r="U45" s="2"/>
      <c r="V45" s="6">
        <f t="shared" si="5"/>
        <v>0</v>
      </c>
      <c r="W45" s="2"/>
      <c r="X45" s="2">
        <f t="shared" si="6"/>
        <v>-675</v>
      </c>
      <c r="Y45" s="2"/>
      <c r="Z45" s="6">
        <f t="shared" si="7"/>
        <v>-1</v>
      </c>
    </row>
    <row r="46" spans="1:26" s="70" customFormat="1" ht="15" hidden="1" customHeight="1" outlineLevel="2" x14ac:dyDescent="0.3">
      <c r="A46" s="26"/>
      <c r="B46" s="12" t="str">
        <f>CONCATENATE("          ","6351"," - ","EQUIPMENT RENTAL")</f>
        <v xml:space="preserve">          6351 - EQUIPMENT RENTAL</v>
      </c>
      <c r="C46" s="12"/>
      <c r="D46" s="7"/>
      <c r="E46" s="3"/>
      <c r="F46" s="8">
        <f t="shared" si="0"/>
        <v>0</v>
      </c>
      <c r="G46" s="3"/>
      <c r="H46" s="7">
        <v>75</v>
      </c>
      <c r="I46" s="3"/>
      <c r="J46" s="8">
        <f t="shared" si="1"/>
        <v>0</v>
      </c>
      <c r="K46" s="3"/>
      <c r="L46" s="7">
        <f t="shared" si="2"/>
        <v>-75</v>
      </c>
      <c r="M46" s="3"/>
      <c r="N46" s="8">
        <f t="shared" si="3"/>
        <v>-1</v>
      </c>
      <c r="O46" s="12"/>
      <c r="P46" s="7"/>
      <c r="Q46" s="3"/>
      <c r="R46" s="8">
        <f t="shared" si="4"/>
        <v>0</v>
      </c>
      <c r="S46" s="3"/>
      <c r="T46" s="7">
        <v>675</v>
      </c>
      <c r="U46" s="3"/>
      <c r="V46" s="8">
        <f t="shared" si="5"/>
        <v>0</v>
      </c>
      <c r="W46" s="3"/>
      <c r="X46" s="7">
        <f t="shared" si="6"/>
        <v>-675</v>
      </c>
      <c r="Y46" s="3"/>
      <c r="Z46" s="8">
        <f t="shared" si="7"/>
        <v>-1</v>
      </c>
    </row>
    <row r="47" spans="1:26" s="69" customFormat="1" ht="15" customHeight="1" outlineLevel="1" collapsed="1" x14ac:dyDescent="0.3">
      <c r="A47" s="25"/>
      <c r="B47" s="14" t="str">
        <f>CONCATENATE("     ","Freight out/Postage                               ")</f>
        <v xml:space="preserve">     Freight out/Postage                               </v>
      </c>
      <c r="C47" s="14"/>
      <c r="D47" s="2">
        <f>SUM(OSRRefD22_5x_0)</f>
        <v>0.53</v>
      </c>
      <c r="E47" s="2"/>
      <c r="F47" s="6">
        <f t="shared" si="0"/>
        <v>0</v>
      </c>
      <c r="G47" s="2"/>
      <c r="H47" s="2">
        <f>SUM(OSRRefH22_5x_0)</f>
        <v>85</v>
      </c>
      <c r="I47" s="2"/>
      <c r="J47" s="6">
        <f t="shared" si="1"/>
        <v>0</v>
      </c>
      <c r="K47" s="2"/>
      <c r="L47" s="2">
        <f t="shared" si="2"/>
        <v>-84.47</v>
      </c>
      <c r="M47" s="2"/>
      <c r="N47" s="6">
        <f t="shared" si="3"/>
        <v>-0.99376470588235288</v>
      </c>
      <c r="O47" s="14"/>
      <c r="P47" s="2">
        <f>SUM(OSRRefP22_5x_0)</f>
        <v>207.82</v>
      </c>
      <c r="Q47" s="2"/>
      <c r="R47" s="6">
        <f t="shared" si="4"/>
        <v>0</v>
      </c>
      <c r="S47" s="2"/>
      <c r="T47" s="2">
        <f>SUM(OSRRefT22_5x_0)</f>
        <v>425</v>
      </c>
      <c r="U47" s="2"/>
      <c r="V47" s="6">
        <f t="shared" si="5"/>
        <v>0</v>
      </c>
      <c r="W47" s="2"/>
      <c r="X47" s="2">
        <f t="shared" si="6"/>
        <v>-217.18</v>
      </c>
      <c r="Y47" s="2"/>
      <c r="Z47" s="6">
        <f t="shared" si="7"/>
        <v>-0.51101176470588239</v>
      </c>
    </row>
    <row r="48" spans="1:26" s="70" customFormat="1" ht="15" hidden="1" customHeight="1" outlineLevel="2" x14ac:dyDescent="0.3">
      <c r="A48" s="26"/>
      <c r="B48" s="12" t="str">
        <f>CONCATENATE("          ","6307"," - ","POSTAGE")</f>
        <v xml:space="preserve">          6307 - POSTAGE</v>
      </c>
      <c r="C48" s="12"/>
      <c r="D48" s="7">
        <v>0.53</v>
      </c>
      <c r="E48" s="3"/>
      <c r="F48" s="8">
        <f t="shared" si="0"/>
        <v>0</v>
      </c>
      <c r="G48" s="3"/>
      <c r="H48" s="7">
        <v>85</v>
      </c>
      <c r="I48" s="3"/>
      <c r="J48" s="8">
        <f t="shared" si="1"/>
        <v>0</v>
      </c>
      <c r="K48" s="3"/>
      <c r="L48" s="7">
        <f t="shared" si="2"/>
        <v>-84.47</v>
      </c>
      <c r="M48" s="3"/>
      <c r="N48" s="8">
        <f t="shared" si="3"/>
        <v>-0.99376470588235288</v>
      </c>
      <c r="O48" s="12"/>
      <c r="P48" s="7">
        <v>207.82</v>
      </c>
      <c r="Q48" s="3"/>
      <c r="R48" s="8">
        <f t="shared" si="4"/>
        <v>0</v>
      </c>
      <c r="S48" s="3"/>
      <c r="T48" s="7">
        <v>425</v>
      </c>
      <c r="U48" s="3"/>
      <c r="V48" s="8">
        <f t="shared" si="5"/>
        <v>0</v>
      </c>
      <c r="W48" s="3"/>
      <c r="X48" s="7">
        <f t="shared" si="6"/>
        <v>-217.18</v>
      </c>
      <c r="Y48" s="3"/>
      <c r="Z48" s="8">
        <f t="shared" si="7"/>
        <v>-0.51101176470588239</v>
      </c>
    </row>
    <row r="49" spans="1:26" s="69" customFormat="1" ht="15" customHeight="1" outlineLevel="1" collapsed="1" x14ac:dyDescent="0.3">
      <c r="A49" s="25"/>
      <c r="B49" s="14" t="str">
        <f>CONCATENATE("     ","General                                           ")</f>
        <v xml:space="preserve">     General                                           </v>
      </c>
      <c r="C49" s="14"/>
      <c r="D49" s="2">
        <f>SUM(OSRRefD22_6x_0)</f>
        <v>53.5</v>
      </c>
      <c r="E49" s="2"/>
      <c r="F49" s="6">
        <f t="shared" si="0"/>
        <v>0</v>
      </c>
      <c r="G49" s="2"/>
      <c r="H49" s="2">
        <f>SUM(OSRRefH22_6x_0)</f>
        <v>0</v>
      </c>
      <c r="I49" s="2"/>
      <c r="J49" s="6">
        <f t="shared" si="1"/>
        <v>0</v>
      </c>
      <c r="K49" s="2"/>
      <c r="L49" s="2">
        <f t="shared" si="2"/>
        <v>53.5</v>
      </c>
      <c r="M49" s="2"/>
      <c r="N49" s="6">
        <f t="shared" si="3"/>
        <v>0</v>
      </c>
      <c r="O49" s="14"/>
      <c r="P49" s="2">
        <f>SUM(OSRRefP22_6x_0)</f>
        <v>2842.75</v>
      </c>
      <c r="Q49" s="2"/>
      <c r="R49" s="6">
        <f t="shared" si="4"/>
        <v>0</v>
      </c>
      <c r="S49" s="2"/>
      <c r="T49" s="2">
        <f>SUM(OSRRefT22_6x_0)</f>
        <v>0</v>
      </c>
      <c r="U49" s="2"/>
      <c r="V49" s="6">
        <f t="shared" si="5"/>
        <v>0</v>
      </c>
      <c r="W49" s="2"/>
      <c r="X49" s="2">
        <f t="shared" si="6"/>
        <v>2842.75</v>
      </c>
      <c r="Y49" s="2"/>
      <c r="Z49" s="6">
        <f t="shared" si="7"/>
        <v>0</v>
      </c>
    </row>
    <row r="50" spans="1:26" s="70" customFormat="1" ht="15" hidden="1" customHeight="1" outlineLevel="2" x14ac:dyDescent="0.3">
      <c r="A50" s="26"/>
      <c r="B50" s="12" t="str">
        <f>CONCATENATE("          ","6279"," - ","GENERAL EXPENSE")</f>
        <v xml:space="preserve">          6279 - GENERAL EXPENSE</v>
      </c>
      <c r="C50" s="12"/>
      <c r="D50" s="7">
        <v>53.5</v>
      </c>
      <c r="E50" s="3"/>
      <c r="F50" s="8">
        <f t="shared" ref="F50:F73" si="8">IF(D$12=0,0,D50/D$12)</f>
        <v>0</v>
      </c>
      <c r="G50" s="3"/>
      <c r="H50" s="7"/>
      <c r="I50" s="3"/>
      <c r="J50" s="8">
        <f t="shared" ref="J50:J73" si="9">IF(H$12=0,0,H50/H$12)</f>
        <v>0</v>
      </c>
      <c r="K50" s="3"/>
      <c r="L50" s="7">
        <f t="shared" ref="L50:L73" si="10">+D50-H50</f>
        <v>53.5</v>
      </c>
      <c r="M50" s="3"/>
      <c r="N50" s="8">
        <f t="shared" ref="N50:N73" si="11">IF(H50=0,0,L50/H50)</f>
        <v>0</v>
      </c>
      <c r="O50" s="12"/>
      <c r="P50" s="7">
        <v>2842.75</v>
      </c>
      <c r="Q50" s="3"/>
      <c r="R50" s="8">
        <f t="shared" ref="R50:R73" si="12">IF(P$12=0,0,P50/P$12)</f>
        <v>0</v>
      </c>
      <c r="S50" s="3"/>
      <c r="T50" s="7"/>
      <c r="U50" s="3"/>
      <c r="V50" s="8">
        <f t="shared" ref="V50:V73" si="13">IF(T$12=0,0,T50/T$12)</f>
        <v>0</v>
      </c>
      <c r="W50" s="3"/>
      <c r="X50" s="7">
        <f t="shared" ref="X50:X73" si="14">+P50-T50</f>
        <v>2842.75</v>
      </c>
      <c r="Y50" s="3"/>
      <c r="Z50" s="8">
        <f t="shared" ref="Z50:Z73" si="15">IF(T50=0,0,X50/T50)</f>
        <v>0</v>
      </c>
    </row>
    <row r="51" spans="1:26" s="69" customFormat="1" ht="15" customHeight="1" outlineLevel="1" collapsed="1" x14ac:dyDescent="0.3">
      <c r="A51" s="25"/>
      <c r="B51" s="14" t="str">
        <f>CONCATENATE("     ","Insurance                                         ")</f>
        <v xml:space="preserve">     Insurance                                         </v>
      </c>
      <c r="C51" s="14"/>
      <c r="D51" s="2">
        <f>SUM(OSRRefD22_7x_0)</f>
        <v>88.99</v>
      </c>
      <c r="E51" s="2"/>
      <c r="F51" s="6">
        <f t="shared" si="8"/>
        <v>0</v>
      </c>
      <c r="G51" s="2"/>
      <c r="H51" s="2">
        <f>SUM(OSRRefH22_7x_0)</f>
        <v>90</v>
      </c>
      <c r="I51" s="2"/>
      <c r="J51" s="6">
        <f t="shared" si="9"/>
        <v>0</v>
      </c>
      <c r="K51" s="2"/>
      <c r="L51" s="2">
        <f t="shared" si="10"/>
        <v>-1.0100000000000051</v>
      </c>
      <c r="M51" s="2"/>
      <c r="N51" s="6">
        <f t="shared" si="11"/>
        <v>-1.1222222222222279E-2</v>
      </c>
      <c r="O51" s="14"/>
      <c r="P51" s="2">
        <f>SUM(OSRRefP22_7x_0)</f>
        <v>800.91</v>
      </c>
      <c r="Q51" s="2"/>
      <c r="R51" s="6">
        <f t="shared" si="12"/>
        <v>0</v>
      </c>
      <c r="S51" s="2"/>
      <c r="T51" s="2">
        <f>SUM(OSRRefT22_7x_0)</f>
        <v>810</v>
      </c>
      <c r="U51" s="2"/>
      <c r="V51" s="6">
        <f t="shared" si="13"/>
        <v>0</v>
      </c>
      <c r="W51" s="2"/>
      <c r="X51" s="2">
        <f t="shared" si="14"/>
        <v>-9.0900000000000318</v>
      </c>
      <c r="Y51" s="2"/>
      <c r="Z51" s="6">
        <f t="shared" si="15"/>
        <v>-1.1222222222222262E-2</v>
      </c>
    </row>
    <row r="52" spans="1:26" s="70" customFormat="1" ht="15" hidden="1" customHeight="1" outlineLevel="2" x14ac:dyDescent="0.3">
      <c r="A52" s="26"/>
      <c r="B52" s="12" t="str">
        <f>CONCATENATE("          ","6314"," - ","LIABILITY INSURANCE")</f>
        <v xml:space="preserve">          6314 - LIABILITY INSURANCE</v>
      </c>
      <c r="C52" s="12"/>
      <c r="D52" s="7">
        <v>88.99</v>
      </c>
      <c r="E52" s="3"/>
      <c r="F52" s="8">
        <f t="shared" si="8"/>
        <v>0</v>
      </c>
      <c r="G52" s="3"/>
      <c r="H52" s="7">
        <v>90</v>
      </c>
      <c r="I52" s="3"/>
      <c r="J52" s="8">
        <f t="shared" si="9"/>
        <v>0</v>
      </c>
      <c r="K52" s="3"/>
      <c r="L52" s="7">
        <f t="shared" si="10"/>
        <v>-1.0100000000000051</v>
      </c>
      <c r="M52" s="3"/>
      <c r="N52" s="8">
        <f t="shared" si="11"/>
        <v>-1.1222222222222279E-2</v>
      </c>
      <c r="O52" s="12"/>
      <c r="P52" s="7">
        <v>800.91</v>
      </c>
      <c r="Q52" s="3"/>
      <c r="R52" s="8">
        <f t="shared" si="12"/>
        <v>0</v>
      </c>
      <c r="S52" s="3"/>
      <c r="T52" s="7">
        <v>810</v>
      </c>
      <c r="U52" s="3"/>
      <c r="V52" s="8">
        <f t="shared" si="13"/>
        <v>0</v>
      </c>
      <c r="W52" s="3"/>
      <c r="X52" s="7">
        <f t="shared" si="14"/>
        <v>-9.0900000000000318</v>
      </c>
      <c r="Y52" s="3"/>
      <c r="Z52" s="8">
        <f t="shared" si="15"/>
        <v>-1.1222222222222262E-2</v>
      </c>
    </row>
    <row r="53" spans="1:26" s="69" customFormat="1" ht="15" customHeight="1" outlineLevel="1" collapsed="1" x14ac:dyDescent="0.3">
      <c r="A53" s="25"/>
      <c r="B53" s="14" t="str">
        <f>CONCATENATE("     ","Professional Services                             ")</f>
        <v xml:space="preserve">     Professional Services                             </v>
      </c>
      <c r="C53" s="14"/>
      <c r="D53" s="2">
        <f>SUM(OSRRefD22_8x_0)</f>
        <v>617.33000000000004</v>
      </c>
      <c r="E53" s="2"/>
      <c r="F53" s="6">
        <f t="shared" si="8"/>
        <v>0</v>
      </c>
      <c r="G53" s="2"/>
      <c r="H53" s="2">
        <f>SUM(OSRRefH22_8x_0)</f>
        <v>1666</v>
      </c>
      <c r="I53" s="2"/>
      <c r="J53" s="6">
        <f t="shared" si="9"/>
        <v>0</v>
      </c>
      <c r="K53" s="2"/>
      <c r="L53" s="2">
        <f t="shared" si="10"/>
        <v>-1048.67</v>
      </c>
      <c r="M53" s="2"/>
      <c r="N53" s="6">
        <f t="shared" si="11"/>
        <v>-0.62945378151260512</v>
      </c>
      <c r="O53" s="14"/>
      <c r="P53" s="2">
        <f>SUM(OSRRefP22_8x_0)</f>
        <v>11176.01</v>
      </c>
      <c r="Q53" s="2"/>
      <c r="R53" s="6">
        <f t="shared" si="12"/>
        <v>0</v>
      </c>
      <c r="S53" s="2"/>
      <c r="T53" s="2">
        <f>SUM(OSRRefT22_8x_0)</f>
        <v>14994</v>
      </c>
      <c r="U53" s="2"/>
      <c r="V53" s="6">
        <f t="shared" si="13"/>
        <v>0</v>
      </c>
      <c r="W53" s="2"/>
      <c r="X53" s="2">
        <f t="shared" si="14"/>
        <v>-3817.99</v>
      </c>
      <c r="Y53" s="2"/>
      <c r="Z53" s="6">
        <f t="shared" si="15"/>
        <v>-0.25463452047485657</v>
      </c>
    </row>
    <row r="54" spans="1:26" s="70" customFormat="1" ht="15" hidden="1" customHeight="1" outlineLevel="2" x14ac:dyDescent="0.3">
      <c r="A54" s="26"/>
      <c r="B54" s="12" t="str">
        <f>CONCATENATE("          ","6332"," - ","CONSULTANT FEES")</f>
        <v xml:space="preserve">          6332 - CONSULTANT FEES</v>
      </c>
      <c r="C54" s="12"/>
      <c r="D54" s="7"/>
      <c r="E54" s="3"/>
      <c r="F54" s="8">
        <f t="shared" si="8"/>
        <v>0</v>
      </c>
      <c r="G54" s="3"/>
      <c r="H54" s="7">
        <v>0</v>
      </c>
      <c r="I54" s="3"/>
      <c r="J54" s="8">
        <f t="shared" si="9"/>
        <v>0</v>
      </c>
      <c r="K54" s="3"/>
      <c r="L54" s="7">
        <f t="shared" si="10"/>
        <v>0</v>
      </c>
      <c r="M54" s="3"/>
      <c r="N54" s="8">
        <f t="shared" si="11"/>
        <v>0</v>
      </c>
      <c r="O54" s="12"/>
      <c r="P54" s="7"/>
      <c r="Q54" s="3"/>
      <c r="R54" s="8">
        <f t="shared" si="12"/>
        <v>0</v>
      </c>
      <c r="S54" s="3"/>
      <c r="T54" s="7">
        <v>0</v>
      </c>
      <c r="U54" s="3"/>
      <c r="V54" s="8">
        <f t="shared" si="13"/>
        <v>0</v>
      </c>
      <c r="W54" s="3"/>
      <c r="X54" s="7">
        <f t="shared" si="14"/>
        <v>0</v>
      </c>
      <c r="Y54" s="3"/>
      <c r="Z54" s="8">
        <f t="shared" si="15"/>
        <v>0</v>
      </c>
    </row>
    <row r="55" spans="1:26" s="70" customFormat="1" ht="15" hidden="1" customHeight="1" outlineLevel="2" x14ac:dyDescent="0.3">
      <c r="A55" s="26"/>
      <c r="B55" s="12" t="str">
        <f>CONCATENATE("          ","6334"," - ","LEGAL COUNCIL EXPENSE")</f>
        <v xml:space="preserve">          6334 - LEGAL COUNCIL EXPENSE</v>
      </c>
      <c r="C55" s="12"/>
      <c r="D55" s="7"/>
      <c r="E55" s="3"/>
      <c r="F55" s="8">
        <f t="shared" si="8"/>
        <v>0</v>
      </c>
      <c r="G55" s="3"/>
      <c r="H55" s="7">
        <v>833</v>
      </c>
      <c r="I55" s="3"/>
      <c r="J55" s="8">
        <f t="shared" si="9"/>
        <v>0</v>
      </c>
      <c r="K55" s="3"/>
      <c r="L55" s="7">
        <f t="shared" si="10"/>
        <v>-833</v>
      </c>
      <c r="M55" s="3"/>
      <c r="N55" s="8">
        <f t="shared" si="11"/>
        <v>-1</v>
      </c>
      <c r="O55" s="12"/>
      <c r="P55" s="7">
        <v>3255</v>
      </c>
      <c r="Q55" s="3"/>
      <c r="R55" s="8">
        <f t="shared" si="12"/>
        <v>0</v>
      </c>
      <c r="S55" s="3"/>
      <c r="T55" s="7">
        <v>7497</v>
      </c>
      <c r="U55" s="3"/>
      <c r="V55" s="8">
        <f t="shared" si="13"/>
        <v>0</v>
      </c>
      <c r="W55" s="3"/>
      <c r="X55" s="7">
        <f t="shared" si="14"/>
        <v>-4242</v>
      </c>
      <c r="Y55" s="3"/>
      <c r="Z55" s="8">
        <f t="shared" si="15"/>
        <v>-0.56582633053221287</v>
      </c>
    </row>
    <row r="56" spans="1:26" s="70" customFormat="1" ht="15" hidden="1" customHeight="1" outlineLevel="2" x14ac:dyDescent="0.3">
      <c r="A56" s="26"/>
      <c r="B56" s="12" t="str">
        <f>CONCATENATE("          ","6336"," - ","PROFESSIONAL SERVICES")</f>
        <v xml:space="preserve">          6336 - PROFESSIONAL SERVICES</v>
      </c>
      <c r="C56" s="12"/>
      <c r="D56" s="7">
        <v>617.33000000000004</v>
      </c>
      <c r="E56" s="3"/>
      <c r="F56" s="8">
        <f t="shared" si="8"/>
        <v>0</v>
      </c>
      <c r="G56" s="3"/>
      <c r="H56" s="7">
        <v>833</v>
      </c>
      <c r="I56" s="3"/>
      <c r="J56" s="8">
        <f t="shared" si="9"/>
        <v>0</v>
      </c>
      <c r="K56" s="3"/>
      <c r="L56" s="7">
        <f t="shared" si="10"/>
        <v>-215.66999999999996</v>
      </c>
      <c r="M56" s="3"/>
      <c r="N56" s="8">
        <f t="shared" si="11"/>
        <v>-0.25890756302521001</v>
      </c>
      <c r="O56" s="12"/>
      <c r="P56" s="7">
        <v>7921.01</v>
      </c>
      <c r="Q56" s="3"/>
      <c r="R56" s="8">
        <f t="shared" si="12"/>
        <v>0</v>
      </c>
      <c r="S56" s="3"/>
      <c r="T56" s="7">
        <v>7497</v>
      </c>
      <c r="U56" s="3"/>
      <c r="V56" s="8">
        <f t="shared" si="13"/>
        <v>0</v>
      </c>
      <c r="W56" s="3"/>
      <c r="X56" s="7">
        <f t="shared" si="14"/>
        <v>424.01000000000022</v>
      </c>
      <c r="Y56" s="3"/>
      <c r="Z56" s="8">
        <f t="shared" si="15"/>
        <v>5.6557289582499698E-2</v>
      </c>
    </row>
    <row r="57" spans="1:26" s="69" customFormat="1" ht="15" customHeight="1" outlineLevel="1" collapsed="1" x14ac:dyDescent="0.3">
      <c r="A57" s="25"/>
      <c r="B57" s="14" t="str">
        <f>CONCATENATE("     ","Repair and Maintenance                            ")</f>
        <v xml:space="preserve">     Repair and Maintenance                            </v>
      </c>
      <c r="C57" s="14"/>
      <c r="D57" s="2">
        <f>SUM(OSRRefD22_9x_0)</f>
        <v>7771.38</v>
      </c>
      <c r="E57" s="2"/>
      <c r="F57" s="6">
        <f t="shared" si="8"/>
        <v>0</v>
      </c>
      <c r="G57" s="2"/>
      <c r="H57" s="2">
        <f>SUM(OSRRefH22_9x_0)</f>
        <v>7000</v>
      </c>
      <c r="I57" s="2"/>
      <c r="J57" s="6">
        <f t="shared" si="9"/>
        <v>0</v>
      </c>
      <c r="K57" s="2"/>
      <c r="L57" s="2">
        <f t="shared" si="10"/>
        <v>771.38000000000011</v>
      </c>
      <c r="M57" s="2"/>
      <c r="N57" s="6">
        <f t="shared" si="11"/>
        <v>0.11019714285714287</v>
      </c>
      <c r="O57" s="14"/>
      <c r="P57" s="2">
        <f>SUM(OSRRefP22_9x_0)</f>
        <v>59815.189999999995</v>
      </c>
      <c r="Q57" s="2"/>
      <c r="R57" s="6">
        <f t="shared" si="12"/>
        <v>0</v>
      </c>
      <c r="S57" s="2"/>
      <c r="T57" s="2">
        <f>SUM(OSRRefT22_9x_0)</f>
        <v>63000</v>
      </c>
      <c r="U57" s="2"/>
      <c r="V57" s="6">
        <f t="shared" si="13"/>
        <v>0</v>
      </c>
      <c r="W57" s="2"/>
      <c r="X57" s="2">
        <f t="shared" si="14"/>
        <v>-3184.8100000000049</v>
      </c>
      <c r="Y57" s="2"/>
      <c r="Z57" s="6">
        <f t="shared" si="15"/>
        <v>-5.0552539682539761E-2</v>
      </c>
    </row>
    <row r="58" spans="1:26" s="70" customFormat="1" ht="15" hidden="1" customHeight="1" outlineLevel="2" x14ac:dyDescent="0.3">
      <c r="A58" s="26"/>
      <c r="B58" s="12" t="str">
        <f>CONCATENATE("          ","6371"," - ","COMPUTER SOFTWARE MAINTENANCE")</f>
        <v xml:space="preserve">          6371 - COMPUTER SOFTWARE MAINTENANCE</v>
      </c>
      <c r="C58" s="12"/>
      <c r="D58" s="7">
        <v>7771.38</v>
      </c>
      <c r="E58" s="3"/>
      <c r="F58" s="8">
        <f t="shared" si="8"/>
        <v>0</v>
      </c>
      <c r="G58" s="3"/>
      <c r="H58" s="7">
        <v>7000</v>
      </c>
      <c r="I58" s="3"/>
      <c r="J58" s="8">
        <f t="shared" si="9"/>
        <v>0</v>
      </c>
      <c r="K58" s="3"/>
      <c r="L58" s="7">
        <f t="shared" si="10"/>
        <v>771.38000000000011</v>
      </c>
      <c r="M58" s="3"/>
      <c r="N58" s="8">
        <f t="shared" si="11"/>
        <v>0.11019714285714287</v>
      </c>
      <c r="O58" s="12"/>
      <c r="P58" s="7">
        <v>59382.559999999998</v>
      </c>
      <c r="Q58" s="3"/>
      <c r="R58" s="8">
        <f t="shared" si="12"/>
        <v>0</v>
      </c>
      <c r="S58" s="3"/>
      <c r="T58" s="7">
        <v>63000</v>
      </c>
      <c r="U58" s="3"/>
      <c r="V58" s="8">
        <f t="shared" si="13"/>
        <v>0</v>
      </c>
      <c r="W58" s="3"/>
      <c r="X58" s="7">
        <f t="shared" si="14"/>
        <v>-3617.4400000000023</v>
      </c>
      <c r="Y58" s="3"/>
      <c r="Z58" s="8">
        <f t="shared" si="15"/>
        <v>-5.7419682539682576E-2</v>
      </c>
    </row>
    <row r="59" spans="1:26" s="70" customFormat="1" ht="15" hidden="1" customHeight="1" outlineLevel="2" x14ac:dyDescent="0.3">
      <c r="A59" s="26"/>
      <c r="B59" s="12" t="str">
        <f>CONCATENATE("          ","6373"," - ","MAINTENANCE CONTRACTS")</f>
        <v xml:space="preserve">          6373 - MAINTENANCE CONTRACTS</v>
      </c>
      <c r="C59" s="12"/>
      <c r="D59" s="7"/>
      <c r="E59" s="3"/>
      <c r="F59" s="8">
        <f t="shared" si="8"/>
        <v>0</v>
      </c>
      <c r="G59" s="3"/>
      <c r="H59" s="7"/>
      <c r="I59" s="3"/>
      <c r="J59" s="8">
        <f t="shared" si="9"/>
        <v>0</v>
      </c>
      <c r="K59" s="3"/>
      <c r="L59" s="7">
        <f t="shared" si="10"/>
        <v>0</v>
      </c>
      <c r="M59" s="3"/>
      <c r="N59" s="8">
        <f t="shared" si="11"/>
        <v>0</v>
      </c>
      <c r="O59" s="12"/>
      <c r="P59" s="7">
        <v>432.63</v>
      </c>
      <c r="Q59" s="3"/>
      <c r="R59" s="8">
        <f t="shared" si="12"/>
        <v>0</v>
      </c>
      <c r="S59" s="3"/>
      <c r="T59" s="7"/>
      <c r="U59" s="3"/>
      <c r="V59" s="8">
        <f t="shared" si="13"/>
        <v>0</v>
      </c>
      <c r="W59" s="3"/>
      <c r="X59" s="7">
        <f t="shared" si="14"/>
        <v>432.63</v>
      </c>
      <c r="Y59" s="3"/>
      <c r="Z59" s="8">
        <f t="shared" si="15"/>
        <v>0</v>
      </c>
    </row>
    <row r="60" spans="1:26" s="69" customFormat="1" ht="15" customHeight="1" outlineLevel="1" collapsed="1" x14ac:dyDescent="0.3">
      <c r="A60" s="25"/>
      <c r="B60" s="14" t="str">
        <f>CONCATENATE("     ","Subscriptions &amp; Dues                              ")</f>
        <v xml:space="preserve">     Subscriptions &amp; Dues                              </v>
      </c>
      <c r="C60" s="14"/>
      <c r="D60" s="2">
        <f>SUM(OSRRefD22_10x_0)</f>
        <v>0</v>
      </c>
      <c r="E60" s="2"/>
      <c r="F60" s="6">
        <f t="shared" si="8"/>
        <v>0</v>
      </c>
      <c r="G60" s="2"/>
      <c r="H60" s="2">
        <f>SUM(OSRRefH22_10x_0)</f>
        <v>0</v>
      </c>
      <c r="I60" s="2"/>
      <c r="J60" s="6">
        <f t="shared" si="9"/>
        <v>0</v>
      </c>
      <c r="K60" s="2"/>
      <c r="L60" s="2">
        <f t="shared" si="10"/>
        <v>0</v>
      </c>
      <c r="M60" s="2"/>
      <c r="N60" s="6">
        <f t="shared" si="11"/>
        <v>0</v>
      </c>
      <c r="O60" s="14"/>
      <c r="P60" s="2">
        <f>SUM(OSRRefP22_10x_0)</f>
        <v>2730.9</v>
      </c>
      <c r="Q60" s="2"/>
      <c r="R60" s="6">
        <f t="shared" si="12"/>
        <v>0</v>
      </c>
      <c r="S60" s="2"/>
      <c r="T60" s="2">
        <f>SUM(OSRRefT22_10x_0)</f>
        <v>1000</v>
      </c>
      <c r="U60" s="2"/>
      <c r="V60" s="6">
        <f t="shared" si="13"/>
        <v>0</v>
      </c>
      <c r="W60" s="2"/>
      <c r="X60" s="2">
        <f t="shared" si="14"/>
        <v>1730.9</v>
      </c>
      <c r="Y60" s="2"/>
      <c r="Z60" s="6">
        <f t="shared" si="15"/>
        <v>1.7309000000000001</v>
      </c>
    </row>
    <row r="61" spans="1:26" s="70" customFormat="1" ht="15" hidden="1" customHeight="1" outlineLevel="2" x14ac:dyDescent="0.3">
      <c r="A61" s="26"/>
      <c r="B61" s="12" t="str">
        <f>CONCATENATE("          ","6258"," - ","MEMBERSHIP DUES")</f>
        <v xml:space="preserve">          6258 - MEMBERSHIP DUES</v>
      </c>
      <c r="C61" s="12"/>
      <c r="D61" s="7"/>
      <c r="E61" s="3"/>
      <c r="F61" s="8">
        <f t="shared" si="8"/>
        <v>0</v>
      </c>
      <c r="G61" s="3"/>
      <c r="H61" s="7"/>
      <c r="I61" s="3"/>
      <c r="J61" s="8">
        <f t="shared" si="9"/>
        <v>0</v>
      </c>
      <c r="K61" s="3"/>
      <c r="L61" s="7">
        <f t="shared" si="10"/>
        <v>0</v>
      </c>
      <c r="M61" s="3"/>
      <c r="N61" s="8">
        <f t="shared" si="11"/>
        <v>0</v>
      </c>
      <c r="O61" s="12"/>
      <c r="P61" s="7">
        <v>1452</v>
      </c>
      <c r="Q61" s="3"/>
      <c r="R61" s="8">
        <f t="shared" si="12"/>
        <v>0</v>
      </c>
      <c r="S61" s="3"/>
      <c r="T61" s="7">
        <v>1000</v>
      </c>
      <c r="U61" s="3"/>
      <c r="V61" s="8">
        <f t="shared" si="13"/>
        <v>0</v>
      </c>
      <c r="W61" s="3"/>
      <c r="X61" s="7">
        <f t="shared" si="14"/>
        <v>452</v>
      </c>
      <c r="Y61" s="3"/>
      <c r="Z61" s="8">
        <f t="shared" si="15"/>
        <v>0.45200000000000001</v>
      </c>
    </row>
    <row r="62" spans="1:26" s="70" customFormat="1" ht="15" hidden="1" customHeight="1" outlineLevel="2" x14ac:dyDescent="0.3">
      <c r="A62" s="26"/>
      <c r="B62" s="12" t="str">
        <f>CONCATENATE("          ","6275"," - ","SUBSCRIPTIONS")</f>
        <v xml:space="preserve">          6275 - SUBSCRIPTIONS</v>
      </c>
      <c r="C62" s="12"/>
      <c r="D62" s="7"/>
      <c r="E62" s="3"/>
      <c r="F62" s="8">
        <f t="shared" si="8"/>
        <v>0</v>
      </c>
      <c r="G62" s="3"/>
      <c r="H62" s="7"/>
      <c r="I62" s="3"/>
      <c r="J62" s="8">
        <f t="shared" si="9"/>
        <v>0</v>
      </c>
      <c r="K62" s="3"/>
      <c r="L62" s="7">
        <f t="shared" si="10"/>
        <v>0</v>
      </c>
      <c r="M62" s="3"/>
      <c r="N62" s="8">
        <f t="shared" si="11"/>
        <v>0</v>
      </c>
      <c r="O62" s="12"/>
      <c r="P62" s="7">
        <v>1278.9000000000001</v>
      </c>
      <c r="Q62" s="3"/>
      <c r="R62" s="8">
        <f t="shared" si="12"/>
        <v>0</v>
      </c>
      <c r="S62" s="3"/>
      <c r="T62" s="7"/>
      <c r="U62" s="3"/>
      <c r="V62" s="8">
        <f t="shared" si="13"/>
        <v>0</v>
      </c>
      <c r="W62" s="3"/>
      <c r="X62" s="7">
        <f t="shared" si="14"/>
        <v>1278.9000000000001</v>
      </c>
      <c r="Y62" s="3"/>
      <c r="Z62" s="8">
        <f t="shared" si="15"/>
        <v>0</v>
      </c>
    </row>
    <row r="63" spans="1:26" s="69" customFormat="1" ht="15" customHeight="1" outlineLevel="1" collapsed="1" x14ac:dyDescent="0.3">
      <c r="A63" s="25"/>
      <c r="B63" s="14" t="str">
        <f>CONCATENATE("     ","Supplies                                          ")</f>
        <v xml:space="preserve">     Supplies                                          </v>
      </c>
      <c r="C63" s="14"/>
      <c r="D63" s="2">
        <f>SUM(OSRRefD22_11x_0)</f>
        <v>96.78</v>
      </c>
      <c r="E63" s="2"/>
      <c r="F63" s="6">
        <f t="shared" si="8"/>
        <v>0</v>
      </c>
      <c r="G63" s="2"/>
      <c r="H63" s="2">
        <f>SUM(OSRRefH22_11x_0)</f>
        <v>1834</v>
      </c>
      <c r="I63" s="2"/>
      <c r="J63" s="6">
        <f t="shared" si="9"/>
        <v>0</v>
      </c>
      <c r="K63" s="2"/>
      <c r="L63" s="2">
        <f t="shared" si="10"/>
        <v>-1737.22</v>
      </c>
      <c r="M63" s="2"/>
      <c r="N63" s="6">
        <f t="shared" si="11"/>
        <v>-0.94723009814612869</v>
      </c>
      <c r="O63" s="14"/>
      <c r="P63" s="2">
        <f>SUM(OSRRefP22_11x_0)</f>
        <v>17025.690000000002</v>
      </c>
      <c r="Q63" s="2"/>
      <c r="R63" s="6">
        <f t="shared" si="12"/>
        <v>0</v>
      </c>
      <c r="S63" s="2"/>
      <c r="T63" s="2">
        <f>SUM(OSRRefT22_11x_0)</f>
        <v>16506</v>
      </c>
      <c r="U63" s="2"/>
      <c r="V63" s="6">
        <f t="shared" si="13"/>
        <v>0</v>
      </c>
      <c r="W63" s="2"/>
      <c r="X63" s="2">
        <f t="shared" si="14"/>
        <v>519.69000000000233</v>
      </c>
      <c r="Y63" s="2"/>
      <c r="Z63" s="6">
        <f t="shared" si="15"/>
        <v>3.1484914576517774E-2</v>
      </c>
    </row>
    <row r="64" spans="1:26" s="70" customFormat="1" ht="15" hidden="1" customHeight="1" outlineLevel="2" x14ac:dyDescent="0.3">
      <c r="A64" s="26"/>
      <c r="B64" s="12" t="str">
        <f>CONCATENATE("          ","6235"," - ","COVID-19 EXPENSES")</f>
        <v xml:space="preserve">          6235 - COVID-19 EXPENSES</v>
      </c>
      <c r="C64" s="12"/>
      <c r="D64" s="7"/>
      <c r="E64" s="3"/>
      <c r="F64" s="8">
        <f t="shared" si="8"/>
        <v>0</v>
      </c>
      <c r="G64" s="3"/>
      <c r="H64" s="7"/>
      <c r="I64" s="3"/>
      <c r="J64" s="8">
        <f t="shared" si="9"/>
        <v>0</v>
      </c>
      <c r="K64" s="3"/>
      <c r="L64" s="7">
        <f t="shared" si="10"/>
        <v>0</v>
      </c>
      <c r="M64" s="3"/>
      <c r="N64" s="8">
        <f t="shared" si="11"/>
        <v>0</v>
      </c>
      <c r="O64" s="12"/>
      <c r="P64" s="7">
        <v>2636.13</v>
      </c>
      <c r="Q64" s="3"/>
      <c r="R64" s="8">
        <f t="shared" si="12"/>
        <v>0</v>
      </c>
      <c r="S64" s="3"/>
      <c r="T64" s="7"/>
      <c r="U64" s="3"/>
      <c r="V64" s="8">
        <f t="shared" si="13"/>
        <v>0</v>
      </c>
      <c r="W64" s="3"/>
      <c r="X64" s="7">
        <f t="shared" si="14"/>
        <v>2636.13</v>
      </c>
      <c r="Y64" s="3"/>
      <c r="Z64" s="8">
        <f t="shared" si="15"/>
        <v>0</v>
      </c>
    </row>
    <row r="65" spans="1:26" s="70" customFormat="1" ht="15" hidden="1" customHeight="1" outlineLevel="2" x14ac:dyDescent="0.3">
      <c r="A65" s="26"/>
      <c r="B65" s="12" t="str">
        <f>CONCATENATE("          ","6241"," - ","OFFICE EXPENSE")</f>
        <v xml:space="preserve">          6241 - OFFICE EXPENSE</v>
      </c>
      <c r="C65" s="12"/>
      <c r="D65" s="7">
        <v>96.78</v>
      </c>
      <c r="E65" s="3"/>
      <c r="F65" s="8">
        <f t="shared" si="8"/>
        <v>0</v>
      </c>
      <c r="G65" s="3"/>
      <c r="H65" s="7">
        <v>1417</v>
      </c>
      <c r="I65" s="3"/>
      <c r="J65" s="8">
        <f t="shared" si="9"/>
        <v>0</v>
      </c>
      <c r="K65" s="3"/>
      <c r="L65" s="7">
        <f t="shared" si="10"/>
        <v>-1320.22</v>
      </c>
      <c r="M65" s="3"/>
      <c r="N65" s="8">
        <f t="shared" si="11"/>
        <v>-0.93170077628793224</v>
      </c>
      <c r="O65" s="12"/>
      <c r="P65" s="7">
        <v>2453.27</v>
      </c>
      <c r="Q65" s="3"/>
      <c r="R65" s="8">
        <f t="shared" si="12"/>
        <v>0</v>
      </c>
      <c r="S65" s="3"/>
      <c r="T65" s="7">
        <v>12753</v>
      </c>
      <c r="U65" s="3"/>
      <c r="V65" s="8">
        <f t="shared" si="13"/>
        <v>0</v>
      </c>
      <c r="W65" s="3"/>
      <c r="X65" s="7">
        <f t="shared" si="14"/>
        <v>-10299.73</v>
      </c>
      <c r="Y65" s="3"/>
      <c r="Z65" s="8">
        <f t="shared" si="15"/>
        <v>-0.80763192974202147</v>
      </c>
    </row>
    <row r="66" spans="1:26" s="70" customFormat="1" ht="15" hidden="1" customHeight="1" outlineLevel="2" x14ac:dyDescent="0.3">
      <c r="A66" s="26"/>
      <c r="B66" s="12" t="str">
        <f>CONCATENATE("          ","6244"," - ","SAFETY SUPPLY EXPENSE")</f>
        <v xml:space="preserve">          6244 - SAFETY SUPPLY EXPENSE</v>
      </c>
      <c r="C66" s="12"/>
      <c r="D66" s="7"/>
      <c r="E66" s="3"/>
      <c r="F66" s="8">
        <f t="shared" si="8"/>
        <v>0</v>
      </c>
      <c r="G66" s="3"/>
      <c r="H66" s="7">
        <v>417</v>
      </c>
      <c r="I66" s="3"/>
      <c r="J66" s="8">
        <f t="shared" si="9"/>
        <v>0</v>
      </c>
      <c r="K66" s="3"/>
      <c r="L66" s="7">
        <f t="shared" si="10"/>
        <v>-417</v>
      </c>
      <c r="M66" s="3"/>
      <c r="N66" s="8">
        <f t="shared" si="11"/>
        <v>-1</v>
      </c>
      <c r="O66" s="12"/>
      <c r="P66" s="7">
        <v>650</v>
      </c>
      <c r="Q66" s="3"/>
      <c r="R66" s="8">
        <f t="shared" si="12"/>
        <v>0</v>
      </c>
      <c r="S66" s="3"/>
      <c r="T66" s="7">
        <v>3753</v>
      </c>
      <c r="U66" s="3"/>
      <c r="V66" s="8">
        <f t="shared" si="13"/>
        <v>0</v>
      </c>
      <c r="W66" s="3"/>
      <c r="X66" s="7">
        <f t="shared" si="14"/>
        <v>-3103</v>
      </c>
      <c r="Y66" s="3"/>
      <c r="Z66" s="8">
        <f t="shared" si="15"/>
        <v>-0.82680522248867572</v>
      </c>
    </row>
    <row r="67" spans="1:26" s="70" customFormat="1" ht="15" hidden="1" customHeight="1" outlineLevel="2" x14ac:dyDescent="0.3">
      <c r="A67" s="26"/>
      <c r="B67" s="12" t="str">
        <f>CONCATENATE("          ","6248"," - ","UNIFORMS")</f>
        <v xml:space="preserve">          6248 - UNIFORMS</v>
      </c>
      <c r="C67" s="12"/>
      <c r="D67" s="7"/>
      <c r="E67" s="3"/>
      <c r="F67" s="8">
        <f t="shared" si="8"/>
        <v>0</v>
      </c>
      <c r="G67" s="3"/>
      <c r="H67" s="7"/>
      <c r="I67" s="3"/>
      <c r="J67" s="8">
        <f t="shared" si="9"/>
        <v>0</v>
      </c>
      <c r="K67" s="3"/>
      <c r="L67" s="7">
        <f t="shared" si="10"/>
        <v>0</v>
      </c>
      <c r="M67" s="3"/>
      <c r="N67" s="8">
        <f t="shared" si="11"/>
        <v>0</v>
      </c>
      <c r="O67" s="12"/>
      <c r="P67" s="7">
        <v>11286.29</v>
      </c>
      <c r="Q67" s="3"/>
      <c r="R67" s="8">
        <f t="shared" si="12"/>
        <v>0</v>
      </c>
      <c r="S67" s="3"/>
      <c r="T67" s="7"/>
      <c r="U67" s="3"/>
      <c r="V67" s="8">
        <f t="shared" si="13"/>
        <v>0</v>
      </c>
      <c r="W67" s="3"/>
      <c r="X67" s="7">
        <f t="shared" si="14"/>
        <v>11286.29</v>
      </c>
      <c r="Y67" s="3"/>
      <c r="Z67" s="8">
        <f t="shared" si="15"/>
        <v>0</v>
      </c>
    </row>
    <row r="68" spans="1:26" s="69" customFormat="1" ht="15" customHeight="1" outlineLevel="1" collapsed="1" x14ac:dyDescent="0.3">
      <c r="A68" s="25"/>
      <c r="B68" s="14" t="str">
        <f>CONCATENATE("     ","Telephone/Data Lines                              ")</f>
        <v xml:space="preserve">     Telephone/Data Lines                              </v>
      </c>
      <c r="C68" s="14"/>
      <c r="D68" s="2">
        <f>SUM(OSRRefD22_12x_0)</f>
        <v>573.4</v>
      </c>
      <c r="E68" s="2"/>
      <c r="F68" s="6">
        <f t="shared" si="8"/>
        <v>0</v>
      </c>
      <c r="G68" s="2"/>
      <c r="H68" s="2">
        <f>SUM(OSRRefH22_12x_0)</f>
        <v>283</v>
      </c>
      <c r="I68" s="2"/>
      <c r="J68" s="6">
        <f t="shared" si="9"/>
        <v>0</v>
      </c>
      <c r="K68" s="2"/>
      <c r="L68" s="2">
        <f t="shared" si="10"/>
        <v>290.39999999999998</v>
      </c>
      <c r="M68" s="2"/>
      <c r="N68" s="6">
        <f t="shared" si="11"/>
        <v>1.0261484098939928</v>
      </c>
      <c r="O68" s="14"/>
      <c r="P68" s="2">
        <f>SUM(OSRRefP22_12x_0)</f>
        <v>4551.2</v>
      </c>
      <c r="Q68" s="2"/>
      <c r="R68" s="6">
        <f t="shared" si="12"/>
        <v>0</v>
      </c>
      <c r="S68" s="2"/>
      <c r="T68" s="2">
        <f>SUM(OSRRefT22_12x_0)</f>
        <v>2547</v>
      </c>
      <c r="U68" s="2"/>
      <c r="V68" s="6">
        <f t="shared" si="13"/>
        <v>0</v>
      </c>
      <c r="W68" s="2"/>
      <c r="X68" s="2">
        <f t="shared" si="14"/>
        <v>2004.1999999999998</v>
      </c>
      <c r="Y68" s="2"/>
      <c r="Z68" s="6">
        <f t="shared" si="15"/>
        <v>0.78688653317628576</v>
      </c>
    </row>
    <row r="69" spans="1:26" s="70" customFormat="1" ht="15" hidden="1" customHeight="1" outlineLevel="2" x14ac:dyDescent="0.3">
      <c r="A69" s="26"/>
      <c r="B69" s="12" t="str">
        <f>CONCATENATE("          ","6309"," - ","TELEPHONE")</f>
        <v xml:space="preserve">          6309 - TELEPHONE</v>
      </c>
      <c r="C69" s="12"/>
      <c r="D69" s="7">
        <v>573.4</v>
      </c>
      <c r="E69" s="3"/>
      <c r="F69" s="8">
        <f t="shared" si="8"/>
        <v>0</v>
      </c>
      <c r="G69" s="3"/>
      <c r="H69" s="7">
        <v>283</v>
      </c>
      <c r="I69" s="3"/>
      <c r="J69" s="8">
        <f t="shared" si="9"/>
        <v>0</v>
      </c>
      <c r="K69" s="3"/>
      <c r="L69" s="7">
        <f t="shared" si="10"/>
        <v>290.39999999999998</v>
      </c>
      <c r="M69" s="3"/>
      <c r="N69" s="8">
        <f t="shared" si="11"/>
        <v>1.0261484098939928</v>
      </c>
      <c r="O69" s="12"/>
      <c r="P69" s="7">
        <v>4551.2</v>
      </c>
      <c r="Q69" s="3"/>
      <c r="R69" s="8">
        <f t="shared" si="12"/>
        <v>0</v>
      </c>
      <c r="S69" s="3"/>
      <c r="T69" s="7">
        <v>2547</v>
      </c>
      <c r="U69" s="3"/>
      <c r="V69" s="8">
        <f t="shared" si="13"/>
        <v>0</v>
      </c>
      <c r="W69" s="3"/>
      <c r="X69" s="7">
        <f t="shared" si="14"/>
        <v>2004.1999999999998</v>
      </c>
      <c r="Y69" s="3"/>
      <c r="Z69" s="8">
        <f t="shared" si="15"/>
        <v>0.78688653317628576</v>
      </c>
    </row>
    <row r="70" spans="1:26" s="69" customFormat="1" ht="15" customHeight="1" outlineLevel="1" collapsed="1" x14ac:dyDescent="0.3">
      <c r="A70" s="25"/>
      <c r="B70" s="14" t="str">
        <f>CONCATENATE("     ","Training                                          ")</f>
        <v xml:space="preserve">     Training                                          </v>
      </c>
      <c r="C70" s="14"/>
      <c r="D70" s="2">
        <f>SUM(OSRRefD22_13x_0)</f>
        <v>0</v>
      </c>
      <c r="E70" s="2"/>
      <c r="F70" s="6">
        <f t="shared" si="8"/>
        <v>0</v>
      </c>
      <c r="G70" s="2"/>
      <c r="H70" s="2">
        <f>SUM(OSRRefH22_13x_0)</f>
        <v>333</v>
      </c>
      <c r="I70" s="2"/>
      <c r="J70" s="6">
        <f t="shared" si="9"/>
        <v>0</v>
      </c>
      <c r="K70" s="2"/>
      <c r="L70" s="2">
        <f t="shared" si="10"/>
        <v>-333</v>
      </c>
      <c r="M70" s="2"/>
      <c r="N70" s="6">
        <f t="shared" si="11"/>
        <v>-1</v>
      </c>
      <c r="O70" s="14"/>
      <c r="P70" s="2">
        <f>SUM(OSRRefP22_13x_0)</f>
        <v>475</v>
      </c>
      <c r="Q70" s="2"/>
      <c r="R70" s="6">
        <f t="shared" si="12"/>
        <v>0</v>
      </c>
      <c r="S70" s="2"/>
      <c r="T70" s="2">
        <f>SUM(OSRRefT22_13x_0)</f>
        <v>2997</v>
      </c>
      <c r="U70" s="2"/>
      <c r="V70" s="6">
        <f t="shared" si="13"/>
        <v>0</v>
      </c>
      <c r="W70" s="2"/>
      <c r="X70" s="2">
        <f t="shared" si="14"/>
        <v>-2522</v>
      </c>
      <c r="Y70" s="2"/>
      <c r="Z70" s="6">
        <f t="shared" si="15"/>
        <v>-0.84150817484150819</v>
      </c>
    </row>
    <row r="71" spans="1:26" s="70" customFormat="1" ht="15" hidden="1" customHeight="1" outlineLevel="2" x14ac:dyDescent="0.3">
      <c r="A71" s="26"/>
      <c r="B71" s="12" t="str">
        <f>CONCATENATE("          ","6376"," - ","TRAINING")</f>
        <v xml:space="preserve">          6376 - TRAINING</v>
      </c>
      <c r="C71" s="12"/>
      <c r="D71" s="7"/>
      <c r="E71" s="3"/>
      <c r="F71" s="8">
        <f t="shared" si="8"/>
        <v>0</v>
      </c>
      <c r="G71" s="3"/>
      <c r="H71" s="7">
        <v>333</v>
      </c>
      <c r="I71" s="3"/>
      <c r="J71" s="8">
        <f t="shared" si="9"/>
        <v>0</v>
      </c>
      <c r="K71" s="3"/>
      <c r="L71" s="7">
        <f t="shared" si="10"/>
        <v>-333</v>
      </c>
      <c r="M71" s="3"/>
      <c r="N71" s="8">
        <f t="shared" si="11"/>
        <v>-1</v>
      </c>
      <c r="O71" s="12"/>
      <c r="P71" s="7">
        <v>475</v>
      </c>
      <c r="Q71" s="3"/>
      <c r="R71" s="8">
        <f t="shared" si="12"/>
        <v>0</v>
      </c>
      <c r="S71" s="3"/>
      <c r="T71" s="7">
        <v>2997</v>
      </c>
      <c r="U71" s="3"/>
      <c r="V71" s="8">
        <f t="shared" si="13"/>
        <v>0</v>
      </c>
      <c r="W71" s="3"/>
      <c r="X71" s="7">
        <f t="shared" si="14"/>
        <v>-2522</v>
      </c>
      <c r="Y71" s="3"/>
      <c r="Z71" s="8">
        <f t="shared" si="15"/>
        <v>-0.84150817484150819</v>
      </c>
    </row>
    <row r="72" spans="1:26" s="69" customFormat="1" ht="15" customHeight="1" outlineLevel="1" collapsed="1" x14ac:dyDescent="0.3">
      <c r="A72" s="25"/>
      <c r="B72" s="14" t="str">
        <f>CONCATENATE("     ","Travel                                            ")</f>
        <v xml:space="preserve">     Travel                                            </v>
      </c>
      <c r="C72" s="14"/>
      <c r="D72" s="2">
        <f>SUM(OSRRefD22_14x_0)</f>
        <v>0</v>
      </c>
      <c r="E72" s="2"/>
      <c r="F72" s="6">
        <f t="shared" si="8"/>
        <v>0</v>
      </c>
      <c r="G72" s="2"/>
      <c r="H72" s="2">
        <f>SUM(OSRRefH22_14x_0)</f>
        <v>0</v>
      </c>
      <c r="I72" s="2"/>
      <c r="J72" s="6">
        <f t="shared" si="9"/>
        <v>0</v>
      </c>
      <c r="K72" s="2"/>
      <c r="L72" s="2">
        <f t="shared" si="10"/>
        <v>0</v>
      </c>
      <c r="M72" s="2"/>
      <c r="N72" s="6">
        <f t="shared" si="11"/>
        <v>0</v>
      </c>
      <c r="O72" s="14"/>
      <c r="P72" s="2">
        <f>SUM(OSRRefP22_14x_0)</f>
        <v>0</v>
      </c>
      <c r="Q72" s="2"/>
      <c r="R72" s="6">
        <f t="shared" si="12"/>
        <v>0</v>
      </c>
      <c r="S72" s="2"/>
      <c r="T72" s="2">
        <f>SUM(OSRRefT22_14x_0)</f>
        <v>720</v>
      </c>
      <c r="U72" s="2"/>
      <c r="V72" s="6">
        <f t="shared" si="13"/>
        <v>0</v>
      </c>
      <c r="W72" s="2"/>
      <c r="X72" s="2">
        <f t="shared" si="14"/>
        <v>-720</v>
      </c>
      <c r="Y72" s="2"/>
      <c r="Z72" s="6">
        <f t="shared" si="15"/>
        <v>-1</v>
      </c>
    </row>
    <row r="73" spans="1:26" s="70" customFormat="1" ht="15" hidden="1" customHeight="1" outlineLevel="2" x14ac:dyDescent="0.3">
      <c r="A73" s="26"/>
      <c r="B73" s="12" t="str">
        <f>CONCATENATE("          ","6292"," - ","TRAVEL/CONFERENCE")</f>
        <v xml:space="preserve">          6292 - TRAVEL/CONFERENCE</v>
      </c>
      <c r="C73" s="12"/>
      <c r="D73" s="7"/>
      <c r="E73" s="3"/>
      <c r="F73" s="8">
        <f t="shared" si="8"/>
        <v>0</v>
      </c>
      <c r="G73" s="3"/>
      <c r="H73" s="7"/>
      <c r="I73" s="3"/>
      <c r="J73" s="8">
        <f t="shared" si="9"/>
        <v>0</v>
      </c>
      <c r="K73" s="3"/>
      <c r="L73" s="7">
        <f t="shared" si="10"/>
        <v>0</v>
      </c>
      <c r="M73" s="3"/>
      <c r="N73" s="8">
        <f t="shared" si="11"/>
        <v>0</v>
      </c>
      <c r="O73" s="12"/>
      <c r="P73" s="7"/>
      <c r="Q73" s="3"/>
      <c r="R73" s="8">
        <f t="shared" si="12"/>
        <v>0</v>
      </c>
      <c r="S73" s="3"/>
      <c r="T73" s="7">
        <v>720</v>
      </c>
      <c r="U73" s="3"/>
      <c r="V73" s="8">
        <f t="shared" si="13"/>
        <v>0</v>
      </c>
      <c r="W73" s="3"/>
      <c r="X73" s="7">
        <f t="shared" si="14"/>
        <v>-720</v>
      </c>
      <c r="Y73" s="3"/>
      <c r="Z73" s="8">
        <f t="shared" si="15"/>
        <v>-1</v>
      </c>
    </row>
    <row r="74" spans="1:26" s="65" customFormat="1" ht="15" customHeight="1" x14ac:dyDescent="0.3">
      <c r="A74" s="35"/>
      <c r="B74" s="35"/>
      <c r="C74" s="35"/>
      <c r="D74" s="2"/>
      <c r="E74" s="2"/>
      <c r="F74" s="6"/>
      <c r="G74" s="2"/>
      <c r="H74" s="2"/>
      <c r="I74" s="2"/>
      <c r="J74" s="6"/>
      <c r="K74" s="2"/>
      <c r="L74" s="2"/>
      <c r="M74" s="2"/>
      <c r="N74" s="6"/>
      <c r="O74" s="35"/>
      <c r="P74" s="2"/>
      <c r="Q74" s="2"/>
      <c r="R74" s="6"/>
      <c r="S74" s="2"/>
      <c r="T74" s="2"/>
      <c r="U74" s="2"/>
      <c r="V74" s="6"/>
      <c r="W74" s="2"/>
      <c r="X74" s="2"/>
      <c r="Y74" s="2"/>
      <c r="Z74" s="6"/>
    </row>
    <row r="75" spans="1:26" s="63" customFormat="1" ht="15" customHeight="1" x14ac:dyDescent="0.3">
      <c r="A75" s="11"/>
      <c r="B75" s="28" t="s">
        <v>291</v>
      </c>
      <c r="C75" s="11"/>
      <c r="D75" s="5">
        <f>SUM(0)</f>
        <v>0</v>
      </c>
      <c r="E75" s="5"/>
      <c r="F75" s="13">
        <f>IF(D$12=0,0,D75/D$12)</f>
        <v>0</v>
      </c>
      <c r="G75" s="5"/>
      <c r="H75" s="5">
        <f>SUM(0)</f>
        <v>0</v>
      </c>
      <c r="I75" s="5"/>
      <c r="J75" s="13">
        <f>IF(H$12=0,0,H75/H$12)</f>
        <v>0</v>
      </c>
      <c r="K75" s="5"/>
      <c r="L75" s="5">
        <f>+D75-H75</f>
        <v>0</v>
      </c>
      <c r="M75" s="5"/>
      <c r="N75" s="13">
        <f>IF(H75=0,0,L75/H75)</f>
        <v>0</v>
      </c>
      <c r="O75" s="11"/>
      <c r="P75" s="5">
        <f>SUM(0)</f>
        <v>0</v>
      </c>
      <c r="Q75" s="5"/>
      <c r="R75" s="13">
        <f>IF(P$12=0,0,P75/P$12)</f>
        <v>0</v>
      </c>
      <c r="S75" s="5"/>
      <c r="T75" s="5">
        <f>SUM(0)</f>
        <v>0</v>
      </c>
      <c r="U75" s="5"/>
      <c r="V75" s="13">
        <f>IF(T$12=0,0,T75/T$12)</f>
        <v>0</v>
      </c>
      <c r="W75" s="5"/>
      <c r="X75" s="5">
        <f>+P75-T75</f>
        <v>0</v>
      </c>
      <c r="Y75" s="5"/>
      <c r="Z75" s="13">
        <f>IF(T75=0,0,X75/T75)</f>
        <v>0</v>
      </c>
    </row>
    <row r="76" spans="1:26" ht="15" customHeight="1" x14ac:dyDescent="0.3">
      <c r="A76" s="10"/>
      <c r="B76" s="11"/>
      <c r="C76" s="11"/>
      <c r="D76" s="4"/>
      <c r="E76" s="4"/>
      <c r="F76" s="9"/>
      <c r="G76" s="4"/>
      <c r="H76" s="4"/>
      <c r="I76" s="4"/>
      <c r="J76" s="9"/>
      <c r="K76" s="4"/>
      <c r="L76" s="4"/>
      <c r="M76" s="4"/>
      <c r="N76" s="9"/>
      <c r="O76" s="11"/>
      <c r="P76" s="4"/>
      <c r="Q76" s="4"/>
      <c r="R76" s="9"/>
      <c r="S76" s="4"/>
      <c r="T76" s="4"/>
      <c r="U76" s="4"/>
      <c r="V76" s="9"/>
      <c r="W76" s="4"/>
      <c r="X76" s="4"/>
      <c r="Y76" s="4"/>
      <c r="Z76" s="9"/>
    </row>
    <row r="77" spans="1:26" s="63" customFormat="1" ht="15" customHeight="1" x14ac:dyDescent="0.3">
      <c r="A77" s="11"/>
      <c r="B77" s="27" t="s">
        <v>292</v>
      </c>
      <c r="C77" s="27"/>
      <c r="D77" s="21">
        <f>+D16-D18+D75</f>
        <v>-50925.13</v>
      </c>
      <c r="E77" s="15"/>
      <c r="F77" s="23">
        <f>IF(D$12=0,0,D77/D$12)</f>
        <v>0</v>
      </c>
      <c r="G77" s="15"/>
      <c r="H77" s="21">
        <f>+H16-H18+H75</f>
        <v>-46434.26516968615</v>
      </c>
      <c r="I77" s="15"/>
      <c r="J77" s="23">
        <f>IF(H$12=0,0,H77/H$12)</f>
        <v>0</v>
      </c>
      <c r="K77" s="16"/>
      <c r="L77" s="21">
        <f>+D77-H77</f>
        <v>-4490.8648303138471</v>
      </c>
      <c r="M77" s="16"/>
      <c r="N77" s="23">
        <f>IF(H77=0,0,L77/H77)</f>
        <v>9.6714458900183792E-2</v>
      </c>
      <c r="O77" s="28"/>
      <c r="P77" s="21">
        <f>+P16-P18+P75</f>
        <v>-499339.32</v>
      </c>
      <c r="Q77" s="15"/>
      <c r="R77" s="23">
        <f>IF(P$12=0,0,P77/P$12)</f>
        <v>0</v>
      </c>
      <c r="S77" s="15"/>
      <c r="T77" s="21">
        <f>+T16-T18+T75</f>
        <v>-442969.08540444</v>
      </c>
      <c r="U77" s="15"/>
      <c r="V77" s="23">
        <f>IF(T$12=0,0,T77/T$12)</f>
        <v>0</v>
      </c>
      <c r="W77" s="16"/>
      <c r="X77" s="21">
        <f>+P77-T77</f>
        <v>-56370.234595560003</v>
      </c>
      <c r="Y77" s="16"/>
      <c r="Z77" s="23">
        <f>IF(T77=0,0,X77/T77)</f>
        <v>0.1272554596989377</v>
      </c>
    </row>
    <row r="78" spans="1:26" ht="15" customHeight="1" x14ac:dyDescent="0.3">
      <c r="A78" s="10"/>
      <c r="B78" s="11"/>
      <c r="C78" s="10"/>
      <c r="D78" s="4"/>
      <c r="E78" s="4"/>
      <c r="F78" s="9"/>
      <c r="G78" s="4"/>
      <c r="H78" s="4"/>
      <c r="I78" s="4"/>
      <c r="J78" s="9"/>
      <c r="K78" s="4"/>
      <c r="L78" s="4"/>
      <c r="M78" s="4"/>
      <c r="N78" s="9"/>
      <c r="P78" s="4"/>
      <c r="Q78" s="4"/>
      <c r="R78" s="9"/>
      <c r="S78" s="4"/>
      <c r="T78" s="4"/>
      <c r="U78" s="4"/>
      <c r="V78" s="9"/>
      <c r="W78" s="4"/>
      <c r="X78" s="4"/>
      <c r="Y78" s="4"/>
      <c r="Z78" s="9"/>
    </row>
    <row r="79" spans="1:26" s="63" customFormat="1" ht="15" customHeight="1" x14ac:dyDescent="0.3">
      <c r="A79" s="49"/>
      <c r="B79" s="11" t="s">
        <v>293</v>
      </c>
      <c r="C79" s="11"/>
      <c r="D79" s="5"/>
      <c r="E79" s="5"/>
      <c r="F79" s="13">
        <f>IF(D$12=0,0,D79/D$12)</f>
        <v>0</v>
      </c>
      <c r="G79" s="5"/>
      <c r="H79" s="5"/>
      <c r="I79" s="5"/>
      <c r="J79" s="13">
        <f>IF(H$12=0,0,H79/H$12)</f>
        <v>0</v>
      </c>
      <c r="K79" s="5"/>
      <c r="L79" s="5">
        <f>+D79-H79</f>
        <v>0</v>
      </c>
      <c r="M79" s="5"/>
      <c r="N79" s="13">
        <f>IF(H79=0,0,L79/H79)</f>
        <v>0</v>
      </c>
      <c r="O79" s="11"/>
      <c r="P79" s="5"/>
      <c r="Q79" s="5"/>
      <c r="R79" s="13">
        <f>IF(P$12=0,0,P79/P$12)</f>
        <v>0</v>
      </c>
      <c r="S79" s="5"/>
      <c r="T79" s="5"/>
      <c r="U79" s="5"/>
      <c r="V79" s="13">
        <f>IF(T$12=0,0,T79/T$12)</f>
        <v>0</v>
      </c>
      <c r="W79" s="5"/>
      <c r="X79" s="5">
        <f>+P79-T79</f>
        <v>0</v>
      </c>
      <c r="Y79" s="5"/>
      <c r="Z79" s="13">
        <f>IF(T79=0,0,X79/T79)</f>
        <v>0</v>
      </c>
    </row>
    <row r="80" spans="1:26" ht="15" customHeight="1" x14ac:dyDescent="0.3">
      <c r="A80" s="10"/>
      <c r="B80" s="11"/>
      <c r="C80" s="11"/>
      <c r="D80" s="4"/>
      <c r="E80" s="4"/>
      <c r="F80" s="9"/>
      <c r="G80" s="4"/>
      <c r="H80" s="4"/>
      <c r="I80" s="4"/>
      <c r="J80" s="9"/>
      <c r="K80" s="4"/>
      <c r="L80" s="4"/>
      <c r="M80" s="4"/>
      <c r="N80" s="9"/>
      <c r="O80" s="11"/>
      <c r="P80" s="4"/>
      <c r="Q80" s="4"/>
      <c r="R80" s="9"/>
      <c r="S80" s="4"/>
      <c r="T80" s="4"/>
      <c r="U80" s="4"/>
      <c r="V80" s="9"/>
      <c r="W80" s="4"/>
      <c r="X80" s="4"/>
      <c r="Y80" s="4"/>
      <c r="Z80" s="9"/>
    </row>
    <row r="81" spans="1:26" s="63" customFormat="1" ht="15" customHeight="1" x14ac:dyDescent="0.3">
      <c r="A81" s="11"/>
      <c r="B81" s="27" t="s">
        <v>294</v>
      </c>
      <c r="C81" s="27"/>
      <c r="D81" s="34">
        <f>+D77-D79</f>
        <v>-50925.13</v>
      </c>
      <c r="E81" s="15"/>
      <c r="F81" s="29">
        <f>IF(D$12=0,0,D81/D$12)</f>
        <v>0</v>
      </c>
      <c r="G81" s="15"/>
      <c r="H81" s="34">
        <f>+H77-H79</f>
        <v>-46434.26516968615</v>
      </c>
      <c r="I81" s="15"/>
      <c r="J81" s="29">
        <f>IF(H$12=0,0,H81/H$12)</f>
        <v>0</v>
      </c>
      <c r="K81" s="16"/>
      <c r="L81" s="34">
        <f>D81-H81</f>
        <v>-4490.8648303138471</v>
      </c>
      <c r="M81" s="16"/>
      <c r="N81" s="29">
        <f>IF(H81=0,0,L81/H81)</f>
        <v>9.6714458900183792E-2</v>
      </c>
      <c r="O81" s="28"/>
      <c r="P81" s="34">
        <f>+P77-P79</f>
        <v>-499339.32</v>
      </c>
      <c r="Q81" s="15"/>
      <c r="R81" s="29">
        <f>IF(P$12=0,0,P81/P$12)</f>
        <v>0</v>
      </c>
      <c r="S81" s="15"/>
      <c r="T81" s="34">
        <f>+T77-T79</f>
        <v>-442969.08540444</v>
      </c>
      <c r="U81" s="15"/>
      <c r="V81" s="29">
        <f>IF(T$12=0,0,T81/T$12)</f>
        <v>0</v>
      </c>
      <c r="W81" s="16"/>
      <c r="X81" s="34">
        <f>P81-T81</f>
        <v>-56370.234595560003</v>
      </c>
      <c r="Y81" s="16"/>
      <c r="Z81" s="29">
        <f>IF(T81=0,0,X81/T81)</f>
        <v>0.1272554596989377</v>
      </c>
    </row>
    <row r="82" spans="1:26" ht="15" customHeight="1" x14ac:dyDescent="0.3">
      <c r="A82" s="10"/>
      <c r="B82" s="10"/>
      <c r="C82" s="10"/>
      <c r="D82" s="4"/>
      <c r="E82" s="4"/>
      <c r="F82" s="9"/>
      <c r="G82" s="4"/>
      <c r="H82" s="4"/>
      <c r="I82" s="4"/>
      <c r="J82" s="9"/>
      <c r="K82" s="4"/>
      <c r="L82" s="4"/>
      <c r="M82" s="4"/>
      <c r="N82" s="9"/>
      <c r="P82" s="4"/>
      <c r="Q82" s="4"/>
      <c r="R82" s="9"/>
      <c r="S82" s="4"/>
      <c r="T82" s="4"/>
      <c r="U82" s="4"/>
      <c r="V82" s="9"/>
      <c r="W82" s="4"/>
      <c r="X82" s="4"/>
      <c r="Y82" s="4"/>
      <c r="Z82" s="9"/>
    </row>
    <row r="83" spans="1:26" ht="15" customHeight="1" x14ac:dyDescent="0.3">
      <c r="A83" s="10"/>
      <c r="B83" s="10"/>
      <c r="C83" s="10"/>
      <c r="D83" s="4"/>
      <c r="E83" s="4"/>
      <c r="F83" s="9"/>
      <c r="G83" s="4"/>
      <c r="H83" s="4"/>
      <c r="I83" s="4"/>
      <c r="J83" s="9"/>
      <c r="K83" s="4"/>
      <c r="L83" s="4"/>
      <c r="M83" s="4"/>
      <c r="N83" s="9"/>
      <c r="P83" s="4"/>
      <c r="Q83" s="4"/>
      <c r="R83" s="9"/>
      <c r="S83" s="4"/>
      <c r="T83" s="4"/>
      <c r="U83" s="4"/>
      <c r="V83" s="9"/>
      <c r="W83" s="4"/>
      <c r="X83" s="4"/>
      <c r="Y83" s="4"/>
      <c r="Z83" s="9"/>
    </row>
    <row r="84" spans="1:26" s="63" customFormat="1" ht="15" customHeight="1" x14ac:dyDescent="0.3">
      <c r="A84" s="11"/>
      <c r="B84" s="27" t="s">
        <v>297</v>
      </c>
      <c r="C84" s="27"/>
      <c r="D84" s="32">
        <f>SUM(D81:D83)</f>
        <v>-50925.13</v>
      </c>
      <c r="E84" s="15"/>
      <c r="F84" s="31">
        <f>IF(D$12=0,0,D84/D$12)</f>
        <v>0</v>
      </c>
      <c r="G84" s="15"/>
      <c r="H84" s="32">
        <f>SUM(H81:H83)</f>
        <v>-46434.26516968615</v>
      </c>
      <c r="I84" s="15"/>
      <c r="J84" s="31">
        <f>IF(H$12=0,0,H84/H$12)</f>
        <v>0</v>
      </c>
      <c r="K84" s="16"/>
      <c r="L84" s="32">
        <f>+D84-H84</f>
        <v>-4490.8648303138471</v>
      </c>
      <c r="M84" s="16"/>
      <c r="N84" s="31">
        <f>IF(H84=0,0,L84/H84)</f>
        <v>9.6714458900183792E-2</v>
      </c>
      <c r="O84" s="28"/>
      <c r="P84" s="32">
        <f>SUM(P81:P83)</f>
        <v>-499339.32</v>
      </c>
      <c r="Q84" s="15"/>
      <c r="R84" s="31">
        <f>IF(P$12=0,0,P84/P$12)</f>
        <v>0</v>
      </c>
      <c r="S84" s="15"/>
      <c r="T84" s="32">
        <f>SUM(T81:T83)</f>
        <v>-442969.08540444</v>
      </c>
      <c r="U84" s="15"/>
      <c r="V84" s="31">
        <f>IF(T$12=0,0,T84/T$12)</f>
        <v>0</v>
      </c>
      <c r="W84" s="16"/>
      <c r="X84" s="32">
        <f>+P84-T84</f>
        <v>-56370.234595560003</v>
      </c>
      <c r="Y84" s="16"/>
      <c r="Z84" s="31">
        <f>IF(T84=0,0,X84/T84)</f>
        <v>0.1272554596989377</v>
      </c>
    </row>
    <row r="85" spans="1:26" ht="15" customHeight="1" x14ac:dyDescent="0.3">
      <c r="A85" s="10"/>
      <c r="C85" s="10"/>
      <c r="D85" s="19"/>
      <c r="E85" s="19"/>
      <c r="G85" s="19"/>
      <c r="H85" s="19"/>
      <c r="I85" s="19"/>
      <c r="J85" s="40"/>
      <c r="K85" s="19"/>
      <c r="L85" s="19"/>
      <c r="M85" s="19"/>
      <c r="P85" s="19"/>
      <c r="Q85" s="19"/>
      <c r="R85" s="40"/>
      <c r="S85" s="19"/>
      <c r="T85" s="19"/>
      <c r="U85" s="19"/>
      <c r="V85" s="40"/>
      <c r="W85" s="19"/>
      <c r="X85" s="19"/>
    </row>
    <row r="86" spans="1:26" ht="15" customHeight="1" x14ac:dyDescent="0.3">
      <c r="A86" s="10"/>
      <c r="B86" s="51">
        <v>44663.047665428239</v>
      </c>
      <c r="D86" s="19"/>
      <c r="E86" s="19"/>
      <c r="G86" s="19"/>
      <c r="H86" s="19"/>
      <c r="I86" s="19"/>
      <c r="J86" s="40"/>
      <c r="K86" s="19"/>
      <c r="L86" s="19"/>
      <c r="M86" s="19"/>
      <c r="P86" s="19"/>
      <c r="Q86" s="19"/>
      <c r="R86" s="40"/>
      <c r="S86" s="19"/>
      <c r="T86" s="19"/>
      <c r="U86" s="19"/>
      <c r="V86" s="40"/>
      <c r="W86" s="19"/>
      <c r="X86" s="19"/>
    </row>
    <row r="87" spans="1:26" ht="15" customHeight="1" x14ac:dyDescent="0.3">
      <c r="A87" s="10"/>
      <c r="B87" s="58" t="s">
        <v>298</v>
      </c>
      <c r="D87" s="19"/>
      <c r="E87" s="19"/>
      <c r="G87" s="19"/>
      <c r="H87" s="19"/>
      <c r="I87" s="19"/>
      <c r="J87" s="40"/>
      <c r="K87" s="19"/>
      <c r="L87" s="19"/>
      <c r="M87" s="19"/>
      <c r="P87" s="19"/>
      <c r="Q87" s="19"/>
      <c r="R87" s="40"/>
      <c r="S87" s="19"/>
      <c r="T87" s="19"/>
      <c r="U87" s="19"/>
      <c r="V87" s="40"/>
      <c r="W87" s="19"/>
      <c r="X87" s="19"/>
    </row>
    <row r="88" spans="1:26" ht="15" customHeight="1" x14ac:dyDescent="0.3">
      <c r="A88" s="10"/>
      <c r="B88" s="50"/>
      <c r="D88" s="19"/>
      <c r="E88" s="19"/>
      <c r="G88" s="19"/>
      <c r="H88" s="19"/>
      <c r="I88" s="19"/>
      <c r="J88" s="40"/>
      <c r="K88" s="19"/>
      <c r="L88" s="19"/>
      <c r="M88" s="19"/>
      <c r="P88" s="19"/>
      <c r="Q88" s="19"/>
      <c r="R88" s="40"/>
      <c r="S88" s="19"/>
      <c r="T88" s="19"/>
      <c r="U88" s="19"/>
      <c r="V88" s="40"/>
      <c r="W88" s="19"/>
      <c r="X88" s="19"/>
    </row>
    <row r="89" spans="1:26" ht="15" customHeight="1" x14ac:dyDescent="0.3">
      <c r="D89" s="19"/>
      <c r="E89" s="19"/>
      <c r="G89" s="19"/>
      <c r="H89" s="19"/>
      <c r="I89" s="19"/>
      <c r="J89" s="40"/>
      <c r="K89" s="19"/>
      <c r="L89" s="19"/>
      <c r="M89" s="19"/>
      <c r="P89" s="19"/>
      <c r="Q89" s="19"/>
      <c r="R89" s="40"/>
      <c r="S89" s="19"/>
      <c r="T89" s="19"/>
      <c r="U89" s="19"/>
      <c r="V89" s="40"/>
      <c r="W89" s="19"/>
      <c r="X89" s="19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E7AD2D-6505-75AC-2A49-D11777BA765D}">
  <sheetPr>
    <tabColor rgb="FF92D050"/>
    <outlinePr summaryBelow="0" summaryRight="0"/>
  </sheetPr>
  <dimension ref="A2:Z79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6" customWidth="1"/>
    <col min="2" max="2" width="33.44140625" style="66" customWidth="1"/>
    <col min="3" max="3" width="1.88671875" style="66" customWidth="1"/>
    <col min="4" max="4" width="15" style="66" customWidth="1"/>
    <col min="5" max="5" width="1.88671875" style="66" customWidth="1" outlineLevel="1"/>
    <col min="6" max="6" width="15" style="67" customWidth="1" outlineLevel="1"/>
    <col min="7" max="7" width="1.88671875" style="66" customWidth="1" outlineLevel="1"/>
    <col min="8" max="8" width="15" style="66" customWidth="1" outlineLevel="1"/>
    <col min="9" max="9" width="1.88671875" style="66" customWidth="1" outlineLevel="1"/>
    <col min="10" max="10" width="15" style="68" customWidth="1" outlineLevel="1"/>
    <col min="11" max="11" width="1.88671875" style="66" customWidth="1" outlineLevel="1"/>
    <col min="12" max="12" width="15" style="66" customWidth="1" outlineLevel="1"/>
    <col min="13" max="13" width="1.88671875" style="66" customWidth="1" outlineLevel="1"/>
    <col min="14" max="14" width="15" style="67" customWidth="1" outlineLevel="1"/>
    <col min="15" max="15" width="1.88671875" style="64" customWidth="1"/>
    <col min="16" max="16" width="15" style="66" customWidth="1"/>
    <col min="17" max="17" width="1.88671875" style="66" customWidth="1" outlineLevel="1"/>
    <col min="18" max="18" width="15" style="68" customWidth="1" outlineLevel="1"/>
    <col min="19" max="19" width="1.88671875" style="66" customWidth="1" outlineLevel="1"/>
    <col min="20" max="20" width="15" style="66" customWidth="1" outlineLevel="1"/>
    <col min="21" max="21" width="1.88671875" style="66" customWidth="1" outlineLevel="1"/>
    <col min="22" max="22" width="15" style="68" customWidth="1" outlineLevel="1"/>
    <col min="23" max="23" width="1.88671875" style="66" customWidth="1" outlineLevel="1"/>
    <col min="24" max="24" width="15" style="66" customWidth="1" outlineLevel="1"/>
    <col min="25" max="25" width="1.88671875" style="66" customWidth="1" outlineLevel="1"/>
    <col min="26" max="26" width="15" style="68" customWidth="1" outlineLevel="1"/>
  </cols>
  <sheetData>
    <row r="2" spans="1:26" ht="15" customHeight="1" x14ac:dyDescent="0.3">
      <c r="D2" s="54" t="s">
        <v>276</v>
      </c>
    </row>
    <row r="3" spans="1:26" ht="15" customHeight="1" x14ac:dyDescent="0.3">
      <c r="D3" s="54" t="s">
        <v>277</v>
      </c>
      <c r="E3" s="18"/>
      <c r="F3" s="44"/>
      <c r="G3" s="18"/>
      <c r="H3" s="18"/>
      <c r="I3" s="18"/>
      <c r="J3" s="38"/>
      <c r="K3" s="18"/>
      <c r="L3" s="18"/>
      <c r="M3" s="18"/>
      <c r="N3" s="44"/>
      <c r="O3" s="53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ht="15" customHeight="1" x14ac:dyDescent="0.3">
      <c r="D4" s="54" t="str">
        <f>CONCATENATE("Period ",RIGHT(202209,2),", ",2022)</f>
        <v>Period 09, 2022</v>
      </c>
      <c r="E4" s="18"/>
      <c r="F4" s="44"/>
      <c r="G4" s="18"/>
      <c r="H4" s="18"/>
      <c r="I4" s="18"/>
      <c r="J4" s="38"/>
      <c r="K4" s="18"/>
      <c r="L4" s="18"/>
      <c r="M4" s="18"/>
      <c r="N4" s="44"/>
      <c r="O4" s="53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ht="15" customHeight="1" x14ac:dyDescent="0.3">
      <c r="A5" s="24"/>
      <c r="D5" s="60">
        <v>44646</v>
      </c>
      <c r="E5" s="18"/>
      <c r="F5" s="44"/>
      <c r="G5" s="18"/>
      <c r="H5" s="18"/>
      <c r="I5" s="18"/>
      <c r="J5" s="38"/>
      <c r="K5" s="18"/>
      <c r="L5" s="18"/>
      <c r="M5" s="18"/>
      <c r="N5" s="44"/>
      <c r="O5" s="53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ht="15" customHeight="1" x14ac:dyDescent="0.3">
      <c r="A6" s="24"/>
      <c r="B6" s="47"/>
      <c r="C6" s="47"/>
      <c r="D6" s="24" t="str">
        <f>CONCATENATE("Department ","204"," - ","Information Technology")</f>
        <v>Department 204 - Information Technology</v>
      </c>
      <c r="E6" s="18"/>
      <c r="F6" s="44"/>
      <c r="G6" s="18"/>
      <c r="H6" s="18"/>
      <c r="I6" s="18"/>
      <c r="J6" s="38"/>
      <c r="K6" s="18"/>
      <c r="L6" s="18"/>
      <c r="M6" s="18"/>
      <c r="N6" s="44"/>
      <c r="O6" s="59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ht="15" customHeight="1" x14ac:dyDescent="0.3">
      <c r="B7" s="52"/>
    </row>
    <row r="8" spans="1:26" ht="15" customHeight="1" x14ac:dyDescent="0.3">
      <c r="B8" s="52"/>
    </row>
    <row r="9" spans="1:26" ht="15" customHeight="1" x14ac:dyDescent="0.3">
      <c r="B9" s="10"/>
      <c r="C9" s="10"/>
      <c r="D9" s="17" t="s">
        <v>279</v>
      </c>
      <c r="E9" s="17"/>
      <c r="F9" s="36"/>
      <c r="G9" s="17"/>
      <c r="H9" s="17"/>
      <c r="I9" s="17"/>
      <c r="J9" s="43"/>
      <c r="K9" s="17"/>
      <c r="L9" s="17"/>
      <c r="M9" s="17"/>
      <c r="N9" s="36"/>
      <c r="P9" s="17" t="s">
        <v>280</v>
      </c>
      <c r="Q9" s="17"/>
      <c r="R9" s="36"/>
      <c r="S9" s="17"/>
      <c r="T9" s="17"/>
      <c r="U9" s="17"/>
      <c r="V9" s="43"/>
      <c r="W9" s="17"/>
      <c r="X9" s="17"/>
      <c r="Y9" s="17"/>
      <c r="Z9" s="36"/>
    </row>
    <row r="10" spans="1:26" ht="15" customHeight="1" x14ac:dyDescent="0.3">
      <c r="A10" s="11"/>
      <c r="B10" s="57"/>
      <c r="C10" s="11"/>
      <c r="D10" s="41" t="s">
        <v>281</v>
      </c>
      <c r="E10" s="33"/>
      <c r="F10" s="37" t="s">
        <v>282</v>
      </c>
      <c r="G10" s="33"/>
      <c r="H10" s="48" t="s">
        <v>283</v>
      </c>
      <c r="I10" s="33"/>
      <c r="J10" s="45" t="s">
        <v>284</v>
      </c>
      <c r="K10" s="11"/>
      <c r="L10" s="41" t="s">
        <v>285</v>
      </c>
      <c r="M10" s="11"/>
      <c r="N10" s="37" t="s">
        <v>286</v>
      </c>
      <c r="O10" s="11"/>
      <c r="P10" s="56" t="s">
        <v>281</v>
      </c>
      <c r="Q10" s="33"/>
      <c r="R10" s="37" t="s">
        <v>282</v>
      </c>
      <c r="S10" s="33"/>
      <c r="T10" s="48" t="s">
        <v>283</v>
      </c>
      <c r="U10" s="33"/>
      <c r="V10" s="45" t="s">
        <v>284</v>
      </c>
      <c r="W10" s="11"/>
      <c r="X10" s="41" t="s">
        <v>285</v>
      </c>
      <c r="Y10" s="11"/>
      <c r="Z10" s="37" t="s">
        <v>286</v>
      </c>
    </row>
    <row r="11" spans="1:26" ht="16.5" customHeight="1" x14ac:dyDescent="0.3">
      <c r="A11" s="10"/>
      <c r="B11" s="55"/>
      <c r="C11" s="10"/>
      <c r="D11" s="10"/>
      <c r="E11" s="10"/>
      <c r="F11" s="9"/>
      <c r="G11" s="10"/>
      <c r="H11" s="10"/>
      <c r="I11" s="10"/>
      <c r="J11" s="46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6"/>
      <c r="W11" s="10"/>
      <c r="X11" s="10"/>
      <c r="Y11" s="10"/>
      <c r="Z11" s="9"/>
    </row>
    <row r="12" spans="1:26" s="63" customFormat="1" ht="15" customHeight="1" x14ac:dyDescent="0.3">
      <c r="A12" s="11"/>
      <c r="B12" s="28" t="s">
        <v>287</v>
      </c>
      <c r="C12" s="11"/>
      <c r="D12" s="5">
        <f>SUM(0)</f>
        <v>0</v>
      </c>
      <c r="E12" s="5"/>
      <c r="F12" s="13"/>
      <c r="G12" s="5"/>
      <c r="H12" s="5">
        <f>SUM(0)</f>
        <v>0</v>
      </c>
      <c r="I12" s="5"/>
      <c r="J12" s="13"/>
      <c r="K12" s="5"/>
      <c r="L12" s="5">
        <f>+D12-H12</f>
        <v>0</v>
      </c>
      <c r="M12" s="5"/>
      <c r="N12" s="13">
        <f>IF(H12=0,0,L12/H12)</f>
        <v>0</v>
      </c>
      <c r="O12" s="11"/>
      <c r="P12" s="5">
        <f>SUM(0)</f>
        <v>0</v>
      </c>
      <c r="Q12" s="5"/>
      <c r="R12" s="13"/>
      <c r="S12" s="5"/>
      <c r="T12" s="5">
        <f>SUM(0)</f>
        <v>0</v>
      </c>
      <c r="U12" s="5"/>
      <c r="V12" s="13"/>
      <c r="W12" s="5"/>
      <c r="X12" s="5">
        <f>+P12-T12</f>
        <v>0</v>
      </c>
      <c r="Y12" s="5"/>
      <c r="Z12" s="13">
        <f>IF(T12=0,0,X12/T12)</f>
        <v>0</v>
      </c>
    </row>
    <row r="13" spans="1:26" ht="15" customHeight="1" x14ac:dyDescent="0.3">
      <c r="A13" s="10"/>
      <c r="B13" s="11"/>
      <c r="C13" s="10"/>
      <c r="D13" s="4"/>
      <c r="E13" s="4"/>
      <c r="F13" s="9"/>
      <c r="G13" s="4"/>
      <c r="H13" s="4"/>
      <c r="I13" s="4"/>
      <c r="J13" s="9"/>
      <c r="K13" s="4"/>
      <c r="L13" s="4"/>
      <c r="M13" s="4"/>
      <c r="N13" s="9"/>
      <c r="P13" s="4"/>
      <c r="Q13" s="4"/>
      <c r="R13" s="9"/>
      <c r="S13" s="4"/>
      <c r="T13" s="4"/>
      <c r="U13" s="4"/>
      <c r="V13" s="9"/>
      <c r="W13" s="4"/>
      <c r="X13" s="4"/>
      <c r="Y13" s="4"/>
      <c r="Z13" s="9"/>
    </row>
    <row r="14" spans="1:26" s="63" customFormat="1" ht="15" customHeight="1" x14ac:dyDescent="0.3">
      <c r="A14" s="11"/>
      <c r="B14" s="28" t="s">
        <v>288</v>
      </c>
      <c r="C14" s="11"/>
      <c r="D14" s="5">
        <f>SUM(0)</f>
        <v>0</v>
      </c>
      <c r="E14" s="5"/>
      <c r="F14" s="13">
        <f>IF(D$12=0,0,D14/D$12)</f>
        <v>0</v>
      </c>
      <c r="G14" s="5"/>
      <c r="H14" s="5">
        <f>SUM(0)</f>
        <v>0</v>
      </c>
      <c r="I14" s="5"/>
      <c r="J14" s="13">
        <f>IF(H$12=0,0,H14/H$12)</f>
        <v>0</v>
      </c>
      <c r="K14" s="5"/>
      <c r="L14" s="5">
        <f>+D14-H14</f>
        <v>0</v>
      </c>
      <c r="M14" s="5"/>
      <c r="N14" s="13">
        <f>IF(H14=0,0,L14/H14)</f>
        <v>0</v>
      </c>
      <c r="O14" s="11"/>
      <c r="P14" s="5">
        <f>SUM(0)</f>
        <v>0</v>
      </c>
      <c r="Q14" s="5"/>
      <c r="R14" s="13">
        <f>IF(P$12=0,0,P14/P$12)</f>
        <v>0</v>
      </c>
      <c r="S14" s="5"/>
      <c r="T14" s="5">
        <f>SUM(0)</f>
        <v>0</v>
      </c>
      <c r="U14" s="5"/>
      <c r="V14" s="13">
        <f>IF(T$12=0,0,T14/T$12)</f>
        <v>0</v>
      </c>
      <c r="W14" s="5"/>
      <c r="X14" s="5">
        <f>+P14-T14</f>
        <v>0</v>
      </c>
      <c r="Y14" s="5"/>
      <c r="Z14" s="13">
        <f>IF(T14=0,0,X14/T14)</f>
        <v>0</v>
      </c>
    </row>
    <row r="15" spans="1:26" ht="15" customHeight="1" x14ac:dyDescent="0.3">
      <c r="A15" s="10"/>
      <c r="B15" s="11"/>
      <c r="C15" s="11"/>
      <c r="D15" s="4"/>
      <c r="E15" s="4"/>
      <c r="F15" s="9"/>
      <c r="G15" s="4"/>
      <c r="H15" s="4"/>
      <c r="I15" s="4"/>
      <c r="J15" s="9"/>
      <c r="K15" s="4"/>
      <c r="L15" s="4"/>
      <c r="M15" s="4"/>
      <c r="N15" s="9"/>
      <c r="O15" s="11"/>
      <c r="P15" s="4"/>
      <c r="Q15" s="4"/>
      <c r="R15" s="9"/>
      <c r="S15" s="4"/>
      <c r="T15" s="4"/>
      <c r="U15" s="4"/>
      <c r="V15" s="9"/>
      <c r="W15" s="4"/>
      <c r="X15" s="4"/>
      <c r="Y15" s="4"/>
      <c r="Z15" s="9"/>
    </row>
    <row r="16" spans="1:26" s="63" customFormat="1" ht="15" customHeight="1" x14ac:dyDescent="0.3">
      <c r="A16" s="11"/>
      <c r="B16" s="27" t="s">
        <v>289</v>
      </c>
      <c r="C16" s="27"/>
      <c r="D16" s="21">
        <f>D12-D14</f>
        <v>0</v>
      </c>
      <c r="E16" s="15"/>
      <c r="F16" s="23">
        <f>IF(D$12=0,0,D16/D$12)</f>
        <v>0</v>
      </c>
      <c r="G16" s="15"/>
      <c r="H16" s="21">
        <f>H12-H14</f>
        <v>0</v>
      </c>
      <c r="I16" s="15"/>
      <c r="J16" s="23">
        <f>IF(H$12=0,0,H16/H$12)</f>
        <v>0</v>
      </c>
      <c r="K16" s="16"/>
      <c r="L16" s="21">
        <f>+D16-H16</f>
        <v>0</v>
      </c>
      <c r="M16" s="16"/>
      <c r="N16" s="23">
        <f>IF(H16=0,0,L16/H16)</f>
        <v>0</v>
      </c>
      <c r="O16" s="28"/>
      <c r="P16" s="21">
        <f>P12-P14</f>
        <v>0</v>
      </c>
      <c r="Q16" s="15"/>
      <c r="R16" s="23">
        <f>IF(P$12=0,0,P16/P$12)</f>
        <v>0</v>
      </c>
      <c r="S16" s="15"/>
      <c r="T16" s="21">
        <f>T12-T14</f>
        <v>0</v>
      </c>
      <c r="U16" s="15"/>
      <c r="V16" s="23">
        <f>IF(T$12=0,0,T16/T$12)</f>
        <v>0</v>
      </c>
      <c r="W16" s="16"/>
      <c r="X16" s="21">
        <f>+P16-T16</f>
        <v>0</v>
      </c>
      <c r="Y16" s="16"/>
      <c r="Z16" s="23">
        <f>IF(T16=0,0,X16/T16)</f>
        <v>0</v>
      </c>
    </row>
    <row r="17" spans="1:26" ht="15" customHeight="1" x14ac:dyDescent="0.3">
      <c r="A17" s="10"/>
      <c r="B17" s="11"/>
      <c r="C17" s="10"/>
      <c r="D17" s="2"/>
      <c r="E17" s="2"/>
      <c r="F17" s="6"/>
      <c r="G17" s="2"/>
      <c r="H17" s="2"/>
      <c r="I17" s="2"/>
      <c r="J17" s="6"/>
      <c r="K17" s="2"/>
      <c r="L17" s="2"/>
      <c r="M17" s="2"/>
      <c r="N17" s="6"/>
      <c r="O17" s="35"/>
      <c r="P17" s="2"/>
      <c r="Q17" s="2"/>
      <c r="R17" s="6"/>
      <c r="S17" s="2"/>
      <c r="T17" s="2"/>
      <c r="U17" s="2"/>
      <c r="V17" s="6"/>
      <c r="W17" s="2"/>
      <c r="X17" s="2"/>
      <c r="Y17" s="2"/>
      <c r="Z17" s="6"/>
    </row>
    <row r="18" spans="1:26" s="63" customFormat="1" ht="15" customHeight="1" x14ac:dyDescent="0.3">
      <c r="A18" s="11"/>
      <c r="B18" s="28" t="s">
        <v>290</v>
      </c>
      <c r="C18" s="11"/>
      <c r="D18" s="22" cm="1">
        <f t="array" ref="D18">SUM(OSRRefD22x_0)</f>
        <v>33133.78</v>
      </c>
      <c r="E18" s="22"/>
      <c r="F18" s="30">
        <f t="shared" ref="F18:F63" si="0">IF(D$12=0,0,D18/D$12)</f>
        <v>0</v>
      </c>
      <c r="G18" s="22"/>
      <c r="H18" s="22" cm="1">
        <f t="array" ref="H18">SUM(OSRRefH22x_0)</f>
        <v>46202.666047384599</v>
      </c>
      <c r="I18" s="22"/>
      <c r="J18" s="30">
        <f t="shared" ref="J18:J63" si="1">IF(H$12=0,0,H18/H$12)</f>
        <v>0</v>
      </c>
      <c r="K18" s="5"/>
      <c r="L18" s="22">
        <f t="shared" ref="L18:L63" si="2">+D18-H18</f>
        <v>-13068.8860473846</v>
      </c>
      <c r="M18" s="5"/>
      <c r="N18" s="30">
        <f t="shared" ref="N18:N63" si="3">IF(H18=0,0,L18/H18)</f>
        <v>-0.28285999846808391</v>
      </c>
      <c r="O18" s="11"/>
      <c r="P18" s="22" cm="1">
        <f t="array" ref="P18">SUM(OSRRefP22x_0)</f>
        <v>409064.62000000011</v>
      </c>
      <c r="Q18" s="22"/>
      <c r="R18" s="30">
        <f t="shared" ref="R18:R63" si="4">IF(P$12=0,0,P18/P$12)</f>
        <v>0</v>
      </c>
      <c r="S18" s="22"/>
      <c r="T18" s="22" cm="1">
        <f t="array" ref="T18">SUM(OSRRefT22x_0)</f>
        <v>454539.24396200001</v>
      </c>
      <c r="U18" s="22"/>
      <c r="V18" s="30">
        <f t="shared" ref="V18:V63" si="5">IF(T$12=0,0,T18/T$12)</f>
        <v>0</v>
      </c>
      <c r="W18" s="5"/>
      <c r="X18" s="22">
        <f t="shared" ref="X18:X63" si="6">+P18-T18</f>
        <v>-45474.623961999896</v>
      </c>
      <c r="Y18" s="5"/>
      <c r="Z18" s="30">
        <f t="shared" ref="Z18:Z63" si="7">IF(T18=0,0,X18/T18)</f>
        <v>-0.10004553966698115</v>
      </c>
    </row>
    <row r="19" spans="1:26" s="69" customFormat="1" ht="15" customHeight="1" outlineLevel="1" collapsed="1" x14ac:dyDescent="0.3">
      <c r="A19" s="25"/>
      <c r="B19" s="14" t="str">
        <f>CONCATENATE("     ","*Benefits                                         ")</f>
        <v xml:space="preserve">     *Benefits                                         </v>
      </c>
      <c r="C19" s="14"/>
      <c r="D19" s="2">
        <f>SUM(OSRRefD22_0x_0)</f>
        <v>10788.41</v>
      </c>
      <c r="E19" s="2"/>
      <c r="F19" s="6">
        <f t="shared" si="0"/>
        <v>0</v>
      </c>
      <c r="G19" s="2"/>
      <c r="H19" s="2">
        <f>SUM(OSRRefH22_0x_0)</f>
        <v>11122.496816615394</v>
      </c>
      <c r="I19" s="2"/>
      <c r="J19" s="6">
        <f t="shared" si="1"/>
        <v>0</v>
      </c>
      <c r="K19" s="2"/>
      <c r="L19" s="2">
        <f t="shared" si="2"/>
        <v>-334.08681661539413</v>
      </c>
      <c r="M19" s="2"/>
      <c r="N19" s="6">
        <f t="shared" si="3"/>
        <v>-3.0037034141139691E-2</v>
      </c>
      <c r="O19" s="14"/>
      <c r="P19" s="2">
        <f>SUM(OSRRefP22_0x_0)</f>
        <v>102127.73000000001</v>
      </c>
      <c r="Q19" s="2"/>
      <c r="R19" s="6">
        <f t="shared" si="4"/>
        <v>0</v>
      </c>
      <c r="S19" s="2"/>
      <c r="T19" s="2">
        <f>SUM(OSRRefT22_0x_0)</f>
        <v>104217.34396200001</v>
      </c>
      <c r="U19" s="2"/>
      <c r="V19" s="6">
        <f t="shared" si="5"/>
        <v>0</v>
      </c>
      <c r="W19" s="2"/>
      <c r="X19" s="2">
        <f t="shared" si="6"/>
        <v>-2089.6139620000031</v>
      </c>
      <c r="Y19" s="2"/>
      <c r="Z19" s="6">
        <f t="shared" si="7"/>
        <v>-2.0050539406971678E-2</v>
      </c>
    </row>
    <row r="20" spans="1:26" s="70" customFormat="1" ht="15" hidden="1" customHeight="1" outlineLevel="2" x14ac:dyDescent="0.3">
      <c r="A20" s="26"/>
      <c r="B20" s="12" t="str">
        <f>CONCATENATE("          ","6111"," - ","F.I.C.A.")</f>
        <v xml:space="preserve">          6111 - F.I.C.A.</v>
      </c>
      <c r="C20" s="12"/>
      <c r="D20" s="7">
        <v>1474.55</v>
      </c>
      <c r="E20" s="3"/>
      <c r="F20" s="8">
        <f t="shared" si="0"/>
        <v>0</v>
      </c>
      <c r="G20" s="3"/>
      <c r="H20" s="7">
        <v>1810.8128289230799</v>
      </c>
      <c r="I20" s="3"/>
      <c r="J20" s="8">
        <f t="shared" si="1"/>
        <v>0</v>
      </c>
      <c r="K20" s="3"/>
      <c r="L20" s="7">
        <f t="shared" si="2"/>
        <v>-336.26282892307995</v>
      </c>
      <c r="M20" s="3"/>
      <c r="N20" s="8">
        <f t="shared" si="3"/>
        <v>-0.18569717618085407</v>
      </c>
      <c r="O20" s="12"/>
      <c r="P20" s="7">
        <v>13766.97</v>
      </c>
      <c r="Q20" s="3"/>
      <c r="R20" s="8">
        <f t="shared" si="4"/>
        <v>0</v>
      </c>
      <c r="S20" s="3"/>
      <c r="T20" s="7">
        <v>17655.425082000002</v>
      </c>
      <c r="U20" s="3"/>
      <c r="V20" s="8">
        <f t="shared" si="5"/>
        <v>0</v>
      </c>
      <c r="W20" s="3"/>
      <c r="X20" s="7">
        <f t="shared" si="6"/>
        <v>-3888.4550820000022</v>
      </c>
      <c r="Y20" s="3"/>
      <c r="Z20" s="8">
        <f t="shared" si="7"/>
        <v>-0.2202413741917971</v>
      </c>
    </row>
    <row r="21" spans="1:26" s="70" customFormat="1" ht="15" hidden="1" customHeight="1" outlineLevel="2" x14ac:dyDescent="0.3">
      <c r="A21" s="26"/>
      <c r="B21" s="12" t="str">
        <f>CONCATENATE("          ","6112"," - ","COMPENSATION INSURANCE")</f>
        <v xml:space="preserve">          6112 - COMPENSATION INSURANCE</v>
      </c>
      <c r="C21" s="12"/>
      <c r="D21" s="7">
        <v>248.65</v>
      </c>
      <c r="E21" s="3"/>
      <c r="F21" s="8">
        <f t="shared" si="0"/>
        <v>0</v>
      </c>
      <c r="G21" s="3"/>
      <c r="H21" s="7">
        <v>73.350578461538504</v>
      </c>
      <c r="I21" s="3"/>
      <c r="J21" s="8">
        <f t="shared" si="1"/>
        <v>0</v>
      </c>
      <c r="K21" s="3"/>
      <c r="L21" s="7">
        <f t="shared" si="2"/>
        <v>175.2994215384615</v>
      </c>
      <c r="M21" s="3"/>
      <c r="N21" s="8">
        <f t="shared" si="3"/>
        <v>2.3898846500628492</v>
      </c>
      <c r="O21" s="12"/>
      <c r="P21" s="7">
        <v>2314.2600000000002</v>
      </c>
      <c r="Q21" s="3"/>
      <c r="R21" s="8">
        <f t="shared" si="4"/>
        <v>0</v>
      </c>
      <c r="S21" s="3"/>
      <c r="T21" s="7">
        <v>715.16813999999999</v>
      </c>
      <c r="U21" s="3"/>
      <c r="V21" s="8">
        <f t="shared" si="5"/>
        <v>0</v>
      </c>
      <c r="W21" s="3"/>
      <c r="X21" s="7">
        <f t="shared" si="6"/>
        <v>1599.0918600000002</v>
      </c>
      <c r="Y21" s="3"/>
      <c r="Z21" s="8">
        <f t="shared" si="7"/>
        <v>2.2359663001766275</v>
      </c>
    </row>
    <row r="22" spans="1:26" s="70" customFormat="1" ht="15" hidden="1" customHeight="1" outlineLevel="2" x14ac:dyDescent="0.3">
      <c r="A22" s="26"/>
      <c r="B22" s="12" t="str">
        <f>CONCATENATE("          ","6113"," - ","GROUP INSURANCE")</f>
        <v xml:space="preserve">          6113 - GROUP INSURANCE</v>
      </c>
      <c r="C22" s="12"/>
      <c r="D22" s="7">
        <v>4446.67</v>
      </c>
      <c r="E22" s="3"/>
      <c r="F22" s="8">
        <f t="shared" si="0"/>
        <v>0</v>
      </c>
      <c r="G22" s="3"/>
      <c r="H22" s="7">
        <v>5336</v>
      </c>
      <c r="I22" s="3"/>
      <c r="J22" s="8">
        <f t="shared" si="1"/>
        <v>0</v>
      </c>
      <c r="K22" s="3"/>
      <c r="L22" s="7">
        <f t="shared" si="2"/>
        <v>-889.32999999999993</v>
      </c>
      <c r="M22" s="3"/>
      <c r="N22" s="8">
        <f t="shared" si="3"/>
        <v>-0.16666604197901047</v>
      </c>
      <c r="O22" s="12"/>
      <c r="P22" s="7">
        <v>42373.38</v>
      </c>
      <c r="Q22" s="3"/>
      <c r="R22" s="8">
        <f t="shared" si="4"/>
        <v>0</v>
      </c>
      <c r="S22" s="3"/>
      <c r="T22" s="7">
        <v>48024</v>
      </c>
      <c r="U22" s="3"/>
      <c r="V22" s="8">
        <f t="shared" si="5"/>
        <v>0</v>
      </c>
      <c r="W22" s="3"/>
      <c r="X22" s="7">
        <f t="shared" si="6"/>
        <v>-5650.6200000000026</v>
      </c>
      <c r="Y22" s="3"/>
      <c r="Z22" s="8">
        <f t="shared" si="7"/>
        <v>-0.11766241879060475</v>
      </c>
    </row>
    <row r="23" spans="1:26" s="70" customFormat="1" ht="15" hidden="1" customHeight="1" outlineLevel="2" x14ac:dyDescent="0.3">
      <c r="A23" s="26"/>
      <c r="B23" s="12" t="str">
        <f>CONCATENATE("          ","6114"," - ","STATE UNEMPLOYMENT INSURANCE")</f>
        <v xml:space="preserve">          6114 - STATE UNEMPLOYMENT INSURANCE</v>
      </c>
      <c r="C23" s="12"/>
      <c r="D23" s="7">
        <v>50.12</v>
      </c>
      <c r="E23" s="3"/>
      <c r="F23" s="8">
        <f t="shared" si="0"/>
        <v>0</v>
      </c>
      <c r="G23" s="3"/>
      <c r="H23" s="7">
        <v>49.6891015384615</v>
      </c>
      <c r="I23" s="3"/>
      <c r="J23" s="8">
        <f t="shared" si="1"/>
        <v>0</v>
      </c>
      <c r="K23" s="3"/>
      <c r="L23" s="7">
        <f t="shared" si="2"/>
        <v>0.4308984615384972</v>
      </c>
      <c r="M23" s="3"/>
      <c r="N23" s="8">
        <f t="shared" si="3"/>
        <v>8.6718907808176655E-3</v>
      </c>
      <c r="O23" s="12"/>
      <c r="P23" s="7">
        <v>466.44</v>
      </c>
      <c r="Q23" s="3"/>
      <c r="R23" s="8">
        <f t="shared" si="4"/>
        <v>0</v>
      </c>
      <c r="S23" s="3"/>
      <c r="T23" s="7">
        <v>484.46874000000003</v>
      </c>
      <c r="U23" s="3"/>
      <c r="V23" s="8">
        <f t="shared" si="5"/>
        <v>0</v>
      </c>
      <c r="W23" s="3"/>
      <c r="X23" s="7">
        <f t="shared" si="6"/>
        <v>-18.028740000000028</v>
      </c>
      <c r="Y23" s="3"/>
      <c r="Z23" s="8">
        <f t="shared" si="7"/>
        <v>-3.7213422686466886E-2</v>
      </c>
    </row>
    <row r="24" spans="1:26" s="70" customFormat="1" ht="15" hidden="1" customHeight="1" outlineLevel="2" x14ac:dyDescent="0.3">
      <c r="A24" s="26"/>
      <c r="B24" s="12" t="str">
        <f>CONCATENATE("          ","6115"," - ","P.E.R.S.")</f>
        <v xml:space="preserve">          6115 - P.E.R.S.</v>
      </c>
      <c r="C24" s="12"/>
      <c r="D24" s="7">
        <v>1888.64</v>
      </c>
      <c r="E24" s="3"/>
      <c r="F24" s="8">
        <f t="shared" si="0"/>
        <v>0</v>
      </c>
      <c r="G24" s="3"/>
      <c r="H24" s="7">
        <v>1567.18461538462</v>
      </c>
      <c r="I24" s="3"/>
      <c r="J24" s="8">
        <f t="shared" si="1"/>
        <v>0</v>
      </c>
      <c r="K24" s="3"/>
      <c r="L24" s="7">
        <f t="shared" si="2"/>
        <v>321.45538461538013</v>
      </c>
      <c r="M24" s="3"/>
      <c r="N24" s="8">
        <f t="shared" si="3"/>
        <v>0.20511647540420005</v>
      </c>
      <c r="O24" s="12"/>
      <c r="P24" s="7">
        <v>17771.96</v>
      </c>
      <c r="Q24" s="3"/>
      <c r="R24" s="8">
        <f t="shared" si="4"/>
        <v>0</v>
      </c>
      <c r="S24" s="3"/>
      <c r="T24" s="7">
        <v>15280.05</v>
      </c>
      <c r="U24" s="3"/>
      <c r="V24" s="8">
        <f t="shared" si="5"/>
        <v>0</v>
      </c>
      <c r="W24" s="3"/>
      <c r="X24" s="7">
        <f t="shared" si="6"/>
        <v>2491.91</v>
      </c>
      <c r="Y24" s="3"/>
      <c r="Z24" s="8">
        <f t="shared" si="7"/>
        <v>0.16308258153605518</v>
      </c>
    </row>
    <row r="25" spans="1:26" s="70" customFormat="1" ht="15" hidden="1" customHeight="1" outlineLevel="2" x14ac:dyDescent="0.3">
      <c r="A25" s="26"/>
      <c r="B25" s="12" t="str">
        <f>CONCATENATE("          ","6116"," - ","EDUCATIONAL BENEFITS")</f>
        <v xml:space="preserve">          6116 - EDUCATIONAL BENEFITS</v>
      </c>
      <c r="C25" s="12"/>
      <c r="D25" s="7"/>
      <c r="E25" s="3"/>
      <c r="F25" s="8">
        <f t="shared" si="0"/>
        <v>0</v>
      </c>
      <c r="G25" s="3"/>
      <c r="H25" s="7">
        <v>0</v>
      </c>
      <c r="I25" s="3"/>
      <c r="J25" s="8">
        <f t="shared" si="1"/>
        <v>0</v>
      </c>
      <c r="K25" s="3"/>
      <c r="L25" s="7">
        <f t="shared" si="2"/>
        <v>0</v>
      </c>
      <c r="M25" s="3"/>
      <c r="N25" s="8">
        <f t="shared" si="3"/>
        <v>0</v>
      </c>
      <c r="O25" s="12"/>
      <c r="P25" s="7"/>
      <c r="Q25" s="3"/>
      <c r="R25" s="8">
        <f t="shared" si="4"/>
        <v>0</v>
      </c>
      <c r="S25" s="3"/>
      <c r="T25" s="7">
        <v>0</v>
      </c>
      <c r="U25" s="3"/>
      <c r="V25" s="8">
        <f t="shared" si="5"/>
        <v>0</v>
      </c>
      <c r="W25" s="3"/>
      <c r="X25" s="7">
        <f t="shared" si="6"/>
        <v>0</v>
      </c>
      <c r="Y25" s="3"/>
      <c r="Z25" s="8">
        <f t="shared" si="7"/>
        <v>0</v>
      </c>
    </row>
    <row r="26" spans="1:26" s="70" customFormat="1" ht="15" hidden="1" customHeight="1" outlineLevel="2" x14ac:dyDescent="0.3">
      <c r="A26" s="26"/>
      <c r="B26" s="12" t="str">
        <f>CONCATENATE("          ","6118"," - ","VACATION")</f>
        <v xml:space="preserve">          6118 - VACATION</v>
      </c>
      <c r="C26" s="12"/>
      <c r="D26" s="7">
        <v>1464.36</v>
      </c>
      <c r="E26" s="3"/>
      <c r="F26" s="8">
        <f t="shared" si="0"/>
        <v>0</v>
      </c>
      <c r="G26" s="3"/>
      <c r="H26" s="7">
        <v>911.15384615384596</v>
      </c>
      <c r="I26" s="3"/>
      <c r="J26" s="8">
        <f t="shared" si="1"/>
        <v>0</v>
      </c>
      <c r="K26" s="3"/>
      <c r="L26" s="7">
        <f t="shared" si="2"/>
        <v>553.20615384615394</v>
      </c>
      <c r="M26" s="3"/>
      <c r="N26" s="8">
        <f t="shared" si="3"/>
        <v>0.60714900802026195</v>
      </c>
      <c r="O26" s="12"/>
      <c r="P26" s="7">
        <v>14194.27</v>
      </c>
      <c r="Q26" s="3"/>
      <c r="R26" s="8">
        <f t="shared" si="4"/>
        <v>0</v>
      </c>
      <c r="S26" s="3"/>
      <c r="T26" s="7">
        <v>8883.7500000000091</v>
      </c>
      <c r="U26" s="3"/>
      <c r="V26" s="8">
        <f t="shared" si="5"/>
        <v>0</v>
      </c>
      <c r="W26" s="3"/>
      <c r="X26" s="7">
        <f t="shared" si="6"/>
        <v>5310.5199999999913</v>
      </c>
      <c r="Y26" s="3"/>
      <c r="Z26" s="8">
        <f t="shared" si="7"/>
        <v>0.59777909103700422</v>
      </c>
    </row>
    <row r="27" spans="1:26" s="70" customFormat="1" ht="15" hidden="1" customHeight="1" outlineLevel="2" x14ac:dyDescent="0.3">
      <c r="A27" s="26"/>
      <c r="B27" s="12" t="str">
        <f>CONCATENATE("          ","6119"," - ","SICK LEAVE")</f>
        <v xml:space="preserve">          6119 - SICK LEAVE</v>
      </c>
      <c r="C27" s="12"/>
      <c r="D27" s="7">
        <v>877.84</v>
      </c>
      <c r="E27" s="3"/>
      <c r="F27" s="8">
        <f t="shared" si="0"/>
        <v>0</v>
      </c>
      <c r="G27" s="3"/>
      <c r="H27" s="7">
        <v>1074.3058461538501</v>
      </c>
      <c r="I27" s="3"/>
      <c r="J27" s="8">
        <f t="shared" si="1"/>
        <v>0</v>
      </c>
      <c r="K27" s="3"/>
      <c r="L27" s="7">
        <f t="shared" si="2"/>
        <v>-196.46584615385007</v>
      </c>
      <c r="M27" s="3"/>
      <c r="N27" s="8">
        <f t="shared" si="3"/>
        <v>-0.18287701482517524</v>
      </c>
      <c r="O27" s="12"/>
      <c r="P27" s="7">
        <v>9082.83</v>
      </c>
      <c r="Q27" s="3"/>
      <c r="R27" s="8">
        <f t="shared" si="4"/>
        <v>0</v>
      </c>
      <c r="S27" s="3"/>
      <c r="T27" s="7">
        <v>10474.482</v>
      </c>
      <c r="U27" s="3"/>
      <c r="V27" s="8">
        <f t="shared" si="5"/>
        <v>0</v>
      </c>
      <c r="W27" s="3"/>
      <c r="X27" s="7">
        <f t="shared" si="6"/>
        <v>-1391.652</v>
      </c>
      <c r="Y27" s="3"/>
      <c r="Z27" s="8">
        <f t="shared" si="7"/>
        <v>-0.13286117633311129</v>
      </c>
    </row>
    <row r="28" spans="1:26" s="70" customFormat="1" ht="15" hidden="1" customHeight="1" outlineLevel="2" x14ac:dyDescent="0.3">
      <c r="A28" s="26"/>
      <c r="B28" s="12" t="str">
        <f>CONCATENATE("          ","6156"," - ","EMPLOYEE MEALS")</f>
        <v xml:space="preserve">          6156 - EMPLOYEE MEALS</v>
      </c>
      <c r="C28" s="12"/>
      <c r="D28" s="7">
        <v>337.58</v>
      </c>
      <c r="E28" s="3"/>
      <c r="F28" s="8">
        <f t="shared" si="0"/>
        <v>0</v>
      </c>
      <c r="G28" s="3"/>
      <c r="H28" s="7">
        <v>300</v>
      </c>
      <c r="I28" s="3"/>
      <c r="J28" s="8">
        <f t="shared" si="1"/>
        <v>0</v>
      </c>
      <c r="K28" s="3"/>
      <c r="L28" s="7">
        <f t="shared" si="2"/>
        <v>37.579999999999984</v>
      </c>
      <c r="M28" s="3"/>
      <c r="N28" s="8">
        <f t="shared" si="3"/>
        <v>0.12526666666666661</v>
      </c>
      <c r="O28" s="12"/>
      <c r="P28" s="7">
        <v>2157.62</v>
      </c>
      <c r="Q28" s="3"/>
      <c r="R28" s="8">
        <f t="shared" si="4"/>
        <v>0</v>
      </c>
      <c r="S28" s="3"/>
      <c r="T28" s="7">
        <v>2700</v>
      </c>
      <c r="U28" s="3"/>
      <c r="V28" s="8">
        <f t="shared" si="5"/>
        <v>0</v>
      </c>
      <c r="W28" s="3"/>
      <c r="X28" s="7">
        <f t="shared" si="6"/>
        <v>-542.38000000000011</v>
      </c>
      <c r="Y28" s="3"/>
      <c r="Z28" s="8">
        <f t="shared" si="7"/>
        <v>-0.20088148148148152</v>
      </c>
    </row>
    <row r="29" spans="1:26" s="69" customFormat="1" ht="15" customHeight="1" outlineLevel="1" collapsed="1" x14ac:dyDescent="0.3">
      <c r="A29" s="25"/>
      <c r="B29" s="14" t="str">
        <f>CONCATENATE("     ","*Payroll                                          ")</f>
        <v xml:space="preserve">     *Payroll                                          </v>
      </c>
      <c r="C29" s="14"/>
      <c r="D29" s="2">
        <f>SUM(OSRRefD22_1x_0)</f>
        <v>17704.02</v>
      </c>
      <c r="E29" s="2"/>
      <c r="F29" s="6">
        <f t="shared" si="0"/>
        <v>0</v>
      </c>
      <c r="G29" s="2"/>
      <c r="H29" s="2">
        <f>SUM(OSRRefH22_1x_0)</f>
        <v>21839.169230769199</v>
      </c>
      <c r="I29" s="2"/>
      <c r="J29" s="6">
        <f t="shared" si="1"/>
        <v>0</v>
      </c>
      <c r="K29" s="2"/>
      <c r="L29" s="2">
        <f t="shared" si="2"/>
        <v>-4135.1492307691988</v>
      </c>
      <c r="M29" s="2"/>
      <c r="N29" s="6">
        <f t="shared" si="3"/>
        <v>-0.189345537235143</v>
      </c>
      <c r="O29" s="14"/>
      <c r="P29" s="2">
        <f>SUM(OSRRefP22_1x_0)</f>
        <v>168760.2</v>
      </c>
      <c r="Q29" s="2"/>
      <c r="R29" s="6">
        <f t="shared" si="4"/>
        <v>0</v>
      </c>
      <c r="S29" s="2"/>
      <c r="T29" s="2">
        <f>SUM(OSRRefT22_1x_0)</f>
        <v>212931.9</v>
      </c>
      <c r="U29" s="2"/>
      <c r="V29" s="6">
        <f t="shared" si="5"/>
        <v>0</v>
      </c>
      <c r="W29" s="2"/>
      <c r="X29" s="2">
        <f t="shared" si="6"/>
        <v>-44171.699999999983</v>
      </c>
      <c r="Y29" s="2"/>
      <c r="Z29" s="6">
        <f t="shared" si="7"/>
        <v>-0.20744519726729524</v>
      </c>
    </row>
    <row r="30" spans="1:26" s="70" customFormat="1" ht="15" hidden="1" customHeight="1" outlineLevel="2" x14ac:dyDescent="0.3">
      <c r="A30" s="26"/>
      <c r="B30" s="12" t="str">
        <f>CONCATENATE("          ","6001"," - ","ADMINISTRATIVE SALARIES")</f>
        <v xml:space="preserve">          6001 - ADMINISTRATIVE SALARIES</v>
      </c>
      <c r="C30" s="12"/>
      <c r="D30" s="7"/>
      <c r="E30" s="3"/>
      <c r="F30" s="8">
        <f t="shared" si="0"/>
        <v>0</v>
      </c>
      <c r="G30" s="3"/>
      <c r="H30" s="7">
        <v>0</v>
      </c>
      <c r="I30" s="3"/>
      <c r="J30" s="8">
        <f t="shared" si="1"/>
        <v>0</v>
      </c>
      <c r="K30" s="3"/>
      <c r="L30" s="7">
        <f t="shared" si="2"/>
        <v>0</v>
      </c>
      <c r="M30" s="3"/>
      <c r="N30" s="8">
        <f t="shared" si="3"/>
        <v>0</v>
      </c>
      <c r="O30" s="12"/>
      <c r="P30" s="7"/>
      <c r="Q30" s="3"/>
      <c r="R30" s="8">
        <f t="shared" si="4"/>
        <v>0</v>
      </c>
      <c r="S30" s="3"/>
      <c r="T30" s="7">
        <v>0</v>
      </c>
      <c r="U30" s="3"/>
      <c r="V30" s="8">
        <f t="shared" si="5"/>
        <v>0</v>
      </c>
      <c r="W30" s="3"/>
      <c r="X30" s="7">
        <f t="shared" si="6"/>
        <v>0</v>
      </c>
      <c r="Y30" s="3"/>
      <c r="Z30" s="8">
        <f t="shared" si="7"/>
        <v>0</v>
      </c>
    </row>
    <row r="31" spans="1:26" s="70" customFormat="1" ht="15" hidden="1" customHeight="1" outlineLevel="2" x14ac:dyDescent="0.3">
      <c r="A31" s="26"/>
      <c r="B31" s="12" t="str">
        <f>CONCATENATE("          ","6002"," - ","STAFF SALARIES")</f>
        <v xml:space="preserve">          6002 - STAFF SALARIES</v>
      </c>
      <c r="C31" s="12"/>
      <c r="D31" s="7">
        <v>17704.02</v>
      </c>
      <c r="E31" s="3"/>
      <c r="F31" s="8">
        <f t="shared" si="0"/>
        <v>0</v>
      </c>
      <c r="G31" s="3"/>
      <c r="H31" s="7">
        <v>16400.769230769201</v>
      </c>
      <c r="I31" s="3"/>
      <c r="J31" s="8">
        <f t="shared" si="1"/>
        <v>0</v>
      </c>
      <c r="K31" s="3"/>
      <c r="L31" s="7">
        <f t="shared" si="2"/>
        <v>1303.2507692307991</v>
      </c>
      <c r="M31" s="3"/>
      <c r="N31" s="8">
        <f t="shared" si="3"/>
        <v>7.9462783171522999E-2</v>
      </c>
      <c r="O31" s="12"/>
      <c r="P31" s="7">
        <v>168760.2</v>
      </c>
      <c r="Q31" s="3"/>
      <c r="R31" s="8">
        <f t="shared" si="4"/>
        <v>0</v>
      </c>
      <c r="S31" s="3"/>
      <c r="T31" s="7">
        <v>159907.5</v>
      </c>
      <c r="U31" s="3"/>
      <c r="V31" s="8">
        <f t="shared" si="5"/>
        <v>0</v>
      </c>
      <c r="W31" s="3"/>
      <c r="X31" s="7">
        <f t="shared" si="6"/>
        <v>8852.7000000000116</v>
      </c>
      <c r="Y31" s="3"/>
      <c r="Z31" s="8">
        <f t="shared" si="7"/>
        <v>5.5361380798274074E-2</v>
      </c>
    </row>
    <row r="32" spans="1:26" s="70" customFormat="1" ht="15" hidden="1" customHeight="1" outlineLevel="2" x14ac:dyDescent="0.3">
      <c r="A32" s="26"/>
      <c r="B32" s="12" t="str">
        <f>CONCATENATE("          ","6003"," - ","STAFF HOURLY-9 MONTH")</f>
        <v xml:space="preserve">          6003 - STAFF HOURLY-9 MONTH</v>
      </c>
      <c r="C32" s="12"/>
      <c r="D32" s="7"/>
      <c r="E32" s="3"/>
      <c r="F32" s="8">
        <f t="shared" si="0"/>
        <v>0</v>
      </c>
      <c r="G32" s="3"/>
      <c r="H32" s="7">
        <v>0</v>
      </c>
      <c r="I32" s="3"/>
      <c r="J32" s="8">
        <f t="shared" si="1"/>
        <v>0</v>
      </c>
      <c r="K32" s="3"/>
      <c r="L32" s="7">
        <f t="shared" si="2"/>
        <v>0</v>
      </c>
      <c r="M32" s="3"/>
      <c r="N32" s="8">
        <f t="shared" si="3"/>
        <v>0</v>
      </c>
      <c r="O32" s="12"/>
      <c r="P32" s="7"/>
      <c r="Q32" s="3"/>
      <c r="R32" s="8">
        <f t="shared" si="4"/>
        <v>0</v>
      </c>
      <c r="S32" s="3"/>
      <c r="T32" s="7">
        <v>0</v>
      </c>
      <c r="U32" s="3"/>
      <c r="V32" s="8">
        <f t="shared" si="5"/>
        <v>0</v>
      </c>
      <c r="W32" s="3"/>
      <c r="X32" s="7">
        <f t="shared" si="6"/>
        <v>0</v>
      </c>
      <c r="Y32" s="3"/>
      <c r="Z32" s="8">
        <f t="shared" si="7"/>
        <v>0</v>
      </c>
    </row>
    <row r="33" spans="1:26" s="70" customFormat="1" ht="15" hidden="1" customHeight="1" outlineLevel="2" x14ac:dyDescent="0.3">
      <c r="A33" s="26"/>
      <c r="B33" s="12" t="str">
        <f>CONCATENATE("          ","6004"," - ","STAFF HOURLY")</f>
        <v xml:space="preserve">          6004 - STAFF HOURLY</v>
      </c>
      <c r="C33" s="12"/>
      <c r="D33" s="7"/>
      <c r="E33" s="3"/>
      <c r="F33" s="8">
        <f t="shared" si="0"/>
        <v>0</v>
      </c>
      <c r="G33" s="3"/>
      <c r="H33" s="7">
        <v>5438.4</v>
      </c>
      <c r="I33" s="3"/>
      <c r="J33" s="8">
        <f t="shared" si="1"/>
        <v>0</v>
      </c>
      <c r="K33" s="3"/>
      <c r="L33" s="7">
        <f t="shared" si="2"/>
        <v>-5438.4</v>
      </c>
      <c r="M33" s="3"/>
      <c r="N33" s="8">
        <f t="shared" si="3"/>
        <v>-1</v>
      </c>
      <c r="O33" s="12"/>
      <c r="P33" s="7"/>
      <c r="Q33" s="3"/>
      <c r="R33" s="8">
        <f t="shared" si="4"/>
        <v>0</v>
      </c>
      <c r="S33" s="3"/>
      <c r="T33" s="7">
        <v>53024.4</v>
      </c>
      <c r="U33" s="3"/>
      <c r="V33" s="8">
        <f t="shared" si="5"/>
        <v>0</v>
      </c>
      <c r="W33" s="3"/>
      <c r="X33" s="7">
        <f t="shared" si="6"/>
        <v>-53024.4</v>
      </c>
      <c r="Y33" s="3"/>
      <c r="Z33" s="8">
        <f t="shared" si="7"/>
        <v>-1</v>
      </c>
    </row>
    <row r="34" spans="1:26" s="70" customFormat="1" ht="15" hidden="1" customHeight="1" outlineLevel="2" x14ac:dyDescent="0.3">
      <c r="A34" s="26"/>
      <c r="B34" s="12" t="str">
        <f>CONCATENATE("          ","6005"," - ","TEMPORARY WAGES-HOURLY")</f>
        <v xml:space="preserve">          6005 - TEMPORARY WAGES-HOURLY</v>
      </c>
      <c r="C34" s="12"/>
      <c r="D34" s="7"/>
      <c r="E34" s="3"/>
      <c r="F34" s="8">
        <f t="shared" si="0"/>
        <v>0</v>
      </c>
      <c r="G34" s="3"/>
      <c r="H34" s="7">
        <v>0</v>
      </c>
      <c r="I34" s="3"/>
      <c r="J34" s="8">
        <f t="shared" si="1"/>
        <v>0</v>
      </c>
      <c r="K34" s="3"/>
      <c r="L34" s="7">
        <f t="shared" si="2"/>
        <v>0</v>
      </c>
      <c r="M34" s="3"/>
      <c r="N34" s="8">
        <f t="shared" si="3"/>
        <v>0</v>
      </c>
      <c r="O34" s="12"/>
      <c r="P34" s="7"/>
      <c r="Q34" s="3"/>
      <c r="R34" s="8">
        <f t="shared" si="4"/>
        <v>0</v>
      </c>
      <c r="S34" s="3"/>
      <c r="T34" s="7">
        <v>0</v>
      </c>
      <c r="U34" s="3"/>
      <c r="V34" s="8">
        <f t="shared" si="5"/>
        <v>0</v>
      </c>
      <c r="W34" s="3"/>
      <c r="X34" s="7">
        <f t="shared" si="6"/>
        <v>0</v>
      </c>
      <c r="Y34" s="3"/>
      <c r="Z34" s="8">
        <f t="shared" si="7"/>
        <v>0</v>
      </c>
    </row>
    <row r="35" spans="1:26" s="70" customFormat="1" ht="15" hidden="1" customHeight="1" outlineLevel="2" x14ac:dyDescent="0.3">
      <c r="A35" s="26"/>
      <c r="B35" s="12" t="str">
        <f>CONCATENATE("          ","6006"," - ","TEMPORARY PART TIME")</f>
        <v xml:space="preserve">          6006 - TEMPORARY PART TIME</v>
      </c>
      <c r="C35" s="12"/>
      <c r="D35" s="7"/>
      <c r="E35" s="3"/>
      <c r="F35" s="8">
        <f t="shared" si="0"/>
        <v>0</v>
      </c>
      <c r="G35" s="3"/>
      <c r="H35" s="7">
        <v>0</v>
      </c>
      <c r="I35" s="3"/>
      <c r="J35" s="8">
        <f t="shared" si="1"/>
        <v>0</v>
      </c>
      <c r="K35" s="3"/>
      <c r="L35" s="7">
        <f t="shared" si="2"/>
        <v>0</v>
      </c>
      <c r="M35" s="3"/>
      <c r="N35" s="8">
        <f t="shared" si="3"/>
        <v>0</v>
      </c>
      <c r="O35" s="12"/>
      <c r="P35" s="7"/>
      <c r="Q35" s="3"/>
      <c r="R35" s="8">
        <f t="shared" si="4"/>
        <v>0</v>
      </c>
      <c r="S35" s="3"/>
      <c r="T35" s="7">
        <v>0</v>
      </c>
      <c r="U35" s="3"/>
      <c r="V35" s="8">
        <f t="shared" si="5"/>
        <v>0</v>
      </c>
      <c r="W35" s="3"/>
      <c r="X35" s="7">
        <f t="shared" si="6"/>
        <v>0</v>
      </c>
      <c r="Y35" s="3"/>
      <c r="Z35" s="8">
        <f t="shared" si="7"/>
        <v>0</v>
      </c>
    </row>
    <row r="36" spans="1:26" s="70" customFormat="1" ht="15" hidden="1" customHeight="1" outlineLevel="2" x14ac:dyDescent="0.3">
      <c r="A36" s="26"/>
      <c r="B36" s="12" t="str">
        <f>CONCATENATE("          ","6007"," - ","STUDENT HOURLY")</f>
        <v xml:space="preserve">          6007 - STUDENT HOURLY</v>
      </c>
      <c r="C36" s="12"/>
      <c r="D36" s="7"/>
      <c r="E36" s="3"/>
      <c r="F36" s="8">
        <f t="shared" si="0"/>
        <v>0</v>
      </c>
      <c r="G36" s="3"/>
      <c r="H36" s="7">
        <v>0</v>
      </c>
      <c r="I36" s="3"/>
      <c r="J36" s="8">
        <f t="shared" si="1"/>
        <v>0</v>
      </c>
      <c r="K36" s="3"/>
      <c r="L36" s="7">
        <f t="shared" si="2"/>
        <v>0</v>
      </c>
      <c r="M36" s="3"/>
      <c r="N36" s="8">
        <f t="shared" si="3"/>
        <v>0</v>
      </c>
      <c r="O36" s="12"/>
      <c r="P36" s="7">
        <v>0</v>
      </c>
      <c r="Q36" s="3"/>
      <c r="R36" s="8">
        <f t="shared" si="4"/>
        <v>0</v>
      </c>
      <c r="S36" s="3"/>
      <c r="T36" s="7">
        <v>0</v>
      </c>
      <c r="U36" s="3"/>
      <c r="V36" s="8">
        <f t="shared" si="5"/>
        <v>0</v>
      </c>
      <c r="W36" s="3"/>
      <c r="X36" s="7">
        <f t="shared" si="6"/>
        <v>0</v>
      </c>
      <c r="Y36" s="3"/>
      <c r="Z36" s="8">
        <f t="shared" si="7"/>
        <v>0</v>
      </c>
    </row>
    <row r="37" spans="1:26" s="70" customFormat="1" ht="15" hidden="1" customHeight="1" outlineLevel="2" x14ac:dyDescent="0.3">
      <c r="A37" s="26"/>
      <c r="B37" s="12" t="str">
        <f>CONCATENATE("          ","6008"," - ","STUDENT HOURLY-FICA EXEMPT")</f>
        <v xml:space="preserve">          6008 - STUDENT HOURLY-FICA EXEMPT</v>
      </c>
      <c r="C37" s="12"/>
      <c r="D37" s="7"/>
      <c r="E37" s="3"/>
      <c r="F37" s="8">
        <f t="shared" si="0"/>
        <v>0</v>
      </c>
      <c r="G37" s="3"/>
      <c r="H37" s="7">
        <v>0</v>
      </c>
      <c r="I37" s="3"/>
      <c r="J37" s="8">
        <f t="shared" si="1"/>
        <v>0</v>
      </c>
      <c r="K37" s="3"/>
      <c r="L37" s="7">
        <f t="shared" si="2"/>
        <v>0</v>
      </c>
      <c r="M37" s="3"/>
      <c r="N37" s="8">
        <f t="shared" si="3"/>
        <v>0</v>
      </c>
      <c r="O37" s="12"/>
      <c r="P37" s="7"/>
      <c r="Q37" s="3"/>
      <c r="R37" s="8">
        <f t="shared" si="4"/>
        <v>0</v>
      </c>
      <c r="S37" s="3"/>
      <c r="T37" s="7">
        <v>0</v>
      </c>
      <c r="U37" s="3"/>
      <c r="V37" s="8">
        <f t="shared" si="5"/>
        <v>0</v>
      </c>
      <c r="W37" s="3"/>
      <c r="X37" s="7">
        <f t="shared" si="6"/>
        <v>0</v>
      </c>
      <c r="Y37" s="3"/>
      <c r="Z37" s="8">
        <f t="shared" si="7"/>
        <v>0</v>
      </c>
    </row>
    <row r="38" spans="1:26" s="70" customFormat="1" ht="15" hidden="1" customHeight="1" outlineLevel="2" x14ac:dyDescent="0.3">
      <c r="A38" s="26"/>
      <c r="B38" s="12" t="str">
        <f>CONCATENATE("          ","6009"," - ","TEMPORARY-SEASONAL")</f>
        <v xml:space="preserve">          6009 - TEMPORARY-SEASONAL</v>
      </c>
      <c r="C38" s="12"/>
      <c r="D38" s="7"/>
      <c r="E38" s="3"/>
      <c r="F38" s="8">
        <f t="shared" si="0"/>
        <v>0</v>
      </c>
      <c r="G38" s="3"/>
      <c r="H38" s="7">
        <v>0</v>
      </c>
      <c r="I38" s="3"/>
      <c r="J38" s="8">
        <f t="shared" si="1"/>
        <v>0</v>
      </c>
      <c r="K38" s="3"/>
      <c r="L38" s="7">
        <f t="shared" si="2"/>
        <v>0</v>
      </c>
      <c r="M38" s="3"/>
      <c r="N38" s="8">
        <f t="shared" si="3"/>
        <v>0</v>
      </c>
      <c r="O38" s="12"/>
      <c r="P38" s="7"/>
      <c r="Q38" s="3"/>
      <c r="R38" s="8">
        <f t="shared" si="4"/>
        <v>0</v>
      </c>
      <c r="S38" s="3"/>
      <c r="T38" s="7">
        <v>0</v>
      </c>
      <c r="U38" s="3"/>
      <c r="V38" s="8">
        <f t="shared" si="5"/>
        <v>0</v>
      </c>
      <c r="W38" s="3"/>
      <c r="X38" s="7">
        <f t="shared" si="6"/>
        <v>0</v>
      </c>
      <c r="Y38" s="3"/>
      <c r="Z38" s="8">
        <f t="shared" si="7"/>
        <v>0</v>
      </c>
    </row>
    <row r="39" spans="1:26" s="70" customFormat="1" ht="15" hidden="1" customHeight="1" outlineLevel="2" x14ac:dyDescent="0.3">
      <c r="A39" s="26"/>
      <c r="B39" s="12" t="str">
        <f>CONCATENATE("          ","6010"," - ","GRATUITY")</f>
        <v xml:space="preserve">          6010 - GRATUITY</v>
      </c>
      <c r="C39" s="12"/>
      <c r="D39" s="7"/>
      <c r="E39" s="3"/>
      <c r="F39" s="8">
        <f t="shared" si="0"/>
        <v>0</v>
      </c>
      <c r="G39" s="3"/>
      <c r="H39" s="7">
        <v>0</v>
      </c>
      <c r="I39" s="3"/>
      <c r="J39" s="8">
        <f t="shared" si="1"/>
        <v>0</v>
      </c>
      <c r="K39" s="3"/>
      <c r="L39" s="7">
        <f t="shared" si="2"/>
        <v>0</v>
      </c>
      <c r="M39" s="3"/>
      <c r="N39" s="8">
        <f t="shared" si="3"/>
        <v>0</v>
      </c>
      <c r="O39" s="12"/>
      <c r="P39" s="7"/>
      <c r="Q39" s="3"/>
      <c r="R39" s="8">
        <f t="shared" si="4"/>
        <v>0</v>
      </c>
      <c r="S39" s="3"/>
      <c r="T39" s="7">
        <v>0</v>
      </c>
      <c r="U39" s="3"/>
      <c r="V39" s="8">
        <f t="shared" si="5"/>
        <v>0</v>
      </c>
      <c r="W39" s="3"/>
      <c r="X39" s="7">
        <f t="shared" si="6"/>
        <v>0</v>
      </c>
      <c r="Y39" s="3"/>
      <c r="Z39" s="8">
        <f t="shared" si="7"/>
        <v>0</v>
      </c>
    </row>
    <row r="40" spans="1:26" s="69" customFormat="1" ht="15" customHeight="1" outlineLevel="1" collapsed="1" x14ac:dyDescent="0.3">
      <c r="A40" s="25"/>
      <c r="B40" s="14" t="str">
        <f>CONCATENATE("     ","Advertising/Promo                                 ")</f>
        <v xml:space="preserve">     Advertising/Promo                                 </v>
      </c>
      <c r="C40" s="14"/>
      <c r="D40" s="2">
        <f>SUM(OSRRefD22_2x_0)</f>
        <v>0</v>
      </c>
      <c r="E40" s="2"/>
      <c r="F40" s="6">
        <f t="shared" si="0"/>
        <v>0</v>
      </c>
      <c r="G40" s="2"/>
      <c r="H40" s="2">
        <f>SUM(OSRRefH22_2x_0)</f>
        <v>0</v>
      </c>
      <c r="I40" s="2"/>
      <c r="J40" s="6">
        <f t="shared" si="1"/>
        <v>0</v>
      </c>
      <c r="K40" s="2"/>
      <c r="L40" s="2">
        <f t="shared" si="2"/>
        <v>0</v>
      </c>
      <c r="M40" s="2"/>
      <c r="N40" s="6">
        <f t="shared" si="3"/>
        <v>0</v>
      </c>
      <c r="O40" s="14"/>
      <c r="P40" s="2">
        <f>SUM(OSRRefP22_2x_0)</f>
        <v>0</v>
      </c>
      <c r="Q40" s="2"/>
      <c r="R40" s="6">
        <f t="shared" si="4"/>
        <v>0</v>
      </c>
      <c r="S40" s="2"/>
      <c r="T40" s="2">
        <f>SUM(OSRRefT22_2x_0)</f>
        <v>0</v>
      </c>
      <c r="U40" s="2"/>
      <c r="V40" s="6">
        <f t="shared" si="5"/>
        <v>0</v>
      </c>
      <c r="W40" s="2"/>
      <c r="X40" s="2">
        <f t="shared" si="6"/>
        <v>0</v>
      </c>
      <c r="Y40" s="2"/>
      <c r="Z40" s="6">
        <f t="shared" si="7"/>
        <v>0</v>
      </c>
    </row>
    <row r="41" spans="1:26" s="70" customFormat="1" ht="15" hidden="1" customHeight="1" outlineLevel="2" x14ac:dyDescent="0.3">
      <c r="A41" s="26"/>
      <c r="B41" s="12" t="str">
        <f>CONCATENATE("          ","6362"," - ","ADVERTISING EXPENSE")</f>
        <v xml:space="preserve">          6362 - ADVERTISING EXPENSE</v>
      </c>
      <c r="C41" s="12"/>
      <c r="D41" s="7"/>
      <c r="E41" s="3"/>
      <c r="F41" s="8">
        <f t="shared" si="0"/>
        <v>0</v>
      </c>
      <c r="G41" s="3"/>
      <c r="H41" s="7"/>
      <c r="I41" s="3"/>
      <c r="J41" s="8">
        <f t="shared" si="1"/>
        <v>0</v>
      </c>
      <c r="K41" s="3"/>
      <c r="L41" s="7">
        <f t="shared" si="2"/>
        <v>0</v>
      </c>
      <c r="M41" s="3"/>
      <c r="N41" s="8">
        <f t="shared" si="3"/>
        <v>0</v>
      </c>
      <c r="O41" s="12"/>
      <c r="P41" s="7"/>
      <c r="Q41" s="3"/>
      <c r="R41" s="8">
        <f t="shared" si="4"/>
        <v>0</v>
      </c>
      <c r="S41" s="3"/>
      <c r="T41" s="7">
        <v>0</v>
      </c>
      <c r="U41" s="3"/>
      <c r="V41" s="8">
        <f t="shared" si="5"/>
        <v>0</v>
      </c>
      <c r="W41" s="3"/>
      <c r="X41" s="7">
        <f t="shared" si="6"/>
        <v>0</v>
      </c>
      <c r="Y41" s="3"/>
      <c r="Z41" s="8">
        <f t="shared" si="7"/>
        <v>0</v>
      </c>
    </row>
    <row r="42" spans="1:26" s="69" customFormat="1" ht="15" customHeight="1" outlineLevel="1" collapsed="1" x14ac:dyDescent="0.3">
      <c r="A42" s="25"/>
      <c r="B42" s="14" t="str">
        <f>CONCATENATE("     ","Depreciation                                      ")</f>
        <v xml:space="preserve">     Depreciation                                      </v>
      </c>
      <c r="C42" s="14"/>
      <c r="D42" s="2">
        <f>SUM(OSRRefD22_3x_0)</f>
        <v>2140.89</v>
      </c>
      <c r="E42" s="2"/>
      <c r="F42" s="6">
        <f t="shared" si="0"/>
        <v>0</v>
      </c>
      <c r="G42" s="2"/>
      <c r="H42" s="2">
        <f>SUM(OSRRefH22_3x_0)</f>
        <v>2099</v>
      </c>
      <c r="I42" s="2"/>
      <c r="J42" s="6">
        <f t="shared" si="1"/>
        <v>0</v>
      </c>
      <c r="K42" s="2"/>
      <c r="L42" s="2">
        <f t="shared" si="2"/>
        <v>41.889999999999873</v>
      </c>
      <c r="M42" s="2"/>
      <c r="N42" s="6">
        <f t="shared" si="3"/>
        <v>1.9957122439256729E-2</v>
      </c>
      <c r="O42" s="14"/>
      <c r="P42" s="2">
        <f>SUM(OSRRefP22_3x_0)</f>
        <v>28140.45</v>
      </c>
      <c r="Q42" s="2"/>
      <c r="R42" s="6">
        <f t="shared" si="4"/>
        <v>0</v>
      </c>
      <c r="S42" s="2"/>
      <c r="T42" s="2">
        <f>SUM(OSRRefT22_3x_0)</f>
        <v>27762</v>
      </c>
      <c r="U42" s="2"/>
      <c r="V42" s="6">
        <f t="shared" si="5"/>
        <v>0</v>
      </c>
      <c r="W42" s="2"/>
      <c r="X42" s="2">
        <f t="shared" si="6"/>
        <v>378.45000000000073</v>
      </c>
      <c r="Y42" s="2"/>
      <c r="Z42" s="6">
        <f t="shared" si="7"/>
        <v>1.3631942943591987E-2</v>
      </c>
    </row>
    <row r="43" spans="1:26" s="70" customFormat="1" ht="15" hidden="1" customHeight="1" outlineLevel="2" x14ac:dyDescent="0.3">
      <c r="A43" s="26"/>
      <c r="B43" s="12" t="str">
        <f>CONCATENATE("          ","6322"," - ","EQUIPMENT DEPRECIATION EXPENSE")</f>
        <v xml:space="preserve">          6322 - EQUIPMENT DEPRECIATION EXPENSE</v>
      </c>
      <c r="C43" s="12"/>
      <c r="D43" s="7">
        <v>2140.89</v>
      </c>
      <c r="E43" s="3"/>
      <c r="F43" s="8">
        <f t="shared" si="0"/>
        <v>0</v>
      </c>
      <c r="G43" s="3"/>
      <c r="H43" s="7">
        <v>1599</v>
      </c>
      <c r="I43" s="3"/>
      <c r="J43" s="8">
        <f t="shared" si="1"/>
        <v>0</v>
      </c>
      <c r="K43" s="3"/>
      <c r="L43" s="7">
        <f t="shared" si="2"/>
        <v>541.88999999999987</v>
      </c>
      <c r="M43" s="3"/>
      <c r="N43" s="8">
        <f t="shared" si="3"/>
        <v>0.33889305816135079</v>
      </c>
      <c r="O43" s="12"/>
      <c r="P43" s="7">
        <v>28140.45</v>
      </c>
      <c r="Q43" s="3"/>
      <c r="R43" s="8">
        <f t="shared" si="4"/>
        <v>0</v>
      </c>
      <c r="S43" s="3"/>
      <c r="T43" s="7">
        <v>23262</v>
      </c>
      <c r="U43" s="3"/>
      <c r="V43" s="8">
        <f t="shared" si="5"/>
        <v>0</v>
      </c>
      <c r="W43" s="3"/>
      <c r="X43" s="7">
        <f t="shared" si="6"/>
        <v>4878.4500000000007</v>
      </c>
      <c r="Y43" s="3"/>
      <c r="Z43" s="8">
        <f t="shared" si="7"/>
        <v>0.20971756512767606</v>
      </c>
    </row>
    <row r="44" spans="1:26" s="70" customFormat="1" ht="15" hidden="1" customHeight="1" outlineLevel="2" x14ac:dyDescent="0.3">
      <c r="A44" s="26"/>
      <c r="B44" s="12" t="str">
        <f>CONCATENATE("          ","6324"," - ","FURNITURE + FIXT DEPRECIATION")</f>
        <v xml:space="preserve">          6324 - FURNITURE + FIXT DEPRECIATION</v>
      </c>
      <c r="C44" s="12"/>
      <c r="D44" s="7"/>
      <c r="E44" s="3"/>
      <c r="F44" s="8">
        <f t="shared" si="0"/>
        <v>0</v>
      </c>
      <c r="G44" s="3"/>
      <c r="H44" s="7">
        <v>500</v>
      </c>
      <c r="I44" s="3"/>
      <c r="J44" s="8">
        <f t="shared" si="1"/>
        <v>0</v>
      </c>
      <c r="K44" s="3"/>
      <c r="L44" s="7">
        <f t="shared" si="2"/>
        <v>-500</v>
      </c>
      <c r="M44" s="3"/>
      <c r="N44" s="8">
        <f t="shared" si="3"/>
        <v>-1</v>
      </c>
      <c r="O44" s="12"/>
      <c r="P44" s="7"/>
      <c r="Q44" s="3"/>
      <c r="R44" s="8">
        <f t="shared" si="4"/>
        <v>0</v>
      </c>
      <c r="S44" s="3"/>
      <c r="T44" s="7">
        <v>4500</v>
      </c>
      <c r="U44" s="3"/>
      <c r="V44" s="8">
        <f t="shared" si="5"/>
        <v>0</v>
      </c>
      <c r="W44" s="3"/>
      <c r="X44" s="7">
        <f t="shared" si="6"/>
        <v>-4500</v>
      </c>
      <c r="Y44" s="3"/>
      <c r="Z44" s="8">
        <f t="shared" si="7"/>
        <v>-1</v>
      </c>
    </row>
    <row r="45" spans="1:26" s="69" customFormat="1" ht="15" customHeight="1" outlineLevel="1" collapsed="1" x14ac:dyDescent="0.3">
      <c r="A45" s="25"/>
      <c r="B45" s="14" t="str">
        <f>CONCATENATE("     ","Insurance                                         ")</f>
        <v xml:space="preserve">     Insurance                                         </v>
      </c>
      <c r="C45" s="14"/>
      <c r="D45" s="2">
        <f>SUM(OSRRefD22_4x_0)</f>
        <v>76.569999999999993</v>
      </c>
      <c r="E45" s="2"/>
      <c r="F45" s="6">
        <f t="shared" si="0"/>
        <v>0</v>
      </c>
      <c r="G45" s="2"/>
      <c r="H45" s="2">
        <f>SUM(OSRRefH22_4x_0)</f>
        <v>75</v>
      </c>
      <c r="I45" s="2"/>
      <c r="J45" s="6">
        <f t="shared" si="1"/>
        <v>0</v>
      </c>
      <c r="K45" s="2"/>
      <c r="L45" s="2">
        <f t="shared" si="2"/>
        <v>1.5699999999999932</v>
      </c>
      <c r="M45" s="2"/>
      <c r="N45" s="6">
        <f t="shared" si="3"/>
        <v>2.0933333333333241E-2</v>
      </c>
      <c r="O45" s="14"/>
      <c r="P45" s="2">
        <f>SUM(OSRRefP22_4x_0)</f>
        <v>689.13</v>
      </c>
      <c r="Q45" s="2"/>
      <c r="R45" s="6">
        <f t="shared" si="4"/>
        <v>0</v>
      </c>
      <c r="S45" s="2"/>
      <c r="T45" s="2">
        <f>SUM(OSRRefT22_4x_0)</f>
        <v>675</v>
      </c>
      <c r="U45" s="2"/>
      <c r="V45" s="6">
        <f t="shared" si="5"/>
        <v>0</v>
      </c>
      <c r="W45" s="2"/>
      <c r="X45" s="2">
        <f t="shared" si="6"/>
        <v>14.129999999999995</v>
      </c>
      <c r="Y45" s="2"/>
      <c r="Z45" s="6">
        <f t="shared" si="7"/>
        <v>2.0933333333333328E-2</v>
      </c>
    </row>
    <row r="46" spans="1:26" s="70" customFormat="1" ht="15" hidden="1" customHeight="1" outlineLevel="2" x14ac:dyDescent="0.3">
      <c r="A46" s="26"/>
      <c r="B46" s="12" t="str">
        <f>CONCATENATE("          ","6314"," - ","LIABILITY INSURANCE")</f>
        <v xml:space="preserve">          6314 - LIABILITY INSURANCE</v>
      </c>
      <c r="C46" s="12"/>
      <c r="D46" s="7">
        <v>76.569999999999993</v>
      </c>
      <c r="E46" s="3"/>
      <c r="F46" s="8">
        <f t="shared" si="0"/>
        <v>0</v>
      </c>
      <c r="G46" s="3"/>
      <c r="H46" s="7">
        <v>75</v>
      </c>
      <c r="I46" s="3"/>
      <c r="J46" s="8">
        <f t="shared" si="1"/>
        <v>0</v>
      </c>
      <c r="K46" s="3"/>
      <c r="L46" s="7">
        <f t="shared" si="2"/>
        <v>1.5699999999999932</v>
      </c>
      <c r="M46" s="3"/>
      <c r="N46" s="8">
        <f t="shared" si="3"/>
        <v>2.0933333333333241E-2</v>
      </c>
      <c r="O46" s="12"/>
      <c r="P46" s="7">
        <v>689.13</v>
      </c>
      <c r="Q46" s="3"/>
      <c r="R46" s="8">
        <f t="shared" si="4"/>
        <v>0</v>
      </c>
      <c r="S46" s="3"/>
      <c r="T46" s="7">
        <v>675</v>
      </c>
      <c r="U46" s="3"/>
      <c r="V46" s="8">
        <f t="shared" si="5"/>
        <v>0</v>
      </c>
      <c r="W46" s="3"/>
      <c r="X46" s="7">
        <f t="shared" si="6"/>
        <v>14.129999999999995</v>
      </c>
      <c r="Y46" s="3"/>
      <c r="Z46" s="8">
        <f t="shared" si="7"/>
        <v>2.0933333333333328E-2</v>
      </c>
    </row>
    <row r="47" spans="1:26" s="69" customFormat="1" ht="15" customHeight="1" outlineLevel="1" collapsed="1" x14ac:dyDescent="0.3">
      <c r="A47" s="25"/>
      <c r="B47" s="14" t="str">
        <f>CONCATENATE("     ","Repair and Maintenance                            ")</f>
        <v xml:space="preserve">     Repair and Maintenance                            </v>
      </c>
      <c r="C47" s="14"/>
      <c r="D47" s="2">
        <f>SUM(OSRRefD22_5x_0)</f>
        <v>1.25</v>
      </c>
      <c r="E47" s="2"/>
      <c r="F47" s="6">
        <f t="shared" si="0"/>
        <v>0</v>
      </c>
      <c r="G47" s="2"/>
      <c r="H47" s="2">
        <f>SUM(OSRRefH22_5x_0)</f>
        <v>10467</v>
      </c>
      <c r="I47" s="2"/>
      <c r="J47" s="6">
        <f t="shared" si="1"/>
        <v>0</v>
      </c>
      <c r="K47" s="2"/>
      <c r="L47" s="2">
        <f t="shared" si="2"/>
        <v>-10465.75</v>
      </c>
      <c r="M47" s="2"/>
      <c r="N47" s="6">
        <f t="shared" si="3"/>
        <v>-0.9998805770516862</v>
      </c>
      <c r="O47" s="14"/>
      <c r="P47" s="2">
        <f>SUM(OSRRefP22_5x_0)</f>
        <v>80260.3</v>
      </c>
      <c r="Q47" s="2"/>
      <c r="R47" s="6">
        <f t="shared" si="4"/>
        <v>0</v>
      </c>
      <c r="S47" s="2"/>
      <c r="T47" s="2">
        <f>SUM(OSRRefT22_5x_0)</f>
        <v>97203</v>
      </c>
      <c r="U47" s="2"/>
      <c r="V47" s="6">
        <f t="shared" si="5"/>
        <v>0</v>
      </c>
      <c r="W47" s="2"/>
      <c r="X47" s="2">
        <f t="shared" si="6"/>
        <v>-16942.699999999997</v>
      </c>
      <c r="Y47" s="2"/>
      <c r="Z47" s="6">
        <f t="shared" si="7"/>
        <v>-0.17430223347016036</v>
      </c>
    </row>
    <row r="48" spans="1:26" s="70" customFormat="1" ht="15" hidden="1" customHeight="1" outlineLevel="2" x14ac:dyDescent="0.3">
      <c r="A48" s="26"/>
      <c r="B48" s="12" t="str">
        <f>CONCATENATE("          ","6371"," - ","COMPUTER SOFTWARE MAINTENANCE")</f>
        <v xml:space="preserve">          6371 - COMPUTER SOFTWARE MAINTENANCE</v>
      </c>
      <c r="C48" s="12"/>
      <c r="D48" s="7"/>
      <c r="E48" s="3"/>
      <c r="F48" s="8">
        <f t="shared" si="0"/>
        <v>0</v>
      </c>
      <c r="G48" s="3"/>
      <c r="H48" s="7">
        <v>1000</v>
      </c>
      <c r="I48" s="3"/>
      <c r="J48" s="8">
        <f t="shared" si="1"/>
        <v>0</v>
      </c>
      <c r="K48" s="3"/>
      <c r="L48" s="7">
        <f t="shared" si="2"/>
        <v>-1000</v>
      </c>
      <c r="M48" s="3"/>
      <c r="N48" s="8">
        <f t="shared" si="3"/>
        <v>-1</v>
      </c>
      <c r="O48" s="12"/>
      <c r="P48" s="7">
        <v>2093.8200000000002</v>
      </c>
      <c r="Q48" s="3"/>
      <c r="R48" s="8">
        <f t="shared" si="4"/>
        <v>0</v>
      </c>
      <c r="S48" s="3"/>
      <c r="T48" s="7">
        <v>9000</v>
      </c>
      <c r="U48" s="3"/>
      <c r="V48" s="8">
        <f t="shared" si="5"/>
        <v>0</v>
      </c>
      <c r="W48" s="3"/>
      <c r="X48" s="7">
        <f t="shared" si="6"/>
        <v>-6906.18</v>
      </c>
      <c r="Y48" s="3"/>
      <c r="Z48" s="8">
        <f t="shared" si="7"/>
        <v>-0.76735333333333333</v>
      </c>
    </row>
    <row r="49" spans="1:26" s="70" customFormat="1" ht="15" hidden="1" customHeight="1" outlineLevel="2" x14ac:dyDescent="0.3">
      <c r="A49" s="26"/>
      <c r="B49" s="12" t="str">
        <f>CONCATENATE("          ","6372"," - ","COMPUTER HARDWARE MAINTENANCE")</f>
        <v xml:space="preserve">          6372 - COMPUTER HARDWARE MAINTENANCE</v>
      </c>
      <c r="C49" s="12"/>
      <c r="D49" s="7"/>
      <c r="E49" s="3"/>
      <c r="F49" s="8">
        <f t="shared" si="0"/>
        <v>0</v>
      </c>
      <c r="G49" s="3"/>
      <c r="H49" s="7"/>
      <c r="I49" s="3"/>
      <c r="J49" s="8">
        <f t="shared" si="1"/>
        <v>0</v>
      </c>
      <c r="K49" s="3"/>
      <c r="L49" s="7">
        <f t="shared" si="2"/>
        <v>0</v>
      </c>
      <c r="M49" s="3"/>
      <c r="N49" s="8">
        <f t="shared" si="3"/>
        <v>0</v>
      </c>
      <c r="O49" s="12"/>
      <c r="P49" s="7">
        <v>4760.47</v>
      </c>
      <c r="Q49" s="3"/>
      <c r="R49" s="8">
        <f t="shared" si="4"/>
        <v>0</v>
      </c>
      <c r="S49" s="3"/>
      <c r="T49" s="7">
        <v>3000</v>
      </c>
      <c r="U49" s="3"/>
      <c r="V49" s="8">
        <f t="shared" si="5"/>
        <v>0</v>
      </c>
      <c r="W49" s="3"/>
      <c r="X49" s="7">
        <f t="shared" si="6"/>
        <v>1760.4700000000003</v>
      </c>
      <c r="Y49" s="3"/>
      <c r="Z49" s="8">
        <f t="shared" si="7"/>
        <v>0.58682333333333336</v>
      </c>
    </row>
    <row r="50" spans="1:26" s="70" customFormat="1" ht="15" hidden="1" customHeight="1" outlineLevel="2" x14ac:dyDescent="0.3">
      <c r="A50" s="26"/>
      <c r="B50" s="12" t="str">
        <f>CONCATENATE("          ","6373"," - ","MAINTENANCE CONTRACTS")</f>
        <v xml:space="preserve">          6373 - MAINTENANCE CONTRACTS</v>
      </c>
      <c r="C50" s="12"/>
      <c r="D50" s="7">
        <v>1.25</v>
      </c>
      <c r="E50" s="3"/>
      <c r="F50" s="8">
        <f t="shared" si="0"/>
        <v>0</v>
      </c>
      <c r="G50" s="3"/>
      <c r="H50" s="7">
        <v>9467</v>
      </c>
      <c r="I50" s="3"/>
      <c r="J50" s="8">
        <f t="shared" si="1"/>
        <v>0</v>
      </c>
      <c r="K50" s="3"/>
      <c r="L50" s="7">
        <f t="shared" si="2"/>
        <v>-9465.75</v>
      </c>
      <c r="M50" s="3"/>
      <c r="N50" s="8">
        <f t="shared" si="3"/>
        <v>-0.99986796239569031</v>
      </c>
      <c r="O50" s="12"/>
      <c r="P50" s="7">
        <v>73358.490000000005</v>
      </c>
      <c r="Q50" s="3"/>
      <c r="R50" s="8">
        <f t="shared" si="4"/>
        <v>0</v>
      </c>
      <c r="S50" s="3"/>
      <c r="T50" s="7">
        <v>85203</v>
      </c>
      <c r="U50" s="3"/>
      <c r="V50" s="8">
        <f t="shared" si="5"/>
        <v>0</v>
      </c>
      <c r="W50" s="3"/>
      <c r="X50" s="7">
        <f t="shared" si="6"/>
        <v>-11844.509999999995</v>
      </c>
      <c r="Y50" s="3"/>
      <c r="Z50" s="8">
        <f t="shared" si="7"/>
        <v>-0.13901517552198861</v>
      </c>
    </row>
    <row r="51" spans="1:26" s="70" customFormat="1" ht="15" hidden="1" customHeight="1" outlineLevel="2" x14ac:dyDescent="0.3">
      <c r="A51" s="26"/>
      <c r="B51" s="12" t="str">
        <f>CONCATENATE("          ","6375"," - ","OUTSIDE REPAIRS &amp; MAINTENANCE")</f>
        <v xml:space="preserve">          6375 - OUTSIDE REPAIRS &amp; MAINTENANCE</v>
      </c>
      <c r="C51" s="12"/>
      <c r="D51" s="7"/>
      <c r="E51" s="3"/>
      <c r="F51" s="8">
        <f t="shared" si="0"/>
        <v>0</v>
      </c>
      <c r="G51" s="3"/>
      <c r="H51" s="7"/>
      <c r="I51" s="3"/>
      <c r="J51" s="8">
        <f t="shared" si="1"/>
        <v>0</v>
      </c>
      <c r="K51" s="3"/>
      <c r="L51" s="7">
        <f t="shared" si="2"/>
        <v>0</v>
      </c>
      <c r="M51" s="3"/>
      <c r="N51" s="8">
        <f t="shared" si="3"/>
        <v>0</v>
      </c>
      <c r="O51" s="12"/>
      <c r="P51" s="7">
        <v>47.52</v>
      </c>
      <c r="Q51" s="3"/>
      <c r="R51" s="8">
        <f t="shared" si="4"/>
        <v>0</v>
      </c>
      <c r="S51" s="3"/>
      <c r="T51" s="7"/>
      <c r="U51" s="3"/>
      <c r="V51" s="8">
        <f t="shared" si="5"/>
        <v>0</v>
      </c>
      <c r="W51" s="3"/>
      <c r="X51" s="7">
        <f t="shared" si="6"/>
        <v>47.52</v>
      </c>
      <c r="Y51" s="3"/>
      <c r="Z51" s="8">
        <f t="shared" si="7"/>
        <v>0</v>
      </c>
    </row>
    <row r="52" spans="1:26" s="69" customFormat="1" ht="15" customHeight="1" outlineLevel="1" collapsed="1" x14ac:dyDescent="0.3">
      <c r="A52" s="25"/>
      <c r="B52" s="14" t="str">
        <f>CONCATENATE("     ","Subscriptions &amp; Dues                              ")</f>
        <v xml:space="preserve">     Subscriptions &amp; Dues                              </v>
      </c>
      <c r="C52" s="14"/>
      <c r="D52" s="2">
        <f>SUM(OSRRefD22_6x_0)</f>
        <v>0</v>
      </c>
      <c r="E52" s="2"/>
      <c r="F52" s="6">
        <f t="shared" si="0"/>
        <v>0</v>
      </c>
      <c r="G52" s="2"/>
      <c r="H52" s="2">
        <f>SUM(OSRRefH22_6x_0)</f>
        <v>0</v>
      </c>
      <c r="I52" s="2"/>
      <c r="J52" s="6">
        <f t="shared" si="1"/>
        <v>0</v>
      </c>
      <c r="K52" s="2"/>
      <c r="L52" s="2">
        <f t="shared" si="2"/>
        <v>0</v>
      </c>
      <c r="M52" s="2"/>
      <c r="N52" s="6">
        <f t="shared" si="3"/>
        <v>0</v>
      </c>
      <c r="O52" s="14"/>
      <c r="P52" s="2">
        <f>SUM(OSRRefP22_6x_0)</f>
        <v>0</v>
      </c>
      <c r="Q52" s="2"/>
      <c r="R52" s="6">
        <f t="shared" si="4"/>
        <v>0</v>
      </c>
      <c r="S52" s="2"/>
      <c r="T52" s="2">
        <f>SUM(OSRRefT22_6x_0)</f>
        <v>850</v>
      </c>
      <c r="U52" s="2"/>
      <c r="V52" s="6">
        <f t="shared" si="5"/>
        <v>0</v>
      </c>
      <c r="W52" s="2"/>
      <c r="X52" s="2">
        <f t="shared" si="6"/>
        <v>-850</v>
      </c>
      <c r="Y52" s="2"/>
      <c r="Z52" s="6">
        <f t="shared" si="7"/>
        <v>-1</v>
      </c>
    </row>
    <row r="53" spans="1:26" s="70" customFormat="1" ht="15" hidden="1" customHeight="1" outlineLevel="2" x14ac:dyDescent="0.3">
      <c r="A53" s="26"/>
      <c r="B53" s="12" t="str">
        <f>CONCATENATE("          ","6258"," - ","MEMBERSHIP DUES")</f>
        <v xml:space="preserve">          6258 - MEMBERSHIP DUES</v>
      </c>
      <c r="C53" s="12"/>
      <c r="D53" s="7"/>
      <c r="E53" s="3"/>
      <c r="F53" s="8">
        <f t="shared" si="0"/>
        <v>0</v>
      </c>
      <c r="G53" s="3"/>
      <c r="H53" s="7"/>
      <c r="I53" s="3"/>
      <c r="J53" s="8">
        <f t="shared" si="1"/>
        <v>0</v>
      </c>
      <c r="K53" s="3"/>
      <c r="L53" s="7">
        <f t="shared" si="2"/>
        <v>0</v>
      </c>
      <c r="M53" s="3"/>
      <c r="N53" s="8">
        <f t="shared" si="3"/>
        <v>0</v>
      </c>
      <c r="O53" s="12"/>
      <c r="P53" s="7"/>
      <c r="Q53" s="3"/>
      <c r="R53" s="8">
        <f t="shared" si="4"/>
        <v>0</v>
      </c>
      <c r="S53" s="3"/>
      <c r="T53" s="7">
        <v>250</v>
      </c>
      <c r="U53" s="3"/>
      <c r="V53" s="8">
        <f t="shared" si="5"/>
        <v>0</v>
      </c>
      <c r="W53" s="3"/>
      <c r="X53" s="7">
        <f t="shared" si="6"/>
        <v>-250</v>
      </c>
      <c r="Y53" s="3"/>
      <c r="Z53" s="8">
        <f t="shared" si="7"/>
        <v>-1</v>
      </c>
    </row>
    <row r="54" spans="1:26" s="70" customFormat="1" ht="15" hidden="1" customHeight="1" outlineLevel="2" x14ac:dyDescent="0.3">
      <c r="A54" s="26"/>
      <c r="B54" s="12" t="str">
        <f>CONCATENATE("          ","6275"," - ","SUBSCRIPTIONS")</f>
        <v xml:space="preserve">          6275 - SUBSCRIPTIONS</v>
      </c>
      <c r="C54" s="12"/>
      <c r="D54" s="7"/>
      <c r="E54" s="3"/>
      <c r="F54" s="8">
        <f t="shared" si="0"/>
        <v>0</v>
      </c>
      <c r="G54" s="3"/>
      <c r="H54" s="7"/>
      <c r="I54" s="3"/>
      <c r="J54" s="8">
        <f t="shared" si="1"/>
        <v>0</v>
      </c>
      <c r="K54" s="3"/>
      <c r="L54" s="7">
        <f t="shared" si="2"/>
        <v>0</v>
      </c>
      <c r="M54" s="3"/>
      <c r="N54" s="8">
        <f t="shared" si="3"/>
        <v>0</v>
      </c>
      <c r="O54" s="12"/>
      <c r="P54" s="7"/>
      <c r="Q54" s="3"/>
      <c r="R54" s="8">
        <f t="shared" si="4"/>
        <v>0</v>
      </c>
      <c r="S54" s="3"/>
      <c r="T54" s="7">
        <v>600</v>
      </c>
      <c r="U54" s="3"/>
      <c r="V54" s="8">
        <f t="shared" si="5"/>
        <v>0</v>
      </c>
      <c r="W54" s="3"/>
      <c r="X54" s="7">
        <f t="shared" si="6"/>
        <v>-600</v>
      </c>
      <c r="Y54" s="3"/>
      <c r="Z54" s="8">
        <f t="shared" si="7"/>
        <v>-1</v>
      </c>
    </row>
    <row r="55" spans="1:26" s="69" customFormat="1" ht="15" customHeight="1" outlineLevel="1" collapsed="1" x14ac:dyDescent="0.3">
      <c r="A55" s="25"/>
      <c r="B55" s="14" t="str">
        <f>CONCATENATE("     ","Supplies                                          ")</f>
        <v xml:space="preserve">     Supplies                                          </v>
      </c>
      <c r="C55" s="14"/>
      <c r="D55" s="2">
        <f>SUM(OSRRefD22_7x_0)</f>
        <v>1680.85</v>
      </c>
      <c r="E55" s="2"/>
      <c r="F55" s="6">
        <f t="shared" si="0"/>
        <v>0</v>
      </c>
      <c r="G55" s="2"/>
      <c r="H55" s="2">
        <f>SUM(OSRRefH22_7x_0)</f>
        <v>100</v>
      </c>
      <c r="I55" s="2"/>
      <c r="J55" s="6">
        <f t="shared" si="1"/>
        <v>0</v>
      </c>
      <c r="K55" s="2"/>
      <c r="L55" s="2">
        <f t="shared" si="2"/>
        <v>1580.85</v>
      </c>
      <c r="M55" s="2"/>
      <c r="N55" s="6">
        <f t="shared" si="3"/>
        <v>15.808499999999999</v>
      </c>
      <c r="O55" s="14"/>
      <c r="P55" s="2">
        <f>SUM(OSRRefP22_7x_0)</f>
        <v>21575.08</v>
      </c>
      <c r="Q55" s="2"/>
      <c r="R55" s="6">
        <f t="shared" si="4"/>
        <v>0</v>
      </c>
      <c r="S55" s="2"/>
      <c r="T55" s="2">
        <f>SUM(OSRRefT22_7x_0)</f>
        <v>900</v>
      </c>
      <c r="U55" s="2"/>
      <c r="V55" s="6">
        <f t="shared" si="5"/>
        <v>0</v>
      </c>
      <c r="W55" s="2"/>
      <c r="X55" s="2">
        <f t="shared" si="6"/>
        <v>20675.080000000002</v>
      </c>
      <c r="Y55" s="2"/>
      <c r="Z55" s="6">
        <f t="shared" si="7"/>
        <v>22.972311111111114</v>
      </c>
    </row>
    <row r="56" spans="1:26" s="70" customFormat="1" ht="15" hidden="1" customHeight="1" outlineLevel="2" x14ac:dyDescent="0.3">
      <c r="A56" s="26"/>
      <c r="B56" s="12" t="str">
        <f>CONCATENATE("          ","6241"," - ","OFFICE EXPENSE")</f>
        <v xml:space="preserve">          6241 - OFFICE EXPENSE</v>
      </c>
      <c r="C56" s="12"/>
      <c r="D56" s="7">
        <v>1680.85</v>
      </c>
      <c r="E56" s="3"/>
      <c r="F56" s="8">
        <f t="shared" si="0"/>
        <v>0</v>
      </c>
      <c r="G56" s="3"/>
      <c r="H56" s="7">
        <v>100</v>
      </c>
      <c r="I56" s="3"/>
      <c r="J56" s="8">
        <f t="shared" si="1"/>
        <v>0</v>
      </c>
      <c r="K56" s="3"/>
      <c r="L56" s="7">
        <f t="shared" si="2"/>
        <v>1580.85</v>
      </c>
      <c r="M56" s="3"/>
      <c r="N56" s="8">
        <f t="shared" si="3"/>
        <v>15.808499999999999</v>
      </c>
      <c r="O56" s="12"/>
      <c r="P56" s="7">
        <v>21575.08</v>
      </c>
      <c r="Q56" s="3"/>
      <c r="R56" s="8">
        <f t="shared" si="4"/>
        <v>0</v>
      </c>
      <c r="S56" s="3"/>
      <c r="T56" s="7">
        <v>900</v>
      </c>
      <c r="U56" s="3"/>
      <c r="V56" s="8">
        <f t="shared" si="5"/>
        <v>0</v>
      </c>
      <c r="W56" s="3"/>
      <c r="X56" s="7">
        <f t="shared" si="6"/>
        <v>20675.080000000002</v>
      </c>
      <c r="Y56" s="3"/>
      <c r="Z56" s="8">
        <f t="shared" si="7"/>
        <v>22.972311111111114</v>
      </c>
    </row>
    <row r="57" spans="1:26" s="69" customFormat="1" ht="15" customHeight="1" outlineLevel="1" collapsed="1" x14ac:dyDescent="0.3">
      <c r="A57" s="25"/>
      <c r="B57" s="14" t="str">
        <f>CONCATENATE("     ","Telephone/Data Lines                              ")</f>
        <v xml:space="preserve">     Telephone/Data Lines                              </v>
      </c>
      <c r="C57" s="14"/>
      <c r="D57" s="2">
        <f>SUM(OSRRefD22_8x_0)</f>
        <v>741.79</v>
      </c>
      <c r="E57" s="2"/>
      <c r="F57" s="6">
        <f t="shared" si="0"/>
        <v>0</v>
      </c>
      <c r="G57" s="2"/>
      <c r="H57" s="2">
        <f>SUM(OSRRefH22_8x_0)</f>
        <v>500</v>
      </c>
      <c r="I57" s="2"/>
      <c r="J57" s="6">
        <f t="shared" si="1"/>
        <v>0</v>
      </c>
      <c r="K57" s="2"/>
      <c r="L57" s="2">
        <f t="shared" si="2"/>
        <v>241.78999999999996</v>
      </c>
      <c r="M57" s="2"/>
      <c r="N57" s="6">
        <f t="shared" si="3"/>
        <v>0.48357999999999995</v>
      </c>
      <c r="O57" s="14"/>
      <c r="P57" s="2">
        <f>SUM(OSRRefP22_8x_0)</f>
        <v>7412.73</v>
      </c>
      <c r="Q57" s="2"/>
      <c r="R57" s="6">
        <f t="shared" si="4"/>
        <v>0</v>
      </c>
      <c r="S57" s="2"/>
      <c r="T57" s="2">
        <f>SUM(OSRRefT22_8x_0)</f>
        <v>4500</v>
      </c>
      <c r="U57" s="2"/>
      <c r="V57" s="6">
        <f t="shared" si="5"/>
        <v>0</v>
      </c>
      <c r="W57" s="2"/>
      <c r="X57" s="2">
        <f t="shared" si="6"/>
        <v>2912.7299999999996</v>
      </c>
      <c r="Y57" s="2"/>
      <c r="Z57" s="6">
        <f t="shared" si="7"/>
        <v>0.64727333333333326</v>
      </c>
    </row>
    <row r="58" spans="1:26" s="70" customFormat="1" ht="15" hidden="1" customHeight="1" outlineLevel="2" x14ac:dyDescent="0.3">
      <c r="A58" s="26"/>
      <c r="B58" s="12" t="str">
        <f>CONCATENATE("          ","6303"," - ","DATA PHONE LINES")</f>
        <v xml:space="preserve">          6303 - DATA PHONE LINES</v>
      </c>
      <c r="C58" s="12"/>
      <c r="D58" s="7">
        <v>81.99</v>
      </c>
      <c r="E58" s="3"/>
      <c r="F58" s="8">
        <f t="shared" si="0"/>
        <v>0</v>
      </c>
      <c r="G58" s="3"/>
      <c r="H58" s="7">
        <v>200</v>
      </c>
      <c r="I58" s="3"/>
      <c r="J58" s="8">
        <f t="shared" si="1"/>
        <v>0</v>
      </c>
      <c r="K58" s="3"/>
      <c r="L58" s="7">
        <f t="shared" si="2"/>
        <v>-118.01</v>
      </c>
      <c r="M58" s="3"/>
      <c r="N58" s="8">
        <f t="shared" si="3"/>
        <v>-0.59005000000000007</v>
      </c>
      <c r="O58" s="12"/>
      <c r="P58" s="7">
        <v>1424.83</v>
      </c>
      <c r="Q58" s="3"/>
      <c r="R58" s="8">
        <f t="shared" si="4"/>
        <v>0</v>
      </c>
      <c r="S58" s="3"/>
      <c r="T58" s="7">
        <v>1800</v>
      </c>
      <c r="U58" s="3"/>
      <c r="V58" s="8">
        <f t="shared" si="5"/>
        <v>0</v>
      </c>
      <c r="W58" s="3"/>
      <c r="X58" s="7">
        <f t="shared" si="6"/>
        <v>-375.17000000000007</v>
      </c>
      <c r="Y58" s="3"/>
      <c r="Z58" s="8">
        <f t="shared" si="7"/>
        <v>-0.20842777777777782</v>
      </c>
    </row>
    <row r="59" spans="1:26" s="70" customFormat="1" ht="15" hidden="1" customHeight="1" outlineLevel="2" x14ac:dyDescent="0.3">
      <c r="A59" s="26"/>
      <c r="B59" s="12" t="str">
        <f>CONCATENATE("          ","6309"," - ","TELEPHONE")</f>
        <v xml:space="preserve">          6309 - TELEPHONE</v>
      </c>
      <c r="C59" s="12"/>
      <c r="D59" s="7">
        <v>659.8</v>
      </c>
      <c r="E59" s="3"/>
      <c r="F59" s="8">
        <f t="shared" si="0"/>
        <v>0</v>
      </c>
      <c r="G59" s="3"/>
      <c r="H59" s="7">
        <v>300</v>
      </c>
      <c r="I59" s="3"/>
      <c r="J59" s="8">
        <f t="shared" si="1"/>
        <v>0</v>
      </c>
      <c r="K59" s="3"/>
      <c r="L59" s="7">
        <f t="shared" si="2"/>
        <v>359.79999999999995</v>
      </c>
      <c r="M59" s="3"/>
      <c r="N59" s="8">
        <f t="shared" si="3"/>
        <v>1.1993333333333331</v>
      </c>
      <c r="O59" s="12"/>
      <c r="P59" s="7">
        <v>5987.9</v>
      </c>
      <c r="Q59" s="3"/>
      <c r="R59" s="8">
        <f t="shared" si="4"/>
        <v>0</v>
      </c>
      <c r="S59" s="3"/>
      <c r="T59" s="7">
        <v>2700</v>
      </c>
      <c r="U59" s="3"/>
      <c r="V59" s="8">
        <f t="shared" si="5"/>
        <v>0</v>
      </c>
      <c r="W59" s="3"/>
      <c r="X59" s="7">
        <f t="shared" si="6"/>
        <v>3287.8999999999996</v>
      </c>
      <c r="Y59" s="3"/>
      <c r="Z59" s="8">
        <f t="shared" si="7"/>
        <v>1.2177407407407406</v>
      </c>
    </row>
    <row r="60" spans="1:26" s="69" customFormat="1" ht="15" customHeight="1" outlineLevel="1" collapsed="1" x14ac:dyDescent="0.3">
      <c r="A60" s="25"/>
      <c r="B60" s="14" t="str">
        <f>CONCATENATE("     ","Training                                          ")</f>
        <v xml:space="preserve">     Training                                          </v>
      </c>
      <c r="C60" s="14"/>
      <c r="D60" s="2">
        <f>SUM(OSRRefD22_9x_0)</f>
        <v>0</v>
      </c>
      <c r="E60" s="2"/>
      <c r="F60" s="6">
        <f t="shared" si="0"/>
        <v>0</v>
      </c>
      <c r="G60" s="2"/>
      <c r="H60" s="2">
        <f>SUM(OSRRefH22_9x_0)</f>
        <v>0</v>
      </c>
      <c r="I60" s="2"/>
      <c r="J60" s="6">
        <f t="shared" si="1"/>
        <v>0</v>
      </c>
      <c r="K60" s="2"/>
      <c r="L60" s="2">
        <f t="shared" si="2"/>
        <v>0</v>
      </c>
      <c r="M60" s="2"/>
      <c r="N60" s="6">
        <f t="shared" si="3"/>
        <v>0</v>
      </c>
      <c r="O60" s="14"/>
      <c r="P60" s="2">
        <f>SUM(OSRRefP22_9x_0)</f>
        <v>99</v>
      </c>
      <c r="Q60" s="2"/>
      <c r="R60" s="6">
        <f t="shared" si="4"/>
        <v>0</v>
      </c>
      <c r="S60" s="2"/>
      <c r="T60" s="2">
        <f>SUM(OSRRefT22_9x_0)</f>
        <v>0</v>
      </c>
      <c r="U60" s="2"/>
      <c r="V60" s="6">
        <f t="shared" si="5"/>
        <v>0</v>
      </c>
      <c r="W60" s="2"/>
      <c r="X60" s="2">
        <f t="shared" si="6"/>
        <v>99</v>
      </c>
      <c r="Y60" s="2"/>
      <c r="Z60" s="6">
        <f t="shared" si="7"/>
        <v>0</v>
      </c>
    </row>
    <row r="61" spans="1:26" s="70" customFormat="1" ht="15" hidden="1" customHeight="1" outlineLevel="2" x14ac:dyDescent="0.3">
      <c r="A61" s="26"/>
      <c r="B61" s="12" t="str">
        <f>CONCATENATE("          ","6376"," - ","TRAINING")</f>
        <v xml:space="preserve">          6376 - TRAINING</v>
      </c>
      <c r="C61" s="12"/>
      <c r="D61" s="7"/>
      <c r="E61" s="3"/>
      <c r="F61" s="8">
        <f t="shared" si="0"/>
        <v>0</v>
      </c>
      <c r="G61" s="3"/>
      <c r="H61" s="7"/>
      <c r="I61" s="3"/>
      <c r="J61" s="8">
        <f t="shared" si="1"/>
        <v>0</v>
      </c>
      <c r="K61" s="3"/>
      <c r="L61" s="7">
        <f t="shared" si="2"/>
        <v>0</v>
      </c>
      <c r="M61" s="3"/>
      <c r="N61" s="8">
        <f t="shared" si="3"/>
        <v>0</v>
      </c>
      <c r="O61" s="12"/>
      <c r="P61" s="7">
        <v>99</v>
      </c>
      <c r="Q61" s="3"/>
      <c r="R61" s="8">
        <f t="shared" si="4"/>
        <v>0</v>
      </c>
      <c r="S61" s="3"/>
      <c r="T61" s="7"/>
      <c r="U61" s="3"/>
      <c r="V61" s="8">
        <f t="shared" si="5"/>
        <v>0</v>
      </c>
      <c r="W61" s="3"/>
      <c r="X61" s="7">
        <f t="shared" si="6"/>
        <v>99</v>
      </c>
      <c r="Y61" s="3"/>
      <c r="Z61" s="8">
        <f t="shared" si="7"/>
        <v>0</v>
      </c>
    </row>
    <row r="62" spans="1:26" s="69" customFormat="1" ht="15" customHeight="1" outlineLevel="1" collapsed="1" x14ac:dyDescent="0.3">
      <c r="A62" s="25"/>
      <c r="B62" s="14" t="str">
        <f>CONCATENATE("     ","Travel                                            ")</f>
        <v xml:space="preserve">     Travel                                            </v>
      </c>
      <c r="C62" s="14"/>
      <c r="D62" s="2">
        <f>SUM(OSRRefD22_10x_0)</f>
        <v>0</v>
      </c>
      <c r="E62" s="2"/>
      <c r="F62" s="6">
        <f t="shared" si="0"/>
        <v>0</v>
      </c>
      <c r="G62" s="2"/>
      <c r="H62" s="2">
        <f>SUM(OSRRefH22_10x_0)</f>
        <v>0</v>
      </c>
      <c r="I62" s="2"/>
      <c r="J62" s="6">
        <f t="shared" si="1"/>
        <v>0</v>
      </c>
      <c r="K62" s="2"/>
      <c r="L62" s="2">
        <f t="shared" si="2"/>
        <v>0</v>
      </c>
      <c r="M62" s="2"/>
      <c r="N62" s="6">
        <f t="shared" si="3"/>
        <v>0</v>
      </c>
      <c r="O62" s="14"/>
      <c r="P62" s="2">
        <f>SUM(OSRRefP22_10x_0)</f>
        <v>0</v>
      </c>
      <c r="Q62" s="2"/>
      <c r="R62" s="6">
        <f t="shared" si="4"/>
        <v>0</v>
      </c>
      <c r="S62" s="2"/>
      <c r="T62" s="2">
        <f>SUM(OSRRefT22_10x_0)</f>
        <v>5500</v>
      </c>
      <c r="U62" s="2"/>
      <c r="V62" s="6">
        <f t="shared" si="5"/>
        <v>0</v>
      </c>
      <c r="W62" s="2"/>
      <c r="X62" s="2">
        <f t="shared" si="6"/>
        <v>-5500</v>
      </c>
      <c r="Y62" s="2"/>
      <c r="Z62" s="6">
        <f t="shared" si="7"/>
        <v>-1</v>
      </c>
    </row>
    <row r="63" spans="1:26" s="70" customFormat="1" ht="15" hidden="1" customHeight="1" outlineLevel="2" x14ac:dyDescent="0.3">
      <c r="A63" s="26"/>
      <c r="B63" s="12" t="str">
        <f>CONCATENATE("          ","6292"," - ","TRAVEL/CONFERENCE")</f>
        <v xml:space="preserve">          6292 - TRAVEL/CONFERENCE</v>
      </c>
      <c r="C63" s="12"/>
      <c r="D63" s="7"/>
      <c r="E63" s="3"/>
      <c r="F63" s="8">
        <f t="shared" si="0"/>
        <v>0</v>
      </c>
      <c r="G63" s="3"/>
      <c r="H63" s="7"/>
      <c r="I63" s="3"/>
      <c r="J63" s="8">
        <f t="shared" si="1"/>
        <v>0</v>
      </c>
      <c r="K63" s="3"/>
      <c r="L63" s="7">
        <f t="shared" si="2"/>
        <v>0</v>
      </c>
      <c r="M63" s="3"/>
      <c r="N63" s="8">
        <f t="shared" si="3"/>
        <v>0</v>
      </c>
      <c r="O63" s="12"/>
      <c r="P63" s="7">
        <v>0</v>
      </c>
      <c r="Q63" s="3"/>
      <c r="R63" s="8">
        <f t="shared" si="4"/>
        <v>0</v>
      </c>
      <c r="S63" s="3"/>
      <c r="T63" s="7">
        <v>5500</v>
      </c>
      <c r="U63" s="3"/>
      <c r="V63" s="8">
        <f t="shared" si="5"/>
        <v>0</v>
      </c>
      <c r="W63" s="3"/>
      <c r="X63" s="7">
        <f t="shared" si="6"/>
        <v>-5500</v>
      </c>
      <c r="Y63" s="3"/>
      <c r="Z63" s="8">
        <f t="shared" si="7"/>
        <v>-1</v>
      </c>
    </row>
    <row r="64" spans="1:26" s="65" customFormat="1" ht="15" customHeight="1" x14ac:dyDescent="0.3">
      <c r="A64" s="35"/>
      <c r="B64" s="35"/>
      <c r="C64" s="35"/>
      <c r="D64" s="2"/>
      <c r="E64" s="2"/>
      <c r="F64" s="6"/>
      <c r="G64" s="2"/>
      <c r="H64" s="2"/>
      <c r="I64" s="2"/>
      <c r="J64" s="6"/>
      <c r="K64" s="2"/>
      <c r="L64" s="2"/>
      <c r="M64" s="2"/>
      <c r="N64" s="6"/>
      <c r="O64" s="35"/>
      <c r="P64" s="2"/>
      <c r="Q64" s="2"/>
      <c r="R64" s="6"/>
      <c r="S64" s="2"/>
      <c r="T64" s="2"/>
      <c r="U64" s="2"/>
      <c r="V64" s="6"/>
      <c r="W64" s="2"/>
      <c r="X64" s="2"/>
      <c r="Y64" s="2"/>
      <c r="Z64" s="6"/>
    </row>
    <row r="65" spans="1:26" s="63" customFormat="1" ht="15" customHeight="1" x14ac:dyDescent="0.3">
      <c r="A65" s="11"/>
      <c r="B65" s="28" t="s">
        <v>291</v>
      </c>
      <c r="C65" s="11"/>
      <c r="D65" s="5">
        <f>SUM(0)</f>
        <v>0</v>
      </c>
      <c r="E65" s="5"/>
      <c r="F65" s="13">
        <f>IF(D$12=0,0,D65/D$12)</f>
        <v>0</v>
      </c>
      <c r="G65" s="5"/>
      <c r="H65" s="5">
        <f>SUM(0)</f>
        <v>0</v>
      </c>
      <c r="I65" s="5"/>
      <c r="J65" s="13">
        <f>IF(H$12=0,0,H65/H$12)</f>
        <v>0</v>
      </c>
      <c r="K65" s="5"/>
      <c r="L65" s="5">
        <f>+D65-H65</f>
        <v>0</v>
      </c>
      <c r="M65" s="5"/>
      <c r="N65" s="13">
        <f>IF(H65=0,0,L65/H65)</f>
        <v>0</v>
      </c>
      <c r="O65" s="11"/>
      <c r="P65" s="5">
        <f>SUM(0)</f>
        <v>0</v>
      </c>
      <c r="Q65" s="5"/>
      <c r="R65" s="13">
        <f>IF(P$12=0,0,P65/P$12)</f>
        <v>0</v>
      </c>
      <c r="S65" s="5"/>
      <c r="T65" s="5">
        <f>SUM(0)</f>
        <v>0</v>
      </c>
      <c r="U65" s="5"/>
      <c r="V65" s="13">
        <f>IF(T$12=0,0,T65/T$12)</f>
        <v>0</v>
      </c>
      <c r="W65" s="5"/>
      <c r="X65" s="5">
        <f>+P65-T65</f>
        <v>0</v>
      </c>
      <c r="Y65" s="5"/>
      <c r="Z65" s="13">
        <f>IF(T65=0,0,X65/T65)</f>
        <v>0</v>
      </c>
    </row>
    <row r="66" spans="1:26" ht="15" customHeight="1" x14ac:dyDescent="0.3">
      <c r="A66" s="10"/>
      <c r="B66" s="11"/>
      <c r="C66" s="11"/>
      <c r="D66" s="4"/>
      <c r="E66" s="4"/>
      <c r="F66" s="9"/>
      <c r="G66" s="4"/>
      <c r="H66" s="4"/>
      <c r="I66" s="4"/>
      <c r="J66" s="9"/>
      <c r="K66" s="4"/>
      <c r="L66" s="4"/>
      <c r="M66" s="4"/>
      <c r="N66" s="9"/>
      <c r="O66" s="11"/>
      <c r="P66" s="4"/>
      <c r="Q66" s="4"/>
      <c r="R66" s="9"/>
      <c r="S66" s="4"/>
      <c r="T66" s="4"/>
      <c r="U66" s="4"/>
      <c r="V66" s="9"/>
      <c r="W66" s="4"/>
      <c r="X66" s="4"/>
      <c r="Y66" s="4"/>
      <c r="Z66" s="9"/>
    </row>
    <row r="67" spans="1:26" s="63" customFormat="1" ht="15" customHeight="1" x14ac:dyDescent="0.3">
      <c r="A67" s="11"/>
      <c r="B67" s="27" t="s">
        <v>292</v>
      </c>
      <c r="C67" s="27"/>
      <c r="D67" s="21">
        <f>+D16-D18+D65</f>
        <v>-33133.78</v>
      </c>
      <c r="E67" s="15"/>
      <c r="F67" s="23">
        <f>IF(D$12=0,0,D67/D$12)</f>
        <v>0</v>
      </c>
      <c r="G67" s="15"/>
      <c r="H67" s="21">
        <f>+H16-H18+H65</f>
        <v>-46202.666047384599</v>
      </c>
      <c r="I67" s="15"/>
      <c r="J67" s="23">
        <f>IF(H$12=0,0,H67/H$12)</f>
        <v>0</v>
      </c>
      <c r="K67" s="16"/>
      <c r="L67" s="21">
        <f>+D67-H67</f>
        <v>13068.8860473846</v>
      </c>
      <c r="M67" s="16"/>
      <c r="N67" s="23">
        <f>IF(H67=0,0,L67/H67)</f>
        <v>-0.28285999846808391</v>
      </c>
      <c r="O67" s="28"/>
      <c r="P67" s="21">
        <f>+P16-P18+P65</f>
        <v>-409064.62000000011</v>
      </c>
      <c r="Q67" s="15"/>
      <c r="R67" s="23">
        <f>IF(P$12=0,0,P67/P$12)</f>
        <v>0</v>
      </c>
      <c r="S67" s="15"/>
      <c r="T67" s="21">
        <f>+T16-T18+T65</f>
        <v>-454539.24396200001</v>
      </c>
      <c r="U67" s="15"/>
      <c r="V67" s="23">
        <f>IF(T$12=0,0,T67/T$12)</f>
        <v>0</v>
      </c>
      <c r="W67" s="16"/>
      <c r="X67" s="21">
        <f>+P67-T67</f>
        <v>45474.623961999896</v>
      </c>
      <c r="Y67" s="16"/>
      <c r="Z67" s="23">
        <f>IF(T67=0,0,X67/T67)</f>
        <v>-0.10004553966698115</v>
      </c>
    </row>
    <row r="68" spans="1:26" ht="15" customHeight="1" x14ac:dyDescent="0.3">
      <c r="A68" s="10"/>
      <c r="B68" s="11"/>
      <c r="C68" s="10"/>
      <c r="D68" s="4"/>
      <c r="E68" s="4"/>
      <c r="F68" s="9"/>
      <c r="G68" s="4"/>
      <c r="H68" s="4"/>
      <c r="I68" s="4"/>
      <c r="J68" s="9"/>
      <c r="K68" s="4"/>
      <c r="L68" s="4"/>
      <c r="M68" s="4"/>
      <c r="N68" s="9"/>
      <c r="P68" s="4"/>
      <c r="Q68" s="4"/>
      <c r="R68" s="9"/>
      <c r="S68" s="4"/>
      <c r="T68" s="4"/>
      <c r="U68" s="4"/>
      <c r="V68" s="9"/>
      <c r="W68" s="4"/>
      <c r="X68" s="4"/>
      <c r="Y68" s="4"/>
      <c r="Z68" s="9"/>
    </row>
    <row r="69" spans="1:26" s="63" customFormat="1" ht="15" customHeight="1" x14ac:dyDescent="0.3">
      <c r="A69" s="49"/>
      <c r="B69" s="11" t="s">
        <v>293</v>
      </c>
      <c r="C69" s="11"/>
      <c r="D69" s="5"/>
      <c r="E69" s="5"/>
      <c r="F69" s="13">
        <f>IF(D$12=0,0,D69/D$12)</f>
        <v>0</v>
      </c>
      <c r="G69" s="5"/>
      <c r="H69" s="5"/>
      <c r="I69" s="5"/>
      <c r="J69" s="13">
        <f>IF(H$12=0,0,H69/H$12)</f>
        <v>0</v>
      </c>
      <c r="K69" s="5"/>
      <c r="L69" s="5">
        <f>+D69-H69</f>
        <v>0</v>
      </c>
      <c r="M69" s="5"/>
      <c r="N69" s="13">
        <f>IF(H69=0,0,L69/H69)</f>
        <v>0</v>
      </c>
      <c r="O69" s="11"/>
      <c r="P69" s="5"/>
      <c r="Q69" s="5"/>
      <c r="R69" s="13">
        <f>IF(P$12=0,0,P69/P$12)</f>
        <v>0</v>
      </c>
      <c r="S69" s="5"/>
      <c r="T69" s="5"/>
      <c r="U69" s="5"/>
      <c r="V69" s="13">
        <f>IF(T$12=0,0,T69/T$12)</f>
        <v>0</v>
      </c>
      <c r="W69" s="5"/>
      <c r="X69" s="5">
        <f>+P69-T69</f>
        <v>0</v>
      </c>
      <c r="Y69" s="5"/>
      <c r="Z69" s="13">
        <f>IF(T69=0,0,X69/T69)</f>
        <v>0</v>
      </c>
    </row>
    <row r="70" spans="1:26" ht="15" customHeight="1" x14ac:dyDescent="0.3">
      <c r="A70" s="10"/>
      <c r="B70" s="11"/>
      <c r="C70" s="11"/>
      <c r="D70" s="4"/>
      <c r="E70" s="4"/>
      <c r="F70" s="9"/>
      <c r="G70" s="4"/>
      <c r="H70" s="4"/>
      <c r="I70" s="4"/>
      <c r="J70" s="9"/>
      <c r="K70" s="4"/>
      <c r="L70" s="4"/>
      <c r="M70" s="4"/>
      <c r="N70" s="9"/>
      <c r="O70" s="11"/>
      <c r="P70" s="4"/>
      <c r="Q70" s="4"/>
      <c r="R70" s="9"/>
      <c r="S70" s="4"/>
      <c r="T70" s="4"/>
      <c r="U70" s="4"/>
      <c r="V70" s="9"/>
      <c r="W70" s="4"/>
      <c r="X70" s="4"/>
      <c r="Y70" s="4"/>
      <c r="Z70" s="9"/>
    </row>
    <row r="71" spans="1:26" s="63" customFormat="1" ht="15" customHeight="1" x14ac:dyDescent="0.3">
      <c r="A71" s="11"/>
      <c r="B71" s="27" t="s">
        <v>294</v>
      </c>
      <c r="C71" s="27"/>
      <c r="D71" s="34">
        <f>+D67-D69</f>
        <v>-33133.78</v>
      </c>
      <c r="E71" s="15"/>
      <c r="F71" s="29">
        <f>IF(D$12=0,0,D71/D$12)</f>
        <v>0</v>
      </c>
      <c r="G71" s="15"/>
      <c r="H71" s="34">
        <f>+H67-H69</f>
        <v>-46202.666047384599</v>
      </c>
      <c r="I71" s="15"/>
      <c r="J71" s="29">
        <f>IF(H$12=0,0,H71/H$12)</f>
        <v>0</v>
      </c>
      <c r="K71" s="16"/>
      <c r="L71" s="34">
        <f>D71-H71</f>
        <v>13068.8860473846</v>
      </c>
      <c r="M71" s="16"/>
      <c r="N71" s="29">
        <f>IF(H71=0,0,L71/H71)</f>
        <v>-0.28285999846808391</v>
      </c>
      <c r="O71" s="28"/>
      <c r="P71" s="34">
        <f>+P67-P69</f>
        <v>-409064.62000000011</v>
      </c>
      <c r="Q71" s="15"/>
      <c r="R71" s="29">
        <f>IF(P$12=0,0,P71/P$12)</f>
        <v>0</v>
      </c>
      <c r="S71" s="15"/>
      <c r="T71" s="34">
        <f>+T67-T69</f>
        <v>-454539.24396200001</v>
      </c>
      <c r="U71" s="15"/>
      <c r="V71" s="29">
        <f>IF(T$12=0,0,T71/T$12)</f>
        <v>0</v>
      </c>
      <c r="W71" s="16"/>
      <c r="X71" s="34">
        <f>P71-T71</f>
        <v>45474.623961999896</v>
      </c>
      <c r="Y71" s="16"/>
      <c r="Z71" s="29">
        <f>IF(T71=0,0,X71/T71)</f>
        <v>-0.10004553966698115</v>
      </c>
    </row>
    <row r="72" spans="1:26" ht="15" customHeight="1" x14ac:dyDescent="0.3">
      <c r="A72" s="10"/>
      <c r="B72" s="10"/>
      <c r="C72" s="10"/>
      <c r="D72" s="4"/>
      <c r="E72" s="4"/>
      <c r="F72" s="9"/>
      <c r="G72" s="4"/>
      <c r="H72" s="4"/>
      <c r="I72" s="4"/>
      <c r="J72" s="9"/>
      <c r="K72" s="4"/>
      <c r="L72" s="4"/>
      <c r="M72" s="4"/>
      <c r="N72" s="9"/>
      <c r="P72" s="4"/>
      <c r="Q72" s="4"/>
      <c r="R72" s="9"/>
      <c r="S72" s="4"/>
      <c r="T72" s="4"/>
      <c r="U72" s="4"/>
      <c r="V72" s="9"/>
      <c r="W72" s="4"/>
      <c r="X72" s="4"/>
      <c r="Y72" s="4"/>
      <c r="Z72" s="9"/>
    </row>
    <row r="73" spans="1:26" ht="15" customHeight="1" x14ac:dyDescent="0.3">
      <c r="A73" s="10"/>
      <c r="B73" s="10"/>
      <c r="C73" s="10"/>
      <c r="D73" s="4"/>
      <c r="E73" s="4"/>
      <c r="F73" s="9"/>
      <c r="G73" s="4"/>
      <c r="H73" s="4"/>
      <c r="I73" s="4"/>
      <c r="J73" s="9"/>
      <c r="K73" s="4"/>
      <c r="L73" s="4"/>
      <c r="M73" s="4"/>
      <c r="N73" s="9"/>
      <c r="P73" s="4"/>
      <c r="Q73" s="4"/>
      <c r="R73" s="9"/>
      <c r="S73" s="4"/>
      <c r="T73" s="4"/>
      <c r="U73" s="4"/>
      <c r="V73" s="9"/>
      <c r="W73" s="4"/>
      <c r="X73" s="4"/>
      <c r="Y73" s="4"/>
      <c r="Z73" s="9"/>
    </row>
    <row r="74" spans="1:26" s="63" customFormat="1" ht="15" customHeight="1" x14ac:dyDescent="0.3">
      <c r="A74" s="11"/>
      <c r="B74" s="27" t="s">
        <v>297</v>
      </c>
      <c r="C74" s="27"/>
      <c r="D74" s="32">
        <f>SUM(D71:D73)</f>
        <v>-33133.78</v>
      </c>
      <c r="E74" s="15"/>
      <c r="F74" s="31">
        <f>IF(D$12=0,0,D74/D$12)</f>
        <v>0</v>
      </c>
      <c r="G74" s="15"/>
      <c r="H74" s="32">
        <f>SUM(H71:H73)</f>
        <v>-46202.666047384599</v>
      </c>
      <c r="I74" s="15"/>
      <c r="J74" s="31">
        <f>IF(H$12=0,0,H74/H$12)</f>
        <v>0</v>
      </c>
      <c r="K74" s="16"/>
      <c r="L74" s="32">
        <f>+D74-H74</f>
        <v>13068.8860473846</v>
      </c>
      <c r="M74" s="16"/>
      <c r="N74" s="31">
        <f>IF(H74=0,0,L74/H74)</f>
        <v>-0.28285999846808391</v>
      </c>
      <c r="O74" s="28"/>
      <c r="P74" s="32">
        <f>SUM(P71:P73)</f>
        <v>-409064.62000000011</v>
      </c>
      <c r="Q74" s="15"/>
      <c r="R74" s="31">
        <f>IF(P$12=0,0,P74/P$12)</f>
        <v>0</v>
      </c>
      <c r="S74" s="15"/>
      <c r="T74" s="32">
        <f>SUM(T71:T73)</f>
        <v>-454539.24396200001</v>
      </c>
      <c r="U74" s="15"/>
      <c r="V74" s="31">
        <f>IF(T$12=0,0,T74/T$12)</f>
        <v>0</v>
      </c>
      <c r="W74" s="16"/>
      <c r="X74" s="32">
        <f>+P74-T74</f>
        <v>45474.623961999896</v>
      </c>
      <c r="Y74" s="16"/>
      <c r="Z74" s="31">
        <f>IF(T74=0,0,X74/T74)</f>
        <v>-0.10004553966698115</v>
      </c>
    </row>
    <row r="75" spans="1:26" ht="15" customHeight="1" x14ac:dyDescent="0.3">
      <c r="A75" s="10"/>
      <c r="C75" s="10"/>
      <c r="D75" s="19"/>
      <c r="E75" s="19"/>
      <c r="G75" s="19"/>
      <c r="H75" s="19"/>
      <c r="I75" s="19"/>
      <c r="J75" s="40"/>
      <c r="K75" s="19"/>
      <c r="L75" s="19"/>
      <c r="M75" s="19"/>
      <c r="P75" s="19"/>
      <c r="Q75" s="19"/>
      <c r="R75" s="40"/>
      <c r="S75" s="19"/>
      <c r="T75" s="19"/>
      <c r="U75" s="19"/>
      <c r="V75" s="40"/>
      <c r="W75" s="19"/>
      <c r="X75" s="19"/>
    </row>
    <row r="76" spans="1:26" ht="15" customHeight="1" x14ac:dyDescent="0.3">
      <c r="A76" s="10"/>
      <c r="B76" s="51">
        <v>44663.047665428239</v>
      </c>
      <c r="D76" s="19"/>
      <c r="E76" s="19"/>
      <c r="G76" s="19"/>
      <c r="H76" s="19"/>
      <c r="I76" s="19"/>
      <c r="J76" s="40"/>
      <c r="K76" s="19"/>
      <c r="L76" s="19"/>
      <c r="M76" s="19"/>
      <c r="P76" s="19"/>
      <c r="Q76" s="19"/>
      <c r="R76" s="40"/>
      <c r="S76" s="19"/>
      <c r="T76" s="19"/>
      <c r="U76" s="19"/>
      <c r="V76" s="40"/>
      <c r="W76" s="19"/>
      <c r="X76" s="19"/>
    </row>
    <row r="77" spans="1:26" ht="15" customHeight="1" x14ac:dyDescent="0.3">
      <c r="A77" s="10"/>
      <c r="B77" s="58" t="s">
        <v>298</v>
      </c>
      <c r="D77" s="19"/>
      <c r="E77" s="19"/>
      <c r="G77" s="19"/>
      <c r="H77" s="19"/>
      <c r="I77" s="19"/>
      <c r="J77" s="40"/>
      <c r="K77" s="19"/>
      <c r="L77" s="19"/>
      <c r="M77" s="19"/>
      <c r="P77" s="19"/>
      <c r="Q77" s="19"/>
      <c r="R77" s="40"/>
      <c r="S77" s="19"/>
      <c r="T77" s="19"/>
      <c r="U77" s="19"/>
      <c r="V77" s="40"/>
      <c r="W77" s="19"/>
      <c r="X77" s="19"/>
    </row>
    <row r="78" spans="1:26" ht="15" customHeight="1" x14ac:dyDescent="0.3">
      <c r="A78" s="10"/>
      <c r="B78" s="50"/>
      <c r="D78" s="19"/>
      <c r="E78" s="19"/>
      <c r="G78" s="19"/>
      <c r="H78" s="19"/>
      <c r="I78" s="19"/>
      <c r="J78" s="40"/>
      <c r="K78" s="19"/>
      <c r="L78" s="19"/>
      <c r="M78" s="19"/>
      <c r="P78" s="19"/>
      <c r="Q78" s="19"/>
      <c r="R78" s="40"/>
      <c r="S78" s="19"/>
      <c r="T78" s="19"/>
      <c r="U78" s="19"/>
      <c r="V78" s="40"/>
      <c r="W78" s="19"/>
      <c r="X78" s="19"/>
    </row>
    <row r="79" spans="1:26" ht="15" customHeight="1" x14ac:dyDescent="0.3">
      <c r="D79" s="19"/>
      <c r="E79" s="19"/>
      <c r="G79" s="19"/>
      <c r="H79" s="19"/>
      <c r="I79" s="19"/>
      <c r="J79" s="40"/>
      <c r="K79" s="19"/>
      <c r="L79" s="19"/>
      <c r="M79" s="19"/>
      <c r="P79" s="19"/>
      <c r="Q79" s="19"/>
      <c r="R79" s="40"/>
      <c r="S79" s="19"/>
      <c r="T79" s="19"/>
      <c r="U79" s="19"/>
      <c r="V79" s="40"/>
      <c r="W79" s="19"/>
      <c r="X79" s="19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287A83-2544-CF05-EBF3-0E5896E5A2DA}">
  <sheetPr>
    <tabColor rgb="FF92D050"/>
    <outlinePr summaryBelow="0" summaryRight="0"/>
  </sheetPr>
  <dimension ref="A2:Z70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6" customWidth="1"/>
    <col min="2" max="2" width="33.44140625" style="66" customWidth="1"/>
    <col min="3" max="3" width="1.88671875" style="66" customWidth="1"/>
    <col min="4" max="4" width="15" style="66" customWidth="1"/>
    <col min="5" max="5" width="1.88671875" style="66" customWidth="1" outlineLevel="1"/>
    <col min="6" max="6" width="15" style="67" customWidth="1" outlineLevel="1"/>
    <col min="7" max="7" width="1.88671875" style="66" customWidth="1" outlineLevel="1"/>
    <col min="8" max="8" width="15" style="66" customWidth="1" outlineLevel="1"/>
    <col min="9" max="9" width="1.88671875" style="66" customWidth="1" outlineLevel="1"/>
    <col min="10" max="10" width="15" style="68" customWidth="1" outlineLevel="1"/>
    <col min="11" max="11" width="1.88671875" style="66" customWidth="1" outlineLevel="1"/>
    <col min="12" max="12" width="15" style="66" customWidth="1" outlineLevel="1"/>
    <col min="13" max="13" width="1.88671875" style="66" customWidth="1" outlineLevel="1"/>
    <col min="14" max="14" width="15" style="67" customWidth="1" outlineLevel="1"/>
    <col min="15" max="15" width="1.88671875" style="64" customWidth="1"/>
    <col min="16" max="16" width="15" style="66" customWidth="1"/>
    <col min="17" max="17" width="1.88671875" style="66" customWidth="1" outlineLevel="1"/>
    <col min="18" max="18" width="15" style="68" customWidth="1" outlineLevel="1"/>
    <col min="19" max="19" width="1.88671875" style="66" customWidth="1" outlineLevel="1"/>
    <col min="20" max="20" width="15" style="66" customWidth="1" outlineLevel="1"/>
    <col min="21" max="21" width="1.88671875" style="66" customWidth="1" outlineLevel="1"/>
    <col min="22" max="22" width="15" style="68" customWidth="1" outlineLevel="1"/>
    <col min="23" max="23" width="1.88671875" style="66" customWidth="1" outlineLevel="1"/>
    <col min="24" max="24" width="15" style="66" customWidth="1" outlineLevel="1"/>
    <col min="25" max="25" width="1.88671875" style="66" customWidth="1" outlineLevel="1"/>
    <col min="26" max="26" width="15" style="68" customWidth="1" outlineLevel="1"/>
  </cols>
  <sheetData>
    <row r="2" spans="1:26" ht="15" customHeight="1" x14ac:dyDescent="0.3">
      <c r="D2" s="54" t="s">
        <v>276</v>
      </c>
    </row>
    <row r="3" spans="1:26" ht="15" customHeight="1" x14ac:dyDescent="0.3">
      <c r="D3" s="54" t="s">
        <v>277</v>
      </c>
      <c r="E3" s="18"/>
      <c r="F3" s="44"/>
      <c r="G3" s="18"/>
      <c r="H3" s="18"/>
      <c r="I3" s="18"/>
      <c r="J3" s="38"/>
      <c r="K3" s="18"/>
      <c r="L3" s="18"/>
      <c r="M3" s="18"/>
      <c r="N3" s="44"/>
      <c r="O3" s="53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ht="15" customHeight="1" x14ac:dyDescent="0.3">
      <c r="D4" s="54" t="str">
        <f>CONCATENATE("Period ",RIGHT(202209,2),", ",2022)</f>
        <v>Period 09, 2022</v>
      </c>
      <c r="E4" s="18"/>
      <c r="F4" s="44"/>
      <c r="G4" s="18"/>
      <c r="H4" s="18"/>
      <c r="I4" s="18"/>
      <c r="J4" s="38"/>
      <c r="K4" s="18"/>
      <c r="L4" s="18"/>
      <c r="M4" s="18"/>
      <c r="N4" s="44"/>
      <c r="O4" s="53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ht="15" customHeight="1" x14ac:dyDescent="0.3">
      <c r="A5" s="24"/>
      <c r="D5" s="60">
        <v>44646</v>
      </c>
      <c r="E5" s="18"/>
      <c r="F5" s="44"/>
      <c r="G5" s="18"/>
      <c r="H5" s="18"/>
      <c r="I5" s="18"/>
      <c r="J5" s="38"/>
      <c r="K5" s="18"/>
      <c r="L5" s="18"/>
      <c r="M5" s="18"/>
      <c r="N5" s="44"/>
      <c r="O5" s="53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ht="15" customHeight="1" x14ac:dyDescent="0.3">
      <c r="A6" s="24"/>
      <c r="B6" s="47"/>
      <c r="C6" s="47"/>
      <c r="D6" s="24" t="str">
        <f>CONCATENATE("Department ","205"," - ","Maintenance")</f>
        <v>Department 205 - Maintenance</v>
      </c>
      <c r="E6" s="18"/>
      <c r="F6" s="44"/>
      <c r="G6" s="18"/>
      <c r="H6" s="18"/>
      <c r="I6" s="18"/>
      <c r="J6" s="38"/>
      <c r="K6" s="18"/>
      <c r="L6" s="18"/>
      <c r="M6" s="18"/>
      <c r="N6" s="44"/>
      <c r="O6" s="59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ht="15" customHeight="1" x14ac:dyDescent="0.3">
      <c r="B7" s="52"/>
    </row>
    <row r="8" spans="1:26" ht="15" customHeight="1" x14ac:dyDescent="0.3">
      <c r="B8" s="52"/>
    </row>
    <row r="9" spans="1:26" ht="15" customHeight="1" x14ac:dyDescent="0.3">
      <c r="B9" s="10"/>
      <c r="C9" s="10"/>
      <c r="D9" s="17" t="s">
        <v>279</v>
      </c>
      <c r="E9" s="17"/>
      <c r="F9" s="36"/>
      <c r="G9" s="17"/>
      <c r="H9" s="17"/>
      <c r="I9" s="17"/>
      <c r="J9" s="43"/>
      <c r="K9" s="17"/>
      <c r="L9" s="17"/>
      <c r="M9" s="17"/>
      <c r="N9" s="36"/>
      <c r="P9" s="17" t="s">
        <v>280</v>
      </c>
      <c r="Q9" s="17"/>
      <c r="R9" s="36"/>
      <c r="S9" s="17"/>
      <c r="T9" s="17"/>
      <c r="U9" s="17"/>
      <c r="V9" s="43"/>
      <c r="W9" s="17"/>
      <c r="X9" s="17"/>
      <c r="Y9" s="17"/>
      <c r="Z9" s="36"/>
    </row>
    <row r="10" spans="1:26" ht="15" customHeight="1" x14ac:dyDescent="0.3">
      <c r="A10" s="11"/>
      <c r="B10" s="57"/>
      <c r="C10" s="11"/>
      <c r="D10" s="41" t="s">
        <v>281</v>
      </c>
      <c r="E10" s="33"/>
      <c r="F10" s="37" t="s">
        <v>282</v>
      </c>
      <c r="G10" s="33"/>
      <c r="H10" s="48" t="s">
        <v>283</v>
      </c>
      <c r="I10" s="33"/>
      <c r="J10" s="45" t="s">
        <v>284</v>
      </c>
      <c r="K10" s="11"/>
      <c r="L10" s="41" t="s">
        <v>285</v>
      </c>
      <c r="M10" s="11"/>
      <c r="N10" s="37" t="s">
        <v>286</v>
      </c>
      <c r="O10" s="11"/>
      <c r="P10" s="56" t="s">
        <v>281</v>
      </c>
      <c r="Q10" s="33"/>
      <c r="R10" s="37" t="s">
        <v>282</v>
      </c>
      <c r="S10" s="33"/>
      <c r="T10" s="48" t="s">
        <v>283</v>
      </c>
      <c r="U10" s="33"/>
      <c r="V10" s="45" t="s">
        <v>284</v>
      </c>
      <c r="W10" s="11"/>
      <c r="X10" s="41" t="s">
        <v>285</v>
      </c>
      <c r="Y10" s="11"/>
      <c r="Z10" s="37" t="s">
        <v>286</v>
      </c>
    </row>
    <row r="11" spans="1:26" ht="16.5" customHeight="1" x14ac:dyDescent="0.3">
      <c r="A11" s="10"/>
      <c r="B11" s="55"/>
      <c r="C11" s="10"/>
      <c r="D11" s="10"/>
      <c r="E11" s="10"/>
      <c r="F11" s="9"/>
      <c r="G11" s="10"/>
      <c r="H11" s="10"/>
      <c r="I11" s="10"/>
      <c r="J11" s="46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6"/>
      <c r="W11" s="10"/>
      <c r="X11" s="10"/>
      <c r="Y11" s="10"/>
      <c r="Z11" s="9"/>
    </row>
    <row r="12" spans="1:26" s="63" customFormat="1" ht="15" customHeight="1" x14ac:dyDescent="0.3">
      <c r="A12" s="11"/>
      <c r="B12" s="28" t="s">
        <v>287</v>
      </c>
      <c r="C12" s="11"/>
      <c r="D12" s="5">
        <f>SUM(0)</f>
        <v>0</v>
      </c>
      <c r="E12" s="5"/>
      <c r="F12" s="13"/>
      <c r="G12" s="5"/>
      <c r="H12" s="5">
        <f>SUM(0)</f>
        <v>0</v>
      </c>
      <c r="I12" s="5"/>
      <c r="J12" s="13"/>
      <c r="K12" s="5"/>
      <c r="L12" s="5">
        <f>+D12-H12</f>
        <v>0</v>
      </c>
      <c r="M12" s="5"/>
      <c r="N12" s="13">
        <f>IF(H12=0,0,L12/H12)</f>
        <v>0</v>
      </c>
      <c r="O12" s="11"/>
      <c r="P12" s="5">
        <f>SUM(0)</f>
        <v>0</v>
      </c>
      <c r="Q12" s="5"/>
      <c r="R12" s="13"/>
      <c r="S12" s="5"/>
      <c r="T12" s="5">
        <f>SUM(0)</f>
        <v>0</v>
      </c>
      <c r="U12" s="5"/>
      <c r="V12" s="13"/>
      <c r="W12" s="5"/>
      <c r="X12" s="5">
        <f>+P12-T12</f>
        <v>0</v>
      </c>
      <c r="Y12" s="5"/>
      <c r="Z12" s="13">
        <f>IF(T12=0,0,X12/T12)</f>
        <v>0</v>
      </c>
    </row>
    <row r="13" spans="1:26" ht="15" customHeight="1" x14ac:dyDescent="0.3">
      <c r="A13" s="10"/>
      <c r="B13" s="11"/>
      <c r="C13" s="10"/>
      <c r="D13" s="4"/>
      <c r="E13" s="4"/>
      <c r="F13" s="9"/>
      <c r="G13" s="4"/>
      <c r="H13" s="4"/>
      <c r="I13" s="4"/>
      <c r="J13" s="9"/>
      <c r="K13" s="4"/>
      <c r="L13" s="4"/>
      <c r="M13" s="4"/>
      <c r="N13" s="9"/>
      <c r="P13" s="4"/>
      <c r="Q13" s="4"/>
      <c r="R13" s="9"/>
      <c r="S13" s="4"/>
      <c r="T13" s="4"/>
      <c r="U13" s="4"/>
      <c r="V13" s="9"/>
      <c r="W13" s="4"/>
      <c r="X13" s="4"/>
      <c r="Y13" s="4"/>
      <c r="Z13" s="9"/>
    </row>
    <row r="14" spans="1:26" s="63" customFormat="1" ht="15" customHeight="1" x14ac:dyDescent="0.3">
      <c r="A14" s="11"/>
      <c r="B14" s="28" t="s">
        <v>288</v>
      </c>
      <c r="C14" s="11"/>
      <c r="D14" s="5">
        <f>SUM(0)</f>
        <v>0</v>
      </c>
      <c r="E14" s="5"/>
      <c r="F14" s="13">
        <f>IF(D$12=0,0,D14/D$12)</f>
        <v>0</v>
      </c>
      <c r="G14" s="5"/>
      <c r="H14" s="5">
        <f>SUM(0)</f>
        <v>0</v>
      </c>
      <c r="I14" s="5"/>
      <c r="J14" s="13">
        <f>IF(H$12=0,0,H14/H$12)</f>
        <v>0</v>
      </c>
      <c r="K14" s="5"/>
      <c r="L14" s="5">
        <f>+D14-H14</f>
        <v>0</v>
      </c>
      <c r="M14" s="5"/>
      <c r="N14" s="13">
        <f>IF(H14=0,0,L14/H14)</f>
        <v>0</v>
      </c>
      <c r="O14" s="11"/>
      <c r="P14" s="5">
        <f>SUM(0)</f>
        <v>0</v>
      </c>
      <c r="Q14" s="5"/>
      <c r="R14" s="13">
        <f>IF(P$12=0,0,P14/P$12)</f>
        <v>0</v>
      </c>
      <c r="S14" s="5"/>
      <c r="T14" s="5">
        <f>SUM(0)</f>
        <v>0</v>
      </c>
      <c r="U14" s="5"/>
      <c r="V14" s="13">
        <f>IF(T$12=0,0,T14/T$12)</f>
        <v>0</v>
      </c>
      <c r="W14" s="5"/>
      <c r="X14" s="5">
        <f>+P14-T14</f>
        <v>0</v>
      </c>
      <c r="Y14" s="5"/>
      <c r="Z14" s="13">
        <f>IF(T14=0,0,X14/T14)</f>
        <v>0</v>
      </c>
    </row>
    <row r="15" spans="1:26" ht="15" customHeight="1" x14ac:dyDescent="0.3">
      <c r="A15" s="10"/>
      <c r="B15" s="11"/>
      <c r="C15" s="11"/>
      <c r="D15" s="4"/>
      <c r="E15" s="4"/>
      <c r="F15" s="9"/>
      <c r="G15" s="4"/>
      <c r="H15" s="4"/>
      <c r="I15" s="4"/>
      <c r="J15" s="9"/>
      <c r="K15" s="4"/>
      <c r="L15" s="4"/>
      <c r="M15" s="4"/>
      <c r="N15" s="9"/>
      <c r="O15" s="11"/>
      <c r="P15" s="4"/>
      <c r="Q15" s="4"/>
      <c r="R15" s="9"/>
      <c r="S15" s="4"/>
      <c r="T15" s="4"/>
      <c r="U15" s="4"/>
      <c r="V15" s="9"/>
      <c r="W15" s="4"/>
      <c r="X15" s="4"/>
      <c r="Y15" s="4"/>
      <c r="Z15" s="9"/>
    </row>
    <row r="16" spans="1:26" s="63" customFormat="1" ht="15" customHeight="1" x14ac:dyDescent="0.3">
      <c r="A16" s="11"/>
      <c r="B16" s="27" t="s">
        <v>289</v>
      </c>
      <c r="C16" s="27"/>
      <c r="D16" s="21">
        <f>D12-D14</f>
        <v>0</v>
      </c>
      <c r="E16" s="15"/>
      <c r="F16" s="23">
        <f>IF(D$12=0,0,D16/D$12)</f>
        <v>0</v>
      </c>
      <c r="G16" s="15"/>
      <c r="H16" s="21">
        <f>H12-H14</f>
        <v>0</v>
      </c>
      <c r="I16" s="15"/>
      <c r="J16" s="23">
        <f>IF(H$12=0,0,H16/H$12)</f>
        <v>0</v>
      </c>
      <c r="K16" s="16"/>
      <c r="L16" s="21">
        <f>+D16-H16</f>
        <v>0</v>
      </c>
      <c r="M16" s="16"/>
      <c r="N16" s="23">
        <f>IF(H16=0,0,L16/H16)</f>
        <v>0</v>
      </c>
      <c r="O16" s="28"/>
      <c r="P16" s="21">
        <f>P12-P14</f>
        <v>0</v>
      </c>
      <c r="Q16" s="15"/>
      <c r="R16" s="23">
        <f>IF(P$12=0,0,P16/P$12)</f>
        <v>0</v>
      </c>
      <c r="S16" s="15"/>
      <c r="T16" s="21">
        <f>T12-T14</f>
        <v>0</v>
      </c>
      <c r="U16" s="15"/>
      <c r="V16" s="23">
        <f>IF(T$12=0,0,T16/T$12)</f>
        <v>0</v>
      </c>
      <c r="W16" s="16"/>
      <c r="X16" s="21">
        <f>+P16-T16</f>
        <v>0</v>
      </c>
      <c r="Y16" s="16"/>
      <c r="Z16" s="23">
        <f>IF(T16=0,0,X16/T16)</f>
        <v>0</v>
      </c>
    </row>
    <row r="17" spans="1:26" ht="15" customHeight="1" x14ac:dyDescent="0.3">
      <c r="A17" s="10"/>
      <c r="B17" s="11"/>
      <c r="C17" s="10"/>
      <c r="D17" s="2"/>
      <c r="E17" s="2"/>
      <c r="F17" s="6"/>
      <c r="G17" s="2"/>
      <c r="H17" s="2"/>
      <c r="I17" s="2"/>
      <c r="J17" s="6"/>
      <c r="K17" s="2"/>
      <c r="L17" s="2"/>
      <c r="M17" s="2"/>
      <c r="N17" s="6"/>
      <c r="O17" s="35"/>
      <c r="P17" s="2"/>
      <c r="Q17" s="2"/>
      <c r="R17" s="6"/>
      <c r="S17" s="2"/>
      <c r="T17" s="2"/>
      <c r="U17" s="2"/>
      <c r="V17" s="6"/>
      <c r="W17" s="2"/>
      <c r="X17" s="2"/>
      <c r="Y17" s="2"/>
      <c r="Z17" s="6"/>
    </row>
    <row r="18" spans="1:26" s="63" customFormat="1" ht="15" customHeight="1" x14ac:dyDescent="0.3">
      <c r="A18" s="11"/>
      <c r="B18" s="28" t="s">
        <v>290</v>
      </c>
      <c r="C18" s="11"/>
      <c r="D18" s="22" cm="1">
        <f t="array" ref="D18">SUM(OSRRefD22x_0)</f>
        <v>7088.09</v>
      </c>
      <c r="E18" s="22"/>
      <c r="F18" s="30">
        <f t="shared" ref="F18:F54" si="0">IF(D$12=0,0,D18/D$12)</f>
        <v>0</v>
      </c>
      <c r="G18" s="22"/>
      <c r="H18" s="22" cm="1">
        <f t="array" ref="H18">SUM(OSRRefH22x_0)</f>
        <v>7437.9665799999993</v>
      </c>
      <c r="I18" s="22"/>
      <c r="J18" s="30">
        <f t="shared" ref="J18:J54" si="1">IF(H$12=0,0,H18/H$12)</f>
        <v>0</v>
      </c>
      <c r="K18" s="5"/>
      <c r="L18" s="22">
        <f t="shared" ref="L18:L54" si="2">+D18-H18</f>
        <v>-349.87657999999919</v>
      </c>
      <c r="M18" s="5"/>
      <c r="N18" s="30">
        <f t="shared" ref="N18:N54" si="3">IF(H18=0,0,L18/H18)</f>
        <v>-4.7039278307701028E-2</v>
      </c>
      <c r="O18" s="11"/>
      <c r="P18" s="22" cm="1">
        <f t="array" ref="P18">SUM(OSRRefP22x_0)</f>
        <v>73552.34</v>
      </c>
      <c r="Q18" s="22"/>
      <c r="R18" s="30">
        <f t="shared" ref="R18:R54" si="4">IF(P$12=0,0,P18/P$12)</f>
        <v>0</v>
      </c>
      <c r="S18" s="22"/>
      <c r="T18" s="22" cm="1">
        <f t="array" ref="T18">SUM(OSRRefT22x_0)</f>
        <v>75418.924155000001</v>
      </c>
      <c r="U18" s="22"/>
      <c r="V18" s="30">
        <f t="shared" ref="V18:V54" si="5">IF(T$12=0,0,T18/T$12)</f>
        <v>0</v>
      </c>
      <c r="W18" s="5"/>
      <c r="X18" s="22">
        <f t="shared" ref="X18:X54" si="6">+P18-T18</f>
        <v>-1866.5841550000041</v>
      </c>
      <c r="Y18" s="5"/>
      <c r="Z18" s="30">
        <f t="shared" ref="Z18:Z54" si="7">IF(T18=0,0,X18/T18)</f>
        <v>-2.4749546296415265E-2</v>
      </c>
    </row>
    <row r="19" spans="1:26" s="69" customFormat="1" ht="15" customHeight="1" outlineLevel="1" collapsed="1" x14ac:dyDescent="0.3">
      <c r="A19" s="25"/>
      <c r="B19" s="14" t="str">
        <f>CONCATENATE("     ","*Benefits                                         ")</f>
        <v xml:space="preserve">     *Benefits                                         </v>
      </c>
      <c r="C19" s="14"/>
      <c r="D19" s="2">
        <f>SUM(OSRRefD22_0x_0)</f>
        <v>2549.3799999999997</v>
      </c>
      <c r="E19" s="2"/>
      <c r="F19" s="6">
        <f t="shared" si="0"/>
        <v>0</v>
      </c>
      <c r="G19" s="2"/>
      <c r="H19" s="2">
        <f>SUM(OSRRefH22_0x_0)</f>
        <v>1854.7865799999997</v>
      </c>
      <c r="I19" s="2"/>
      <c r="J19" s="6">
        <f t="shared" si="1"/>
        <v>0</v>
      </c>
      <c r="K19" s="2"/>
      <c r="L19" s="2">
        <f t="shared" si="2"/>
        <v>694.59341999999992</v>
      </c>
      <c r="M19" s="2"/>
      <c r="N19" s="6">
        <f t="shared" si="3"/>
        <v>0.37448697736426367</v>
      </c>
      <c r="O19" s="14"/>
      <c r="P19" s="2">
        <f>SUM(OSRRefP22_0x_0)</f>
        <v>24124.190000000002</v>
      </c>
      <c r="Q19" s="2"/>
      <c r="R19" s="6">
        <f t="shared" si="4"/>
        <v>0</v>
      </c>
      <c r="S19" s="2"/>
      <c r="T19" s="2">
        <f>SUM(OSRRefT22_0x_0)</f>
        <v>17952.919155000003</v>
      </c>
      <c r="U19" s="2"/>
      <c r="V19" s="6">
        <f t="shared" si="5"/>
        <v>0</v>
      </c>
      <c r="W19" s="2"/>
      <c r="X19" s="2">
        <f t="shared" si="6"/>
        <v>6171.2708449999991</v>
      </c>
      <c r="Y19" s="2"/>
      <c r="Z19" s="6">
        <f t="shared" si="7"/>
        <v>0.3437474870643118</v>
      </c>
    </row>
    <row r="20" spans="1:26" s="70" customFormat="1" ht="15" hidden="1" customHeight="1" outlineLevel="2" x14ac:dyDescent="0.3">
      <c r="A20" s="26"/>
      <c r="B20" s="12" t="str">
        <f>CONCATENATE("          ","6111"," - ","F.I.C.A.")</f>
        <v xml:space="preserve">          6111 - F.I.C.A.</v>
      </c>
      <c r="C20" s="12"/>
      <c r="D20" s="7">
        <v>341.44</v>
      </c>
      <c r="E20" s="3"/>
      <c r="F20" s="8">
        <f t="shared" si="0"/>
        <v>0</v>
      </c>
      <c r="G20" s="3"/>
      <c r="H20" s="7">
        <v>331.06878</v>
      </c>
      <c r="I20" s="3"/>
      <c r="J20" s="8">
        <f t="shared" si="1"/>
        <v>0</v>
      </c>
      <c r="K20" s="3"/>
      <c r="L20" s="7">
        <f t="shared" si="2"/>
        <v>10.371219999999994</v>
      </c>
      <c r="M20" s="3"/>
      <c r="N20" s="8">
        <f t="shared" si="3"/>
        <v>3.1326481464063131E-2</v>
      </c>
      <c r="O20" s="12"/>
      <c r="P20" s="7">
        <v>3176.92</v>
      </c>
      <c r="Q20" s="3"/>
      <c r="R20" s="8">
        <f t="shared" si="4"/>
        <v>0</v>
      </c>
      <c r="S20" s="3"/>
      <c r="T20" s="7">
        <v>3227.9206049999998</v>
      </c>
      <c r="U20" s="3"/>
      <c r="V20" s="8">
        <f t="shared" si="5"/>
        <v>0</v>
      </c>
      <c r="W20" s="3"/>
      <c r="X20" s="7">
        <f t="shared" si="6"/>
        <v>-51.000604999999723</v>
      </c>
      <c r="Y20" s="3"/>
      <c r="Z20" s="8">
        <f t="shared" si="7"/>
        <v>-1.5799832536463432E-2</v>
      </c>
    </row>
    <row r="21" spans="1:26" s="70" customFormat="1" ht="15" hidden="1" customHeight="1" outlineLevel="2" x14ac:dyDescent="0.3">
      <c r="A21" s="26"/>
      <c r="B21" s="12" t="str">
        <f>CONCATENATE("          ","6112"," - ","COMPENSATION INSURANCE")</f>
        <v xml:space="preserve">          6112 - COMPENSATION INSURANCE</v>
      </c>
      <c r="C21" s="12"/>
      <c r="D21" s="7">
        <v>246.44</v>
      </c>
      <c r="E21" s="3"/>
      <c r="F21" s="8">
        <f t="shared" si="0"/>
        <v>0</v>
      </c>
      <c r="G21" s="3"/>
      <c r="H21" s="7">
        <v>295.03320000000002</v>
      </c>
      <c r="I21" s="3"/>
      <c r="J21" s="8">
        <f t="shared" si="1"/>
        <v>0</v>
      </c>
      <c r="K21" s="3"/>
      <c r="L21" s="7">
        <f t="shared" si="2"/>
        <v>-48.593200000000024</v>
      </c>
      <c r="M21" s="3"/>
      <c r="N21" s="8">
        <f t="shared" si="3"/>
        <v>-0.16470417566565396</v>
      </c>
      <c r="O21" s="12"/>
      <c r="P21" s="7">
        <v>2286.75</v>
      </c>
      <c r="Q21" s="3"/>
      <c r="R21" s="8">
        <f t="shared" si="4"/>
        <v>0</v>
      </c>
      <c r="S21" s="3"/>
      <c r="T21" s="7">
        <v>2876.5736999999999</v>
      </c>
      <c r="U21" s="3"/>
      <c r="V21" s="8">
        <f t="shared" si="5"/>
        <v>0</v>
      </c>
      <c r="W21" s="3"/>
      <c r="X21" s="7">
        <f t="shared" si="6"/>
        <v>-589.82369999999992</v>
      </c>
      <c r="Y21" s="3"/>
      <c r="Z21" s="8">
        <f t="shared" si="7"/>
        <v>-0.2050438339194994</v>
      </c>
    </row>
    <row r="22" spans="1:26" s="70" customFormat="1" ht="15" hidden="1" customHeight="1" outlineLevel="2" x14ac:dyDescent="0.3">
      <c r="A22" s="26"/>
      <c r="B22" s="12" t="str">
        <f>CONCATENATE("          ","6113"," - ","GROUP INSURANCE")</f>
        <v xml:space="preserve">          6113 - GROUP INSURANCE</v>
      </c>
      <c r="C22" s="12"/>
      <c r="D22" s="7">
        <v>694.36</v>
      </c>
      <c r="E22" s="3"/>
      <c r="F22" s="8">
        <f t="shared" si="0"/>
        <v>0</v>
      </c>
      <c r="G22" s="3"/>
      <c r="H22" s="7">
        <v>612</v>
      </c>
      <c r="I22" s="3"/>
      <c r="J22" s="8">
        <f t="shared" si="1"/>
        <v>0</v>
      </c>
      <c r="K22" s="3"/>
      <c r="L22" s="7">
        <f t="shared" si="2"/>
        <v>82.360000000000014</v>
      </c>
      <c r="M22" s="3"/>
      <c r="N22" s="8">
        <f t="shared" si="3"/>
        <v>0.13457516339869283</v>
      </c>
      <c r="O22" s="12"/>
      <c r="P22" s="7">
        <v>6271.29</v>
      </c>
      <c r="Q22" s="3"/>
      <c r="R22" s="8">
        <f t="shared" si="4"/>
        <v>0</v>
      </c>
      <c r="S22" s="3"/>
      <c r="T22" s="7">
        <v>5967</v>
      </c>
      <c r="U22" s="3"/>
      <c r="V22" s="8">
        <f t="shared" si="5"/>
        <v>0</v>
      </c>
      <c r="W22" s="3"/>
      <c r="X22" s="7">
        <f t="shared" si="6"/>
        <v>304.28999999999996</v>
      </c>
      <c r="Y22" s="3"/>
      <c r="Z22" s="8">
        <f t="shared" si="7"/>
        <v>5.0995475113122163E-2</v>
      </c>
    </row>
    <row r="23" spans="1:26" s="70" customFormat="1" ht="15" hidden="1" customHeight="1" outlineLevel="2" x14ac:dyDescent="0.3">
      <c r="A23" s="26"/>
      <c r="B23" s="12" t="str">
        <f>CONCATENATE("          ","6114"," - ","STATE UNEMPLOYMENT INSURANCE")</f>
        <v xml:space="preserve">          6114 - STATE UNEMPLOYMENT INSURANCE</v>
      </c>
      <c r="C23" s="12"/>
      <c r="D23" s="7">
        <v>11.59</v>
      </c>
      <c r="E23" s="3"/>
      <c r="F23" s="8">
        <f t="shared" si="0"/>
        <v>0</v>
      </c>
      <c r="G23" s="3"/>
      <c r="H23" s="7">
        <v>9.0846</v>
      </c>
      <c r="I23" s="3"/>
      <c r="J23" s="8">
        <f t="shared" si="1"/>
        <v>0</v>
      </c>
      <c r="K23" s="3"/>
      <c r="L23" s="7">
        <f t="shared" si="2"/>
        <v>2.5053999999999998</v>
      </c>
      <c r="M23" s="3"/>
      <c r="N23" s="8">
        <f t="shared" si="3"/>
        <v>0.27578539506417454</v>
      </c>
      <c r="O23" s="12"/>
      <c r="P23" s="7">
        <v>107.51</v>
      </c>
      <c r="Q23" s="3"/>
      <c r="R23" s="8">
        <f t="shared" si="4"/>
        <v>0</v>
      </c>
      <c r="S23" s="3"/>
      <c r="T23" s="7">
        <v>88.574849999999998</v>
      </c>
      <c r="U23" s="3"/>
      <c r="V23" s="8">
        <f t="shared" si="5"/>
        <v>0</v>
      </c>
      <c r="W23" s="3"/>
      <c r="X23" s="7">
        <f t="shared" si="6"/>
        <v>18.935150000000007</v>
      </c>
      <c r="Y23" s="3"/>
      <c r="Z23" s="8">
        <f t="shared" si="7"/>
        <v>0.21377569366473675</v>
      </c>
    </row>
    <row r="24" spans="1:26" s="70" customFormat="1" ht="15" hidden="1" customHeight="1" outlineLevel="2" x14ac:dyDescent="0.3">
      <c r="A24" s="26"/>
      <c r="B24" s="12" t="str">
        <f>CONCATENATE("          ","6115"," - ","P.E.R.S.")</f>
        <v xml:space="preserve">          6115 - P.E.R.S.</v>
      </c>
      <c r="C24" s="12"/>
      <c r="D24" s="7">
        <v>451.45</v>
      </c>
      <c r="E24" s="3"/>
      <c r="F24" s="8">
        <f t="shared" si="0"/>
        <v>0</v>
      </c>
      <c r="G24" s="3"/>
      <c r="H24" s="7">
        <v>0</v>
      </c>
      <c r="I24" s="3"/>
      <c r="J24" s="8">
        <f t="shared" si="1"/>
        <v>0</v>
      </c>
      <c r="K24" s="3"/>
      <c r="L24" s="7">
        <f t="shared" si="2"/>
        <v>451.45</v>
      </c>
      <c r="M24" s="3"/>
      <c r="N24" s="8">
        <f t="shared" si="3"/>
        <v>0</v>
      </c>
      <c r="O24" s="12"/>
      <c r="P24" s="7">
        <v>4408.4799999999996</v>
      </c>
      <c r="Q24" s="3"/>
      <c r="R24" s="8">
        <f t="shared" si="4"/>
        <v>0</v>
      </c>
      <c r="S24" s="3"/>
      <c r="T24" s="7">
        <v>0</v>
      </c>
      <c r="U24" s="3"/>
      <c r="V24" s="8">
        <f t="shared" si="5"/>
        <v>0</v>
      </c>
      <c r="W24" s="3"/>
      <c r="X24" s="7">
        <f t="shared" si="6"/>
        <v>4408.4799999999996</v>
      </c>
      <c r="Y24" s="3"/>
      <c r="Z24" s="8">
        <f t="shared" si="7"/>
        <v>0</v>
      </c>
    </row>
    <row r="25" spans="1:26" s="70" customFormat="1" ht="15" hidden="1" customHeight="1" outlineLevel="2" x14ac:dyDescent="0.3">
      <c r="A25" s="26"/>
      <c r="B25" s="12" t="str">
        <f>CONCATENATE("          ","6116"," - ","EDUCATIONAL BENEFITS")</f>
        <v xml:space="preserve">          6116 - EDUCATIONAL BENEFITS</v>
      </c>
      <c r="C25" s="12"/>
      <c r="D25" s="7"/>
      <c r="E25" s="3"/>
      <c r="F25" s="8">
        <f t="shared" si="0"/>
        <v>0</v>
      </c>
      <c r="G25" s="3"/>
      <c r="H25" s="7">
        <v>0</v>
      </c>
      <c r="I25" s="3"/>
      <c r="J25" s="8">
        <f t="shared" si="1"/>
        <v>0</v>
      </c>
      <c r="K25" s="3"/>
      <c r="L25" s="7">
        <f t="shared" si="2"/>
        <v>0</v>
      </c>
      <c r="M25" s="3"/>
      <c r="N25" s="8">
        <f t="shared" si="3"/>
        <v>0</v>
      </c>
      <c r="O25" s="12"/>
      <c r="P25" s="7"/>
      <c r="Q25" s="3"/>
      <c r="R25" s="8">
        <f t="shared" si="4"/>
        <v>0</v>
      </c>
      <c r="S25" s="3"/>
      <c r="T25" s="7">
        <v>0</v>
      </c>
      <c r="U25" s="3"/>
      <c r="V25" s="8">
        <f t="shared" si="5"/>
        <v>0</v>
      </c>
      <c r="W25" s="3"/>
      <c r="X25" s="7">
        <f t="shared" si="6"/>
        <v>0</v>
      </c>
      <c r="Y25" s="3"/>
      <c r="Z25" s="8">
        <f t="shared" si="7"/>
        <v>0</v>
      </c>
    </row>
    <row r="26" spans="1:26" s="70" customFormat="1" ht="15" hidden="1" customHeight="1" outlineLevel="2" x14ac:dyDescent="0.3">
      <c r="A26" s="26"/>
      <c r="B26" s="12" t="str">
        <f>CONCATENATE("          ","6118"," - ","VACATION")</f>
        <v xml:space="preserve">          6118 - VACATION</v>
      </c>
      <c r="C26" s="12"/>
      <c r="D26" s="7">
        <v>403.46</v>
      </c>
      <c r="E26" s="3"/>
      <c r="F26" s="8">
        <f t="shared" si="0"/>
        <v>0</v>
      </c>
      <c r="G26" s="3"/>
      <c r="H26" s="7">
        <v>346.08</v>
      </c>
      <c r="I26" s="3"/>
      <c r="J26" s="8">
        <f t="shared" si="1"/>
        <v>0</v>
      </c>
      <c r="K26" s="3"/>
      <c r="L26" s="7">
        <f t="shared" si="2"/>
        <v>57.379999999999995</v>
      </c>
      <c r="M26" s="3"/>
      <c r="N26" s="8">
        <f t="shared" si="3"/>
        <v>0.16579981507165972</v>
      </c>
      <c r="O26" s="12"/>
      <c r="P26" s="7">
        <v>3712.23</v>
      </c>
      <c r="Q26" s="3"/>
      <c r="R26" s="8">
        <f t="shared" si="4"/>
        <v>0</v>
      </c>
      <c r="S26" s="3"/>
      <c r="T26" s="7">
        <v>3374.28</v>
      </c>
      <c r="U26" s="3"/>
      <c r="V26" s="8">
        <f t="shared" si="5"/>
        <v>0</v>
      </c>
      <c r="W26" s="3"/>
      <c r="X26" s="7">
        <f t="shared" si="6"/>
        <v>337.94999999999982</v>
      </c>
      <c r="Y26" s="3"/>
      <c r="Z26" s="8">
        <f t="shared" si="7"/>
        <v>0.10015469966926271</v>
      </c>
    </row>
    <row r="27" spans="1:26" s="70" customFormat="1" ht="15" hidden="1" customHeight="1" outlineLevel="2" x14ac:dyDescent="0.3">
      <c r="A27" s="26"/>
      <c r="B27" s="12" t="str">
        <f>CONCATENATE("          ","6119"," - ","SICK LEAVE")</f>
        <v xml:space="preserve">          6119 - SICK LEAVE</v>
      </c>
      <c r="C27" s="12"/>
      <c r="D27" s="7">
        <v>201.46</v>
      </c>
      <c r="E27" s="3"/>
      <c r="F27" s="8">
        <f t="shared" si="0"/>
        <v>0</v>
      </c>
      <c r="G27" s="3"/>
      <c r="H27" s="7">
        <v>86.52</v>
      </c>
      <c r="I27" s="3"/>
      <c r="J27" s="8">
        <f t="shared" si="1"/>
        <v>0</v>
      </c>
      <c r="K27" s="3"/>
      <c r="L27" s="7">
        <f t="shared" si="2"/>
        <v>114.94000000000001</v>
      </c>
      <c r="M27" s="3"/>
      <c r="N27" s="8">
        <f t="shared" si="3"/>
        <v>1.3284789644012946</v>
      </c>
      <c r="O27" s="12"/>
      <c r="P27" s="7">
        <v>2633.31</v>
      </c>
      <c r="Q27" s="3"/>
      <c r="R27" s="8">
        <f t="shared" si="4"/>
        <v>0</v>
      </c>
      <c r="S27" s="3"/>
      <c r="T27" s="7">
        <v>843.57</v>
      </c>
      <c r="U27" s="3"/>
      <c r="V27" s="8">
        <f t="shared" si="5"/>
        <v>0</v>
      </c>
      <c r="W27" s="3"/>
      <c r="X27" s="7">
        <f t="shared" si="6"/>
        <v>1789.7399999999998</v>
      </c>
      <c r="Y27" s="3"/>
      <c r="Z27" s="8">
        <f t="shared" si="7"/>
        <v>2.1216259468686651</v>
      </c>
    </row>
    <row r="28" spans="1:26" s="70" customFormat="1" ht="15" hidden="1" customHeight="1" outlineLevel="2" x14ac:dyDescent="0.3">
      <c r="A28" s="26"/>
      <c r="B28" s="12" t="str">
        <f>CONCATENATE("          ","6156"," - ","EMPLOYEE MEALS")</f>
        <v xml:space="preserve">          6156 - EMPLOYEE MEALS</v>
      </c>
      <c r="C28" s="12"/>
      <c r="D28" s="7">
        <v>199.18</v>
      </c>
      <c r="E28" s="3"/>
      <c r="F28" s="8">
        <f t="shared" si="0"/>
        <v>0</v>
      </c>
      <c r="G28" s="3"/>
      <c r="H28" s="7">
        <v>175</v>
      </c>
      <c r="I28" s="3"/>
      <c r="J28" s="8">
        <f t="shared" si="1"/>
        <v>0</v>
      </c>
      <c r="K28" s="3"/>
      <c r="L28" s="7">
        <f t="shared" si="2"/>
        <v>24.180000000000007</v>
      </c>
      <c r="M28" s="3"/>
      <c r="N28" s="8">
        <f t="shared" si="3"/>
        <v>0.13817142857142861</v>
      </c>
      <c r="O28" s="12"/>
      <c r="P28" s="7">
        <v>1527.7</v>
      </c>
      <c r="Q28" s="3"/>
      <c r="R28" s="8">
        <f t="shared" si="4"/>
        <v>0</v>
      </c>
      <c r="S28" s="3"/>
      <c r="T28" s="7">
        <v>1575</v>
      </c>
      <c r="U28" s="3"/>
      <c r="V28" s="8">
        <f t="shared" si="5"/>
        <v>0</v>
      </c>
      <c r="W28" s="3"/>
      <c r="X28" s="7">
        <f t="shared" si="6"/>
        <v>-47.299999999999955</v>
      </c>
      <c r="Y28" s="3"/>
      <c r="Z28" s="8">
        <f t="shared" si="7"/>
        <v>-3.0031746031746003E-2</v>
      </c>
    </row>
    <row r="29" spans="1:26" s="69" customFormat="1" ht="15" customHeight="1" outlineLevel="1" collapsed="1" x14ac:dyDescent="0.3">
      <c r="A29" s="25"/>
      <c r="B29" s="14" t="str">
        <f>CONCATENATE("     ","*Payroll                                          ")</f>
        <v xml:space="preserve">     *Payroll                                          </v>
      </c>
      <c r="C29" s="14"/>
      <c r="D29" s="2">
        <f>SUM(OSRRefD22_1x_0)</f>
        <v>3951.43</v>
      </c>
      <c r="E29" s="2"/>
      <c r="F29" s="6">
        <f t="shared" si="0"/>
        <v>0</v>
      </c>
      <c r="G29" s="2"/>
      <c r="H29" s="2">
        <f>SUM(OSRRefH22_1x_0)</f>
        <v>4023.18</v>
      </c>
      <c r="I29" s="2"/>
      <c r="J29" s="6">
        <f t="shared" si="1"/>
        <v>0</v>
      </c>
      <c r="K29" s="2"/>
      <c r="L29" s="2">
        <f t="shared" si="2"/>
        <v>-71.75</v>
      </c>
      <c r="M29" s="2"/>
      <c r="N29" s="6">
        <f t="shared" si="3"/>
        <v>-1.7834151094407908E-2</v>
      </c>
      <c r="O29" s="14"/>
      <c r="P29" s="2">
        <f>SUM(OSRRefP22_1x_0)</f>
        <v>38268.559999999998</v>
      </c>
      <c r="Q29" s="2"/>
      <c r="R29" s="6">
        <f t="shared" si="4"/>
        <v>0</v>
      </c>
      <c r="S29" s="2"/>
      <c r="T29" s="2">
        <f>SUM(OSRRefT22_1x_0)</f>
        <v>39226.004999999997</v>
      </c>
      <c r="U29" s="2"/>
      <c r="V29" s="6">
        <f t="shared" si="5"/>
        <v>0</v>
      </c>
      <c r="W29" s="2"/>
      <c r="X29" s="2">
        <f t="shared" si="6"/>
        <v>-957.44499999999971</v>
      </c>
      <c r="Y29" s="2"/>
      <c r="Z29" s="6">
        <f t="shared" si="7"/>
        <v>-2.4408424972158133E-2</v>
      </c>
    </row>
    <row r="30" spans="1:26" s="70" customFormat="1" ht="15" hidden="1" customHeight="1" outlineLevel="2" x14ac:dyDescent="0.3">
      <c r="A30" s="26"/>
      <c r="B30" s="12" t="str">
        <f>CONCATENATE("          ","6001"," - ","ADMINISTRATIVE SALARIES")</f>
        <v xml:space="preserve">          6001 - ADMINISTRATIVE SALARIES</v>
      </c>
      <c r="C30" s="12"/>
      <c r="D30" s="7"/>
      <c r="E30" s="3"/>
      <c r="F30" s="8">
        <f t="shared" si="0"/>
        <v>0</v>
      </c>
      <c r="G30" s="3"/>
      <c r="H30" s="7">
        <v>0</v>
      </c>
      <c r="I30" s="3"/>
      <c r="J30" s="8">
        <f t="shared" si="1"/>
        <v>0</v>
      </c>
      <c r="K30" s="3"/>
      <c r="L30" s="7">
        <f t="shared" si="2"/>
        <v>0</v>
      </c>
      <c r="M30" s="3"/>
      <c r="N30" s="8">
        <f t="shared" si="3"/>
        <v>0</v>
      </c>
      <c r="O30" s="12"/>
      <c r="P30" s="7"/>
      <c r="Q30" s="3"/>
      <c r="R30" s="8">
        <f t="shared" si="4"/>
        <v>0</v>
      </c>
      <c r="S30" s="3"/>
      <c r="T30" s="7">
        <v>0</v>
      </c>
      <c r="U30" s="3"/>
      <c r="V30" s="8">
        <f t="shared" si="5"/>
        <v>0</v>
      </c>
      <c r="W30" s="3"/>
      <c r="X30" s="7">
        <f t="shared" si="6"/>
        <v>0</v>
      </c>
      <c r="Y30" s="3"/>
      <c r="Z30" s="8">
        <f t="shared" si="7"/>
        <v>0</v>
      </c>
    </row>
    <row r="31" spans="1:26" s="70" customFormat="1" ht="15" hidden="1" customHeight="1" outlineLevel="2" x14ac:dyDescent="0.3">
      <c r="A31" s="26"/>
      <c r="B31" s="12" t="str">
        <f>CONCATENATE("          ","6002"," - ","STAFF SALARIES")</f>
        <v xml:space="preserve">          6002 - STAFF SALARIES</v>
      </c>
      <c r="C31" s="12"/>
      <c r="D31" s="7">
        <v>3951.43</v>
      </c>
      <c r="E31" s="3"/>
      <c r="F31" s="8">
        <f t="shared" si="0"/>
        <v>0</v>
      </c>
      <c r="G31" s="3"/>
      <c r="H31" s="7">
        <v>0</v>
      </c>
      <c r="I31" s="3"/>
      <c r="J31" s="8">
        <f t="shared" si="1"/>
        <v>0</v>
      </c>
      <c r="K31" s="3"/>
      <c r="L31" s="7">
        <f t="shared" si="2"/>
        <v>3951.43</v>
      </c>
      <c r="M31" s="3"/>
      <c r="N31" s="8">
        <f t="shared" si="3"/>
        <v>0</v>
      </c>
      <c r="O31" s="12"/>
      <c r="P31" s="7">
        <v>38268.559999999998</v>
      </c>
      <c r="Q31" s="3"/>
      <c r="R31" s="8">
        <f t="shared" si="4"/>
        <v>0</v>
      </c>
      <c r="S31" s="3"/>
      <c r="T31" s="7">
        <v>0</v>
      </c>
      <c r="U31" s="3"/>
      <c r="V31" s="8">
        <f t="shared" si="5"/>
        <v>0</v>
      </c>
      <c r="W31" s="3"/>
      <c r="X31" s="7">
        <f t="shared" si="6"/>
        <v>38268.559999999998</v>
      </c>
      <c r="Y31" s="3"/>
      <c r="Z31" s="8">
        <f t="shared" si="7"/>
        <v>0</v>
      </c>
    </row>
    <row r="32" spans="1:26" s="70" customFormat="1" ht="15" hidden="1" customHeight="1" outlineLevel="2" x14ac:dyDescent="0.3">
      <c r="A32" s="26"/>
      <c r="B32" s="12" t="str">
        <f>CONCATENATE("          ","6003"," - ","STAFF HOURLY-9 MONTH")</f>
        <v xml:space="preserve">          6003 - STAFF HOURLY-9 MONTH</v>
      </c>
      <c r="C32" s="12"/>
      <c r="D32" s="7"/>
      <c r="E32" s="3"/>
      <c r="F32" s="8">
        <f t="shared" si="0"/>
        <v>0</v>
      </c>
      <c r="G32" s="3"/>
      <c r="H32" s="7">
        <v>0</v>
      </c>
      <c r="I32" s="3"/>
      <c r="J32" s="8">
        <f t="shared" si="1"/>
        <v>0</v>
      </c>
      <c r="K32" s="3"/>
      <c r="L32" s="7">
        <f t="shared" si="2"/>
        <v>0</v>
      </c>
      <c r="M32" s="3"/>
      <c r="N32" s="8">
        <f t="shared" si="3"/>
        <v>0</v>
      </c>
      <c r="O32" s="12"/>
      <c r="P32" s="7"/>
      <c r="Q32" s="3"/>
      <c r="R32" s="8">
        <f t="shared" si="4"/>
        <v>0</v>
      </c>
      <c r="S32" s="3"/>
      <c r="T32" s="7">
        <v>0</v>
      </c>
      <c r="U32" s="3"/>
      <c r="V32" s="8">
        <f t="shared" si="5"/>
        <v>0</v>
      </c>
      <c r="W32" s="3"/>
      <c r="X32" s="7">
        <f t="shared" si="6"/>
        <v>0</v>
      </c>
      <c r="Y32" s="3"/>
      <c r="Z32" s="8">
        <f t="shared" si="7"/>
        <v>0</v>
      </c>
    </row>
    <row r="33" spans="1:26" s="70" customFormat="1" ht="15" hidden="1" customHeight="1" outlineLevel="2" x14ac:dyDescent="0.3">
      <c r="A33" s="26"/>
      <c r="B33" s="12" t="str">
        <f>CONCATENATE("          ","6004"," - ","STAFF HOURLY")</f>
        <v xml:space="preserve">          6004 - STAFF HOURLY</v>
      </c>
      <c r="C33" s="12"/>
      <c r="D33" s="7"/>
      <c r="E33" s="3"/>
      <c r="F33" s="8">
        <f t="shared" si="0"/>
        <v>0</v>
      </c>
      <c r="G33" s="3"/>
      <c r="H33" s="7">
        <v>4023.18</v>
      </c>
      <c r="I33" s="3"/>
      <c r="J33" s="8">
        <f t="shared" si="1"/>
        <v>0</v>
      </c>
      <c r="K33" s="3"/>
      <c r="L33" s="7">
        <f t="shared" si="2"/>
        <v>-4023.18</v>
      </c>
      <c r="M33" s="3"/>
      <c r="N33" s="8">
        <f t="shared" si="3"/>
        <v>-1</v>
      </c>
      <c r="O33" s="12"/>
      <c r="P33" s="7"/>
      <c r="Q33" s="3"/>
      <c r="R33" s="8">
        <f t="shared" si="4"/>
        <v>0</v>
      </c>
      <c r="S33" s="3"/>
      <c r="T33" s="7">
        <v>39226.004999999997</v>
      </c>
      <c r="U33" s="3"/>
      <c r="V33" s="8">
        <f t="shared" si="5"/>
        <v>0</v>
      </c>
      <c r="W33" s="3"/>
      <c r="X33" s="7">
        <f t="shared" si="6"/>
        <v>-39226.004999999997</v>
      </c>
      <c r="Y33" s="3"/>
      <c r="Z33" s="8">
        <f t="shared" si="7"/>
        <v>-1</v>
      </c>
    </row>
    <row r="34" spans="1:26" s="70" customFormat="1" ht="15" hidden="1" customHeight="1" outlineLevel="2" x14ac:dyDescent="0.3">
      <c r="A34" s="26"/>
      <c r="B34" s="12" t="str">
        <f>CONCATENATE("          ","6005"," - ","TEMPORARY WAGES-HOURLY")</f>
        <v xml:space="preserve">          6005 - TEMPORARY WAGES-HOURLY</v>
      </c>
      <c r="C34" s="12"/>
      <c r="D34" s="7"/>
      <c r="E34" s="3"/>
      <c r="F34" s="8">
        <f t="shared" si="0"/>
        <v>0</v>
      </c>
      <c r="G34" s="3"/>
      <c r="H34" s="7">
        <v>0</v>
      </c>
      <c r="I34" s="3"/>
      <c r="J34" s="8">
        <f t="shared" si="1"/>
        <v>0</v>
      </c>
      <c r="K34" s="3"/>
      <c r="L34" s="7">
        <f t="shared" si="2"/>
        <v>0</v>
      </c>
      <c r="M34" s="3"/>
      <c r="N34" s="8">
        <f t="shared" si="3"/>
        <v>0</v>
      </c>
      <c r="O34" s="12"/>
      <c r="P34" s="7"/>
      <c r="Q34" s="3"/>
      <c r="R34" s="8">
        <f t="shared" si="4"/>
        <v>0</v>
      </c>
      <c r="S34" s="3"/>
      <c r="T34" s="7">
        <v>0</v>
      </c>
      <c r="U34" s="3"/>
      <c r="V34" s="8">
        <f t="shared" si="5"/>
        <v>0</v>
      </c>
      <c r="W34" s="3"/>
      <c r="X34" s="7">
        <f t="shared" si="6"/>
        <v>0</v>
      </c>
      <c r="Y34" s="3"/>
      <c r="Z34" s="8">
        <f t="shared" si="7"/>
        <v>0</v>
      </c>
    </row>
    <row r="35" spans="1:26" s="70" customFormat="1" ht="15" hidden="1" customHeight="1" outlineLevel="2" x14ac:dyDescent="0.3">
      <c r="A35" s="26"/>
      <c r="B35" s="12" t="str">
        <f>CONCATENATE("          ","6006"," - ","TEMPORARY PART TIME")</f>
        <v xml:space="preserve">          6006 - TEMPORARY PART TIME</v>
      </c>
      <c r="C35" s="12"/>
      <c r="D35" s="7"/>
      <c r="E35" s="3"/>
      <c r="F35" s="8">
        <f t="shared" si="0"/>
        <v>0</v>
      </c>
      <c r="G35" s="3"/>
      <c r="H35" s="7">
        <v>0</v>
      </c>
      <c r="I35" s="3"/>
      <c r="J35" s="8">
        <f t="shared" si="1"/>
        <v>0</v>
      </c>
      <c r="K35" s="3"/>
      <c r="L35" s="7">
        <f t="shared" si="2"/>
        <v>0</v>
      </c>
      <c r="M35" s="3"/>
      <c r="N35" s="8">
        <f t="shared" si="3"/>
        <v>0</v>
      </c>
      <c r="O35" s="12"/>
      <c r="P35" s="7"/>
      <c r="Q35" s="3"/>
      <c r="R35" s="8">
        <f t="shared" si="4"/>
        <v>0</v>
      </c>
      <c r="S35" s="3"/>
      <c r="T35" s="7">
        <v>0</v>
      </c>
      <c r="U35" s="3"/>
      <c r="V35" s="8">
        <f t="shared" si="5"/>
        <v>0</v>
      </c>
      <c r="W35" s="3"/>
      <c r="X35" s="7">
        <f t="shared" si="6"/>
        <v>0</v>
      </c>
      <c r="Y35" s="3"/>
      <c r="Z35" s="8">
        <f t="shared" si="7"/>
        <v>0</v>
      </c>
    </row>
    <row r="36" spans="1:26" s="70" customFormat="1" ht="15" hidden="1" customHeight="1" outlineLevel="2" x14ac:dyDescent="0.3">
      <c r="A36" s="26"/>
      <c r="B36" s="12" t="str">
        <f>CONCATENATE("          ","6007"," - ","STUDENT HOURLY")</f>
        <v xml:space="preserve">          6007 - STUDENT HOURLY</v>
      </c>
      <c r="C36" s="12"/>
      <c r="D36" s="7"/>
      <c r="E36" s="3"/>
      <c r="F36" s="8">
        <f t="shared" si="0"/>
        <v>0</v>
      </c>
      <c r="G36" s="3"/>
      <c r="H36" s="7">
        <v>0</v>
      </c>
      <c r="I36" s="3"/>
      <c r="J36" s="8">
        <f t="shared" si="1"/>
        <v>0</v>
      </c>
      <c r="K36" s="3"/>
      <c r="L36" s="7">
        <f t="shared" si="2"/>
        <v>0</v>
      </c>
      <c r="M36" s="3"/>
      <c r="N36" s="8">
        <f t="shared" si="3"/>
        <v>0</v>
      </c>
      <c r="O36" s="12"/>
      <c r="P36" s="7"/>
      <c r="Q36" s="3"/>
      <c r="R36" s="8">
        <f t="shared" si="4"/>
        <v>0</v>
      </c>
      <c r="S36" s="3"/>
      <c r="T36" s="7">
        <v>0</v>
      </c>
      <c r="U36" s="3"/>
      <c r="V36" s="8">
        <f t="shared" si="5"/>
        <v>0</v>
      </c>
      <c r="W36" s="3"/>
      <c r="X36" s="7">
        <f t="shared" si="6"/>
        <v>0</v>
      </c>
      <c r="Y36" s="3"/>
      <c r="Z36" s="8">
        <f t="shared" si="7"/>
        <v>0</v>
      </c>
    </row>
    <row r="37" spans="1:26" s="70" customFormat="1" ht="15" hidden="1" customHeight="1" outlineLevel="2" x14ac:dyDescent="0.3">
      <c r="A37" s="26"/>
      <c r="B37" s="12" t="str">
        <f>CONCATENATE("          ","6008"," - ","STUDENT HOURLY-FICA EXEMPT")</f>
        <v xml:space="preserve">          6008 - STUDENT HOURLY-FICA EXEMPT</v>
      </c>
      <c r="C37" s="12"/>
      <c r="D37" s="7"/>
      <c r="E37" s="3"/>
      <c r="F37" s="8">
        <f t="shared" si="0"/>
        <v>0</v>
      </c>
      <c r="G37" s="3"/>
      <c r="H37" s="7">
        <v>0</v>
      </c>
      <c r="I37" s="3"/>
      <c r="J37" s="8">
        <f t="shared" si="1"/>
        <v>0</v>
      </c>
      <c r="K37" s="3"/>
      <c r="L37" s="7">
        <f t="shared" si="2"/>
        <v>0</v>
      </c>
      <c r="M37" s="3"/>
      <c r="N37" s="8">
        <f t="shared" si="3"/>
        <v>0</v>
      </c>
      <c r="O37" s="12"/>
      <c r="P37" s="7"/>
      <c r="Q37" s="3"/>
      <c r="R37" s="8">
        <f t="shared" si="4"/>
        <v>0</v>
      </c>
      <c r="S37" s="3"/>
      <c r="T37" s="7">
        <v>0</v>
      </c>
      <c r="U37" s="3"/>
      <c r="V37" s="8">
        <f t="shared" si="5"/>
        <v>0</v>
      </c>
      <c r="W37" s="3"/>
      <c r="X37" s="7">
        <f t="shared" si="6"/>
        <v>0</v>
      </c>
      <c r="Y37" s="3"/>
      <c r="Z37" s="8">
        <f t="shared" si="7"/>
        <v>0</v>
      </c>
    </row>
    <row r="38" spans="1:26" s="70" customFormat="1" ht="15" hidden="1" customHeight="1" outlineLevel="2" x14ac:dyDescent="0.3">
      <c r="A38" s="26"/>
      <c r="B38" s="12" t="str">
        <f>CONCATENATE("          ","6009"," - ","TEMPORARY-SEASONAL")</f>
        <v xml:space="preserve">          6009 - TEMPORARY-SEASONAL</v>
      </c>
      <c r="C38" s="12"/>
      <c r="D38" s="7"/>
      <c r="E38" s="3"/>
      <c r="F38" s="8">
        <f t="shared" si="0"/>
        <v>0</v>
      </c>
      <c r="G38" s="3"/>
      <c r="H38" s="7">
        <v>0</v>
      </c>
      <c r="I38" s="3"/>
      <c r="J38" s="8">
        <f t="shared" si="1"/>
        <v>0</v>
      </c>
      <c r="K38" s="3"/>
      <c r="L38" s="7">
        <f t="shared" si="2"/>
        <v>0</v>
      </c>
      <c r="M38" s="3"/>
      <c r="N38" s="8">
        <f t="shared" si="3"/>
        <v>0</v>
      </c>
      <c r="O38" s="12"/>
      <c r="P38" s="7"/>
      <c r="Q38" s="3"/>
      <c r="R38" s="8">
        <f t="shared" si="4"/>
        <v>0</v>
      </c>
      <c r="S38" s="3"/>
      <c r="T38" s="7">
        <v>0</v>
      </c>
      <c r="U38" s="3"/>
      <c r="V38" s="8">
        <f t="shared" si="5"/>
        <v>0</v>
      </c>
      <c r="W38" s="3"/>
      <c r="X38" s="7">
        <f t="shared" si="6"/>
        <v>0</v>
      </c>
      <c r="Y38" s="3"/>
      <c r="Z38" s="8">
        <f t="shared" si="7"/>
        <v>0</v>
      </c>
    </row>
    <row r="39" spans="1:26" s="70" customFormat="1" ht="15" hidden="1" customHeight="1" outlineLevel="2" x14ac:dyDescent="0.3">
      <c r="A39" s="26"/>
      <c r="B39" s="12" t="str">
        <f>CONCATENATE("          ","6010"," - ","GRATUITY")</f>
        <v xml:space="preserve">          6010 - GRATUITY</v>
      </c>
      <c r="C39" s="12"/>
      <c r="D39" s="7"/>
      <c r="E39" s="3"/>
      <c r="F39" s="8">
        <f t="shared" si="0"/>
        <v>0</v>
      </c>
      <c r="G39" s="3"/>
      <c r="H39" s="7">
        <v>0</v>
      </c>
      <c r="I39" s="3"/>
      <c r="J39" s="8">
        <f t="shared" si="1"/>
        <v>0</v>
      </c>
      <c r="K39" s="3"/>
      <c r="L39" s="7">
        <f t="shared" si="2"/>
        <v>0</v>
      </c>
      <c r="M39" s="3"/>
      <c r="N39" s="8">
        <f t="shared" si="3"/>
        <v>0</v>
      </c>
      <c r="O39" s="12"/>
      <c r="P39" s="7"/>
      <c r="Q39" s="3"/>
      <c r="R39" s="8">
        <f t="shared" si="4"/>
        <v>0</v>
      </c>
      <c r="S39" s="3"/>
      <c r="T39" s="7">
        <v>0</v>
      </c>
      <c r="U39" s="3"/>
      <c r="V39" s="8">
        <f t="shared" si="5"/>
        <v>0</v>
      </c>
      <c r="W39" s="3"/>
      <c r="X39" s="7">
        <f t="shared" si="6"/>
        <v>0</v>
      </c>
      <c r="Y39" s="3"/>
      <c r="Z39" s="8">
        <f t="shared" si="7"/>
        <v>0</v>
      </c>
    </row>
    <row r="40" spans="1:26" s="69" customFormat="1" ht="15" customHeight="1" outlineLevel="1" collapsed="1" x14ac:dyDescent="0.3">
      <c r="A40" s="25"/>
      <c r="B40" s="14" t="str">
        <f>CONCATENATE("     ","General                                           ")</f>
        <v xml:space="preserve">     General                                           </v>
      </c>
      <c r="C40" s="14"/>
      <c r="D40" s="2">
        <f>SUM(OSRRefD22_2x_0)</f>
        <v>-706.65</v>
      </c>
      <c r="E40" s="2"/>
      <c r="F40" s="6">
        <f t="shared" si="0"/>
        <v>0</v>
      </c>
      <c r="G40" s="2"/>
      <c r="H40" s="2">
        <f>SUM(OSRRefH22_2x_0)</f>
        <v>-150</v>
      </c>
      <c r="I40" s="2"/>
      <c r="J40" s="6">
        <f t="shared" si="1"/>
        <v>0</v>
      </c>
      <c r="K40" s="2"/>
      <c r="L40" s="2">
        <f t="shared" si="2"/>
        <v>-556.65</v>
      </c>
      <c r="M40" s="2"/>
      <c r="N40" s="6">
        <f t="shared" si="3"/>
        <v>3.7109999999999999</v>
      </c>
      <c r="O40" s="14"/>
      <c r="P40" s="2">
        <f>SUM(OSRRefP22_2x_0)</f>
        <v>-1613.22</v>
      </c>
      <c r="Q40" s="2"/>
      <c r="R40" s="6">
        <f t="shared" si="4"/>
        <v>0</v>
      </c>
      <c r="S40" s="2"/>
      <c r="T40" s="2">
        <f>SUM(OSRRefT22_2x_0)</f>
        <v>-750</v>
      </c>
      <c r="U40" s="2"/>
      <c r="V40" s="6">
        <f t="shared" si="5"/>
        <v>0</v>
      </c>
      <c r="W40" s="2"/>
      <c r="X40" s="2">
        <f t="shared" si="6"/>
        <v>-863.22</v>
      </c>
      <c r="Y40" s="2"/>
      <c r="Z40" s="6">
        <f t="shared" si="7"/>
        <v>1.15096</v>
      </c>
    </row>
    <row r="41" spans="1:26" s="70" customFormat="1" ht="15" hidden="1" customHeight="1" outlineLevel="2" x14ac:dyDescent="0.3">
      <c r="A41" s="26"/>
      <c r="B41" s="12" t="str">
        <f>CONCATENATE("          ","6279"," - ","GENERAL EXPENSE")</f>
        <v xml:space="preserve">          6279 - GENERAL EXPENSE</v>
      </c>
      <c r="C41" s="12"/>
      <c r="D41" s="7">
        <v>-706.65</v>
      </c>
      <c r="E41" s="3"/>
      <c r="F41" s="8">
        <f t="shared" si="0"/>
        <v>0</v>
      </c>
      <c r="G41" s="3"/>
      <c r="H41" s="7">
        <v>-150</v>
      </c>
      <c r="I41" s="3"/>
      <c r="J41" s="8">
        <f t="shared" si="1"/>
        <v>0</v>
      </c>
      <c r="K41" s="3"/>
      <c r="L41" s="7">
        <f t="shared" si="2"/>
        <v>-556.65</v>
      </c>
      <c r="M41" s="3"/>
      <c r="N41" s="8">
        <f t="shared" si="3"/>
        <v>3.7109999999999999</v>
      </c>
      <c r="O41" s="12"/>
      <c r="P41" s="7">
        <v>-1613.22</v>
      </c>
      <c r="Q41" s="3"/>
      <c r="R41" s="8">
        <f t="shared" si="4"/>
        <v>0</v>
      </c>
      <c r="S41" s="3"/>
      <c r="T41" s="7">
        <v>-750</v>
      </c>
      <c r="U41" s="3"/>
      <c r="V41" s="8">
        <f t="shared" si="5"/>
        <v>0</v>
      </c>
      <c r="W41" s="3"/>
      <c r="X41" s="7">
        <f t="shared" si="6"/>
        <v>-863.22</v>
      </c>
      <c r="Y41" s="3"/>
      <c r="Z41" s="8">
        <f t="shared" si="7"/>
        <v>1.15096</v>
      </c>
    </row>
    <row r="42" spans="1:26" s="69" customFormat="1" ht="15" customHeight="1" outlineLevel="1" collapsed="1" x14ac:dyDescent="0.3">
      <c r="A42" s="25"/>
      <c r="B42" s="14" t="str">
        <f>CONCATENATE("     ","Insurance                                         ")</f>
        <v xml:space="preserve">     Insurance                                         </v>
      </c>
      <c r="C42" s="14"/>
      <c r="D42" s="2">
        <f>SUM(OSRRefD22_3x_0)</f>
        <v>33.380000000000003</v>
      </c>
      <c r="E42" s="2"/>
      <c r="F42" s="6">
        <f t="shared" si="0"/>
        <v>0</v>
      </c>
      <c r="G42" s="2"/>
      <c r="H42" s="2">
        <f>SUM(OSRRefH22_3x_0)</f>
        <v>35</v>
      </c>
      <c r="I42" s="2"/>
      <c r="J42" s="6">
        <f t="shared" si="1"/>
        <v>0</v>
      </c>
      <c r="K42" s="2"/>
      <c r="L42" s="2">
        <f t="shared" si="2"/>
        <v>-1.6199999999999974</v>
      </c>
      <c r="M42" s="2"/>
      <c r="N42" s="6">
        <f t="shared" si="3"/>
        <v>-4.6285714285714215E-2</v>
      </c>
      <c r="O42" s="14"/>
      <c r="P42" s="2">
        <f>SUM(OSRRefP22_3x_0)</f>
        <v>300.42</v>
      </c>
      <c r="Q42" s="2"/>
      <c r="R42" s="6">
        <f t="shared" si="4"/>
        <v>0</v>
      </c>
      <c r="S42" s="2"/>
      <c r="T42" s="2">
        <f>SUM(OSRRefT22_3x_0)</f>
        <v>315</v>
      </c>
      <c r="U42" s="2"/>
      <c r="V42" s="6">
        <f t="shared" si="5"/>
        <v>0</v>
      </c>
      <c r="W42" s="2"/>
      <c r="X42" s="2">
        <f t="shared" si="6"/>
        <v>-14.579999999999984</v>
      </c>
      <c r="Y42" s="2"/>
      <c r="Z42" s="6">
        <f t="shared" si="7"/>
        <v>-4.6285714285714236E-2</v>
      </c>
    </row>
    <row r="43" spans="1:26" s="70" customFormat="1" ht="15" hidden="1" customHeight="1" outlineLevel="2" x14ac:dyDescent="0.3">
      <c r="A43" s="26"/>
      <c r="B43" s="12" t="str">
        <f>CONCATENATE("          ","6314"," - ","LIABILITY INSURANCE")</f>
        <v xml:space="preserve">          6314 - LIABILITY INSURANCE</v>
      </c>
      <c r="C43" s="12"/>
      <c r="D43" s="7">
        <v>33.380000000000003</v>
      </c>
      <c r="E43" s="3"/>
      <c r="F43" s="8">
        <f t="shared" si="0"/>
        <v>0</v>
      </c>
      <c r="G43" s="3"/>
      <c r="H43" s="7">
        <v>35</v>
      </c>
      <c r="I43" s="3"/>
      <c r="J43" s="8">
        <f t="shared" si="1"/>
        <v>0</v>
      </c>
      <c r="K43" s="3"/>
      <c r="L43" s="7">
        <f t="shared" si="2"/>
        <v>-1.6199999999999974</v>
      </c>
      <c r="M43" s="3"/>
      <c r="N43" s="8">
        <f t="shared" si="3"/>
        <v>-4.6285714285714215E-2</v>
      </c>
      <c r="O43" s="12"/>
      <c r="P43" s="7">
        <v>300.42</v>
      </c>
      <c r="Q43" s="3"/>
      <c r="R43" s="8">
        <f t="shared" si="4"/>
        <v>0</v>
      </c>
      <c r="S43" s="3"/>
      <c r="T43" s="7">
        <v>315</v>
      </c>
      <c r="U43" s="3"/>
      <c r="V43" s="8">
        <f t="shared" si="5"/>
        <v>0</v>
      </c>
      <c r="W43" s="3"/>
      <c r="X43" s="7">
        <f t="shared" si="6"/>
        <v>-14.579999999999984</v>
      </c>
      <c r="Y43" s="3"/>
      <c r="Z43" s="8">
        <f t="shared" si="7"/>
        <v>-4.6285714285714236E-2</v>
      </c>
    </row>
    <row r="44" spans="1:26" s="69" customFormat="1" ht="15" customHeight="1" outlineLevel="1" collapsed="1" x14ac:dyDescent="0.3">
      <c r="A44" s="25"/>
      <c r="B44" s="14" t="str">
        <f>CONCATENATE("     ","Repair and Maintenance                            ")</f>
        <v xml:space="preserve">     Repair and Maintenance                            </v>
      </c>
      <c r="C44" s="14"/>
      <c r="D44" s="2">
        <f>SUM(OSRRefD22_4x_0)</f>
        <v>946.3</v>
      </c>
      <c r="E44" s="2"/>
      <c r="F44" s="6">
        <f t="shared" si="0"/>
        <v>0</v>
      </c>
      <c r="G44" s="2"/>
      <c r="H44" s="2">
        <f>SUM(OSRRefH22_4x_0)</f>
        <v>1500</v>
      </c>
      <c r="I44" s="2"/>
      <c r="J44" s="6">
        <f t="shared" si="1"/>
        <v>0</v>
      </c>
      <c r="K44" s="2"/>
      <c r="L44" s="2">
        <f t="shared" si="2"/>
        <v>-553.70000000000005</v>
      </c>
      <c r="M44" s="2"/>
      <c r="N44" s="6">
        <f t="shared" si="3"/>
        <v>-0.36913333333333337</v>
      </c>
      <c r="O44" s="14"/>
      <c r="P44" s="2">
        <f>SUM(OSRRefP22_4x_0)</f>
        <v>11187.84</v>
      </c>
      <c r="Q44" s="2"/>
      <c r="R44" s="6">
        <f t="shared" si="4"/>
        <v>0</v>
      </c>
      <c r="S44" s="2"/>
      <c r="T44" s="2">
        <f>SUM(OSRRefT22_4x_0)</f>
        <v>12100</v>
      </c>
      <c r="U44" s="2"/>
      <c r="V44" s="6">
        <f t="shared" si="5"/>
        <v>0</v>
      </c>
      <c r="W44" s="2"/>
      <c r="X44" s="2">
        <f t="shared" si="6"/>
        <v>-912.15999999999985</v>
      </c>
      <c r="Y44" s="2"/>
      <c r="Z44" s="6">
        <f t="shared" si="7"/>
        <v>-7.5385123966942136E-2</v>
      </c>
    </row>
    <row r="45" spans="1:26" s="70" customFormat="1" ht="15" hidden="1" customHeight="1" outlineLevel="2" x14ac:dyDescent="0.3">
      <c r="A45" s="26"/>
      <c r="B45" s="12" t="str">
        <f>CONCATENATE("          ","6373"," - ","MAINTENANCE CONTRACTS")</f>
        <v xml:space="preserve">          6373 - MAINTENANCE CONTRACTS</v>
      </c>
      <c r="C45" s="12"/>
      <c r="D45" s="7">
        <v>946.3</v>
      </c>
      <c r="E45" s="3"/>
      <c r="F45" s="8">
        <f t="shared" si="0"/>
        <v>0</v>
      </c>
      <c r="G45" s="3"/>
      <c r="H45" s="7">
        <v>1500</v>
      </c>
      <c r="I45" s="3"/>
      <c r="J45" s="8">
        <f t="shared" si="1"/>
        <v>0</v>
      </c>
      <c r="K45" s="3"/>
      <c r="L45" s="7">
        <f t="shared" si="2"/>
        <v>-553.70000000000005</v>
      </c>
      <c r="M45" s="3"/>
      <c r="N45" s="8">
        <f t="shared" si="3"/>
        <v>-0.36913333333333337</v>
      </c>
      <c r="O45" s="12"/>
      <c r="P45" s="7">
        <v>11099.58</v>
      </c>
      <c r="Q45" s="3"/>
      <c r="R45" s="8">
        <f t="shared" si="4"/>
        <v>0</v>
      </c>
      <c r="S45" s="3"/>
      <c r="T45" s="7">
        <v>12100</v>
      </c>
      <c r="U45" s="3"/>
      <c r="V45" s="8">
        <f t="shared" si="5"/>
        <v>0</v>
      </c>
      <c r="W45" s="3"/>
      <c r="X45" s="7">
        <f t="shared" si="6"/>
        <v>-1000.4200000000001</v>
      </c>
      <c r="Y45" s="3"/>
      <c r="Z45" s="8">
        <f t="shared" si="7"/>
        <v>-8.2679338842975209E-2</v>
      </c>
    </row>
    <row r="46" spans="1:26" s="70" customFormat="1" ht="15" hidden="1" customHeight="1" outlineLevel="2" x14ac:dyDescent="0.3">
      <c r="A46" s="26"/>
      <c r="B46" s="12" t="str">
        <f>CONCATENATE("          ","6375"," - ","OUTSIDE REPAIRS &amp; MAINTENANCE")</f>
        <v xml:space="preserve">          6375 - OUTSIDE REPAIRS &amp; MAINTENANCE</v>
      </c>
      <c r="C46" s="12"/>
      <c r="D46" s="7"/>
      <c r="E46" s="3"/>
      <c r="F46" s="8">
        <f t="shared" si="0"/>
        <v>0</v>
      </c>
      <c r="G46" s="3"/>
      <c r="H46" s="7"/>
      <c r="I46" s="3"/>
      <c r="J46" s="8">
        <f t="shared" si="1"/>
        <v>0</v>
      </c>
      <c r="K46" s="3"/>
      <c r="L46" s="7">
        <f t="shared" si="2"/>
        <v>0</v>
      </c>
      <c r="M46" s="3"/>
      <c r="N46" s="8">
        <f t="shared" si="3"/>
        <v>0</v>
      </c>
      <c r="O46" s="12"/>
      <c r="P46" s="7">
        <v>88.26</v>
      </c>
      <c r="Q46" s="3"/>
      <c r="R46" s="8">
        <f t="shared" si="4"/>
        <v>0</v>
      </c>
      <c r="S46" s="3"/>
      <c r="T46" s="7"/>
      <c r="U46" s="3"/>
      <c r="V46" s="8">
        <f t="shared" si="5"/>
        <v>0</v>
      </c>
      <c r="W46" s="3"/>
      <c r="X46" s="7">
        <f t="shared" si="6"/>
        <v>88.26</v>
      </c>
      <c r="Y46" s="3"/>
      <c r="Z46" s="8">
        <f t="shared" si="7"/>
        <v>0</v>
      </c>
    </row>
    <row r="47" spans="1:26" s="69" customFormat="1" ht="15" customHeight="1" outlineLevel="1" collapsed="1" x14ac:dyDescent="0.3">
      <c r="A47" s="25"/>
      <c r="B47" s="14" t="str">
        <f>CONCATENATE("     ","Services                                          ")</f>
        <v xml:space="preserve">     Services                                          </v>
      </c>
      <c r="C47" s="14"/>
      <c r="D47" s="2">
        <f>SUM(OSRRefD22_5x_0)</f>
        <v>0</v>
      </c>
      <c r="E47" s="2"/>
      <c r="F47" s="6">
        <f t="shared" si="0"/>
        <v>0</v>
      </c>
      <c r="G47" s="2"/>
      <c r="H47" s="2">
        <f>SUM(OSRRefH22_5x_0)</f>
        <v>25</v>
      </c>
      <c r="I47" s="2"/>
      <c r="J47" s="6">
        <f t="shared" si="1"/>
        <v>0</v>
      </c>
      <c r="K47" s="2"/>
      <c r="L47" s="2">
        <f t="shared" si="2"/>
        <v>-25</v>
      </c>
      <c r="M47" s="2"/>
      <c r="N47" s="6">
        <f t="shared" si="3"/>
        <v>-1</v>
      </c>
      <c r="O47" s="14"/>
      <c r="P47" s="2">
        <f>SUM(OSRRefP22_5x_0)</f>
        <v>0</v>
      </c>
      <c r="Q47" s="2"/>
      <c r="R47" s="6">
        <f t="shared" si="4"/>
        <v>0</v>
      </c>
      <c r="S47" s="2"/>
      <c r="T47" s="2">
        <f>SUM(OSRRefT22_5x_0)</f>
        <v>225</v>
      </c>
      <c r="U47" s="2"/>
      <c r="V47" s="6">
        <f t="shared" si="5"/>
        <v>0</v>
      </c>
      <c r="W47" s="2"/>
      <c r="X47" s="2">
        <f t="shared" si="6"/>
        <v>-225</v>
      </c>
      <c r="Y47" s="2"/>
      <c r="Z47" s="6">
        <f t="shared" si="7"/>
        <v>-1</v>
      </c>
    </row>
    <row r="48" spans="1:26" s="70" customFormat="1" ht="15" hidden="1" customHeight="1" outlineLevel="2" x14ac:dyDescent="0.3">
      <c r="A48" s="26"/>
      <c r="B48" s="12" t="str">
        <f>CONCATENATE("          ","6286"," - ","LAUNDRY EXPENSE")</f>
        <v xml:space="preserve">          6286 - LAUNDRY EXPENSE</v>
      </c>
      <c r="C48" s="12"/>
      <c r="D48" s="7"/>
      <c r="E48" s="3"/>
      <c r="F48" s="8">
        <f t="shared" si="0"/>
        <v>0</v>
      </c>
      <c r="G48" s="3"/>
      <c r="H48" s="7">
        <v>25</v>
      </c>
      <c r="I48" s="3"/>
      <c r="J48" s="8">
        <f t="shared" si="1"/>
        <v>0</v>
      </c>
      <c r="K48" s="3"/>
      <c r="L48" s="7">
        <f t="shared" si="2"/>
        <v>-25</v>
      </c>
      <c r="M48" s="3"/>
      <c r="N48" s="8">
        <f t="shared" si="3"/>
        <v>-1</v>
      </c>
      <c r="O48" s="12"/>
      <c r="P48" s="7"/>
      <c r="Q48" s="3"/>
      <c r="R48" s="8">
        <f t="shared" si="4"/>
        <v>0</v>
      </c>
      <c r="S48" s="3"/>
      <c r="T48" s="7">
        <v>225</v>
      </c>
      <c r="U48" s="3"/>
      <c r="V48" s="8">
        <f t="shared" si="5"/>
        <v>0</v>
      </c>
      <c r="W48" s="3"/>
      <c r="X48" s="7">
        <f t="shared" si="6"/>
        <v>-225</v>
      </c>
      <c r="Y48" s="3"/>
      <c r="Z48" s="8">
        <f t="shared" si="7"/>
        <v>-1</v>
      </c>
    </row>
    <row r="49" spans="1:26" s="69" customFormat="1" ht="15" customHeight="1" outlineLevel="1" collapsed="1" x14ac:dyDescent="0.3">
      <c r="A49" s="25"/>
      <c r="B49" s="14" t="str">
        <f>CONCATENATE("     ","Supplies                                          ")</f>
        <v xml:space="preserve">     Supplies                                          </v>
      </c>
      <c r="C49" s="14"/>
      <c r="D49" s="2">
        <f>SUM(OSRRefD22_6x_0)</f>
        <v>216.25</v>
      </c>
      <c r="E49" s="2"/>
      <c r="F49" s="6">
        <f t="shared" si="0"/>
        <v>0</v>
      </c>
      <c r="G49" s="2"/>
      <c r="H49" s="2">
        <f>SUM(OSRRefH22_6x_0)</f>
        <v>25</v>
      </c>
      <c r="I49" s="2"/>
      <c r="J49" s="6">
        <f t="shared" si="1"/>
        <v>0</v>
      </c>
      <c r="K49" s="2"/>
      <c r="L49" s="2">
        <f t="shared" si="2"/>
        <v>191.25</v>
      </c>
      <c r="M49" s="2"/>
      <c r="N49" s="6">
        <f t="shared" si="3"/>
        <v>7.65</v>
      </c>
      <c r="O49" s="14"/>
      <c r="P49" s="2">
        <f>SUM(OSRRefP22_6x_0)</f>
        <v>452.54999999999995</v>
      </c>
      <c r="Q49" s="2"/>
      <c r="R49" s="6">
        <f t="shared" si="4"/>
        <v>0</v>
      </c>
      <c r="S49" s="2"/>
      <c r="T49" s="2">
        <f>SUM(OSRRefT22_6x_0)</f>
        <v>5225</v>
      </c>
      <c r="U49" s="2"/>
      <c r="V49" s="6">
        <f t="shared" si="5"/>
        <v>0</v>
      </c>
      <c r="W49" s="2"/>
      <c r="X49" s="2">
        <f t="shared" si="6"/>
        <v>-4772.45</v>
      </c>
      <c r="Y49" s="2"/>
      <c r="Z49" s="6">
        <f t="shared" si="7"/>
        <v>-0.91338755980861241</v>
      </c>
    </row>
    <row r="50" spans="1:26" s="70" customFormat="1" ht="15" hidden="1" customHeight="1" outlineLevel="2" x14ac:dyDescent="0.3">
      <c r="A50" s="26"/>
      <c r="B50" s="12" t="str">
        <f>CONCATENATE("          ","6234"," - ","EXPENDABLE SUPPLIES &amp; EQUIPMEN")</f>
        <v xml:space="preserve">          6234 - EXPENDABLE SUPPLIES &amp; EQUIPMEN</v>
      </c>
      <c r="C50" s="12"/>
      <c r="D50" s="7">
        <v>216.25</v>
      </c>
      <c r="E50" s="3"/>
      <c r="F50" s="8">
        <f t="shared" si="0"/>
        <v>0</v>
      </c>
      <c r="G50" s="3"/>
      <c r="H50" s="7"/>
      <c r="I50" s="3"/>
      <c r="J50" s="8">
        <f t="shared" si="1"/>
        <v>0</v>
      </c>
      <c r="K50" s="3"/>
      <c r="L50" s="7">
        <f t="shared" si="2"/>
        <v>216.25</v>
      </c>
      <c r="M50" s="3"/>
      <c r="N50" s="8">
        <f t="shared" si="3"/>
        <v>0</v>
      </c>
      <c r="O50" s="12"/>
      <c r="P50" s="7">
        <v>242.35</v>
      </c>
      <c r="Q50" s="3"/>
      <c r="R50" s="8">
        <f t="shared" si="4"/>
        <v>0</v>
      </c>
      <c r="S50" s="3"/>
      <c r="T50" s="7"/>
      <c r="U50" s="3"/>
      <c r="V50" s="8">
        <f t="shared" si="5"/>
        <v>0</v>
      </c>
      <c r="W50" s="3"/>
      <c r="X50" s="7">
        <f t="shared" si="6"/>
        <v>242.35</v>
      </c>
      <c r="Y50" s="3"/>
      <c r="Z50" s="8">
        <f t="shared" si="7"/>
        <v>0</v>
      </c>
    </row>
    <row r="51" spans="1:26" s="70" customFormat="1" ht="15" hidden="1" customHeight="1" outlineLevel="2" x14ac:dyDescent="0.3">
      <c r="A51" s="26"/>
      <c r="B51" s="12" t="str">
        <f>CONCATENATE("          ","6241"," - ","OFFICE EXPENSE")</f>
        <v xml:space="preserve">          6241 - OFFICE EXPENSE</v>
      </c>
      <c r="C51" s="12"/>
      <c r="D51" s="7"/>
      <c r="E51" s="3"/>
      <c r="F51" s="8">
        <f t="shared" si="0"/>
        <v>0</v>
      </c>
      <c r="G51" s="3"/>
      <c r="H51" s="7">
        <v>25</v>
      </c>
      <c r="I51" s="3"/>
      <c r="J51" s="8">
        <f t="shared" si="1"/>
        <v>0</v>
      </c>
      <c r="K51" s="3"/>
      <c r="L51" s="7">
        <f t="shared" si="2"/>
        <v>-25</v>
      </c>
      <c r="M51" s="3"/>
      <c r="N51" s="8">
        <f t="shared" si="3"/>
        <v>-1</v>
      </c>
      <c r="O51" s="12"/>
      <c r="P51" s="7">
        <v>210.2</v>
      </c>
      <c r="Q51" s="3"/>
      <c r="R51" s="8">
        <f t="shared" si="4"/>
        <v>0</v>
      </c>
      <c r="S51" s="3"/>
      <c r="T51" s="7">
        <v>225</v>
      </c>
      <c r="U51" s="3"/>
      <c r="V51" s="8">
        <f t="shared" si="5"/>
        <v>0</v>
      </c>
      <c r="W51" s="3"/>
      <c r="X51" s="7">
        <f t="shared" si="6"/>
        <v>-14.800000000000011</v>
      </c>
      <c r="Y51" s="3"/>
      <c r="Z51" s="8">
        <f t="shared" si="7"/>
        <v>-6.5777777777777824E-2</v>
      </c>
    </row>
    <row r="52" spans="1:26" s="70" customFormat="1" ht="15" hidden="1" customHeight="1" outlineLevel="2" x14ac:dyDescent="0.3">
      <c r="A52" s="26"/>
      <c r="B52" s="12" t="str">
        <f>CONCATENATE("          ","6247"," - ","STORE SUPPLIES")</f>
        <v xml:space="preserve">          6247 - STORE SUPPLIES</v>
      </c>
      <c r="C52" s="12"/>
      <c r="D52" s="7"/>
      <c r="E52" s="3"/>
      <c r="F52" s="8">
        <f t="shared" si="0"/>
        <v>0</v>
      </c>
      <c r="G52" s="3"/>
      <c r="H52" s="7"/>
      <c r="I52" s="3"/>
      <c r="J52" s="8">
        <f t="shared" si="1"/>
        <v>0</v>
      </c>
      <c r="K52" s="3"/>
      <c r="L52" s="7">
        <f t="shared" si="2"/>
        <v>0</v>
      </c>
      <c r="M52" s="3"/>
      <c r="N52" s="8">
        <f t="shared" si="3"/>
        <v>0</v>
      </c>
      <c r="O52" s="12"/>
      <c r="P52" s="7"/>
      <c r="Q52" s="3"/>
      <c r="R52" s="8">
        <f t="shared" si="4"/>
        <v>0</v>
      </c>
      <c r="S52" s="3"/>
      <c r="T52" s="7">
        <v>5000</v>
      </c>
      <c r="U52" s="3"/>
      <c r="V52" s="8">
        <f t="shared" si="5"/>
        <v>0</v>
      </c>
      <c r="W52" s="3"/>
      <c r="X52" s="7">
        <f t="shared" si="6"/>
        <v>-5000</v>
      </c>
      <c r="Y52" s="3"/>
      <c r="Z52" s="8">
        <f t="shared" si="7"/>
        <v>-1</v>
      </c>
    </row>
    <row r="53" spans="1:26" s="69" customFormat="1" ht="15" customHeight="1" outlineLevel="1" collapsed="1" x14ac:dyDescent="0.3">
      <c r="A53" s="25"/>
      <c r="B53" s="14" t="str">
        <f>CONCATENATE("     ","Telephone/Data Lines                              ")</f>
        <v xml:space="preserve">     Telephone/Data Lines                              </v>
      </c>
      <c r="C53" s="14"/>
      <c r="D53" s="2">
        <f>SUM(OSRRefD22_7x_0)</f>
        <v>98</v>
      </c>
      <c r="E53" s="2"/>
      <c r="F53" s="6">
        <f t="shared" si="0"/>
        <v>0</v>
      </c>
      <c r="G53" s="2"/>
      <c r="H53" s="2">
        <f>SUM(OSRRefH22_7x_0)</f>
        <v>125</v>
      </c>
      <c r="I53" s="2"/>
      <c r="J53" s="6">
        <f t="shared" si="1"/>
        <v>0</v>
      </c>
      <c r="K53" s="2"/>
      <c r="L53" s="2">
        <f t="shared" si="2"/>
        <v>-27</v>
      </c>
      <c r="M53" s="2"/>
      <c r="N53" s="6">
        <f t="shared" si="3"/>
        <v>-0.216</v>
      </c>
      <c r="O53" s="14"/>
      <c r="P53" s="2">
        <f>SUM(OSRRefP22_7x_0)</f>
        <v>832</v>
      </c>
      <c r="Q53" s="2"/>
      <c r="R53" s="6">
        <f t="shared" si="4"/>
        <v>0</v>
      </c>
      <c r="S53" s="2"/>
      <c r="T53" s="2">
        <f>SUM(OSRRefT22_7x_0)</f>
        <v>1125</v>
      </c>
      <c r="U53" s="2"/>
      <c r="V53" s="6">
        <f t="shared" si="5"/>
        <v>0</v>
      </c>
      <c r="W53" s="2"/>
      <c r="X53" s="2">
        <f t="shared" si="6"/>
        <v>-293</v>
      </c>
      <c r="Y53" s="2"/>
      <c r="Z53" s="6">
        <f t="shared" si="7"/>
        <v>-0.26044444444444442</v>
      </c>
    </row>
    <row r="54" spans="1:26" s="70" customFormat="1" ht="15" hidden="1" customHeight="1" outlineLevel="2" x14ac:dyDescent="0.3">
      <c r="A54" s="26"/>
      <c r="B54" s="12" t="str">
        <f>CONCATENATE("          ","6309"," - ","TELEPHONE")</f>
        <v xml:space="preserve">          6309 - TELEPHONE</v>
      </c>
      <c r="C54" s="12"/>
      <c r="D54" s="7">
        <v>98</v>
      </c>
      <c r="E54" s="3"/>
      <c r="F54" s="8">
        <f t="shared" si="0"/>
        <v>0</v>
      </c>
      <c r="G54" s="3"/>
      <c r="H54" s="7">
        <v>125</v>
      </c>
      <c r="I54" s="3"/>
      <c r="J54" s="8">
        <f t="shared" si="1"/>
        <v>0</v>
      </c>
      <c r="K54" s="3"/>
      <c r="L54" s="7">
        <f t="shared" si="2"/>
        <v>-27</v>
      </c>
      <c r="M54" s="3"/>
      <c r="N54" s="8">
        <f t="shared" si="3"/>
        <v>-0.216</v>
      </c>
      <c r="O54" s="12"/>
      <c r="P54" s="7">
        <v>832</v>
      </c>
      <c r="Q54" s="3"/>
      <c r="R54" s="8">
        <f t="shared" si="4"/>
        <v>0</v>
      </c>
      <c r="S54" s="3"/>
      <c r="T54" s="7">
        <v>1125</v>
      </c>
      <c r="U54" s="3"/>
      <c r="V54" s="8">
        <f t="shared" si="5"/>
        <v>0</v>
      </c>
      <c r="W54" s="3"/>
      <c r="X54" s="7">
        <f t="shared" si="6"/>
        <v>-293</v>
      </c>
      <c r="Y54" s="3"/>
      <c r="Z54" s="8">
        <f t="shared" si="7"/>
        <v>-0.26044444444444442</v>
      </c>
    </row>
    <row r="55" spans="1:26" s="65" customFormat="1" ht="15" customHeight="1" x14ac:dyDescent="0.3">
      <c r="A55" s="35"/>
      <c r="B55" s="35"/>
      <c r="C55" s="35"/>
      <c r="D55" s="2"/>
      <c r="E55" s="2"/>
      <c r="F55" s="6"/>
      <c r="G55" s="2"/>
      <c r="H55" s="2"/>
      <c r="I55" s="2"/>
      <c r="J55" s="6"/>
      <c r="K55" s="2"/>
      <c r="L55" s="2"/>
      <c r="M55" s="2"/>
      <c r="N55" s="6"/>
      <c r="O55" s="35"/>
      <c r="P55" s="2"/>
      <c r="Q55" s="2"/>
      <c r="R55" s="6"/>
      <c r="S55" s="2"/>
      <c r="T55" s="2"/>
      <c r="U55" s="2"/>
      <c r="V55" s="6"/>
      <c r="W55" s="2"/>
      <c r="X55" s="2"/>
      <c r="Y55" s="2"/>
      <c r="Z55" s="6"/>
    </row>
    <row r="56" spans="1:26" s="63" customFormat="1" ht="15" customHeight="1" x14ac:dyDescent="0.3">
      <c r="A56" s="11"/>
      <c r="B56" s="28" t="s">
        <v>291</v>
      </c>
      <c r="C56" s="11"/>
      <c r="D56" s="5">
        <f>SUM(0)</f>
        <v>0</v>
      </c>
      <c r="E56" s="5"/>
      <c r="F56" s="13">
        <f>IF(D$12=0,0,D56/D$12)</f>
        <v>0</v>
      </c>
      <c r="G56" s="5"/>
      <c r="H56" s="5">
        <f>SUM(0)</f>
        <v>0</v>
      </c>
      <c r="I56" s="5"/>
      <c r="J56" s="13">
        <f>IF(H$12=0,0,H56/H$12)</f>
        <v>0</v>
      </c>
      <c r="K56" s="5"/>
      <c r="L56" s="5">
        <f>+D56-H56</f>
        <v>0</v>
      </c>
      <c r="M56" s="5"/>
      <c r="N56" s="13">
        <f>IF(H56=0,0,L56/H56)</f>
        <v>0</v>
      </c>
      <c r="O56" s="11"/>
      <c r="P56" s="5">
        <f>SUM(0)</f>
        <v>0</v>
      </c>
      <c r="Q56" s="5"/>
      <c r="R56" s="13">
        <f>IF(P$12=0,0,P56/P$12)</f>
        <v>0</v>
      </c>
      <c r="S56" s="5"/>
      <c r="T56" s="5">
        <f>SUM(0)</f>
        <v>0</v>
      </c>
      <c r="U56" s="5"/>
      <c r="V56" s="13">
        <f>IF(T$12=0,0,T56/T$12)</f>
        <v>0</v>
      </c>
      <c r="W56" s="5"/>
      <c r="X56" s="5">
        <f>+P56-T56</f>
        <v>0</v>
      </c>
      <c r="Y56" s="5"/>
      <c r="Z56" s="13">
        <f>IF(T56=0,0,X56/T56)</f>
        <v>0</v>
      </c>
    </row>
    <row r="57" spans="1:26" ht="15" customHeight="1" x14ac:dyDescent="0.3">
      <c r="A57" s="10"/>
      <c r="B57" s="11"/>
      <c r="C57" s="11"/>
      <c r="D57" s="4"/>
      <c r="E57" s="4"/>
      <c r="F57" s="9"/>
      <c r="G57" s="4"/>
      <c r="H57" s="4"/>
      <c r="I57" s="4"/>
      <c r="J57" s="9"/>
      <c r="K57" s="4"/>
      <c r="L57" s="4"/>
      <c r="M57" s="4"/>
      <c r="N57" s="9"/>
      <c r="O57" s="11"/>
      <c r="P57" s="4"/>
      <c r="Q57" s="4"/>
      <c r="R57" s="9"/>
      <c r="S57" s="4"/>
      <c r="T57" s="4"/>
      <c r="U57" s="4"/>
      <c r="V57" s="9"/>
      <c r="W57" s="4"/>
      <c r="X57" s="4"/>
      <c r="Y57" s="4"/>
      <c r="Z57" s="9"/>
    </row>
    <row r="58" spans="1:26" s="63" customFormat="1" ht="15" customHeight="1" x14ac:dyDescent="0.3">
      <c r="A58" s="11"/>
      <c r="B58" s="27" t="s">
        <v>292</v>
      </c>
      <c r="C58" s="27"/>
      <c r="D58" s="21">
        <f>+D16-D18+D56</f>
        <v>-7088.09</v>
      </c>
      <c r="E58" s="15"/>
      <c r="F58" s="23">
        <f>IF(D$12=0,0,D58/D$12)</f>
        <v>0</v>
      </c>
      <c r="G58" s="15"/>
      <c r="H58" s="21">
        <f>+H16-H18+H56</f>
        <v>-7437.9665799999993</v>
      </c>
      <c r="I58" s="15"/>
      <c r="J58" s="23">
        <f>IF(H$12=0,0,H58/H$12)</f>
        <v>0</v>
      </c>
      <c r="K58" s="16"/>
      <c r="L58" s="21">
        <f>+D58-H58</f>
        <v>349.87657999999919</v>
      </c>
      <c r="M58" s="16"/>
      <c r="N58" s="23">
        <f>IF(H58=0,0,L58/H58)</f>
        <v>-4.7039278307701028E-2</v>
      </c>
      <c r="O58" s="28"/>
      <c r="P58" s="21">
        <f>+P16-P18+P56</f>
        <v>-73552.34</v>
      </c>
      <c r="Q58" s="15"/>
      <c r="R58" s="23">
        <f>IF(P$12=0,0,P58/P$12)</f>
        <v>0</v>
      </c>
      <c r="S58" s="15"/>
      <c r="T58" s="21">
        <f>+T16-T18+T56</f>
        <v>-75418.924155000001</v>
      </c>
      <c r="U58" s="15"/>
      <c r="V58" s="23">
        <f>IF(T$12=0,0,T58/T$12)</f>
        <v>0</v>
      </c>
      <c r="W58" s="16"/>
      <c r="X58" s="21">
        <f>+P58-T58</f>
        <v>1866.5841550000041</v>
      </c>
      <c r="Y58" s="16"/>
      <c r="Z58" s="23">
        <f>IF(T58=0,0,X58/T58)</f>
        <v>-2.4749546296415265E-2</v>
      </c>
    </row>
    <row r="59" spans="1:26" ht="15" customHeight="1" x14ac:dyDescent="0.3">
      <c r="A59" s="10"/>
      <c r="B59" s="11"/>
      <c r="C59" s="10"/>
      <c r="D59" s="4"/>
      <c r="E59" s="4"/>
      <c r="F59" s="9"/>
      <c r="G59" s="4"/>
      <c r="H59" s="4"/>
      <c r="I59" s="4"/>
      <c r="J59" s="9"/>
      <c r="K59" s="4"/>
      <c r="L59" s="4"/>
      <c r="M59" s="4"/>
      <c r="N59" s="9"/>
      <c r="P59" s="4"/>
      <c r="Q59" s="4"/>
      <c r="R59" s="9"/>
      <c r="S59" s="4"/>
      <c r="T59" s="4"/>
      <c r="U59" s="4"/>
      <c r="V59" s="9"/>
      <c r="W59" s="4"/>
      <c r="X59" s="4"/>
      <c r="Y59" s="4"/>
      <c r="Z59" s="9"/>
    </row>
    <row r="60" spans="1:26" s="63" customFormat="1" ht="15" customHeight="1" x14ac:dyDescent="0.3">
      <c r="A60" s="49"/>
      <c r="B60" s="11" t="s">
        <v>293</v>
      </c>
      <c r="C60" s="11"/>
      <c r="D60" s="5"/>
      <c r="E60" s="5"/>
      <c r="F60" s="13">
        <f>IF(D$12=0,0,D60/D$12)</f>
        <v>0</v>
      </c>
      <c r="G60" s="5"/>
      <c r="H60" s="5"/>
      <c r="I60" s="5"/>
      <c r="J60" s="13">
        <f>IF(H$12=0,0,H60/H$12)</f>
        <v>0</v>
      </c>
      <c r="K60" s="5"/>
      <c r="L60" s="5">
        <f>+D60-H60</f>
        <v>0</v>
      </c>
      <c r="M60" s="5"/>
      <c r="N60" s="13">
        <f>IF(H60=0,0,L60/H60)</f>
        <v>0</v>
      </c>
      <c r="O60" s="11"/>
      <c r="P60" s="5"/>
      <c r="Q60" s="5"/>
      <c r="R60" s="13">
        <f>IF(P$12=0,0,P60/P$12)</f>
        <v>0</v>
      </c>
      <c r="S60" s="5"/>
      <c r="T60" s="5"/>
      <c r="U60" s="5"/>
      <c r="V60" s="13">
        <f>IF(T$12=0,0,T60/T$12)</f>
        <v>0</v>
      </c>
      <c r="W60" s="5"/>
      <c r="X60" s="5">
        <f>+P60-T60</f>
        <v>0</v>
      </c>
      <c r="Y60" s="5"/>
      <c r="Z60" s="13">
        <f>IF(T60=0,0,X60/T60)</f>
        <v>0</v>
      </c>
    </row>
    <row r="61" spans="1:26" ht="15" customHeight="1" x14ac:dyDescent="0.3">
      <c r="A61" s="10"/>
      <c r="B61" s="11"/>
      <c r="C61" s="11"/>
      <c r="D61" s="4"/>
      <c r="E61" s="4"/>
      <c r="F61" s="9"/>
      <c r="G61" s="4"/>
      <c r="H61" s="4"/>
      <c r="I61" s="4"/>
      <c r="J61" s="9"/>
      <c r="K61" s="4"/>
      <c r="L61" s="4"/>
      <c r="M61" s="4"/>
      <c r="N61" s="9"/>
      <c r="O61" s="11"/>
      <c r="P61" s="4"/>
      <c r="Q61" s="4"/>
      <c r="R61" s="9"/>
      <c r="S61" s="4"/>
      <c r="T61" s="4"/>
      <c r="U61" s="4"/>
      <c r="V61" s="9"/>
      <c r="W61" s="4"/>
      <c r="X61" s="4"/>
      <c r="Y61" s="4"/>
      <c r="Z61" s="9"/>
    </row>
    <row r="62" spans="1:26" s="63" customFormat="1" ht="15" customHeight="1" x14ac:dyDescent="0.3">
      <c r="A62" s="11"/>
      <c r="B62" s="27" t="s">
        <v>294</v>
      </c>
      <c r="C62" s="27"/>
      <c r="D62" s="34">
        <f>+D58-D60</f>
        <v>-7088.09</v>
      </c>
      <c r="E62" s="15"/>
      <c r="F62" s="29">
        <f>IF(D$12=0,0,D62/D$12)</f>
        <v>0</v>
      </c>
      <c r="G62" s="15"/>
      <c r="H62" s="34">
        <f>+H58-H60</f>
        <v>-7437.9665799999993</v>
      </c>
      <c r="I62" s="15"/>
      <c r="J62" s="29">
        <f>IF(H$12=0,0,H62/H$12)</f>
        <v>0</v>
      </c>
      <c r="K62" s="16"/>
      <c r="L62" s="34">
        <f>D62-H62</f>
        <v>349.87657999999919</v>
      </c>
      <c r="M62" s="16"/>
      <c r="N62" s="29">
        <f>IF(H62=0,0,L62/H62)</f>
        <v>-4.7039278307701028E-2</v>
      </c>
      <c r="O62" s="28"/>
      <c r="P62" s="34">
        <f>+P58-P60</f>
        <v>-73552.34</v>
      </c>
      <c r="Q62" s="15"/>
      <c r="R62" s="29">
        <f>IF(P$12=0,0,P62/P$12)</f>
        <v>0</v>
      </c>
      <c r="S62" s="15"/>
      <c r="T62" s="34">
        <f>+T58-T60</f>
        <v>-75418.924155000001</v>
      </c>
      <c r="U62" s="15"/>
      <c r="V62" s="29">
        <f>IF(T$12=0,0,T62/T$12)</f>
        <v>0</v>
      </c>
      <c r="W62" s="16"/>
      <c r="X62" s="34">
        <f>P62-T62</f>
        <v>1866.5841550000041</v>
      </c>
      <c r="Y62" s="16"/>
      <c r="Z62" s="29">
        <f>IF(T62=0,0,X62/T62)</f>
        <v>-2.4749546296415265E-2</v>
      </c>
    </row>
    <row r="63" spans="1:26" ht="15" customHeight="1" x14ac:dyDescent="0.3">
      <c r="A63" s="10"/>
      <c r="B63" s="10"/>
      <c r="C63" s="10"/>
      <c r="D63" s="4"/>
      <c r="E63" s="4"/>
      <c r="F63" s="9"/>
      <c r="G63" s="4"/>
      <c r="H63" s="4"/>
      <c r="I63" s="4"/>
      <c r="J63" s="9"/>
      <c r="K63" s="4"/>
      <c r="L63" s="4"/>
      <c r="M63" s="4"/>
      <c r="N63" s="9"/>
      <c r="P63" s="4"/>
      <c r="Q63" s="4"/>
      <c r="R63" s="9"/>
      <c r="S63" s="4"/>
      <c r="T63" s="4"/>
      <c r="U63" s="4"/>
      <c r="V63" s="9"/>
      <c r="W63" s="4"/>
      <c r="X63" s="4"/>
      <c r="Y63" s="4"/>
      <c r="Z63" s="9"/>
    </row>
    <row r="64" spans="1:26" ht="15" customHeight="1" x14ac:dyDescent="0.3">
      <c r="A64" s="10"/>
      <c r="B64" s="10"/>
      <c r="C64" s="10"/>
      <c r="D64" s="4"/>
      <c r="E64" s="4"/>
      <c r="F64" s="9"/>
      <c r="G64" s="4"/>
      <c r="H64" s="4"/>
      <c r="I64" s="4"/>
      <c r="J64" s="9"/>
      <c r="K64" s="4"/>
      <c r="L64" s="4"/>
      <c r="M64" s="4"/>
      <c r="N64" s="9"/>
      <c r="P64" s="4"/>
      <c r="Q64" s="4"/>
      <c r="R64" s="9"/>
      <c r="S64" s="4"/>
      <c r="T64" s="4"/>
      <c r="U64" s="4"/>
      <c r="V64" s="9"/>
      <c r="W64" s="4"/>
      <c r="X64" s="4"/>
      <c r="Y64" s="4"/>
      <c r="Z64" s="9"/>
    </row>
    <row r="65" spans="1:26" s="63" customFormat="1" ht="15" customHeight="1" x14ac:dyDescent="0.3">
      <c r="A65" s="11"/>
      <c r="B65" s="27" t="s">
        <v>297</v>
      </c>
      <c r="C65" s="27"/>
      <c r="D65" s="32">
        <f>SUM(D62:D64)</f>
        <v>-7088.09</v>
      </c>
      <c r="E65" s="15"/>
      <c r="F65" s="31">
        <f>IF(D$12=0,0,D65/D$12)</f>
        <v>0</v>
      </c>
      <c r="G65" s="15"/>
      <c r="H65" s="32">
        <f>SUM(H62:H64)</f>
        <v>-7437.9665799999993</v>
      </c>
      <c r="I65" s="15"/>
      <c r="J65" s="31">
        <f>IF(H$12=0,0,H65/H$12)</f>
        <v>0</v>
      </c>
      <c r="K65" s="16"/>
      <c r="L65" s="32">
        <f>+D65-H65</f>
        <v>349.87657999999919</v>
      </c>
      <c r="M65" s="16"/>
      <c r="N65" s="31">
        <f>IF(H65=0,0,L65/H65)</f>
        <v>-4.7039278307701028E-2</v>
      </c>
      <c r="O65" s="28"/>
      <c r="P65" s="32">
        <f>SUM(P62:P64)</f>
        <v>-73552.34</v>
      </c>
      <c r="Q65" s="15"/>
      <c r="R65" s="31">
        <f>IF(P$12=0,0,P65/P$12)</f>
        <v>0</v>
      </c>
      <c r="S65" s="15"/>
      <c r="T65" s="32">
        <f>SUM(T62:T64)</f>
        <v>-75418.924155000001</v>
      </c>
      <c r="U65" s="15"/>
      <c r="V65" s="31">
        <f>IF(T$12=0,0,T65/T$12)</f>
        <v>0</v>
      </c>
      <c r="W65" s="16"/>
      <c r="X65" s="32">
        <f>+P65-T65</f>
        <v>1866.5841550000041</v>
      </c>
      <c r="Y65" s="16"/>
      <c r="Z65" s="31">
        <f>IF(T65=0,0,X65/T65)</f>
        <v>-2.4749546296415265E-2</v>
      </c>
    </row>
    <row r="66" spans="1:26" ht="15" customHeight="1" x14ac:dyDescent="0.3">
      <c r="A66" s="10"/>
      <c r="C66" s="10"/>
      <c r="D66" s="19"/>
      <c r="E66" s="19"/>
      <c r="G66" s="19"/>
      <c r="H66" s="19"/>
      <c r="I66" s="19"/>
      <c r="J66" s="40"/>
      <c r="K66" s="19"/>
      <c r="L66" s="19"/>
      <c r="M66" s="19"/>
      <c r="P66" s="19"/>
      <c r="Q66" s="19"/>
      <c r="R66" s="40"/>
      <c r="S66" s="19"/>
      <c r="T66" s="19"/>
      <c r="U66" s="19"/>
      <c r="V66" s="40"/>
      <c r="W66" s="19"/>
      <c r="X66" s="19"/>
    </row>
    <row r="67" spans="1:26" ht="15" customHeight="1" x14ac:dyDescent="0.3">
      <c r="A67" s="10"/>
      <c r="B67" s="51">
        <v>44663.047665428239</v>
      </c>
      <c r="D67" s="19"/>
      <c r="E67" s="19"/>
      <c r="G67" s="19"/>
      <c r="H67" s="19"/>
      <c r="I67" s="19"/>
      <c r="J67" s="40"/>
      <c r="K67" s="19"/>
      <c r="L67" s="19"/>
      <c r="M67" s="19"/>
      <c r="P67" s="19"/>
      <c r="Q67" s="19"/>
      <c r="R67" s="40"/>
      <c r="S67" s="19"/>
      <c r="T67" s="19"/>
      <c r="U67" s="19"/>
      <c r="V67" s="40"/>
      <c r="W67" s="19"/>
      <c r="X67" s="19"/>
    </row>
    <row r="68" spans="1:26" ht="15" customHeight="1" x14ac:dyDescent="0.3">
      <c r="A68" s="10"/>
      <c r="B68" s="58" t="s">
        <v>298</v>
      </c>
      <c r="D68" s="19"/>
      <c r="E68" s="19"/>
      <c r="G68" s="19"/>
      <c r="H68" s="19"/>
      <c r="I68" s="19"/>
      <c r="J68" s="40"/>
      <c r="K68" s="19"/>
      <c r="L68" s="19"/>
      <c r="M68" s="19"/>
      <c r="P68" s="19"/>
      <c r="Q68" s="19"/>
      <c r="R68" s="40"/>
      <c r="S68" s="19"/>
      <c r="T68" s="19"/>
      <c r="U68" s="19"/>
      <c r="V68" s="40"/>
      <c r="W68" s="19"/>
      <c r="X68" s="19"/>
    </row>
    <row r="69" spans="1:26" ht="15" customHeight="1" x14ac:dyDescent="0.3">
      <c r="A69" s="10"/>
      <c r="B69" s="50"/>
      <c r="D69" s="19"/>
      <c r="E69" s="19"/>
      <c r="G69" s="19"/>
      <c r="H69" s="19"/>
      <c r="I69" s="19"/>
      <c r="J69" s="40"/>
      <c r="K69" s="19"/>
      <c r="L69" s="19"/>
      <c r="M69" s="19"/>
      <c r="P69" s="19"/>
      <c r="Q69" s="19"/>
      <c r="R69" s="40"/>
      <c r="S69" s="19"/>
      <c r="T69" s="19"/>
      <c r="U69" s="19"/>
      <c r="V69" s="40"/>
      <c r="W69" s="19"/>
      <c r="X69" s="19"/>
    </row>
    <row r="70" spans="1:26" ht="15" customHeight="1" x14ac:dyDescent="0.3">
      <c r="D70" s="19"/>
      <c r="E70" s="19"/>
      <c r="G70" s="19"/>
      <c r="H70" s="19"/>
      <c r="I70" s="19"/>
      <c r="J70" s="40"/>
      <c r="K70" s="19"/>
      <c r="L70" s="19"/>
      <c r="M70" s="19"/>
      <c r="P70" s="19"/>
      <c r="Q70" s="19"/>
      <c r="R70" s="40"/>
      <c r="S70" s="19"/>
      <c r="T70" s="19"/>
      <c r="U70" s="19"/>
      <c r="V70" s="40"/>
      <c r="W70" s="19"/>
      <c r="X70" s="19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212DEB-D785-99E4-32FE-7BF4C154EB13}">
  <sheetPr>
    <tabColor rgb="FF92D050"/>
    <outlinePr summaryBelow="0" summaryRight="0"/>
  </sheetPr>
  <dimension ref="A2:Z69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6" customWidth="1"/>
    <col min="2" max="2" width="33.44140625" style="66" customWidth="1"/>
    <col min="3" max="3" width="1.88671875" style="66" customWidth="1"/>
    <col min="4" max="4" width="15" style="66" customWidth="1"/>
    <col min="5" max="5" width="1.88671875" style="66" customWidth="1" outlineLevel="1"/>
    <col min="6" max="6" width="15" style="67" customWidth="1" outlineLevel="1"/>
    <col min="7" max="7" width="1.88671875" style="66" customWidth="1" outlineLevel="1"/>
    <col min="8" max="8" width="15" style="66" customWidth="1" outlineLevel="1"/>
    <col min="9" max="9" width="1.88671875" style="66" customWidth="1" outlineLevel="1"/>
    <col min="10" max="10" width="15" style="68" customWidth="1" outlineLevel="1"/>
    <col min="11" max="11" width="1.88671875" style="66" customWidth="1" outlineLevel="1"/>
    <col min="12" max="12" width="15" style="66" customWidth="1" outlineLevel="1"/>
    <col min="13" max="13" width="1.88671875" style="66" customWidth="1" outlineLevel="1"/>
    <col min="14" max="14" width="15" style="67" customWidth="1" outlineLevel="1"/>
    <col min="15" max="15" width="1.88671875" style="64" customWidth="1"/>
    <col min="16" max="16" width="15" style="66" customWidth="1"/>
    <col min="17" max="17" width="1.88671875" style="66" customWidth="1" outlineLevel="1"/>
    <col min="18" max="18" width="15" style="68" customWidth="1" outlineLevel="1"/>
    <col min="19" max="19" width="1.88671875" style="66" customWidth="1" outlineLevel="1"/>
    <col min="20" max="20" width="15" style="66" customWidth="1" outlineLevel="1"/>
    <col min="21" max="21" width="1.88671875" style="66" customWidth="1" outlineLevel="1"/>
    <col min="22" max="22" width="15" style="68" customWidth="1" outlineLevel="1"/>
    <col min="23" max="23" width="1.88671875" style="66" customWidth="1" outlineLevel="1"/>
    <col min="24" max="24" width="15" style="66" customWidth="1" outlineLevel="1"/>
    <col min="25" max="25" width="1.88671875" style="66" customWidth="1" outlineLevel="1"/>
    <col min="26" max="26" width="15" style="68" customWidth="1" outlineLevel="1"/>
  </cols>
  <sheetData>
    <row r="2" spans="1:26" ht="15" customHeight="1" x14ac:dyDescent="0.3">
      <c r="D2" s="54" t="s">
        <v>276</v>
      </c>
    </row>
    <row r="3" spans="1:26" ht="15" customHeight="1" x14ac:dyDescent="0.3">
      <c r="D3" s="54" t="s">
        <v>277</v>
      </c>
      <c r="E3" s="18"/>
      <c r="F3" s="44"/>
      <c r="G3" s="18"/>
      <c r="H3" s="18"/>
      <c r="I3" s="18"/>
      <c r="J3" s="38"/>
      <c r="K3" s="18"/>
      <c r="L3" s="18"/>
      <c r="M3" s="18"/>
      <c r="N3" s="44"/>
      <c r="O3" s="53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ht="15" customHeight="1" x14ac:dyDescent="0.3">
      <c r="D4" s="54" t="str">
        <f>CONCATENATE("Period ",RIGHT(202209,2),", ",2022)</f>
        <v>Period 09, 2022</v>
      </c>
      <c r="E4" s="18"/>
      <c r="F4" s="44"/>
      <c r="G4" s="18"/>
      <c r="H4" s="18"/>
      <c r="I4" s="18"/>
      <c r="J4" s="38"/>
      <c r="K4" s="18"/>
      <c r="L4" s="18"/>
      <c r="M4" s="18"/>
      <c r="N4" s="44"/>
      <c r="O4" s="53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ht="15" customHeight="1" x14ac:dyDescent="0.3">
      <c r="A5" s="24"/>
      <c r="D5" s="60">
        <v>44646</v>
      </c>
      <c r="E5" s="18"/>
      <c r="F5" s="44"/>
      <c r="G5" s="18"/>
      <c r="H5" s="18"/>
      <c r="I5" s="18"/>
      <c r="J5" s="38"/>
      <c r="K5" s="18"/>
      <c r="L5" s="18"/>
      <c r="M5" s="18"/>
      <c r="N5" s="44"/>
      <c r="O5" s="53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ht="15" customHeight="1" x14ac:dyDescent="0.3">
      <c r="A6" s="24"/>
      <c r="B6" s="47"/>
      <c r="C6" s="47"/>
      <c r="D6" s="24" t="str">
        <f>CONCATENATE("Department ","206"," - ","Communications")</f>
        <v>Department 206 - Communications</v>
      </c>
      <c r="E6" s="18"/>
      <c r="F6" s="44"/>
      <c r="G6" s="18"/>
      <c r="H6" s="18"/>
      <c r="I6" s="18"/>
      <c r="J6" s="38"/>
      <c r="K6" s="18"/>
      <c r="L6" s="18"/>
      <c r="M6" s="18"/>
      <c r="N6" s="44"/>
      <c r="O6" s="59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ht="15" customHeight="1" x14ac:dyDescent="0.3">
      <c r="B7" s="52"/>
    </row>
    <row r="8" spans="1:26" ht="15" customHeight="1" x14ac:dyDescent="0.3">
      <c r="B8" s="52"/>
    </row>
    <row r="9" spans="1:26" ht="15" customHeight="1" x14ac:dyDescent="0.3">
      <c r="B9" s="10"/>
      <c r="C9" s="10"/>
      <c r="D9" s="17" t="s">
        <v>279</v>
      </c>
      <c r="E9" s="17"/>
      <c r="F9" s="36"/>
      <c r="G9" s="17"/>
      <c r="H9" s="17"/>
      <c r="I9" s="17"/>
      <c r="J9" s="43"/>
      <c r="K9" s="17"/>
      <c r="L9" s="17"/>
      <c r="M9" s="17"/>
      <c r="N9" s="36"/>
      <c r="P9" s="17" t="s">
        <v>280</v>
      </c>
      <c r="Q9" s="17"/>
      <c r="R9" s="36"/>
      <c r="S9" s="17"/>
      <c r="T9" s="17"/>
      <c r="U9" s="17"/>
      <c r="V9" s="43"/>
      <c r="W9" s="17"/>
      <c r="X9" s="17"/>
      <c r="Y9" s="17"/>
      <c r="Z9" s="36"/>
    </row>
    <row r="10" spans="1:26" ht="15" customHeight="1" x14ac:dyDescent="0.3">
      <c r="A10" s="11"/>
      <c r="B10" s="57"/>
      <c r="C10" s="11"/>
      <c r="D10" s="41" t="s">
        <v>281</v>
      </c>
      <c r="E10" s="33"/>
      <c r="F10" s="37" t="s">
        <v>282</v>
      </c>
      <c r="G10" s="33"/>
      <c r="H10" s="48" t="s">
        <v>283</v>
      </c>
      <c r="I10" s="33"/>
      <c r="J10" s="45" t="s">
        <v>284</v>
      </c>
      <c r="K10" s="11"/>
      <c r="L10" s="41" t="s">
        <v>285</v>
      </c>
      <c r="M10" s="11"/>
      <c r="N10" s="37" t="s">
        <v>286</v>
      </c>
      <c r="O10" s="11"/>
      <c r="P10" s="56" t="s">
        <v>281</v>
      </c>
      <c r="Q10" s="33"/>
      <c r="R10" s="37" t="s">
        <v>282</v>
      </c>
      <c r="S10" s="33"/>
      <c r="T10" s="48" t="s">
        <v>283</v>
      </c>
      <c r="U10" s="33"/>
      <c r="V10" s="45" t="s">
        <v>284</v>
      </c>
      <c r="W10" s="11"/>
      <c r="X10" s="41" t="s">
        <v>285</v>
      </c>
      <c r="Y10" s="11"/>
      <c r="Z10" s="37" t="s">
        <v>286</v>
      </c>
    </row>
    <row r="11" spans="1:26" ht="16.5" customHeight="1" x14ac:dyDescent="0.3">
      <c r="A11" s="10"/>
      <c r="B11" s="55"/>
      <c r="C11" s="10"/>
      <c r="D11" s="10"/>
      <c r="E11" s="10"/>
      <c r="F11" s="9"/>
      <c r="G11" s="10"/>
      <c r="H11" s="10"/>
      <c r="I11" s="10"/>
      <c r="J11" s="46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6"/>
      <c r="W11" s="10"/>
      <c r="X11" s="10"/>
      <c r="Y11" s="10"/>
      <c r="Z11" s="9"/>
    </row>
    <row r="12" spans="1:26" s="63" customFormat="1" ht="15" customHeight="1" x14ac:dyDescent="0.3">
      <c r="A12" s="11"/>
      <c r="B12" s="28" t="s">
        <v>287</v>
      </c>
      <c r="C12" s="11"/>
      <c r="D12" s="5">
        <f>SUM(0)</f>
        <v>0</v>
      </c>
      <c r="E12" s="5"/>
      <c r="F12" s="13"/>
      <c r="G12" s="5"/>
      <c r="H12" s="5">
        <f>SUM(0)</f>
        <v>0</v>
      </c>
      <c r="I12" s="5"/>
      <c r="J12" s="13"/>
      <c r="K12" s="5"/>
      <c r="L12" s="5">
        <f>+D12-H12</f>
        <v>0</v>
      </c>
      <c r="M12" s="5"/>
      <c r="N12" s="13">
        <f>IF(H12=0,0,L12/H12)</f>
        <v>0</v>
      </c>
      <c r="O12" s="11"/>
      <c r="P12" s="5">
        <f>SUM(0)</f>
        <v>0</v>
      </c>
      <c r="Q12" s="5"/>
      <c r="R12" s="13"/>
      <c r="S12" s="5"/>
      <c r="T12" s="5">
        <f>SUM(0)</f>
        <v>0</v>
      </c>
      <c r="U12" s="5"/>
      <c r="V12" s="13"/>
      <c r="W12" s="5"/>
      <c r="X12" s="5">
        <f>+P12-T12</f>
        <v>0</v>
      </c>
      <c r="Y12" s="5"/>
      <c r="Z12" s="13">
        <f>IF(T12=0,0,X12/T12)</f>
        <v>0</v>
      </c>
    </row>
    <row r="13" spans="1:26" ht="15" customHeight="1" x14ac:dyDescent="0.3">
      <c r="A13" s="10"/>
      <c r="B13" s="11"/>
      <c r="C13" s="10"/>
      <c r="D13" s="4"/>
      <c r="E13" s="4"/>
      <c r="F13" s="9"/>
      <c r="G13" s="4"/>
      <c r="H13" s="4"/>
      <c r="I13" s="4"/>
      <c r="J13" s="9"/>
      <c r="K13" s="4"/>
      <c r="L13" s="4"/>
      <c r="M13" s="4"/>
      <c r="N13" s="9"/>
      <c r="P13" s="4"/>
      <c r="Q13" s="4"/>
      <c r="R13" s="9"/>
      <c r="S13" s="4"/>
      <c r="T13" s="4"/>
      <c r="U13" s="4"/>
      <c r="V13" s="9"/>
      <c r="W13" s="4"/>
      <c r="X13" s="4"/>
      <c r="Y13" s="4"/>
      <c r="Z13" s="9"/>
    </row>
    <row r="14" spans="1:26" s="63" customFormat="1" ht="15" customHeight="1" x14ac:dyDescent="0.3">
      <c r="A14" s="11"/>
      <c r="B14" s="28" t="s">
        <v>288</v>
      </c>
      <c r="C14" s="11"/>
      <c r="D14" s="5">
        <f>SUM(0)</f>
        <v>0</v>
      </c>
      <c r="E14" s="5"/>
      <c r="F14" s="13">
        <f>IF(D$12=0,0,D14/D$12)</f>
        <v>0</v>
      </c>
      <c r="G14" s="5"/>
      <c r="H14" s="5">
        <f>SUM(0)</f>
        <v>0</v>
      </c>
      <c r="I14" s="5"/>
      <c r="J14" s="13">
        <f>IF(H$12=0,0,H14/H$12)</f>
        <v>0</v>
      </c>
      <c r="K14" s="5"/>
      <c r="L14" s="5">
        <f>+D14-H14</f>
        <v>0</v>
      </c>
      <c r="M14" s="5"/>
      <c r="N14" s="13">
        <f>IF(H14=0,0,L14/H14)</f>
        <v>0</v>
      </c>
      <c r="O14" s="11"/>
      <c r="P14" s="5">
        <f>SUM(0)</f>
        <v>0</v>
      </c>
      <c r="Q14" s="5"/>
      <c r="R14" s="13">
        <f>IF(P$12=0,0,P14/P$12)</f>
        <v>0</v>
      </c>
      <c r="S14" s="5"/>
      <c r="T14" s="5">
        <f>SUM(0)</f>
        <v>0</v>
      </c>
      <c r="U14" s="5"/>
      <c r="V14" s="13">
        <f>IF(T$12=0,0,T14/T$12)</f>
        <v>0</v>
      </c>
      <c r="W14" s="5"/>
      <c r="X14" s="5">
        <f>+P14-T14</f>
        <v>0</v>
      </c>
      <c r="Y14" s="5"/>
      <c r="Z14" s="13">
        <f>IF(T14=0,0,X14/T14)</f>
        <v>0</v>
      </c>
    </row>
    <row r="15" spans="1:26" ht="15" customHeight="1" x14ac:dyDescent="0.3">
      <c r="A15" s="10"/>
      <c r="B15" s="11"/>
      <c r="C15" s="11"/>
      <c r="D15" s="4"/>
      <c r="E15" s="4"/>
      <c r="F15" s="9"/>
      <c r="G15" s="4"/>
      <c r="H15" s="4"/>
      <c r="I15" s="4"/>
      <c r="J15" s="9"/>
      <c r="K15" s="4"/>
      <c r="L15" s="4"/>
      <c r="M15" s="4"/>
      <c r="N15" s="9"/>
      <c r="O15" s="11"/>
      <c r="P15" s="4"/>
      <c r="Q15" s="4"/>
      <c r="R15" s="9"/>
      <c r="S15" s="4"/>
      <c r="T15" s="4"/>
      <c r="U15" s="4"/>
      <c r="V15" s="9"/>
      <c r="W15" s="4"/>
      <c r="X15" s="4"/>
      <c r="Y15" s="4"/>
      <c r="Z15" s="9"/>
    </row>
    <row r="16" spans="1:26" s="63" customFormat="1" ht="15" customHeight="1" x14ac:dyDescent="0.3">
      <c r="A16" s="11"/>
      <c r="B16" s="27" t="s">
        <v>289</v>
      </c>
      <c r="C16" s="27"/>
      <c r="D16" s="21">
        <f>D12-D14</f>
        <v>0</v>
      </c>
      <c r="E16" s="15"/>
      <c r="F16" s="23">
        <f>IF(D$12=0,0,D16/D$12)</f>
        <v>0</v>
      </c>
      <c r="G16" s="15"/>
      <c r="H16" s="21">
        <f>H12-H14</f>
        <v>0</v>
      </c>
      <c r="I16" s="15"/>
      <c r="J16" s="23">
        <f>IF(H$12=0,0,H16/H$12)</f>
        <v>0</v>
      </c>
      <c r="K16" s="16"/>
      <c r="L16" s="21">
        <f>+D16-H16</f>
        <v>0</v>
      </c>
      <c r="M16" s="16"/>
      <c r="N16" s="23">
        <f>IF(H16=0,0,L16/H16)</f>
        <v>0</v>
      </c>
      <c r="O16" s="28"/>
      <c r="P16" s="21">
        <f>P12-P14</f>
        <v>0</v>
      </c>
      <c r="Q16" s="15"/>
      <c r="R16" s="23">
        <f>IF(P$12=0,0,P16/P$12)</f>
        <v>0</v>
      </c>
      <c r="S16" s="15"/>
      <c r="T16" s="21">
        <f>T12-T14</f>
        <v>0</v>
      </c>
      <c r="U16" s="15"/>
      <c r="V16" s="23">
        <f>IF(T$12=0,0,T16/T$12)</f>
        <v>0</v>
      </c>
      <c r="W16" s="16"/>
      <c r="X16" s="21">
        <f>+P16-T16</f>
        <v>0</v>
      </c>
      <c r="Y16" s="16"/>
      <c r="Z16" s="23">
        <f>IF(T16=0,0,X16/T16)</f>
        <v>0</v>
      </c>
    </row>
    <row r="17" spans="1:26" ht="15" customHeight="1" x14ac:dyDescent="0.3">
      <c r="A17" s="10"/>
      <c r="B17" s="11"/>
      <c r="C17" s="10"/>
      <c r="D17" s="2"/>
      <c r="E17" s="2"/>
      <c r="F17" s="6"/>
      <c r="G17" s="2"/>
      <c r="H17" s="2"/>
      <c r="I17" s="2"/>
      <c r="J17" s="6"/>
      <c r="K17" s="2"/>
      <c r="L17" s="2"/>
      <c r="M17" s="2"/>
      <c r="N17" s="6"/>
      <c r="O17" s="35"/>
      <c r="P17" s="2"/>
      <c r="Q17" s="2"/>
      <c r="R17" s="6"/>
      <c r="S17" s="2"/>
      <c r="T17" s="2"/>
      <c r="U17" s="2"/>
      <c r="V17" s="6"/>
      <c r="W17" s="2"/>
      <c r="X17" s="2"/>
      <c r="Y17" s="2"/>
      <c r="Z17" s="6"/>
    </row>
    <row r="18" spans="1:26" s="63" customFormat="1" ht="15" customHeight="1" x14ac:dyDescent="0.3">
      <c r="A18" s="11"/>
      <c r="B18" s="28" t="s">
        <v>290</v>
      </c>
      <c r="C18" s="11"/>
      <c r="D18" s="22" cm="1">
        <f t="array" ref="D18">SUM(OSRRefD22x_0)</f>
        <v>9673.34</v>
      </c>
      <c r="E18" s="22"/>
      <c r="F18" s="30">
        <f t="shared" ref="F18:F53" si="0">IF(D$12=0,0,D18/D$12)</f>
        <v>0</v>
      </c>
      <c r="G18" s="22"/>
      <c r="H18" s="22" cm="1">
        <f t="array" ref="H18">SUM(OSRRefH22x_0)</f>
        <v>12236.75742769231</v>
      </c>
      <c r="I18" s="22"/>
      <c r="J18" s="30">
        <f t="shared" ref="J18:J53" si="1">IF(H$12=0,0,H18/H$12)</f>
        <v>0</v>
      </c>
      <c r="K18" s="5"/>
      <c r="L18" s="22">
        <f t="shared" ref="L18:L53" si="2">+D18-H18</f>
        <v>-2563.4174276923095</v>
      </c>
      <c r="M18" s="5"/>
      <c r="N18" s="30">
        <f t="shared" ref="N18:N53" si="3">IF(H18=0,0,L18/H18)</f>
        <v>-0.20948502434894928</v>
      </c>
      <c r="O18" s="11"/>
      <c r="P18" s="22" cm="1">
        <f t="array" ref="P18">SUM(OSRRefP22x_0)</f>
        <v>78067.559999999983</v>
      </c>
      <c r="Q18" s="22"/>
      <c r="R18" s="30">
        <f t="shared" ref="R18:R53" si="4">IF(P$12=0,0,P18/P$12)</f>
        <v>0</v>
      </c>
      <c r="S18" s="22"/>
      <c r="T18" s="22" cm="1">
        <f t="array" ref="T18">SUM(OSRRefT22x_0)</f>
        <v>119297.11452</v>
      </c>
      <c r="U18" s="22"/>
      <c r="V18" s="30">
        <f t="shared" ref="V18:V53" si="5">IF(T$12=0,0,T18/T$12)</f>
        <v>0</v>
      </c>
      <c r="W18" s="5"/>
      <c r="X18" s="22">
        <f t="shared" ref="X18:X53" si="6">+P18-T18</f>
        <v>-41229.55452000002</v>
      </c>
      <c r="Y18" s="5"/>
      <c r="Z18" s="30">
        <f t="shared" ref="Z18:Z53" si="7">IF(T18=0,0,X18/T18)</f>
        <v>-0.34560395434449454</v>
      </c>
    </row>
    <row r="19" spans="1:26" s="69" customFormat="1" ht="15" customHeight="1" outlineLevel="1" collapsed="1" x14ac:dyDescent="0.3">
      <c r="A19" s="25"/>
      <c r="B19" s="14" t="str">
        <f>CONCATENATE("     ","*Benefits                                         ")</f>
        <v xml:space="preserve">     *Benefits                                         </v>
      </c>
      <c r="C19" s="14"/>
      <c r="D19" s="2">
        <f>SUM(OSRRefD22_0x_0)</f>
        <v>1507.9</v>
      </c>
      <c r="E19" s="2"/>
      <c r="F19" s="6">
        <f t="shared" si="0"/>
        <v>0</v>
      </c>
      <c r="G19" s="2"/>
      <c r="H19" s="2">
        <f>SUM(OSRRefH22_0x_0)</f>
        <v>2192.0774276923098</v>
      </c>
      <c r="I19" s="2"/>
      <c r="J19" s="6">
        <f t="shared" si="1"/>
        <v>0</v>
      </c>
      <c r="K19" s="2"/>
      <c r="L19" s="2">
        <f t="shared" si="2"/>
        <v>-684.17742769230972</v>
      </c>
      <c r="M19" s="2"/>
      <c r="N19" s="6">
        <f t="shared" si="3"/>
        <v>-0.31211371416408928</v>
      </c>
      <c r="O19" s="14"/>
      <c r="P19" s="2">
        <f>SUM(OSRRefP22_0x_0)</f>
        <v>15893.15</v>
      </c>
      <c r="Q19" s="2"/>
      <c r="R19" s="6">
        <f t="shared" si="4"/>
        <v>0</v>
      </c>
      <c r="S19" s="2"/>
      <c r="T19" s="2">
        <f>SUM(OSRRefT22_0x_0)</f>
        <v>21878.234520000002</v>
      </c>
      <c r="U19" s="2"/>
      <c r="V19" s="6">
        <f t="shared" si="5"/>
        <v>0</v>
      </c>
      <c r="W19" s="2"/>
      <c r="X19" s="2">
        <f t="shared" si="6"/>
        <v>-5985.0845200000022</v>
      </c>
      <c r="Y19" s="2"/>
      <c r="Z19" s="6">
        <f t="shared" si="7"/>
        <v>-0.27356341365336101</v>
      </c>
    </row>
    <row r="20" spans="1:26" s="70" customFormat="1" ht="15" hidden="1" customHeight="1" outlineLevel="2" x14ac:dyDescent="0.3">
      <c r="A20" s="26"/>
      <c r="B20" s="12" t="str">
        <f>CONCATENATE("          ","6111"," - ","F.I.C.A.")</f>
        <v xml:space="preserve">          6111 - F.I.C.A.</v>
      </c>
      <c r="C20" s="12"/>
      <c r="D20" s="7">
        <v>619.17999999999995</v>
      </c>
      <c r="E20" s="3"/>
      <c r="F20" s="8">
        <f t="shared" si="0"/>
        <v>0</v>
      </c>
      <c r="G20" s="3"/>
      <c r="H20" s="7">
        <v>378.36432000000002</v>
      </c>
      <c r="I20" s="3"/>
      <c r="J20" s="8">
        <f t="shared" si="1"/>
        <v>0</v>
      </c>
      <c r="K20" s="3"/>
      <c r="L20" s="7">
        <f t="shared" si="2"/>
        <v>240.81567999999993</v>
      </c>
      <c r="M20" s="3"/>
      <c r="N20" s="8">
        <f t="shared" si="3"/>
        <v>0.6364650874057044</v>
      </c>
      <c r="O20" s="12"/>
      <c r="P20" s="7">
        <v>3997.23</v>
      </c>
      <c r="Q20" s="3"/>
      <c r="R20" s="8">
        <f t="shared" si="4"/>
        <v>0</v>
      </c>
      <c r="S20" s="3"/>
      <c r="T20" s="7">
        <v>4325.78172</v>
      </c>
      <c r="U20" s="3"/>
      <c r="V20" s="8">
        <f t="shared" si="5"/>
        <v>0</v>
      </c>
      <c r="W20" s="3"/>
      <c r="X20" s="7">
        <f t="shared" si="6"/>
        <v>-328.55171999999993</v>
      </c>
      <c r="Y20" s="3"/>
      <c r="Z20" s="8">
        <f t="shared" si="7"/>
        <v>-7.5951987702236615E-2</v>
      </c>
    </row>
    <row r="21" spans="1:26" s="70" customFormat="1" ht="15" hidden="1" customHeight="1" outlineLevel="2" x14ac:dyDescent="0.3">
      <c r="A21" s="26"/>
      <c r="B21" s="12" t="str">
        <f>CONCATENATE("          ","6112"," - ","COMPENSATION INSURANCE")</f>
        <v xml:space="preserve">          6112 - COMPENSATION INSURANCE</v>
      </c>
      <c r="C21" s="12"/>
      <c r="D21" s="7">
        <v>104.27</v>
      </c>
      <c r="E21" s="3"/>
      <c r="F21" s="8">
        <f t="shared" si="0"/>
        <v>0</v>
      </c>
      <c r="G21" s="3"/>
      <c r="H21" s="7">
        <v>23.2624</v>
      </c>
      <c r="I21" s="3"/>
      <c r="J21" s="8">
        <f t="shared" si="1"/>
        <v>0</v>
      </c>
      <c r="K21" s="3"/>
      <c r="L21" s="7">
        <f t="shared" si="2"/>
        <v>81.007599999999996</v>
      </c>
      <c r="M21" s="3"/>
      <c r="N21" s="8">
        <f t="shared" si="3"/>
        <v>3.4823406011417566</v>
      </c>
      <c r="O21" s="12"/>
      <c r="P21" s="7">
        <v>773.4</v>
      </c>
      <c r="Q21" s="3"/>
      <c r="R21" s="8">
        <f t="shared" si="4"/>
        <v>0</v>
      </c>
      <c r="S21" s="3"/>
      <c r="T21" s="7">
        <v>226.80840000000001</v>
      </c>
      <c r="U21" s="3"/>
      <c r="V21" s="8">
        <f t="shared" si="5"/>
        <v>0</v>
      </c>
      <c r="W21" s="3"/>
      <c r="X21" s="7">
        <f t="shared" si="6"/>
        <v>546.59159999999997</v>
      </c>
      <c r="Y21" s="3"/>
      <c r="Z21" s="8">
        <f t="shared" si="7"/>
        <v>2.4099266164745221</v>
      </c>
    </row>
    <row r="22" spans="1:26" s="70" customFormat="1" ht="15" hidden="1" customHeight="1" outlineLevel="2" x14ac:dyDescent="0.3">
      <c r="A22" s="26"/>
      <c r="B22" s="12" t="str">
        <f>CONCATENATE("          ","6113"," - ","GROUP INSURANCE")</f>
        <v xml:space="preserve">          6113 - GROUP INSURANCE</v>
      </c>
      <c r="C22" s="12"/>
      <c r="D22" s="7">
        <v>39.83</v>
      </c>
      <c r="E22" s="3"/>
      <c r="F22" s="8">
        <f t="shared" si="0"/>
        <v>0</v>
      </c>
      <c r="G22" s="3"/>
      <c r="H22" s="7">
        <v>1275.6923076923099</v>
      </c>
      <c r="I22" s="3"/>
      <c r="J22" s="8">
        <f t="shared" si="1"/>
        <v>0</v>
      </c>
      <c r="K22" s="3"/>
      <c r="L22" s="7">
        <f t="shared" si="2"/>
        <v>-1235.86230769231</v>
      </c>
      <c r="M22" s="3"/>
      <c r="N22" s="8">
        <f t="shared" si="3"/>
        <v>-0.96877773757838892</v>
      </c>
      <c r="O22" s="12"/>
      <c r="P22" s="7">
        <v>4335.96</v>
      </c>
      <c r="Q22" s="3"/>
      <c r="R22" s="8">
        <f t="shared" si="4"/>
        <v>0</v>
      </c>
      <c r="S22" s="3"/>
      <c r="T22" s="7">
        <v>12438</v>
      </c>
      <c r="U22" s="3"/>
      <c r="V22" s="8">
        <f t="shared" si="5"/>
        <v>0</v>
      </c>
      <c r="W22" s="3"/>
      <c r="X22" s="7">
        <f t="shared" si="6"/>
        <v>-8102.04</v>
      </c>
      <c r="Y22" s="3"/>
      <c r="Z22" s="8">
        <f t="shared" si="7"/>
        <v>-0.65139411480945486</v>
      </c>
    </row>
    <row r="23" spans="1:26" s="70" customFormat="1" ht="15" hidden="1" customHeight="1" outlineLevel="2" x14ac:dyDescent="0.3">
      <c r="A23" s="26"/>
      <c r="B23" s="12" t="str">
        <f>CONCATENATE("          ","6114"," - ","STATE UNEMPLOYMENT INSURANCE")</f>
        <v xml:space="preserve">          6114 - STATE UNEMPLOYMENT INSURANCE</v>
      </c>
      <c r="C23" s="12"/>
      <c r="D23" s="7">
        <v>21.02</v>
      </c>
      <c r="E23" s="3"/>
      <c r="F23" s="8">
        <f t="shared" si="0"/>
        <v>0</v>
      </c>
      <c r="G23" s="3"/>
      <c r="H23" s="7">
        <v>15.7584</v>
      </c>
      <c r="I23" s="3"/>
      <c r="J23" s="8">
        <f t="shared" si="1"/>
        <v>0</v>
      </c>
      <c r="K23" s="3"/>
      <c r="L23" s="7">
        <f t="shared" si="2"/>
        <v>5.2615999999999996</v>
      </c>
      <c r="M23" s="3"/>
      <c r="N23" s="8">
        <f t="shared" si="3"/>
        <v>0.33389176566148843</v>
      </c>
      <c r="O23" s="12"/>
      <c r="P23" s="7">
        <v>155.88999999999999</v>
      </c>
      <c r="Q23" s="3"/>
      <c r="R23" s="8">
        <f t="shared" si="4"/>
        <v>0</v>
      </c>
      <c r="S23" s="3"/>
      <c r="T23" s="7">
        <v>153.64439999999999</v>
      </c>
      <c r="U23" s="3"/>
      <c r="V23" s="8">
        <f t="shared" si="5"/>
        <v>0</v>
      </c>
      <c r="W23" s="3"/>
      <c r="X23" s="7">
        <f t="shared" si="6"/>
        <v>2.245599999999996</v>
      </c>
      <c r="Y23" s="3"/>
      <c r="Z23" s="8">
        <f t="shared" si="7"/>
        <v>1.46155668543728E-2</v>
      </c>
    </row>
    <row r="24" spans="1:26" s="70" customFormat="1" ht="15" hidden="1" customHeight="1" outlineLevel="2" x14ac:dyDescent="0.3">
      <c r="A24" s="26"/>
      <c r="B24" s="12" t="str">
        <f>CONCATENATE("          ","6115"," - ","P.E.R.S.")</f>
        <v xml:space="preserve">          6115 - P.E.R.S.</v>
      </c>
      <c r="C24" s="12"/>
      <c r="D24" s="7"/>
      <c r="E24" s="3"/>
      <c r="F24" s="8">
        <f t="shared" si="0"/>
        <v>0</v>
      </c>
      <c r="G24" s="3"/>
      <c r="H24" s="7">
        <v>0</v>
      </c>
      <c r="I24" s="3"/>
      <c r="J24" s="8">
        <f t="shared" si="1"/>
        <v>0</v>
      </c>
      <c r="K24" s="3"/>
      <c r="L24" s="7">
        <f t="shared" si="2"/>
        <v>0</v>
      </c>
      <c r="M24" s="3"/>
      <c r="N24" s="8">
        <f t="shared" si="3"/>
        <v>0</v>
      </c>
      <c r="O24" s="12"/>
      <c r="P24" s="7"/>
      <c r="Q24" s="3"/>
      <c r="R24" s="8">
        <f t="shared" si="4"/>
        <v>0</v>
      </c>
      <c r="S24" s="3"/>
      <c r="T24" s="7">
        <v>0</v>
      </c>
      <c r="U24" s="3"/>
      <c r="V24" s="8">
        <f t="shared" si="5"/>
        <v>0</v>
      </c>
      <c r="W24" s="3"/>
      <c r="X24" s="7">
        <f t="shared" si="6"/>
        <v>0</v>
      </c>
      <c r="Y24" s="3"/>
      <c r="Z24" s="8">
        <f t="shared" si="7"/>
        <v>0</v>
      </c>
    </row>
    <row r="25" spans="1:26" s="70" customFormat="1" ht="15" hidden="1" customHeight="1" outlineLevel="2" x14ac:dyDescent="0.3">
      <c r="A25" s="26"/>
      <c r="B25" s="12" t="str">
        <f>CONCATENATE("          ","6116"," - ","EDUCATIONAL BENEFITS")</f>
        <v xml:space="preserve">          6116 - EDUCATIONAL BENEFITS</v>
      </c>
      <c r="C25" s="12"/>
      <c r="D25" s="7"/>
      <c r="E25" s="3"/>
      <c r="F25" s="8">
        <f t="shared" si="0"/>
        <v>0</v>
      </c>
      <c r="G25" s="3"/>
      <c r="H25" s="7">
        <v>0</v>
      </c>
      <c r="I25" s="3"/>
      <c r="J25" s="8">
        <f t="shared" si="1"/>
        <v>0</v>
      </c>
      <c r="K25" s="3"/>
      <c r="L25" s="7">
        <f t="shared" si="2"/>
        <v>0</v>
      </c>
      <c r="M25" s="3"/>
      <c r="N25" s="8">
        <f t="shared" si="3"/>
        <v>0</v>
      </c>
      <c r="O25" s="12"/>
      <c r="P25" s="7"/>
      <c r="Q25" s="3"/>
      <c r="R25" s="8">
        <f t="shared" si="4"/>
        <v>0</v>
      </c>
      <c r="S25" s="3"/>
      <c r="T25" s="7">
        <v>0</v>
      </c>
      <c r="U25" s="3"/>
      <c r="V25" s="8">
        <f t="shared" si="5"/>
        <v>0</v>
      </c>
      <c r="W25" s="3"/>
      <c r="X25" s="7">
        <f t="shared" si="6"/>
        <v>0</v>
      </c>
      <c r="Y25" s="3"/>
      <c r="Z25" s="8">
        <f t="shared" si="7"/>
        <v>0</v>
      </c>
    </row>
    <row r="26" spans="1:26" s="70" customFormat="1" ht="15" hidden="1" customHeight="1" outlineLevel="2" x14ac:dyDescent="0.3">
      <c r="A26" s="26"/>
      <c r="B26" s="12" t="str">
        <f>CONCATENATE("          ","6118"," - ","VACATION")</f>
        <v xml:space="preserve">          6118 - VACATION</v>
      </c>
      <c r="C26" s="12"/>
      <c r="D26" s="7">
        <v>287.66000000000003</v>
      </c>
      <c r="E26" s="3"/>
      <c r="F26" s="8">
        <f t="shared" si="0"/>
        <v>0</v>
      </c>
      <c r="G26" s="3"/>
      <c r="H26" s="7">
        <v>148.32</v>
      </c>
      <c r="I26" s="3"/>
      <c r="J26" s="8">
        <f t="shared" si="1"/>
        <v>0</v>
      </c>
      <c r="K26" s="3"/>
      <c r="L26" s="7">
        <f t="shared" si="2"/>
        <v>139.34000000000003</v>
      </c>
      <c r="M26" s="3"/>
      <c r="N26" s="8">
        <f t="shared" si="3"/>
        <v>0.93945523193096037</v>
      </c>
      <c r="O26" s="12"/>
      <c r="P26" s="7">
        <v>2739.8</v>
      </c>
      <c r="Q26" s="3"/>
      <c r="R26" s="8">
        <f t="shared" si="4"/>
        <v>0</v>
      </c>
      <c r="S26" s="3"/>
      <c r="T26" s="7">
        <v>1446.12</v>
      </c>
      <c r="U26" s="3"/>
      <c r="V26" s="8">
        <f t="shared" si="5"/>
        <v>0</v>
      </c>
      <c r="W26" s="3"/>
      <c r="X26" s="7">
        <f t="shared" si="6"/>
        <v>1293.6800000000003</v>
      </c>
      <c r="Y26" s="3"/>
      <c r="Z26" s="8">
        <f t="shared" si="7"/>
        <v>0.89458689458689489</v>
      </c>
    </row>
    <row r="27" spans="1:26" s="70" customFormat="1" ht="15" hidden="1" customHeight="1" outlineLevel="2" x14ac:dyDescent="0.3">
      <c r="A27" s="26"/>
      <c r="B27" s="12" t="str">
        <f>CONCATENATE("          ","6119"," - ","SICK LEAVE")</f>
        <v xml:space="preserve">          6119 - SICK LEAVE</v>
      </c>
      <c r="C27" s="12"/>
      <c r="D27" s="7">
        <v>230.26</v>
      </c>
      <c r="E27" s="3"/>
      <c r="F27" s="8">
        <f t="shared" si="0"/>
        <v>0</v>
      </c>
      <c r="G27" s="3"/>
      <c r="H27" s="7">
        <v>175.68</v>
      </c>
      <c r="I27" s="3"/>
      <c r="J27" s="8">
        <f t="shared" si="1"/>
        <v>0</v>
      </c>
      <c r="K27" s="3"/>
      <c r="L27" s="7">
        <f t="shared" si="2"/>
        <v>54.579999999999984</v>
      </c>
      <c r="M27" s="3"/>
      <c r="N27" s="8">
        <f t="shared" si="3"/>
        <v>0.31067850637522759</v>
      </c>
      <c r="O27" s="12"/>
      <c r="P27" s="7">
        <v>2457.0100000000002</v>
      </c>
      <c r="Q27" s="3"/>
      <c r="R27" s="8">
        <f t="shared" si="4"/>
        <v>0</v>
      </c>
      <c r="S27" s="3"/>
      <c r="T27" s="7">
        <v>1712.88</v>
      </c>
      <c r="U27" s="3"/>
      <c r="V27" s="8">
        <f t="shared" si="5"/>
        <v>0</v>
      </c>
      <c r="W27" s="3"/>
      <c r="X27" s="7">
        <f t="shared" si="6"/>
        <v>744.13000000000011</v>
      </c>
      <c r="Y27" s="3"/>
      <c r="Z27" s="8">
        <f t="shared" si="7"/>
        <v>0.434432067628789</v>
      </c>
    </row>
    <row r="28" spans="1:26" s="70" customFormat="1" ht="15" hidden="1" customHeight="1" outlineLevel="2" x14ac:dyDescent="0.3">
      <c r="A28" s="26"/>
      <c r="B28" s="12" t="str">
        <f>CONCATENATE("          ","6156"," - ","EMPLOYEE MEALS")</f>
        <v xml:space="preserve">          6156 - EMPLOYEE MEALS</v>
      </c>
      <c r="C28" s="12"/>
      <c r="D28" s="7">
        <v>205.68</v>
      </c>
      <c r="E28" s="3"/>
      <c r="F28" s="8">
        <f t="shared" si="0"/>
        <v>0</v>
      </c>
      <c r="G28" s="3"/>
      <c r="H28" s="7">
        <v>175</v>
      </c>
      <c r="I28" s="3"/>
      <c r="J28" s="8">
        <f t="shared" si="1"/>
        <v>0</v>
      </c>
      <c r="K28" s="3"/>
      <c r="L28" s="7">
        <f t="shared" si="2"/>
        <v>30.680000000000007</v>
      </c>
      <c r="M28" s="3"/>
      <c r="N28" s="8">
        <f t="shared" si="3"/>
        <v>0.17531428571428576</v>
      </c>
      <c r="O28" s="12"/>
      <c r="P28" s="7">
        <v>1433.86</v>
      </c>
      <c r="Q28" s="3"/>
      <c r="R28" s="8">
        <f t="shared" si="4"/>
        <v>0</v>
      </c>
      <c r="S28" s="3"/>
      <c r="T28" s="7">
        <v>1575</v>
      </c>
      <c r="U28" s="3"/>
      <c r="V28" s="8">
        <f t="shared" si="5"/>
        <v>0</v>
      </c>
      <c r="W28" s="3"/>
      <c r="X28" s="7">
        <f t="shared" si="6"/>
        <v>-141.1400000000001</v>
      </c>
      <c r="Y28" s="3"/>
      <c r="Z28" s="8">
        <f t="shared" si="7"/>
        <v>-8.9612698412698477E-2</v>
      </c>
    </row>
    <row r="29" spans="1:26" s="69" customFormat="1" ht="15" customHeight="1" outlineLevel="1" collapsed="1" x14ac:dyDescent="0.3">
      <c r="A29" s="25"/>
      <c r="B29" s="14" t="str">
        <f>CONCATENATE("     ","*Payroll                                          ")</f>
        <v xml:space="preserve">     *Payroll                                          </v>
      </c>
      <c r="C29" s="14"/>
      <c r="D29" s="2">
        <f>SUM(OSRRefD22_1x_0)</f>
        <v>7892.89</v>
      </c>
      <c r="E29" s="2"/>
      <c r="F29" s="6">
        <f t="shared" si="0"/>
        <v>0</v>
      </c>
      <c r="G29" s="2"/>
      <c r="H29" s="2">
        <f>SUM(OSRRefH22_1x_0)</f>
        <v>7355.68</v>
      </c>
      <c r="I29" s="2"/>
      <c r="J29" s="6">
        <f t="shared" si="1"/>
        <v>0</v>
      </c>
      <c r="K29" s="2"/>
      <c r="L29" s="2">
        <f t="shared" si="2"/>
        <v>537.21</v>
      </c>
      <c r="M29" s="2"/>
      <c r="N29" s="6">
        <f t="shared" si="3"/>
        <v>7.303335653535771E-2</v>
      </c>
      <c r="O29" s="14"/>
      <c r="P29" s="2">
        <f>SUM(OSRRefP22_1x_0)</f>
        <v>60025.489999999991</v>
      </c>
      <c r="Q29" s="2"/>
      <c r="R29" s="6">
        <f t="shared" si="4"/>
        <v>0</v>
      </c>
      <c r="S29" s="2"/>
      <c r="T29" s="2">
        <f>SUM(OSRRefT22_1x_0)</f>
        <v>71717.88</v>
      </c>
      <c r="U29" s="2"/>
      <c r="V29" s="6">
        <f t="shared" si="5"/>
        <v>0</v>
      </c>
      <c r="W29" s="2"/>
      <c r="X29" s="2">
        <f t="shared" si="6"/>
        <v>-11692.390000000014</v>
      </c>
      <c r="Y29" s="2"/>
      <c r="Z29" s="6">
        <f t="shared" si="7"/>
        <v>-0.16303312367850267</v>
      </c>
    </row>
    <row r="30" spans="1:26" s="70" customFormat="1" ht="15" hidden="1" customHeight="1" outlineLevel="2" x14ac:dyDescent="0.3">
      <c r="A30" s="26"/>
      <c r="B30" s="12" t="str">
        <f>CONCATENATE("          ","6001"," - ","ADMINISTRATIVE SALARIES")</f>
        <v xml:space="preserve">          6001 - ADMINISTRATIVE SALARIES</v>
      </c>
      <c r="C30" s="12"/>
      <c r="D30" s="7"/>
      <c r="E30" s="3"/>
      <c r="F30" s="8">
        <f t="shared" si="0"/>
        <v>0</v>
      </c>
      <c r="G30" s="3"/>
      <c r="H30" s="7">
        <v>0</v>
      </c>
      <c r="I30" s="3"/>
      <c r="J30" s="8">
        <f t="shared" si="1"/>
        <v>0</v>
      </c>
      <c r="K30" s="3"/>
      <c r="L30" s="7">
        <f t="shared" si="2"/>
        <v>0</v>
      </c>
      <c r="M30" s="3"/>
      <c r="N30" s="8">
        <f t="shared" si="3"/>
        <v>0</v>
      </c>
      <c r="O30" s="12"/>
      <c r="P30" s="7"/>
      <c r="Q30" s="3"/>
      <c r="R30" s="8">
        <f t="shared" si="4"/>
        <v>0</v>
      </c>
      <c r="S30" s="3"/>
      <c r="T30" s="7">
        <v>0</v>
      </c>
      <c r="U30" s="3"/>
      <c r="V30" s="8">
        <f t="shared" si="5"/>
        <v>0</v>
      </c>
      <c r="W30" s="3"/>
      <c r="X30" s="7">
        <f t="shared" si="6"/>
        <v>0</v>
      </c>
      <c r="Y30" s="3"/>
      <c r="Z30" s="8">
        <f t="shared" si="7"/>
        <v>0</v>
      </c>
    </row>
    <row r="31" spans="1:26" s="70" customFormat="1" ht="15" hidden="1" customHeight="1" outlineLevel="2" x14ac:dyDescent="0.3">
      <c r="A31" s="26"/>
      <c r="B31" s="12" t="str">
        <f>CONCATENATE("          ","6002"," - ","STAFF SALARIES")</f>
        <v xml:space="preserve">          6002 - STAFF SALARIES</v>
      </c>
      <c r="C31" s="12"/>
      <c r="D31" s="7"/>
      <c r="E31" s="3"/>
      <c r="F31" s="8">
        <f t="shared" si="0"/>
        <v>0</v>
      </c>
      <c r="G31" s="3"/>
      <c r="H31" s="7">
        <v>0</v>
      </c>
      <c r="I31" s="3"/>
      <c r="J31" s="8">
        <f t="shared" si="1"/>
        <v>0</v>
      </c>
      <c r="K31" s="3"/>
      <c r="L31" s="7">
        <f t="shared" si="2"/>
        <v>0</v>
      </c>
      <c r="M31" s="3"/>
      <c r="N31" s="8">
        <f t="shared" si="3"/>
        <v>0</v>
      </c>
      <c r="O31" s="12"/>
      <c r="P31" s="7"/>
      <c r="Q31" s="3"/>
      <c r="R31" s="8">
        <f t="shared" si="4"/>
        <v>0</v>
      </c>
      <c r="S31" s="3"/>
      <c r="T31" s="7">
        <v>0</v>
      </c>
      <c r="U31" s="3"/>
      <c r="V31" s="8">
        <f t="shared" si="5"/>
        <v>0</v>
      </c>
      <c r="W31" s="3"/>
      <c r="X31" s="7">
        <f t="shared" si="6"/>
        <v>0</v>
      </c>
      <c r="Y31" s="3"/>
      <c r="Z31" s="8">
        <f t="shared" si="7"/>
        <v>0</v>
      </c>
    </row>
    <row r="32" spans="1:26" s="70" customFormat="1" ht="15" hidden="1" customHeight="1" outlineLevel="2" x14ac:dyDescent="0.3">
      <c r="A32" s="26"/>
      <c r="B32" s="12" t="str">
        <f>CONCATENATE("          ","6003"," - ","STAFF HOURLY-9 MONTH")</f>
        <v xml:space="preserve">          6003 - STAFF HOURLY-9 MONTH</v>
      </c>
      <c r="C32" s="12"/>
      <c r="D32" s="7"/>
      <c r="E32" s="3"/>
      <c r="F32" s="8">
        <f t="shared" si="0"/>
        <v>0</v>
      </c>
      <c r="G32" s="3"/>
      <c r="H32" s="7">
        <v>0</v>
      </c>
      <c r="I32" s="3"/>
      <c r="J32" s="8">
        <f t="shared" si="1"/>
        <v>0</v>
      </c>
      <c r="K32" s="3"/>
      <c r="L32" s="7">
        <f t="shared" si="2"/>
        <v>0</v>
      </c>
      <c r="M32" s="3"/>
      <c r="N32" s="8">
        <f t="shared" si="3"/>
        <v>0</v>
      </c>
      <c r="O32" s="12"/>
      <c r="P32" s="7"/>
      <c r="Q32" s="3"/>
      <c r="R32" s="8">
        <f t="shared" si="4"/>
        <v>0</v>
      </c>
      <c r="S32" s="3"/>
      <c r="T32" s="7">
        <v>0</v>
      </c>
      <c r="U32" s="3"/>
      <c r="V32" s="8">
        <f t="shared" si="5"/>
        <v>0</v>
      </c>
      <c r="W32" s="3"/>
      <c r="X32" s="7">
        <f t="shared" si="6"/>
        <v>0</v>
      </c>
      <c r="Y32" s="3"/>
      <c r="Z32" s="8">
        <f t="shared" si="7"/>
        <v>0</v>
      </c>
    </row>
    <row r="33" spans="1:26" s="70" customFormat="1" ht="15" hidden="1" customHeight="1" outlineLevel="2" x14ac:dyDescent="0.3">
      <c r="A33" s="26"/>
      <c r="B33" s="12" t="str">
        <f>CONCATENATE("          ","6004"," - ","STAFF HOURLY")</f>
        <v xml:space="preserve">          6004 - STAFF HOURLY</v>
      </c>
      <c r="C33" s="12"/>
      <c r="D33" s="7">
        <v>3514.34</v>
      </c>
      <c r="E33" s="3"/>
      <c r="F33" s="8">
        <f t="shared" si="0"/>
        <v>0</v>
      </c>
      <c r="G33" s="3"/>
      <c r="H33" s="7">
        <v>4795.68</v>
      </c>
      <c r="I33" s="3"/>
      <c r="J33" s="8">
        <f t="shared" si="1"/>
        <v>0</v>
      </c>
      <c r="K33" s="3"/>
      <c r="L33" s="7">
        <f t="shared" si="2"/>
        <v>-1281.3400000000001</v>
      </c>
      <c r="M33" s="3"/>
      <c r="N33" s="8">
        <f t="shared" si="3"/>
        <v>-0.26718630100423718</v>
      </c>
      <c r="O33" s="12"/>
      <c r="P33" s="7">
        <v>43486.879999999997</v>
      </c>
      <c r="Q33" s="3"/>
      <c r="R33" s="8">
        <f t="shared" si="4"/>
        <v>0</v>
      </c>
      <c r="S33" s="3"/>
      <c r="T33" s="7">
        <v>46757.88</v>
      </c>
      <c r="U33" s="3"/>
      <c r="V33" s="8">
        <f t="shared" si="5"/>
        <v>0</v>
      </c>
      <c r="W33" s="3"/>
      <c r="X33" s="7">
        <f t="shared" si="6"/>
        <v>-3271</v>
      </c>
      <c r="Y33" s="3"/>
      <c r="Z33" s="8">
        <f t="shared" si="7"/>
        <v>-6.99561229037758E-2</v>
      </c>
    </row>
    <row r="34" spans="1:26" s="70" customFormat="1" ht="15" hidden="1" customHeight="1" outlineLevel="2" x14ac:dyDescent="0.3">
      <c r="A34" s="26"/>
      <c r="B34" s="12" t="str">
        <f>CONCATENATE("          ","6005"," - ","TEMPORARY WAGES-HOURLY")</f>
        <v xml:space="preserve">          6005 - TEMPORARY WAGES-HOURLY</v>
      </c>
      <c r="C34" s="12"/>
      <c r="D34" s="7">
        <v>2354.5500000000002</v>
      </c>
      <c r="E34" s="3"/>
      <c r="F34" s="8">
        <f t="shared" si="0"/>
        <v>0</v>
      </c>
      <c r="G34" s="3"/>
      <c r="H34" s="7">
        <v>0</v>
      </c>
      <c r="I34" s="3"/>
      <c r="J34" s="8">
        <f t="shared" si="1"/>
        <v>0</v>
      </c>
      <c r="K34" s="3"/>
      <c r="L34" s="7">
        <f t="shared" si="2"/>
        <v>2354.5500000000002</v>
      </c>
      <c r="M34" s="3"/>
      <c r="N34" s="8">
        <f t="shared" si="3"/>
        <v>0</v>
      </c>
      <c r="O34" s="12"/>
      <c r="P34" s="7">
        <v>3039.41</v>
      </c>
      <c r="Q34" s="3"/>
      <c r="R34" s="8">
        <f t="shared" si="4"/>
        <v>0</v>
      </c>
      <c r="S34" s="3"/>
      <c r="T34" s="7">
        <v>0</v>
      </c>
      <c r="U34" s="3"/>
      <c r="V34" s="8">
        <f t="shared" si="5"/>
        <v>0</v>
      </c>
      <c r="W34" s="3"/>
      <c r="X34" s="7">
        <f t="shared" si="6"/>
        <v>3039.41</v>
      </c>
      <c r="Y34" s="3"/>
      <c r="Z34" s="8">
        <f t="shared" si="7"/>
        <v>0</v>
      </c>
    </row>
    <row r="35" spans="1:26" s="70" customFormat="1" ht="15" hidden="1" customHeight="1" outlineLevel="2" x14ac:dyDescent="0.3">
      <c r="A35" s="26"/>
      <c r="B35" s="12" t="str">
        <f>CONCATENATE("          ","6006"," - ","TEMPORARY PART TIME")</f>
        <v xml:space="preserve">          6006 - TEMPORARY PART TIME</v>
      </c>
      <c r="C35" s="12"/>
      <c r="D35" s="7"/>
      <c r="E35" s="3"/>
      <c r="F35" s="8">
        <f t="shared" si="0"/>
        <v>0</v>
      </c>
      <c r="G35" s="3"/>
      <c r="H35" s="7">
        <v>0</v>
      </c>
      <c r="I35" s="3"/>
      <c r="J35" s="8">
        <f t="shared" si="1"/>
        <v>0</v>
      </c>
      <c r="K35" s="3"/>
      <c r="L35" s="7">
        <f t="shared" si="2"/>
        <v>0</v>
      </c>
      <c r="M35" s="3"/>
      <c r="N35" s="8">
        <f t="shared" si="3"/>
        <v>0</v>
      </c>
      <c r="O35" s="12"/>
      <c r="P35" s="7"/>
      <c r="Q35" s="3"/>
      <c r="R35" s="8">
        <f t="shared" si="4"/>
        <v>0</v>
      </c>
      <c r="S35" s="3"/>
      <c r="T35" s="7">
        <v>0</v>
      </c>
      <c r="U35" s="3"/>
      <c r="V35" s="8">
        <f t="shared" si="5"/>
        <v>0</v>
      </c>
      <c r="W35" s="3"/>
      <c r="X35" s="7">
        <f t="shared" si="6"/>
        <v>0</v>
      </c>
      <c r="Y35" s="3"/>
      <c r="Z35" s="8">
        <f t="shared" si="7"/>
        <v>0</v>
      </c>
    </row>
    <row r="36" spans="1:26" s="70" customFormat="1" ht="15" hidden="1" customHeight="1" outlineLevel="2" x14ac:dyDescent="0.3">
      <c r="A36" s="26"/>
      <c r="B36" s="12" t="str">
        <f>CONCATENATE("          ","6007"," - ","STUDENT HOURLY")</f>
        <v xml:space="preserve">          6007 - STUDENT HOURLY</v>
      </c>
      <c r="C36" s="12"/>
      <c r="D36" s="7">
        <v>2024</v>
      </c>
      <c r="E36" s="3"/>
      <c r="F36" s="8">
        <f t="shared" si="0"/>
        <v>0</v>
      </c>
      <c r="G36" s="3"/>
      <c r="H36" s="7">
        <v>0</v>
      </c>
      <c r="I36" s="3"/>
      <c r="J36" s="8">
        <f t="shared" si="1"/>
        <v>0</v>
      </c>
      <c r="K36" s="3"/>
      <c r="L36" s="7">
        <f t="shared" si="2"/>
        <v>2024</v>
      </c>
      <c r="M36" s="3"/>
      <c r="N36" s="8">
        <f t="shared" si="3"/>
        <v>0</v>
      </c>
      <c r="O36" s="12"/>
      <c r="P36" s="7">
        <v>2024</v>
      </c>
      <c r="Q36" s="3"/>
      <c r="R36" s="8">
        <f t="shared" si="4"/>
        <v>0</v>
      </c>
      <c r="S36" s="3"/>
      <c r="T36" s="7">
        <v>8320</v>
      </c>
      <c r="U36" s="3"/>
      <c r="V36" s="8">
        <f t="shared" si="5"/>
        <v>0</v>
      </c>
      <c r="W36" s="3"/>
      <c r="X36" s="7">
        <f t="shared" si="6"/>
        <v>-6296</v>
      </c>
      <c r="Y36" s="3"/>
      <c r="Z36" s="8">
        <f t="shared" si="7"/>
        <v>-0.75673076923076921</v>
      </c>
    </row>
    <row r="37" spans="1:26" s="70" customFormat="1" ht="15" hidden="1" customHeight="1" outlineLevel="2" x14ac:dyDescent="0.3">
      <c r="A37" s="26"/>
      <c r="B37" s="12" t="str">
        <f>CONCATENATE("          ","6008"," - ","STUDENT HOURLY-FICA EXEMPT")</f>
        <v xml:space="preserve">          6008 - STUDENT HOURLY-FICA EXEMPT</v>
      </c>
      <c r="C37" s="12"/>
      <c r="D37" s="7"/>
      <c r="E37" s="3"/>
      <c r="F37" s="8">
        <f t="shared" si="0"/>
        <v>0</v>
      </c>
      <c r="G37" s="3"/>
      <c r="H37" s="7">
        <v>2560</v>
      </c>
      <c r="I37" s="3"/>
      <c r="J37" s="8">
        <f t="shared" si="1"/>
        <v>0</v>
      </c>
      <c r="K37" s="3"/>
      <c r="L37" s="7">
        <f t="shared" si="2"/>
        <v>-2560</v>
      </c>
      <c r="M37" s="3"/>
      <c r="N37" s="8">
        <f t="shared" si="3"/>
        <v>-1</v>
      </c>
      <c r="O37" s="12"/>
      <c r="P37" s="7">
        <v>11475.2</v>
      </c>
      <c r="Q37" s="3"/>
      <c r="R37" s="8">
        <f t="shared" si="4"/>
        <v>0</v>
      </c>
      <c r="S37" s="3"/>
      <c r="T37" s="7">
        <v>16640</v>
      </c>
      <c r="U37" s="3"/>
      <c r="V37" s="8">
        <f t="shared" si="5"/>
        <v>0</v>
      </c>
      <c r="W37" s="3"/>
      <c r="X37" s="7">
        <f t="shared" si="6"/>
        <v>-5164.7999999999993</v>
      </c>
      <c r="Y37" s="3"/>
      <c r="Z37" s="8">
        <f t="shared" si="7"/>
        <v>-0.31038461538461531</v>
      </c>
    </row>
    <row r="38" spans="1:26" s="70" customFormat="1" ht="15" hidden="1" customHeight="1" outlineLevel="2" x14ac:dyDescent="0.3">
      <c r="A38" s="26"/>
      <c r="B38" s="12" t="str">
        <f>CONCATENATE("          ","6009"," - ","TEMPORARY-SEASONAL")</f>
        <v xml:space="preserve">          6009 - TEMPORARY-SEASONAL</v>
      </c>
      <c r="C38" s="12"/>
      <c r="D38" s="7"/>
      <c r="E38" s="3"/>
      <c r="F38" s="8">
        <f t="shared" si="0"/>
        <v>0</v>
      </c>
      <c r="G38" s="3"/>
      <c r="H38" s="7">
        <v>0</v>
      </c>
      <c r="I38" s="3"/>
      <c r="J38" s="8">
        <f t="shared" si="1"/>
        <v>0</v>
      </c>
      <c r="K38" s="3"/>
      <c r="L38" s="7">
        <f t="shared" si="2"/>
        <v>0</v>
      </c>
      <c r="M38" s="3"/>
      <c r="N38" s="8">
        <f t="shared" si="3"/>
        <v>0</v>
      </c>
      <c r="O38" s="12"/>
      <c r="P38" s="7"/>
      <c r="Q38" s="3"/>
      <c r="R38" s="8">
        <f t="shared" si="4"/>
        <v>0</v>
      </c>
      <c r="S38" s="3"/>
      <c r="T38" s="7">
        <v>0</v>
      </c>
      <c r="U38" s="3"/>
      <c r="V38" s="8">
        <f t="shared" si="5"/>
        <v>0</v>
      </c>
      <c r="W38" s="3"/>
      <c r="X38" s="7">
        <f t="shared" si="6"/>
        <v>0</v>
      </c>
      <c r="Y38" s="3"/>
      <c r="Z38" s="8">
        <f t="shared" si="7"/>
        <v>0</v>
      </c>
    </row>
    <row r="39" spans="1:26" s="70" customFormat="1" ht="15" hidden="1" customHeight="1" outlineLevel="2" x14ac:dyDescent="0.3">
      <c r="A39" s="26"/>
      <c r="B39" s="12" t="str">
        <f>CONCATENATE("          ","6010"," - ","GRATUITY")</f>
        <v xml:space="preserve">          6010 - GRATUITY</v>
      </c>
      <c r="C39" s="12"/>
      <c r="D39" s="7"/>
      <c r="E39" s="3"/>
      <c r="F39" s="8">
        <f t="shared" si="0"/>
        <v>0</v>
      </c>
      <c r="G39" s="3"/>
      <c r="H39" s="7">
        <v>0</v>
      </c>
      <c r="I39" s="3"/>
      <c r="J39" s="8">
        <f t="shared" si="1"/>
        <v>0</v>
      </c>
      <c r="K39" s="3"/>
      <c r="L39" s="7">
        <f t="shared" si="2"/>
        <v>0</v>
      </c>
      <c r="M39" s="3"/>
      <c r="N39" s="8">
        <f t="shared" si="3"/>
        <v>0</v>
      </c>
      <c r="O39" s="12"/>
      <c r="P39" s="7"/>
      <c r="Q39" s="3"/>
      <c r="R39" s="8">
        <f t="shared" si="4"/>
        <v>0</v>
      </c>
      <c r="S39" s="3"/>
      <c r="T39" s="7">
        <v>0</v>
      </c>
      <c r="U39" s="3"/>
      <c r="V39" s="8">
        <f t="shared" si="5"/>
        <v>0</v>
      </c>
      <c r="W39" s="3"/>
      <c r="X39" s="7">
        <f t="shared" si="6"/>
        <v>0</v>
      </c>
      <c r="Y39" s="3"/>
      <c r="Z39" s="8">
        <f t="shared" si="7"/>
        <v>0</v>
      </c>
    </row>
    <row r="40" spans="1:26" s="69" customFormat="1" ht="15" customHeight="1" outlineLevel="1" collapsed="1" x14ac:dyDescent="0.3">
      <c r="A40" s="25"/>
      <c r="B40" s="14" t="str">
        <f>CONCATENATE("     ","Advertising/Promo                                 ")</f>
        <v xml:space="preserve">     Advertising/Promo                                 </v>
      </c>
      <c r="C40" s="14"/>
      <c r="D40" s="2">
        <f>SUM(OSRRefD22_2x_0)</f>
        <v>179.84</v>
      </c>
      <c r="E40" s="2"/>
      <c r="F40" s="6">
        <f t="shared" si="0"/>
        <v>0</v>
      </c>
      <c r="G40" s="2"/>
      <c r="H40" s="2">
        <f>SUM(OSRRefH22_2x_0)</f>
        <v>417</v>
      </c>
      <c r="I40" s="2"/>
      <c r="J40" s="6">
        <f t="shared" si="1"/>
        <v>0</v>
      </c>
      <c r="K40" s="2"/>
      <c r="L40" s="2">
        <f t="shared" si="2"/>
        <v>-237.16</v>
      </c>
      <c r="M40" s="2"/>
      <c r="N40" s="6">
        <f t="shared" si="3"/>
        <v>-0.56872901678657073</v>
      </c>
      <c r="O40" s="14"/>
      <c r="P40" s="2">
        <f>SUM(OSRRefP22_2x_0)</f>
        <v>1619.12</v>
      </c>
      <c r="Q40" s="2"/>
      <c r="R40" s="6">
        <f t="shared" si="4"/>
        <v>0</v>
      </c>
      <c r="S40" s="2"/>
      <c r="T40" s="2">
        <f>SUM(OSRRefT22_2x_0)</f>
        <v>3753</v>
      </c>
      <c r="U40" s="2"/>
      <c r="V40" s="6">
        <f t="shared" si="5"/>
        <v>0</v>
      </c>
      <c r="W40" s="2"/>
      <c r="X40" s="2">
        <f t="shared" si="6"/>
        <v>-2133.88</v>
      </c>
      <c r="Y40" s="2"/>
      <c r="Z40" s="6">
        <f t="shared" si="7"/>
        <v>-0.56857980282440712</v>
      </c>
    </row>
    <row r="41" spans="1:26" s="70" customFormat="1" ht="15" hidden="1" customHeight="1" outlineLevel="2" x14ac:dyDescent="0.3">
      <c r="A41" s="26"/>
      <c r="B41" s="12" t="str">
        <f>CONCATENATE("          ","6362"," - ","ADVERTISING EXPENSE")</f>
        <v xml:space="preserve">          6362 - ADVERTISING EXPENSE</v>
      </c>
      <c r="C41" s="12"/>
      <c r="D41" s="7">
        <v>179.84</v>
      </c>
      <c r="E41" s="3"/>
      <c r="F41" s="8">
        <f t="shared" si="0"/>
        <v>0</v>
      </c>
      <c r="G41" s="3"/>
      <c r="H41" s="7">
        <v>417</v>
      </c>
      <c r="I41" s="3"/>
      <c r="J41" s="8">
        <f t="shared" si="1"/>
        <v>0</v>
      </c>
      <c r="K41" s="3"/>
      <c r="L41" s="7">
        <f t="shared" si="2"/>
        <v>-237.16</v>
      </c>
      <c r="M41" s="3"/>
      <c r="N41" s="8">
        <f t="shared" si="3"/>
        <v>-0.56872901678657073</v>
      </c>
      <c r="O41" s="12"/>
      <c r="P41" s="7">
        <v>1619.12</v>
      </c>
      <c r="Q41" s="3"/>
      <c r="R41" s="8">
        <f t="shared" si="4"/>
        <v>0</v>
      </c>
      <c r="S41" s="3"/>
      <c r="T41" s="7">
        <v>3753</v>
      </c>
      <c r="U41" s="3"/>
      <c r="V41" s="8">
        <f t="shared" si="5"/>
        <v>0</v>
      </c>
      <c r="W41" s="3"/>
      <c r="X41" s="7">
        <f t="shared" si="6"/>
        <v>-2133.88</v>
      </c>
      <c r="Y41" s="3"/>
      <c r="Z41" s="8">
        <f t="shared" si="7"/>
        <v>-0.56857980282440712</v>
      </c>
    </row>
    <row r="42" spans="1:26" s="69" customFormat="1" ht="15" customHeight="1" outlineLevel="1" collapsed="1" x14ac:dyDescent="0.3">
      <c r="A42" s="25"/>
      <c r="B42" s="14" t="str">
        <f>CONCATENATE("     ","Employees' Appreciation                           ")</f>
        <v xml:space="preserve">     Employees' Appreciation                           </v>
      </c>
      <c r="C42" s="14"/>
      <c r="D42" s="2">
        <f>SUM(OSRRefD22_3x_0)</f>
        <v>0</v>
      </c>
      <c r="E42" s="2"/>
      <c r="F42" s="6">
        <f t="shared" si="0"/>
        <v>0</v>
      </c>
      <c r="G42" s="2"/>
      <c r="H42" s="2">
        <f>SUM(OSRRefH22_3x_0)</f>
        <v>0</v>
      </c>
      <c r="I42" s="2"/>
      <c r="J42" s="6">
        <f t="shared" si="1"/>
        <v>0</v>
      </c>
      <c r="K42" s="2"/>
      <c r="L42" s="2">
        <f t="shared" si="2"/>
        <v>0</v>
      </c>
      <c r="M42" s="2"/>
      <c r="N42" s="6">
        <f t="shared" si="3"/>
        <v>0</v>
      </c>
      <c r="O42" s="14"/>
      <c r="P42" s="2">
        <f>SUM(OSRRefP22_3x_0)</f>
        <v>0</v>
      </c>
      <c r="Q42" s="2"/>
      <c r="R42" s="6">
        <f t="shared" si="4"/>
        <v>0</v>
      </c>
      <c r="S42" s="2"/>
      <c r="T42" s="2">
        <f>SUM(OSRRefT22_3x_0)</f>
        <v>500</v>
      </c>
      <c r="U42" s="2"/>
      <c r="V42" s="6">
        <f t="shared" si="5"/>
        <v>0</v>
      </c>
      <c r="W42" s="2"/>
      <c r="X42" s="2">
        <f t="shared" si="6"/>
        <v>-500</v>
      </c>
      <c r="Y42" s="2"/>
      <c r="Z42" s="6">
        <f t="shared" si="7"/>
        <v>-1</v>
      </c>
    </row>
    <row r="43" spans="1:26" s="70" customFormat="1" ht="15" hidden="1" customHeight="1" outlineLevel="2" x14ac:dyDescent="0.3">
      <c r="A43" s="26"/>
      <c r="B43" s="12" t="str">
        <f>CONCATENATE("          ","6277"," - ","EMPLOYEE APPRECIATION")</f>
        <v xml:space="preserve">          6277 - EMPLOYEE APPRECIATION</v>
      </c>
      <c r="C43" s="12"/>
      <c r="D43" s="7"/>
      <c r="E43" s="3"/>
      <c r="F43" s="8">
        <f t="shared" si="0"/>
        <v>0</v>
      </c>
      <c r="G43" s="3"/>
      <c r="H43" s="7"/>
      <c r="I43" s="3"/>
      <c r="J43" s="8">
        <f t="shared" si="1"/>
        <v>0</v>
      </c>
      <c r="K43" s="3"/>
      <c r="L43" s="7">
        <f t="shared" si="2"/>
        <v>0</v>
      </c>
      <c r="M43" s="3"/>
      <c r="N43" s="8">
        <f t="shared" si="3"/>
        <v>0</v>
      </c>
      <c r="O43" s="12"/>
      <c r="P43" s="7"/>
      <c r="Q43" s="3"/>
      <c r="R43" s="8">
        <f t="shared" si="4"/>
        <v>0</v>
      </c>
      <c r="S43" s="3"/>
      <c r="T43" s="7">
        <v>500</v>
      </c>
      <c r="U43" s="3"/>
      <c r="V43" s="8">
        <f t="shared" si="5"/>
        <v>0</v>
      </c>
      <c r="W43" s="3"/>
      <c r="X43" s="7">
        <f t="shared" si="6"/>
        <v>-500</v>
      </c>
      <c r="Y43" s="3"/>
      <c r="Z43" s="8">
        <f t="shared" si="7"/>
        <v>-1</v>
      </c>
    </row>
    <row r="44" spans="1:26" s="69" customFormat="1" ht="15" customHeight="1" outlineLevel="1" collapsed="1" x14ac:dyDescent="0.3">
      <c r="A44" s="25"/>
      <c r="B44" s="14" t="str">
        <f>CONCATENATE("     ","Repair and Maintenance                            ")</f>
        <v xml:space="preserve">     Repair and Maintenance                            </v>
      </c>
      <c r="C44" s="14"/>
      <c r="D44" s="2">
        <f>SUM(OSRRefD22_4x_0)</f>
        <v>0</v>
      </c>
      <c r="E44" s="2"/>
      <c r="F44" s="6">
        <f t="shared" si="0"/>
        <v>0</v>
      </c>
      <c r="G44" s="2"/>
      <c r="H44" s="2">
        <f>SUM(OSRRefH22_4x_0)</f>
        <v>1600</v>
      </c>
      <c r="I44" s="2"/>
      <c r="J44" s="6">
        <f t="shared" si="1"/>
        <v>0</v>
      </c>
      <c r="K44" s="2"/>
      <c r="L44" s="2">
        <f t="shared" si="2"/>
        <v>-1600</v>
      </c>
      <c r="M44" s="2"/>
      <c r="N44" s="6">
        <f t="shared" si="3"/>
        <v>-1</v>
      </c>
      <c r="O44" s="14"/>
      <c r="P44" s="2">
        <f>SUM(OSRRefP22_4x_0)</f>
        <v>63.36</v>
      </c>
      <c r="Q44" s="2"/>
      <c r="R44" s="6">
        <f t="shared" si="4"/>
        <v>0</v>
      </c>
      <c r="S44" s="2"/>
      <c r="T44" s="2">
        <f>SUM(OSRRefT22_4x_0)</f>
        <v>14400</v>
      </c>
      <c r="U44" s="2"/>
      <c r="V44" s="6">
        <f t="shared" si="5"/>
        <v>0</v>
      </c>
      <c r="W44" s="2"/>
      <c r="X44" s="2">
        <f t="shared" si="6"/>
        <v>-14336.64</v>
      </c>
      <c r="Y44" s="2"/>
      <c r="Z44" s="6">
        <f t="shared" si="7"/>
        <v>-0.99559999999999993</v>
      </c>
    </row>
    <row r="45" spans="1:26" s="70" customFormat="1" ht="15" hidden="1" customHeight="1" outlineLevel="2" x14ac:dyDescent="0.3">
      <c r="A45" s="26"/>
      <c r="B45" s="12" t="str">
        <f>CONCATENATE("          ","6371"," - ","COMPUTER SOFTWARE MAINTENANCE")</f>
        <v xml:space="preserve">          6371 - COMPUTER SOFTWARE MAINTENANCE</v>
      </c>
      <c r="C45" s="12"/>
      <c r="D45" s="7"/>
      <c r="E45" s="3"/>
      <c r="F45" s="8">
        <f t="shared" si="0"/>
        <v>0</v>
      </c>
      <c r="G45" s="3"/>
      <c r="H45" s="7">
        <v>1600</v>
      </c>
      <c r="I45" s="3"/>
      <c r="J45" s="8">
        <f t="shared" si="1"/>
        <v>0</v>
      </c>
      <c r="K45" s="3"/>
      <c r="L45" s="7">
        <f t="shared" si="2"/>
        <v>-1600</v>
      </c>
      <c r="M45" s="3"/>
      <c r="N45" s="8">
        <f t="shared" si="3"/>
        <v>-1</v>
      </c>
      <c r="O45" s="12"/>
      <c r="P45" s="7"/>
      <c r="Q45" s="3"/>
      <c r="R45" s="8">
        <f t="shared" si="4"/>
        <v>0</v>
      </c>
      <c r="S45" s="3"/>
      <c r="T45" s="7">
        <v>14400</v>
      </c>
      <c r="U45" s="3"/>
      <c r="V45" s="8">
        <f t="shared" si="5"/>
        <v>0</v>
      </c>
      <c r="W45" s="3"/>
      <c r="X45" s="7">
        <f t="shared" si="6"/>
        <v>-14400</v>
      </c>
      <c r="Y45" s="3"/>
      <c r="Z45" s="8">
        <f t="shared" si="7"/>
        <v>-1</v>
      </c>
    </row>
    <row r="46" spans="1:26" s="70" customFormat="1" ht="15" hidden="1" customHeight="1" outlineLevel="2" x14ac:dyDescent="0.3">
      <c r="A46" s="26"/>
      <c r="B46" s="12" t="str">
        <f>CONCATENATE("          ","6375"," - ","OUTSIDE REPAIRS &amp; MAINTENANCE")</f>
        <v xml:space="preserve">          6375 - OUTSIDE REPAIRS &amp; MAINTENANCE</v>
      </c>
      <c r="C46" s="12"/>
      <c r="D46" s="7"/>
      <c r="E46" s="3"/>
      <c r="F46" s="8">
        <f t="shared" si="0"/>
        <v>0</v>
      </c>
      <c r="G46" s="3"/>
      <c r="H46" s="7"/>
      <c r="I46" s="3"/>
      <c r="J46" s="8">
        <f t="shared" si="1"/>
        <v>0</v>
      </c>
      <c r="K46" s="3"/>
      <c r="L46" s="7">
        <f t="shared" si="2"/>
        <v>0</v>
      </c>
      <c r="M46" s="3"/>
      <c r="N46" s="8">
        <f t="shared" si="3"/>
        <v>0</v>
      </c>
      <c r="O46" s="12"/>
      <c r="P46" s="7">
        <v>63.36</v>
      </c>
      <c r="Q46" s="3"/>
      <c r="R46" s="8">
        <f t="shared" si="4"/>
        <v>0</v>
      </c>
      <c r="S46" s="3"/>
      <c r="T46" s="7"/>
      <c r="U46" s="3"/>
      <c r="V46" s="8">
        <f t="shared" si="5"/>
        <v>0</v>
      </c>
      <c r="W46" s="3"/>
      <c r="X46" s="7">
        <f t="shared" si="6"/>
        <v>63.36</v>
      </c>
      <c r="Y46" s="3"/>
      <c r="Z46" s="8">
        <f t="shared" si="7"/>
        <v>0</v>
      </c>
    </row>
    <row r="47" spans="1:26" s="69" customFormat="1" ht="15" customHeight="1" outlineLevel="1" collapsed="1" x14ac:dyDescent="0.3">
      <c r="A47" s="25"/>
      <c r="B47" s="14" t="str">
        <f>CONCATENATE("     ","Supplies                                          ")</f>
        <v xml:space="preserve">     Supplies                                          </v>
      </c>
      <c r="C47" s="14"/>
      <c r="D47" s="2">
        <f>SUM(OSRRefD22_5x_0)</f>
        <v>56.71</v>
      </c>
      <c r="E47" s="2"/>
      <c r="F47" s="6">
        <f t="shared" si="0"/>
        <v>0</v>
      </c>
      <c r="G47" s="2"/>
      <c r="H47" s="2">
        <f>SUM(OSRRefH22_5x_0)</f>
        <v>600</v>
      </c>
      <c r="I47" s="2"/>
      <c r="J47" s="6">
        <f t="shared" si="1"/>
        <v>0</v>
      </c>
      <c r="K47" s="2"/>
      <c r="L47" s="2">
        <f t="shared" si="2"/>
        <v>-543.29</v>
      </c>
      <c r="M47" s="2"/>
      <c r="N47" s="6">
        <f t="shared" si="3"/>
        <v>-0.90548333333333331</v>
      </c>
      <c r="O47" s="14"/>
      <c r="P47" s="2">
        <f>SUM(OSRRefP22_5x_0)</f>
        <v>70.040000000000006</v>
      </c>
      <c r="Q47" s="2"/>
      <c r="R47" s="6">
        <f t="shared" si="4"/>
        <v>0</v>
      </c>
      <c r="S47" s="2"/>
      <c r="T47" s="2">
        <f>SUM(OSRRefT22_5x_0)</f>
        <v>5400</v>
      </c>
      <c r="U47" s="2"/>
      <c r="V47" s="6">
        <f t="shared" si="5"/>
        <v>0</v>
      </c>
      <c r="W47" s="2"/>
      <c r="X47" s="2">
        <f t="shared" si="6"/>
        <v>-5329.96</v>
      </c>
      <c r="Y47" s="2"/>
      <c r="Z47" s="6">
        <f t="shared" si="7"/>
        <v>-0.98702962962962959</v>
      </c>
    </row>
    <row r="48" spans="1:26" s="70" customFormat="1" ht="15" hidden="1" customHeight="1" outlineLevel="2" x14ac:dyDescent="0.3">
      <c r="A48" s="26"/>
      <c r="B48" s="12" t="str">
        <f>CONCATENATE("          ","6241"," - ","OFFICE EXPENSE")</f>
        <v xml:space="preserve">          6241 - OFFICE EXPENSE</v>
      </c>
      <c r="C48" s="12"/>
      <c r="D48" s="7">
        <v>56.71</v>
      </c>
      <c r="E48" s="3"/>
      <c r="F48" s="8">
        <f t="shared" si="0"/>
        <v>0</v>
      </c>
      <c r="G48" s="3"/>
      <c r="H48" s="7">
        <v>600</v>
      </c>
      <c r="I48" s="3"/>
      <c r="J48" s="8">
        <f t="shared" si="1"/>
        <v>0</v>
      </c>
      <c r="K48" s="3"/>
      <c r="L48" s="7">
        <f t="shared" si="2"/>
        <v>-543.29</v>
      </c>
      <c r="M48" s="3"/>
      <c r="N48" s="8">
        <f t="shared" si="3"/>
        <v>-0.90548333333333331</v>
      </c>
      <c r="O48" s="12"/>
      <c r="P48" s="7">
        <v>70.040000000000006</v>
      </c>
      <c r="Q48" s="3"/>
      <c r="R48" s="8">
        <f t="shared" si="4"/>
        <v>0</v>
      </c>
      <c r="S48" s="3"/>
      <c r="T48" s="7">
        <v>5400</v>
      </c>
      <c r="U48" s="3"/>
      <c r="V48" s="8">
        <f t="shared" si="5"/>
        <v>0</v>
      </c>
      <c r="W48" s="3"/>
      <c r="X48" s="7">
        <f t="shared" si="6"/>
        <v>-5329.96</v>
      </c>
      <c r="Y48" s="3"/>
      <c r="Z48" s="8">
        <f t="shared" si="7"/>
        <v>-0.98702962962962959</v>
      </c>
    </row>
    <row r="49" spans="1:26" s="69" customFormat="1" ht="15" customHeight="1" outlineLevel="1" collapsed="1" x14ac:dyDescent="0.3">
      <c r="A49" s="25"/>
      <c r="B49" s="14" t="str">
        <f>CONCATENATE("     ","Telephone/Data Lines                              ")</f>
        <v xml:space="preserve">     Telephone/Data Lines                              </v>
      </c>
      <c r="C49" s="14"/>
      <c r="D49" s="2">
        <f>SUM(OSRRefD22_6x_0)</f>
        <v>36</v>
      </c>
      <c r="E49" s="2"/>
      <c r="F49" s="6">
        <f t="shared" si="0"/>
        <v>0</v>
      </c>
      <c r="G49" s="2"/>
      <c r="H49" s="2">
        <f>SUM(OSRRefH22_6x_0)</f>
        <v>72</v>
      </c>
      <c r="I49" s="2"/>
      <c r="J49" s="6">
        <f t="shared" si="1"/>
        <v>0</v>
      </c>
      <c r="K49" s="2"/>
      <c r="L49" s="2">
        <f t="shared" si="2"/>
        <v>-36</v>
      </c>
      <c r="M49" s="2"/>
      <c r="N49" s="6">
        <f t="shared" si="3"/>
        <v>-0.5</v>
      </c>
      <c r="O49" s="14"/>
      <c r="P49" s="2">
        <f>SUM(OSRRefP22_6x_0)</f>
        <v>396.4</v>
      </c>
      <c r="Q49" s="2"/>
      <c r="R49" s="6">
        <f t="shared" si="4"/>
        <v>0</v>
      </c>
      <c r="S49" s="2"/>
      <c r="T49" s="2">
        <f>SUM(OSRRefT22_6x_0)</f>
        <v>648</v>
      </c>
      <c r="U49" s="2"/>
      <c r="V49" s="6">
        <f t="shared" si="5"/>
        <v>0</v>
      </c>
      <c r="W49" s="2"/>
      <c r="X49" s="2">
        <f t="shared" si="6"/>
        <v>-251.60000000000002</v>
      </c>
      <c r="Y49" s="2"/>
      <c r="Z49" s="6">
        <f t="shared" si="7"/>
        <v>-0.38827160493827162</v>
      </c>
    </row>
    <row r="50" spans="1:26" s="70" customFormat="1" ht="15" hidden="1" customHeight="1" outlineLevel="2" x14ac:dyDescent="0.3">
      <c r="A50" s="26"/>
      <c r="B50" s="12" t="str">
        <f>CONCATENATE("          ","6303"," - ","DATA PHONE LINES")</f>
        <v xml:space="preserve">          6303 - DATA PHONE LINES</v>
      </c>
      <c r="C50" s="12"/>
      <c r="D50" s="7"/>
      <c r="E50" s="3"/>
      <c r="F50" s="8">
        <f t="shared" si="0"/>
        <v>0</v>
      </c>
      <c r="G50" s="3"/>
      <c r="H50" s="7">
        <v>36</v>
      </c>
      <c r="I50" s="3"/>
      <c r="J50" s="8">
        <f t="shared" si="1"/>
        <v>0</v>
      </c>
      <c r="K50" s="3"/>
      <c r="L50" s="7">
        <f t="shared" si="2"/>
        <v>-36</v>
      </c>
      <c r="M50" s="3"/>
      <c r="N50" s="8">
        <f t="shared" si="3"/>
        <v>-1</v>
      </c>
      <c r="O50" s="12"/>
      <c r="P50" s="7"/>
      <c r="Q50" s="3"/>
      <c r="R50" s="8">
        <f t="shared" si="4"/>
        <v>0</v>
      </c>
      <c r="S50" s="3"/>
      <c r="T50" s="7">
        <v>324</v>
      </c>
      <c r="U50" s="3"/>
      <c r="V50" s="8">
        <f t="shared" si="5"/>
        <v>0</v>
      </c>
      <c r="W50" s="3"/>
      <c r="X50" s="7">
        <f t="shared" si="6"/>
        <v>-324</v>
      </c>
      <c r="Y50" s="3"/>
      <c r="Z50" s="8">
        <f t="shared" si="7"/>
        <v>-1</v>
      </c>
    </row>
    <row r="51" spans="1:26" s="70" customFormat="1" ht="15" hidden="1" customHeight="1" outlineLevel="2" x14ac:dyDescent="0.3">
      <c r="A51" s="26"/>
      <c r="B51" s="12" t="str">
        <f>CONCATENATE("          ","6309"," - ","TELEPHONE")</f>
        <v xml:space="preserve">          6309 - TELEPHONE</v>
      </c>
      <c r="C51" s="12"/>
      <c r="D51" s="7">
        <v>36</v>
      </c>
      <c r="E51" s="3"/>
      <c r="F51" s="8">
        <f t="shared" si="0"/>
        <v>0</v>
      </c>
      <c r="G51" s="3"/>
      <c r="H51" s="7">
        <v>36</v>
      </c>
      <c r="I51" s="3"/>
      <c r="J51" s="8">
        <f t="shared" si="1"/>
        <v>0</v>
      </c>
      <c r="K51" s="3"/>
      <c r="L51" s="7">
        <f t="shared" si="2"/>
        <v>0</v>
      </c>
      <c r="M51" s="3"/>
      <c r="N51" s="8">
        <f t="shared" si="3"/>
        <v>0</v>
      </c>
      <c r="O51" s="12"/>
      <c r="P51" s="7">
        <v>396.4</v>
      </c>
      <c r="Q51" s="3"/>
      <c r="R51" s="8">
        <f t="shared" si="4"/>
        <v>0</v>
      </c>
      <c r="S51" s="3"/>
      <c r="T51" s="7">
        <v>324</v>
      </c>
      <c r="U51" s="3"/>
      <c r="V51" s="8">
        <f t="shared" si="5"/>
        <v>0</v>
      </c>
      <c r="W51" s="3"/>
      <c r="X51" s="7">
        <f t="shared" si="6"/>
        <v>72.399999999999977</v>
      </c>
      <c r="Y51" s="3"/>
      <c r="Z51" s="8">
        <f t="shared" si="7"/>
        <v>0.22345679012345673</v>
      </c>
    </row>
    <row r="52" spans="1:26" s="69" customFormat="1" ht="15" customHeight="1" outlineLevel="1" collapsed="1" x14ac:dyDescent="0.3">
      <c r="A52" s="25"/>
      <c r="B52" s="14" t="str">
        <f>CONCATENATE("     ","Training                                          ")</f>
        <v xml:space="preserve">     Training                                          </v>
      </c>
      <c r="C52" s="14"/>
      <c r="D52" s="2">
        <f>SUM(OSRRefD22_7x_0)</f>
        <v>0</v>
      </c>
      <c r="E52" s="2"/>
      <c r="F52" s="6">
        <f t="shared" si="0"/>
        <v>0</v>
      </c>
      <c r="G52" s="2"/>
      <c r="H52" s="2">
        <f>SUM(OSRRefH22_7x_0)</f>
        <v>0</v>
      </c>
      <c r="I52" s="2"/>
      <c r="J52" s="6">
        <f t="shared" si="1"/>
        <v>0</v>
      </c>
      <c r="K52" s="2"/>
      <c r="L52" s="2">
        <f t="shared" si="2"/>
        <v>0</v>
      </c>
      <c r="M52" s="2"/>
      <c r="N52" s="6">
        <f t="shared" si="3"/>
        <v>0</v>
      </c>
      <c r="O52" s="14"/>
      <c r="P52" s="2">
        <f>SUM(OSRRefP22_7x_0)</f>
        <v>0</v>
      </c>
      <c r="Q52" s="2"/>
      <c r="R52" s="6">
        <f t="shared" si="4"/>
        <v>0</v>
      </c>
      <c r="S52" s="2"/>
      <c r="T52" s="2">
        <f>SUM(OSRRefT22_7x_0)</f>
        <v>1000</v>
      </c>
      <c r="U52" s="2"/>
      <c r="V52" s="6">
        <f t="shared" si="5"/>
        <v>0</v>
      </c>
      <c r="W52" s="2"/>
      <c r="X52" s="2">
        <f t="shared" si="6"/>
        <v>-1000</v>
      </c>
      <c r="Y52" s="2"/>
      <c r="Z52" s="6">
        <f t="shared" si="7"/>
        <v>-1</v>
      </c>
    </row>
    <row r="53" spans="1:26" s="70" customFormat="1" ht="15" hidden="1" customHeight="1" outlineLevel="2" x14ac:dyDescent="0.3">
      <c r="A53" s="26"/>
      <c r="B53" s="12" t="str">
        <f>CONCATENATE("          ","6376"," - ","TRAINING")</f>
        <v xml:space="preserve">          6376 - TRAINING</v>
      </c>
      <c r="C53" s="12"/>
      <c r="D53" s="7"/>
      <c r="E53" s="3"/>
      <c r="F53" s="8">
        <f t="shared" si="0"/>
        <v>0</v>
      </c>
      <c r="G53" s="3"/>
      <c r="H53" s="7"/>
      <c r="I53" s="3"/>
      <c r="J53" s="8">
        <f t="shared" si="1"/>
        <v>0</v>
      </c>
      <c r="K53" s="3"/>
      <c r="L53" s="7">
        <f t="shared" si="2"/>
        <v>0</v>
      </c>
      <c r="M53" s="3"/>
      <c r="N53" s="8">
        <f t="shared" si="3"/>
        <v>0</v>
      </c>
      <c r="O53" s="12"/>
      <c r="P53" s="7"/>
      <c r="Q53" s="3"/>
      <c r="R53" s="8">
        <f t="shared" si="4"/>
        <v>0</v>
      </c>
      <c r="S53" s="3"/>
      <c r="T53" s="7">
        <v>1000</v>
      </c>
      <c r="U53" s="3"/>
      <c r="V53" s="8">
        <f t="shared" si="5"/>
        <v>0</v>
      </c>
      <c r="W53" s="3"/>
      <c r="X53" s="7">
        <f t="shared" si="6"/>
        <v>-1000</v>
      </c>
      <c r="Y53" s="3"/>
      <c r="Z53" s="8">
        <f t="shared" si="7"/>
        <v>-1</v>
      </c>
    </row>
    <row r="54" spans="1:26" s="65" customFormat="1" ht="15" customHeight="1" x14ac:dyDescent="0.3">
      <c r="A54" s="35"/>
      <c r="B54" s="35"/>
      <c r="C54" s="35"/>
      <c r="D54" s="2"/>
      <c r="E54" s="2"/>
      <c r="F54" s="6"/>
      <c r="G54" s="2"/>
      <c r="H54" s="2"/>
      <c r="I54" s="2"/>
      <c r="J54" s="6"/>
      <c r="K54" s="2"/>
      <c r="L54" s="2"/>
      <c r="M54" s="2"/>
      <c r="N54" s="6"/>
      <c r="O54" s="35"/>
      <c r="P54" s="2"/>
      <c r="Q54" s="2"/>
      <c r="R54" s="6"/>
      <c r="S54" s="2"/>
      <c r="T54" s="2"/>
      <c r="U54" s="2"/>
      <c r="V54" s="6"/>
      <c r="W54" s="2"/>
      <c r="X54" s="2"/>
      <c r="Y54" s="2"/>
      <c r="Z54" s="6"/>
    </row>
    <row r="55" spans="1:26" s="63" customFormat="1" ht="15" customHeight="1" x14ac:dyDescent="0.3">
      <c r="A55" s="11"/>
      <c r="B55" s="28" t="s">
        <v>291</v>
      </c>
      <c r="C55" s="11"/>
      <c r="D55" s="5">
        <f>SUM(0)</f>
        <v>0</v>
      </c>
      <c r="E55" s="5"/>
      <c r="F55" s="13">
        <f>IF(D$12=0,0,D55/D$12)</f>
        <v>0</v>
      </c>
      <c r="G55" s="5"/>
      <c r="H55" s="5">
        <f>SUM(0)</f>
        <v>0</v>
      </c>
      <c r="I55" s="5"/>
      <c r="J55" s="13">
        <f>IF(H$12=0,0,H55/H$12)</f>
        <v>0</v>
      </c>
      <c r="K55" s="5"/>
      <c r="L55" s="5">
        <f>+D55-H55</f>
        <v>0</v>
      </c>
      <c r="M55" s="5"/>
      <c r="N55" s="13">
        <f>IF(H55=0,0,L55/H55)</f>
        <v>0</v>
      </c>
      <c r="O55" s="11"/>
      <c r="P55" s="5">
        <f>SUM(0)</f>
        <v>0</v>
      </c>
      <c r="Q55" s="5"/>
      <c r="R55" s="13">
        <f>IF(P$12=0,0,P55/P$12)</f>
        <v>0</v>
      </c>
      <c r="S55" s="5"/>
      <c r="T55" s="5">
        <f>SUM(0)</f>
        <v>0</v>
      </c>
      <c r="U55" s="5"/>
      <c r="V55" s="13">
        <f>IF(T$12=0,0,T55/T$12)</f>
        <v>0</v>
      </c>
      <c r="W55" s="5"/>
      <c r="X55" s="5">
        <f>+P55-T55</f>
        <v>0</v>
      </c>
      <c r="Y55" s="5"/>
      <c r="Z55" s="13">
        <f>IF(T55=0,0,X55/T55)</f>
        <v>0</v>
      </c>
    </row>
    <row r="56" spans="1:26" ht="15" customHeight="1" x14ac:dyDescent="0.3">
      <c r="A56" s="10"/>
      <c r="B56" s="11"/>
      <c r="C56" s="11"/>
      <c r="D56" s="4"/>
      <c r="E56" s="4"/>
      <c r="F56" s="9"/>
      <c r="G56" s="4"/>
      <c r="H56" s="4"/>
      <c r="I56" s="4"/>
      <c r="J56" s="9"/>
      <c r="K56" s="4"/>
      <c r="L56" s="4"/>
      <c r="M56" s="4"/>
      <c r="N56" s="9"/>
      <c r="O56" s="11"/>
      <c r="P56" s="4"/>
      <c r="Q56" s="4"/>
      <c r="R56" s="9"/>
      <c r="S56" s="4"/>
      <c r="T56" s="4"/>
      <c r="U56" s="4"/>
      <c r="V56" s="9"/>
      <c r="W56" s="4"/>
      <c r="X56" s="4"/>
      <c r="Y56" s="4"/>
      <c r="Z56" s="9"/>
    </row>
    <row r="57" spans="1:26" s="63" customFormat="1" ht="15" customHeight="1" x14ac:dyDescent="0.3">
      <c r="A57" s="11"/>
      <c r="B57" s="27" t="s">
        <v>292</v>
      </c>
      <c r="C57" s="27"/>
      <c r="D57" s="21">
        <f>+D16-D18+D55</f>
        <v>-9673.34</v>
      </c>
      <c r="E57" s="15"/>
      <c r="F57" s="23">
        <f>IF(D$12=0,0,D57/D$12)</f>
        <v>0</v>
      </c>
      <c r="G57" s="15"/>
      <c r="H57" s="21">
        <f>+H16-H18+H55</f>
        <v>-12236.75742769231</v>
      </c>
      <c r="I57" s="15"/>
      <c r="J57" s="23">
        <f>IF(H$12=0,0,H57/H$12)</f>
        <v>0</v>
      </c>
      <c r="K57" s="16"/>
      <c r="L57" s="21">
        <f>+D57-H57</f>
        <v>2563.4174276923095</v>
      </c>
      <c r="M57" s="16"/>
      <c r="N57" s="23">
        <f>IF(H57=0,0,L57/H57)</f>
        <v>-0.20948502434894928</v>
      </c>
      <c r="O57" s="28"/>
      <c r="P57" s="21">
        <f>+P16-P18+P55</f>
        <v>-78067.559999999983</v>
      </c>
      <c r="Q57" s="15"/>
      <c r="R57" s="23">
        <f>IF(P$12=0,0,P57/P$12)</f>
        <v>0</v>
      </c>
      <c r="S57" s="15"/>
      <c r="T57" s="21">
        <f>+T16-T18+T55</f>
        <v>-119297.11452</v>
      </c>
      <c r="U57" s="15"/>
      <c r="V57" s="23">
        <f>IF(T$12=0,0,T57/T$12)</f>
        <v>0</v>
      </c>
      <c r="W57" s="16"/>
      <c r="X57" s="21">
        <f>+P57-T57</f>
        <v>41229.55452000002</v>
      </c>
      <c r="Y57" s="16"/>
      <c r="Z57" s="23">
        <f>IF(T57=0,0,X57/T57)</f>
        <v>-0.34560395434449454</v>
      </c>
    </row>
    <row r="58" spans="1:26" ht="15" customHeight="1" x14ac:dyDescent="0.3">
      <c r="A58" s="10"/>
      <c r="B58" s="11"/>
      <c r="C58" s="10"/>
      <c r="D58" s="4"/>
      <c r="E58" s="4"/>
      <c r="F58" s="9"/>
      <c r="G58" s="4"/>
      <c r="H58" s="4"/>
      <c r="I58" s="4"/>
      <c r="J58" s="9"/>
      <c r="K58" s="4"/>
      <c r="L58" s="4"/>
      <c r="M58" s="4"/>
      <c r="N58" s="9"/>
      <c r="P58" s="4"/>
      <c r="Q58" s="4"/>
      <c r="R58" s="9"/>
      <c r="S58" s="4"/>
      <c r="T58" s="4"/>
      <c r="U58" s="4"/>
      <c r="V58" s="9"/>
      <c r="W58" s="4"/>
      <c r="X58" s="4"/>
      <c r="Y58" s="4"/>
      <c r="Z58" s="9"/>
    </row>
    <row r="59" spans="1:26" s="63" customFormat="1" ht="15" customHeight="1" x14ac:dyDescent="0.3">
      <c r="A59" s="49"/>
      <c r="B59" s="11" t="s">
        <v>293</v>
      </c>
      <c r="C59" s="11"/>
      <c r="D59" s="5"/>
      <c r="E59" s="5"/>
      <c r="F59" s="13">
        <f>IF(D$12=0,0,D59/D$12)</f>
        <v>0</v>
      </c>
      <c r="G59" s="5"/>
      <c r="H59" s="5"/>
      <c r="I59" s="5"/>
      <c r="J59" s="13">
        <f>IF(H$12=0,0,H59/H$12)</f>
        <v>0</v>
      </c>
      <c r="K59" s="5"/>
      <c r="L59" s="5">
        <f>+D59-H59</f>
        <v>0</v>
      </c>
      <c r="M59" s="5"/>
      <c r="N59" s="13">
        <f>IF(H59=0,0,L59/H59)</f>
        <v>0</v>
      </c>
      <c r="O59" s="11"/>
      <c r="P59" s="5"/>
      <c r="Q59" s="5"/>
      <c r="R59" s="13">
        <f>IF(P$12=0,0,P59/P$12)</f>
        <v>0</v>
      </c>
      <c r="S59" s="5"/>
      <c r="T59" s="5"/>
      <c r="U59" s="5"/>
      <c r="V59" s="13">
        <f>IF(T$12=0,0,T59/T$12)</f>
        <v>0</v>
      </c>
      <c r="W59" s="5"/>
      <c r="X59" s="5">
        <f>+P59-T59</f>
        <v>0</v>
      </c>
      <c r="Y59" s="5"/>
      <c r="Z59" s="13">
        <f>IF(T59=0,0,X59/T59)</f>
        <v>0</v>
      </c>
    </row>
    <row r="60" spans="1:26" ht="15" customHeight="1" x14ac:dyDescent="0.3">
      <c r="A60" s="10"/>
      <c r="B60" s="11"/>
      <c r="C60" s="11"/>
      <c r="D60" s="4"/>
      <c r="E60" s="4"/>
      <c r="F60" s="9"/>
      <c r="G60" s="4"/>
      <c r="H60" s="4"/>
      <c r="I60" s="4"/>
      <c r="J60" s="9"/>
      <c r="K60" s="4"/>
      <c r="L60" s="4"/>
      <c r="M60" s="4"/>
      <c r="N60" s="9"/>
      <c r="O60" s="11"/>
      <c r="P60" s="4"/>
      <c r="Q60" s="4"/>
      <c r="R60" s="9"/>
      <c r="S60" s="4"/>
      <c r="T60" s="4"/>
      <c r="U60" s="4"/>
      <c r="V60" s="9"/>
      <c r="W60" s="4"/>
      <c r="X60" s="4"/>
      <c r="Y60" s="4"/>
      <c r="Z60" s="9"/>
    </row>
    <row r="61" spans="1:26" s="63" customFormat="1" ht="15" customHeight="1" x14ac:dyDescent="0.3">
      <c r="A61" s="11"/>
      <c r="B61" s="27" t="s">
        <v>294</v>
      </c>
      <c r="C61" s="27"/>
      <c r="D61" s="34">
        <f>+D57-D59</f>
        <v>-9673.34</v>
      </c>
      <c r="E61" s="15"/>
      <c r="F61" s="29">
        <f>IF(D$12=0,0,D61/D$12)</f>
        <v>0</v>
      </c>
      <c r="G61" s="15"/>
      <c r="H61" s="34">
        <f>+H57-H59</f>
        <v>-12236.75742769231</v>
      </c>
      <c r="I61" s="15"/>
      <c r="J61" s="29">
        <f>IF(H$12=0,0,H61/H$12)</f>
        <v>0</v>
      </c>
      <c r="K61" s="16"/>
      <c r="L61" s="34">
        <f>D61-H61</f>
        <v>2563.4174276923095</v>
      </c>
      <c r="M61" s="16"/>
      <c r="N61" s="29">
        <f>IF(H61=0,0,L61/H61)</f>
        <v>-0.20948502434894928</v>
      </c>
      <c r="O61" s="28"/>
      <c r="P61" s="34">
        <f>+P57-P59</f>
        <v>-78067.559999999983</v>
      </c>
      <c r="Q61" s="15"/>
      <c r="R61" s="29">
        <f>IF(P$12=0,0,P61/P$12)</f>
        <v>0</v>
      </c>
      <c r="S61" s="15"/>
      <c r="T61" s="34">
        <f>+T57-T59</f>
        <v>-119297.11452</v>
      </c>
      <c r="U61" s="15"/>
      <c r="V61" s="29">
        <f>IF(T$12=0,0,T61/T$12)</f>
        <v>0</v>
      </c>
      <c r="W61" s="16"/>
      <c r="X61" s="34">
        <f>P61-T61</f>
        <v>41229.55452000002</v>
      </c>
      <c r="Y61" s="16"/>
      <c r="Z61" s="29">
        <f>IF(T61=0,0,X61/T61)</f>
        <v>-0.34560395434449454</v>
      </c>
    </row>
    <row r="62" spans="1:26" ht="15" customHeight="1" x14ac:dyDescent="0.3">
      <c r="A62" s="10"/>
      <c r="B62" s="10"/>
      <c r="C62" s="10"/>
      <c r="D62" s="4"/>
      <c r="E62" s="4"/>
      <c r="F62" s="9"/>
      <c r="G62" s="4"/>
      <c r="H62" s="4"/>
      <c r="I62" s="4"/>
      <c r="J62" s="9"/>
      <c r="K62" s="4"/>
      <c r="L62" s="4"/>
      <c r="M62" s="4"/>
      <c r="N62" s="9"/>
      <c r="P62" s="4"/>
      <c r="Q62" s="4"/>
      <c r="R62" s="9"/>
      <c r="S62" s="4"/>
      <c r="T62" s="4"/>
      <c r="U62" s="4"/>
      <c r="V62" s="9"/>
      <c r="W62" s="4"/>
      <c r="X62" s="4"/>
      <c r="Y62" s="4"/>
      <c r="Z62" s="9"/>
    </row>
    <row r="63" spans="1:26" ht="15" customHeight="1" x14ac:dyDescent="0.3">
      <c r="A63" s="10"/>
      <c r="B63" s="10"/>
      <c r="C63" s="10"/>
      <c r="D63" s="4"/>
      <c r="E63" s="4"/>
      <c r="F63" s="9"/>
      <c r="G63" s="4"/>
      <c r="H63" s="4"/>
      <c r="I63" s="4"/>
      <c r="J63" s="9"/>
      <c r="K63" s="4"/>
      <c r="L63" s="4"/>
      <c r="M63" s="4"/>
      <c r="N63" s="9"/>
      <c r="P63" s="4"/>
      <c r="Q63" s="4"/>
      <c r="R63" s="9"/>
      <c r="S63" s="4"/>
      <c r="T63" s="4"/>
      <c r="U63" s="4"/>
      <c r="V63" s="9"/>
      <c r="W63" s="4"/>
      <c r="X63" s="4"/>
      <c r="Y63" s="4"/>
      <c r="Z63" s="9"/>
    </row>
    <row r="64" spans="1:26" s="63" customFormat="1" ht="15" customHeight="1" x14ac:dyDescent="0.3">
      <c r="A64" s="11"/>
      <c r="B64" s="27" t="s">
        <v>297</v>
      </c>
      <c r="C64" s="27"/>
      <c r="D64" s="32">
        <f>SUM(D61:D63)</f>
        <v>-9673.34</v>
      </c>
      <c r="E64" s="15"/>
      <c r="F64" s="31">
        <f>IF(D$12=0,0,D64/D$12)</f>
        <v>0</v>
      </c>
      <c r="G64" s="15"/>
      <c r="H64" s="32">
        <f>SUM(H61:H63)</f>
        <v>-12236.75742769231</v>
      </c>
      <c r="I64" s="15"/>
      <c r="J64" s="31">
        <f>IF(H$12=0,0,H64/H$12)</f>
        <v>0</v>
      </c>
      <c r="K64" s="16"/>
      <c r="L64" s="32">
        <f>+D64-H64</f>
        <v>2563.4174276923095</v>
      </c>
      <c r="M64" s="16"/>
      <c r="N64" s="31">
        <f>IF(H64=0,0,L64/H64)</f>
        <v>-0.20948502434894928</v>
      </c>
      <c r="O64" s="28"/>
      <c r="P64" s="32">
        <f>SUM(P61:P63)</f>
        <v>-78067.559999999983</v>
      </c>
      <c r="Q64" s="15"/>
      <c r="R64" s="31">
        <f>IF(P$12=0,0,P64/P$12)</f>
        <v>0</v>
      </c>
      <c r="S64" s="15"/>
      <c r="T64" s="32">
        <f>SUM(T61:T63)</f>
        <v>-119297.11452</v>
      </c>
      <c r="U64" s="15"/>
      <c r="V64" s="31">
        <f>IF(T$12=0,0,T64/T$12)</f>
        <v>0</v>
      </c>
      <c r="W64" s="16"/>
      <c r="X64" s="32">
        <f>+P64-T64</f>
        <v>41229.55452000002</v>
      </c>
      <c r="Y64" s="16"/>
      <c r="Z64" s="31">
        <f>IF(T64=0,0,X64/T64)</f>
        <v>-0.34560395434449454</v>
      </c>
    </row>
    <row r="65" spans="1:24" ht="15" customHeight="1" x14ac:dyDescent="0.3">
      <c r="A65" s="10"/>
      <c r="C65" s="10"/>
      <c r="D65" s="19"/>
      <c r="E65" s="19"/>
      <c r="G65" s="19"/>
      <c r="H65" s="19"/>
      <c r="I65" s="19"/>
      <c r="J65" s="40"/>
      <c r="K65" s="19"/>
      <c r="L65" s="19"/>
      <c r="M65" s="19"/>
      <c r="P65" s="19"/>
      <c r="Q65" s="19"/>
      <c r="R65" s="40"/>
      <c r="S65" s="19"/>
      <c r="T65" s="19"/>
      <c r="U65" s="19"/>
      <c r="V65" s="40"/>
      <c r="W65" s="19"/>
      <c r="X65" s="19"/>
    </row>
    <row r="66" spans="1:24" ht="15" customHeight="1" x14ac:dyDescent="0.3">
      <c r="A66" s="10"/>
      <c r="B66" s="51">
        <v>44663.047665428239</v>
      </c>
      <c r="D66" s="19"/>
      <c r="E66" s="19"/>
      <c r="G66" s="19"/>
      <c r="H66" s="19"/>
      <c r="I66" s="19"/>
      <c r="J66" s="40"/>
      <c r="K66" s="19"/>
      <c r="L66" s="19"/>
      <c r="M66" s="19"/>
      <c r="P66" s="19"/>
      <c r="Q66" s="19"/>
      <c r="R66" s="40"/>
      <c r="S66" s="19"/>
      <c r="T66" s="19"/>
      <c r="U66" s="19"/>
      <c r="V66" s="40"/>
      <c r="W66" s="19"/>
      <c r="X66" s="19"/>
    </row>
    <row r="67" spans="1:24" ht="15" customHeight="1" x14ac:dyDescent="0.3">
      <c r="A67" s="10"/>
      <c r="B67" s="58" t="s">
        <v>298</v>
      </c>
      <c r="D67" s="19"/>
      <c r="E67" s="19"/>
      <c r="G67" s="19"/>
      <c r="H67" s="19"/>
      <c r="I67" s="19"/>
      <c r="J67" s="40"/>
      <c r="K67" s="19"/>
      <c r="L67" s="19"/>
      <c r="M67" s="19"/>
      <c r="P67" s="19"/>
      <c r="Q67" s="19"/>
      <c r="R67" s="40"/>
      <c r="S67" s="19"/>
      <c r="T67" s="19"/>
      <c r="U67" s="19"/>
      <c r="V67" s="40"/>
      <c r="W67" s="19"/>
      <c r="X67" s="19"/>
    </row>
    <row r="68" spans="1:24" ht="15" customHeight="1" x14ac:dyDescent="0.3">
      <c r="A68" s="10"/>
      <c r="B68" s="50"/>
      <c r="D68" s="19"/>
      <c r="E68" s="19"/>
      <c r="G68" s="19"/>
      <c r="H68" s="19"/>
      <c r="I68" s="19"/>
      <c r="J68" s="40"/>
      <c r="K68" s="19"/>
      <c r="L68" s="19"/>
      <c r="M68" s="19"/>
      <c r="P68" s="19"/>
      <c r="Q68" s="19"/>
      <c r="R68" s="40"/>
      <c r="S68" s="19"/>
      <c r="T68" s="19"/>
      <c r="U68" s="19"/>
      <c r="V68" s="40"/>
      <c r="W68" s="19"/>
      <c r="X68" s="19"/>
    </row>
    <row r="69" spans="1:24" ht="15" customHeight="1" x14ac:dyDescent="0.3">
      <c r="D69" s="19"/>
      <c r="E69" s="19"/>
      <c r="G69" s="19"/>
      <c r="H69" s="19"/>
      <c r="I69" s="19"/>
      <c r="J69" s="40"/>
      <c r="K69" s="19"/>
      <c r="L69" s="19"/>
      <c r="M69" s="19"/>
      <c r="P69" s="19"/>
      <c r="Q69" s="19"/>
      <c r="R69" s="40"/>
      <c r="S69" s="19"/>
      <c r="T69" s="19"/>
      <c r="U69" s="19"/>
      <c r="V69" s="40"/>
      <c r="W69" s="19"/>
      <c r="X69" s="19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235CCF-F764-7D71-D2B3-E40D712D3FC2}">
  <sheetPr>
    <tabColor rgb="FFFFC000"/>
    <outlinePr summaryBelow="0" summaryRight="0"/>
  </sheetPr>
  <dimension ref="A2:Z172"/>
  <sheetViews>
    <sheetView showGridLines="0" defaultGridColor="0" colorId="8"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6" customWidth="1"/>
    <col min="2" max="2" width="33.44140625" style="66" customWidth="1"/>
    <col min="3" max="3" width="1.88671875" style="66" customWidth="1"/>
    <col min="4" max="4" width="15" style="66" customWidth="1"/>
    <col min="5" max="5" width="1.88671875" style="66" customWidth="1" outlineLevel="1"/>
    <col min="6" max="6" width="15" style="67" customWidth="1" outlineLevel="1"/>
    <col min="7" max="7" width="1.88671875" style="66" customWidth="1" outlineLevel="1"/>
    <col min="8" max="8" width="15" style="66" customWidth="1" outlineLevel="1"/>
    <col min="9" max="9" width="1.88671875" style="66" customWidth="1" outlineLevel="1"/>
    <col min="10" max="10" width="15" style="68" customWidth="1" outlineLevel="1"/>
    <col min="11" max="11" width="1.88671875" style="66" customWidth="1" outlineLevel="1"/>
    <col min="12" max="12" width="15" style="66" customWidth="1" outlineLevel="1"/>
    <col min="13" max="13" width="1.88671875" style="66" customWidth="1" outlineLevel="1"/>
    <col min="14" max="14" width="15" style="67" customWidth="1" outlineLevel="1"/>
    <col min="15" max="15" width="1.88671875" style="64" customWidth="1"/>
    <col min="16" max="16" width="15" style="66" customWidth="1"/>
    <col min="17" max="17" width="1.88671875" style="66" customWidth="1" outlineLevel="1"/>
    <col min="18" max="18" width="15" style="68" customWidth="1" outlineLevel="1"/>
    <col min="19" max="19" width="1.88671875" style="66" customWidth="1" outlineLevel="1"/>
    <col min="20" max="20" width="15" style="66" customWidth="1" outlineLevel="1"/>
    <col min="21" max="21" width="1.88671875" style="66" customWidth="1" outlineLevel="1"/>
    <col min="22" max="22" width="15" style="68" customWidth="1" outlineLevel="1"/>
    <col min="23" max="23" width="1.88671875" style="66" customWidth="1" outlineLevel="1"/>
    <col min="24" max="24" width="15" style="66" customWidth="1" outlineLevel="1"/>
    <col min="25" max="25" width="1.88671875" style="66" customWidth="1" outlineLevel="1"/>
    <col min="26" max="26" width="15" style="68" customWidth="1" outlineLevel="1"/>
  </cols>
  <sheetData>
    <row r="2" spans="1:26" ht="15" customHeight="1" x14ac:dyDescent="0.3">
      <c r="D2" s="54" t="s">
        <v>276</v>
      </c>
    </row>
    <row r="3" spans="1:26" ht="15" customHeight="1" x14ac:dyDescent="0.3">
      <c r="D3" s="54" t="s">
        <v>277</v>
      </c>
      <c r="E3" s="18"/>
      <c r="F3" s="44"/>
      <c r="G3" s="18"/>
      <c r="H3" s="18"/>
      <c r="I3" s="18"/>
      <c r="J3" s="38"/>
      <c r="K3" s="18"/>
      <c r="L3" s="18"/>
      <c r="M3" s="18"/>
      <c r="N3" s="44"/>
      <c r="O3" s="53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ht="15" customHeight="1" x14ac:dyDescent="0.3">
      <c r="D4" s="54" t="str">
        <f>CONCATENATE("Period ",RIGHT(202209,2),", ",2022)</f>
        <v>Period 09, 2022</v>
      </c>
      <c r="E4" s="18"/>
      <c r="F4" s="44"/>
      <c r="G4" s="18"/>
      <c r="H4" s="18"/>
      <c r="I4" s="18"/>
      <c r="J4" s="38"/>
      <c r="K4" s="18"/>
      <c r="L4" s="18"/>
      <c r="M4" s="18"/>
      <c r="N4" s="44"/>
      <c r="O4" s="53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ht="15" customHeight="1" x14ac:dyDescent="0.3">
      <c r="A5" s="24"/>
      <c r="D5" s="60">
        <v>44646</v>
      </c>
      <c r="E5" s="18"/>
      <c r="F5" s="44"/>
      <c r="G5" s="18"/>
      <c r="H5" s="18"/>
      <c r="I5" s="18"/>
      <c r="J5" s="38"/>
      <c r="K5" s="18"/>
      <c r="L5" s="18"/>
      <c r="M5" s="18"/>
      <c r="N5" s="44"/>
      <c r="O5" s="53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ht="15" customHeight="1" x14ac:dyDescent="0.3">
      <c r="A6" s="24"/>
      <c r="B6" s="47"/>
      <c r="C6" s="47"/>
      <c r="D6" s="24" t="s">
        <v>301</v>
      </c>
      <c r="E6" s="18"/>
      <c r="F6" s="44"/>
      <c r="G6" s="18"/>
      <c r="H6" s="18"/>
      <c r="I6" s="18"/>
      <c r="J6" s="38"/>
      <c r="K6" s="18"/>
      <c r="L6" s="18"/>
      <c r="M6" s="18"/>
      <c r="N6" s="44"/>
      <c r="O6" s="59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ht="15" customHeight="1" x14ac:dyDescent="0.3">
      <c r="B7" s="52"/>
    </row>
    <row r="8" spans="1:26" ht="15" customHeight="1" x14ac:dyDescent="0.3">
      <c r="B8" s="52"/>
    </row>
    <row r="9" spans="1:26" ht="15" customHeight="1" x14ac:dyDescent="0.3">
      <c r="B9" s="10"/>
      <c r="C9" s="10"/>
      <c r="D9" s="17" t="s">
        <v>279</v>
      </c>
      <c r="E9" s="17"/>
      <c r="F9" s="36"/>
      <c r="G9" s="17"/>
      <c r="H9" s="17"/>
      <c r="I9" s="17"/>
      <c r="J9" s="43"/>
      <c r="K9" s="17"/>
      <c r="L9" s="17"/>
      <c r="M9" s="17"/>
      <c r="N9" s="36"/>
      <c r="P9" s="17" t="s">
        <v>280</v>
      </c>
      <c r="Q9" s="17"/>
      <c r="R9" s="36"/>
      <c r="S9" s="17"/>
      <c r="T9" s="17"/>
      <c r="U9" s="17"/>
      <c r="V9" s="43"/>
      <c r="W9" s="17"/>
      <c r="X9" s="17"/>
      <c r="Y9" s="17"/>
      <c r="Z9" s="36"/>
    </row>
    <row r="10" spans="1:26" ht="15" customHeight="1" x14ac:dyDescent="0.3">
      <c r="A10" s="11"/>
      <c r="B10" s="57"/>
      <c r="C10" s="11"/>
      <c r="D10" s="41" t="s">
        <v>281</v>
      </c>
      <c r="E10" s="33"/>
      <c r="F10" s="37" t="s">
        <v>282</v>
      </c>
      <c r="G10" s="33"/>
      <c r="H10" s="48" t="s">
        <v>283</v>
      </c>
      <c r="I10" s="33"/>
      <c r="J10" s="45" t="s">
        <v>284</v>
      </c>
      <c r="K10" s="11"/>
      <c r="L10" s="41" t="s">
        <v>285</v>
      </c>
      <c r="M10" s="11"/>
      <c r="N10" s="37" t="s">
        <v>286</v>
      </c>
      <c r="O10" s="11"/>
      <c r="P10" s="56" t="s">
        <v>281</v>
      </c>
      <c r="Q10" s="33"/>
      <c r="R10" s="37" t="s">
        <v>282</v>
      </c>
      <c r="S10" s="33"/>
      <c r="T10" s="48" t="s">
        <v>283</v>
      </c>
      <c r="U10" s="33"/>
      <c r="V10" s="45" t="s">
        <v>284</v>
      </c>
      <c r="W10" s="11"/>
      <c r="X10" s="41" t="s">
        <v>285</v>
      </c>
      <c r="Y10" s="11"/>
      <c r="Z10" s="37" t="s">
        <v>286</v>
      </c>
    </row>
    <row r="11" spans="1:26" ht="16.5" customHeight="1" x14ac:dyDescent="0.3">
      <c r="A11" s="10"/>
      <c r="B11" s="55"/>
      <c r="C11" s="10"/>
      <c r="D11" s="10"/>
      <c r="E11" s="10"/>
      <c r="F11" s="9"/>
      <c r="G11" s="10"/>
      <c r="H11" s="10"/>
      <c r="I11" s="10"/>
      <c r="J11" s="46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6"/>
      <c r="W11" s="10"/>
      <c r="X11" s="10"/>
      <c r="Y11" s="10"/>
      <c r="Z11" s="9"/>
    </row>
    <row r="12" spans="1:26" s="63" customFormat="1" ht="15" customHeight="1" collapsed="1" x14ac:dyDescent="0.3">
      <c r="A12" s="11"/>
      <c r="B12" s="28" t="s">
        <v>287</v>
      </c>
      <c r="C12" s="11"/>
      <c r="D12" s="5">
        <f>SUM(OSRRefD13x_0)</f>
        <v>725815.73999999987</v>
      </c>
      <c r="E12" s="5"/>
      <c r="F12" s="13"/>
      <c r="G12" s="5"/>
      <c r="H12" s="5">
        <f>SUM(OSRRefH13x_0)</f>
        <v>453103</v>
      </c>
      <c r="I12" s="5"/>
      <c r="J12" s="13"/>
      <c r="K12" s="5"/>
      <c r="L12" s="5">
        <f t="shared" ref="L12:L23" si="0">+D12-H12</f>
        <v>272712.73999999987</v>
      </c>
      <c r="M12" s="5"/>
      <c r="N12" s="13">
        <f t="shared" ref="N12:N23" si="1">IF(H12=0,0,L12/H12)</f>
        <v>0.60187802773320831</v>
      </c>
      <c r="O12" s="11"/>
      <c r="P12" s="5">
        <f>SUM(OSRRefP13x_0)</f>
        <v>6096273.1000000006</v>
      </c>
      <c r="Q12" s="5"/>
      <c r="R12" s="13"/>
      <c r="S12" s="5"/>
      <c r="T12" s="5">
        <f>SUM(OSRRefT13x_0)</f>
        <v>8234416</v>
      </c>
      <c r="U12" s="5"/>
      <c r="V12" s="13"/>
      <c r="W12" s="5"/>
      <c r="X12" s="5">
        <f t="shared" ref="X12:X23" si="2">+P12-T12</f>
        <v>-2138142.8999999994</v>
      </c>
      <c r="Y12" s="5"/>
      <c r="Z12" s="13">
        <f t="shared" ref="Z12:Z23" si="3">IF(T12=0,0,X12/T12)</f>
        <v>-0.25965932496002136</v>
      </c>
    </row>
    <row r="13" spans="1:26" s="70" customFormat="1" ht="15" hidden="1" customHeight="1" outlineLevel="1" x14ac:dyDescent="0.3">
      <c r="A13" s="42"/>
      <c r="B13" s="12" t="str">
        <f>CONCATENATE("          ","4000"," - ","TAXABLE SALES")</f>
        <v xml:space="preserve">          4000 - TAXABLE SALES</v>
      </c>
      <c r="C13" s="12"/>
      <c r="D13" s="3">
        <f>--544669.65</f>
        <v>544669.65</v>
      </c>
      <c r="E13" s="3"/>
      <c r="F13" s="20"/>
      <c r="G13" s="3"/>
      <c r="H13" s="3">
        <v>323822</v>
      </c>
      <c r="I13" s="3"/>
      <c r="J13" s="20"/>
      <c r="K13" s="3"/>
      <c r="L13" s="3">
        <f t="shared" si="0"/>
        <v>220847.65000000002</v>
      </c>
      <c r="M13" s="3"/>
      <c r="N13" s="20">
        <f t="shared" si="1"/>
        <v>0.68200323016966113</v>
      </c>
      <c r="O13" s="12"/>
      <c r="P13" s="3">
        <f>--5009646.26</f>
        <v>5009646.26</v>
      </c>
      <c r="Q13" s="3"/>
      <c r="R13" s="20"/>
      <c r="S13" s="3"/>
      <c r="T13" s="3">
        <v>7638680</v>
      </c>
      <c r="U13" s="3"/>
      <c r="V13" s="20"/>
      <c r="W13" s="3"/>
      <c r="X13" s="3">
        <f t="shared" si="2"/>
        <v>-2629033.7400000002</v>
      </c>
      <c r="Y13" s="3"/>
      <c r="Z13" s="20">
        <f t="shared" si="3"/>
        <v>-0.34417382846250927</v>
      </c>
    </row>
    <row r="14" spans="1:26" s="70" customFormat="1" ht="15" hidden="1" customHeight="1" outlineLevel="1" x14ac:dyDescent="0.3">
      <c r="A14" s="42"/>
      <c r="B14" s="12" t="str">
        <f>CONCATENATE("          ","4051"," - ","TAXABLE SALES-FOOD")</f>
        <v xml:space="preserve">          4051 - TAXABLE SALES-FOOD</v>
      </c>
      <c r="C14" s="12"/>
      <c r="D14" s="3">
        <f>0</f>
        <v>0</v>
      </c>
      <c r="E14" s="3"/>
      <c r="F14" s="20"/>
      <c r="G14" s="3"/>
      <c r="H14" s="3"/>
      <c r="I14" s="3"/>
      <c r="J14" s="20"/>
      <c r="K14" s="3"/>
      <c r="L14" s="3">
        <f t="shared" si="0"/>
        <v>0</v>
      </c>
      <c r="M14" s="3"/>
      <c r="N14" s="20">
        <f t="shared" si="1"/>
        <v>0</v>
      </c>
      <c r="O14" s="12"/>
      <c r="P14" s="3">
        <f>--25.17</f>
        <v>25.17</v>
      </c>
      <c r="Q14" s="3"/>
      <c r="R14" s="20"/>
      <c r="S14" s="3"/>
      <c r="T14" s="3"/>
      <c r="U14" s="3"/>
      <c r="V14" s="20"/>
      <c r="W14" s="3"/>
      <c r="X14" s="3">
        <f t="shared" si="2"/>
        <v>25.17</v>
      </c>
      <c r="Y14" s="3"/>
      <c r="Z14" s="20">
        <f t="shared" si="3"/>
        <v>0</v>
      </c>
    </row>
    <row r="15" spans="1:26" s="70" customFormat="1" ht="15" hidden="1" customHeight="1" outlineLevel="1" x14ac:dyDescent="0.3">
      <c r="A15" s="42"/>
      <c r="B15" s="12" t="str">
        <f>CONCATENATE("          ","4053"," - ","TAXABLE SALES-FOOD")</f>
        <v xml:space="preserve">          4053 - TAXABLE SALES-FOOD</v>
      </c>
      <c r="C15" s="12"/>
      <c r="D15" s="3">
        <f>--412.69</f>
        <v>412.69</v>
      </c>
      <c r="E15" s="3"/>
      <c r="F15" s="20"/>
      <c r="G15" s="3"/>
      <c r="H15" s="3"/>
      <c r="I15" s="3"/>
      <c r="J15" s="20"/>
      <c r="K15" s="3"/>
      <c r="L15" s="3">
        <f t="shared" si="0"/>
        <v>412.69</v>
      </c>
      <c r="M15" s="3"/>
      <c r="N15" s="20">
        <f t="shared" si="1"/>
        <v>0</v>
      </c>
      <c r="O15" s="12"/>
      <c r="P15" s="3">
        <f>--1111.41</f>
        <v>1111.4100000000001</v>
      </c>
      <c r="Q15" s="3"/>
      <c r="R15" s="20"/>
      <c r="S15" s="3"/>
      <c r="T15" s="3"/>
      <c r="U15" s="3"/>
      <c r="V15" s="20"/>
      <c r="W15" s="3"/>
      <c r="X15" s="3">
        <f t="shared" si="2"/>
        <v>1111.4100000000001</v>
      </c>
      <c r="Y15" s="3"/>
      <c r="Z15" s="20">
        <f t="shared" si="3"/>
        <v>0</v>
      </c>
    </row>
    <row r="16" spans="1:26" s="70" customFormat="1" ht="15" hidden="1" customHeight="1" outlineLevel="1" x14ac:dyDescent="0.3">
      <c r="A16" s="42"/>
      <c r="B16" s="12" t="str">
        <f>CONCATENATE("          ","4100"," - ","NON-TAXABLE SALES")</f>
        <v xml:space="preserve">          4100 - NON-TAXABLE SALES</v>
      </c>
      <c r="C16" s="12"/>
      <c r="D16" s="3">
        <f>--209988.12</f>
        <v>209988.12</v>
      </c>
      <c r="E16" s="3"/>
      <c r="F16" s="20"/>
      <c r="G16" s="3"/>
      <c r="H16" s="3">
        <v>129281</v>
      </c>
      <c r="I16" s="3"/>
      <c r="J16" s="20"/>
      <c r="K16" s="3"/>
      <c r="L16" s="3">
        <f t="shared" si="0"/>
        <v>80707.12</v>
      </c>
      <c r="M16" s="3"/>
      <c r="N16" s="20">
        <f t="shared" si="1"/>
        <v>0.62427673053271548</v>
      </c>
      <c r="O16" s="12"/>
      <c r="P16" s="3">
        <f>--1359846.29</f>
        <v>1359846.29</v>
      </c>
      <c r="Q16" s="3"/>
      <c r="R16" s="20"/>
      <c r="S16" s="3"/>
      <c r="T16" s="3">
        <v>595736</v>
      </c>
      <c r="U16" s="3"/>
      <c r="V16" s="20"/>
      <c r="W16" s="3"/>
      <c r="X16" s="3">
        <f t="shared" si="2"/>
        <v>764110.29</v>
      </c>
      <c r="Y16" s="3"/>
      <c r="Z16" s="20">
        <f t="shared" si="3"/>
        <v>1.2826323908576953</v>
      </c>
    </row>
    <row r="17" spans="1:26" s="70" customFormat="1" ht="15" hidden="1" customHeight="1" outlineLevel="1" x14ac:dyDescent="0.3">
      <c r="A17" s="42"/>
      <c r="B17" s="12" t="str">
        <f>CONCATENATE("          ","4141"," - ","NON-TAXABLE SALES-LOGO GIFTS")</f>
        <v xml:space="preserve">          4141 - NON-TAXABLE SALES-LOGO GIFTS</v>
      </c>
      <c r="C17" s="12"/>
      <c r="D17" s="3">
        <f>0</f>
        <v>0</v>
      </c>
      <c r="E17" s="3"/>
      <c r="F17" s="20"/>
      <c r="G17" s="3"/>
      <c r="H17" s="3"/>
      <c r="I17" s="3"/>
      <c r="J17" s="20"/>
      <c r="K17" s="3"/>
      <c r="L17" s="3">
        <f t="shared" si="0"/>
        <v>0</v>
      </c>
      <c r="M17" s="3"/>
      <c r="N17" s="20">
        <f t="shared" si="1"/>
        <v>0</v>
      </c>
      <c r="O17" s="12"/>
      <c r="P17" s="3">
        <f>0</f>
        <v>0</v>
      </c>
      <c r="Q17" s="3"/>
      <c r="R17" s="20"/>
      <c r="S17" s="3"/>
      <c r="T17" s="3"/>
      <c r="U17" s="3"/>
      <c r="V17" s="20"/>
      <c r="W17" s="3"/>
      <c r="X17" s="3">
        <f t="shared" si="2"/>
        <v>0</v>
      </c>
      <c r="Y17" s="3"/>
      <c r="Z17" s="20">
        <f t="shared" si="3"/>
        <v>0</v>
      </c>
    </row>
    <row r="18" spans="1:26" s="70" customFormat="1" ht="15" hidden="1" customHeight="1" outlineLevel="1" x14ac:dyDescent="0.3">
      <c r="A18" s="42"/>
      <c r="B18" s="12" t="str">
        <f>CONCATENATE("          ","4146"," - ","NON-TAXABLE SALES-COIN OP MACH")</f>
        <v xml:space="preserve">          4146 - NON-TAXABLE SALES-COIN OP MACH</v>
      </c>
      <c r="C18" s="12"/>
      <c r="D18" s="3">
        <f>0</f>
        <v>0</v>
      </c>
      <c r="E18" s="3"/>
      <c r="F18" s="20"/>
      <c r="G18" s="3"/>
      <c r="H18" s="3"/>
      <c r="I18" s="3"/>
      <c r="J18" s="20"/>
      <c r="K18" s="3"/>
      <c r="L18" s="3">
        <f t="shared" si="0"/>
        <v>0</v>
      </c>
      <c r="M18" s="3"/>
      <c r="N18" s="20">
        <f t="shared" si="1"/>
        <v>0</v>
      </c>
      <c r="O18" s="12"/>
      <c r="P18" s="3">
        <f>0</f>
        <v>0</v>
      </c>
      <c r="Q18" s="3"/>
      <c r="R18" s="20"/>
      <c r="S18" s="3"/>
      <c r="T18" s="3"/>
      <c r="U18" s="3"/>
      <c r="V18" s="20"/>
      <c r="W18" s="3"/>
      <c r="X18" s="3">
        <f t="shared" si="2"/>
        <v>0</v>
      </c>
      <c r="Y18" s="3"/>
      <c r="Z18" s="20">
        <f t="shared" si="3"/>
        <v>0</v>
      </c>
    </row>
    <row r="19" spans="1:26" s="70" customFormat="1" ht="15" hidden="1" customHeight="1" outlineLevel="1" x14ac:dyDescent="0.3">
      <c r="A19" s="42"/>
      <c r="B19" s="12" t="str">
        <f>CONCATENATE("          ","4151"," - ","NON-TAXABLE SALES-FOOD")</f>
        <v xml:space="preserve">          4151 - NON-TAXABLE SALES-FOOD</v>
      </c>
      <c r="C19" s="12"/>
      <c r="D19" s="3">
        <f>0</f>
        <v>0</v>
      </c>
      <c r="E19" s="3"/>
      <c r="F19" s="20"/>
      <c r="G19" s="3"/>
      <c r="H19" s="3"/>
      <c r="I19" s="3"/>
      <c r="J19" s="20"/>
      <c r="K19" s="3"/>
      <c r="L19" s="3">
        <f t="shared" si="0"/>
        <v>0</v>
      </c>
      <c r="M19" s="3"/>
      <c r="N19" s="20">
        <f t="shared" si="1"/>
        <v>0</v>
      </c>
      <c r="O19" s="12"/>
      <c r="P19" s="3">
        <f>--206.32</f>
        <v>206.32</v>
      </c>
      <c r="Q19" s="3"/>
      <c r="R19" s="20"/>
      <c r="S19" s="3"/>
      <c r="T19" s="3"/>
      <c r="U19" s="3"/>
      <c r="V19" s="20"/>
      <c r="W19" s="3"/>
      <c r="X19" s="3">
        <f t="shared" si="2"/>
        <v>206.32</v>
      </c>
      <c r="Y19" s="3"/>
      <c r="Z19" s="20">
        <f t="shared" si="3"/>
        <v>0</v>
      </c>
    </row>
    <row r="20" spans="1:26" s="70" customFormat="1" ht="15" hidden="1" customHeight="1" outlineLevel="1" x14ac:dyDescent="0.3">
      <c r="A20" s="42"/>
      <c r="B20" s="12" t="str">
        <f>CONCATENATE("          ","4153"," - ","NON-TAXABLE SALES-FOOD")</f>
        <v xml:space="preserve">          4153 - NON-TAXABLE SALES-FOOD</v>
      </c>
      <c r="C20" s="12"/>
      <c r="D20" s="3">
        <f>0</f>
        <v>0</v>
      </c>
      <c r="E20" s="3"/>
      <c r="F20" s="20"/>
      <c r="G20" s="3"/>
      <c r="H20" s="3"/>
      <c r="I20" s="3"/>
      <c r="J20" s="20"/>
      <c r="K20" s="3"/>
      <c r="L20" s="3">
        <f t="shared" si="0"/>
        <v>0</v>
      </c>
      <c r="M20" s="3"/>
      <c r="N20" s="20">
        <f t="shared" si="1"/>
        <v>0</v>
      </c>
      <c r="O20" s="12"/>
      <c r="P20" s="3">
        <f>0</f>
        <v>0</v>
      </c>
      <c r="Q20" s="3"/>
      <c r="R20" s="20"/>
      <c r="S20" s="3"/>
      <c r="T20" s="3"/>
      <c r="U20" s="3"/>
      <c r="V20" s="20"/>
      <c r="W20" s="3"/>
      <c r="X20" s="3">
        <f t="shared" si="2"/>
        <v>0</v>
      </c>
      <c r="Y20" s="3"/>
      <c r="Z20" s="20">
        <f t="shared" si="3"/>
        <v>0</v>
      </c>
    </row>
    <row r="21" spans="1:26" s="70" customFormat="1" ht="15" hidden="1" customHeight="1" outlineLevel="1" x14ac:dyDescent="0.3">
      <c r="A21" s="42"/>
      <c r="B21" s="12" t="str">
        <f>CONCATENATE("          ","4200"," - ","TAXABLE RETURNS")</f>
        <v xml:space="preserve">          4200 - TAXABLE RETURNS</v>
      </c>
      <c r="C21" s="12"/>
      <c r="D21" s="3">
        <f>-19894.68</f>
        <v>-19894.68</v>
      </c>
      <c r="E21" s="3"/>
      <c r="F21" s="20"/>
      <c r="G21" s="3"/>
      <c r="H21" s="3"/>
      <c r="I21" s="3"/>
      <c r="J21" s="20"/>
      <c r="K21" s="3"/>
      <c r="L21" s="3">
        <f t="shared" si="0"/>
        <v>-19894.68</v>
      </c>
      <c r="M21" s="3"/>
      <c r="N21" s="20">
        <f t="shared" si="1"/>
        <v>0</v>
      </c>
      <c r="O21" s="12"/>
      <c r="P21" s="3">
        <f>-151408.01</f>
        <v>-151408.01</v>
      </c>
      <c r="Q21" s="3"/>
      <c r="R21" s="20"/>
      <c r="S21" s="3"/>
      <c r="T21" s="3"/>
      <c r="U21" s="3"/>
      <c r="V21" s="20"/>
      <c r="W21" s="3"/>
      <c r="X21" s="3">
        <f t="shared" si="2"/>
        <v>-151408.01</v>
      </c>
      <c r="Y21" s="3"/>
      <c r="Z21" s="20">
        <f t="shared" si="3"/>
        <v>0</v>
      </c>
    </row>
    <row r="22" spans="1:26" s="70" customFormat="1" ht="15" hidden="1" customHeight="1" outlineLevel="1" x14ac:dyDescent="0.3">
      <c r="A22" s="42"/>
      <c r="B22" s="12" t="str">
        <f>CONCATENATE("          ","4300"," - ","NON-TAX RETURNS")</f>
        <v xml:space="preserve">          4300 - NON-TAX RETURNS</v>
      </c>
      <c r="C22" s="12"/>
      <c r="D22" s="3">
        <f>0</f>
        <v>0</v>
      </c>
      <c r="E22" s="3"/>
      <c r="F22" s="20"/>
      <c r="G22" s="3"/>
      <c r="H22" s="3"/>
      <c r="I22" s="3"/>
      <c r="J22" s="20"/>
      <c r="K22" s="3"/>
      <c r="L22" s="3">
        <f t="shared" si="0"/>
        <v>0</v>
      </c>
      <c r="M22" s="3"/>
      <c r="N22" s="20">
        <f t="shared" si="1"/>
        <v>0</v>
      </c>
      <c r="O22" s="12"/>
      <c r="P22" s="3">
        <f>-31247.2</f>
        <v>-31247.200000000001</v>
      </c>
      <c r="Q22" s="3"/>
      <c r="R22" s="20"/>
      <c r="S22" s="3"/>
      <c r="T22" s="3"/>
      <c r="U22" s="3"/>
      <c r="V22" s="20"/>
      <c r="W22" s="3"/>
      <c r="X22" s="3">
        <f t="shared" si="2"/>
        <v>-31247.200000000001</v>
      </c>
      <c r="Y22" s="3"/>
      <c r="Z22" s="20">
        <f t="shared" si="3"/>
        <v>0</v>
      </c>
    </row>
    <row r="23" spans="1:26" s="70" customFormat="1" ht="15" hidden="1" customHeight="1" outlineLevel="1" x14ac:dyDescent="0.3">
      <c r="A23" s="42"/>
      <c r="B23" s="12" t="str">
        <f>CONCATENATE("          ","4500"," - ","SALES DISCOUNT")</f>
        <v xml:space="preserve">          4500 - SALES DISCOUNT</v>
      </c>
      <c r="C23" s="12"/>
      <c r="D23" s="3">
        <f>-9360.04</f>
        <v>-9360.0400000000009</v>
      </c>
      <c r="E23" s="3"/>
      <c r="F23" s="20"/>
      <c r="G23" s="3"/>
      <c r="H23" s="3"/>
      <c r="I23" s="3"/>
      <c r="J23" s="20"/>
      <c r="K23" s="3"/>
      <c r="L23" s="3">
        <f t="shared" si="0"/>
        <v>-9360.0400000000009</v>
      </c>
      <c r="M23" s="3"/>
      <c r="N23" s="20">
        <f t="shared" si="1"/>
        <v>0</v>
      </c>
      <c r="O23" s="12"/>
      <c r="P23" s="3">
        <f>-91907.14</f>
        <v>-91907.14</v>
      </c>
      <c r="Q23" s="3"/>
      <c r="R23" s="20"/>
      <c r="S23" s="3"/>
      <c r="T23" s="3"/>
      <c r="U23" s="3"/>
      <c r="V23" s="20"/>
      <c r="W23" s="3"/>
      <c r="X23" s="3">
        <f t="shared" si="2"/>
        <v>-91907.14</v>
      </c>
      <c r="Y23" s="3"/>
      <c r="Z23" s="20">
        <f t="shared" si="3"/>
        <v>0</v>
      </c>
    </row>
    <row r="24" spans="1:26" ht="15" customHeight="1" x14ac:dyDescent="0.3">
      <c r="A24" s="10"/>
      <c r="B24" s="11"/>
      <c r="C24" s="10"/>
      <c r="D24" s="4"/>
      <c r="E24" s="4"/>
      <c r="F24" s="9"/>
      <c r="G24" s="4"/>
      <c r="H24" s="4"/>
      <c r="I24" s="4"/>
      <c r="J24" s="9"/>
      <c r="K24" s="4"/>
      <c r="L24" s="4"/>
      <c r="M24" s="4"/>
      <c r="N24" s="9"/>
      <c r="P24" s="4"/>
      <c r="Q24" s="4"/>
      <c r="R24" s="9"/>
      <c r="S24" s="4"/>
      <c r="T24" s="4"/>
      <c r="U24" s="4"/>
      <c r="V24" s="9"/>
      <c r="W24" s="4"/>
      <c r="X24" s="4"/>
      <c r="Y24" s="4"/>
      <c r="Z24" s="9"/>
    </row>
    <row r="25" spans="1:26" s="63" customFormat="1" ht="15" customHeight="1" collapsed="1" x14ac:dyDescent="0.3">
      <c r="A25" s="11"/>
      <c r="B25" s="28" t="s">
        <v>288</v>
      </c>
      <c r="C25" s="11"/>
      <c r="D25" s="5">
        <f>SUM(OSRRefD16x_0)</f>
        <v>301569.03999999998</v>
      </c>
      <c r="E25" s="5"/>
      <c r="F25" s="13">
        <f t="shared" ref="F25:F54" si="4">IF(D$12=0,0,D25/D$12)</f>
        <v>0.41548980461625157</v>
      </c>
      <c r="G25" s="5"/>
      <c r="H25" s="5">
        <f>SUM(OSRRefH16x_0)</f>
        <v>203868</v>
      </c>
      <c r="I25" s="5"/>
      <c r="J25" s="13">
        <f t="shared" ref="J25:J54" si="5">IF(H$12=0,0,H25/H$12)</f>
        <v>0.44993743144494741</v>
      </c>
      <c r="K25" s="5"/>
      <c r="L25" s="5">
        <f t="shared" ref="L25:L54" si="6">+D25-H25</f>
        <v>97701.039999999979</v>
      </c>
      <c r="M25" s="5"/>
      <c r="N25" s="13">
        <f t="shared" ref="N25:N54" si="7">IF(H25=0,0,L25/H25)</f>
        <v>0.47923676104145807</v>
      </c>
      <c r="O25" s="11"/>
      <c r="P25" s="5">
        <f>SUM(OSRRefP16x_0)</f>
        <v>3459926.47</v>
      </c>
      <c r="Q25" s="5"/>
      <c r="R25" s="13">
        <f t="shared" ref="R25:R54" si="8">IF(P$12=0,0,P25/P$12)</f>
        <v>0.56754781376182106</v>
      </c>
      <c r="S25" s="5"/>
      <c r="T25" s="5">
        <f>SUM(OSRRefT16x_0)</f>
        <v>5049806</v>
      </c>
      <c r="U25" s="5"/>
      <c r="V25" s="13">
        <f t="shared" ref="V25:V54" si="9">IF(T$12=0,0,T25/T$12)</f>
        <v>0.61325611919533818</v>
      </c>
      <c r="W25" s="5"/>
      <c r="X25" s="5">
        <f t="shared" ref="X25:X54" si="10">+P25-T25</f>
        <v>-1589879.5299999998</v>
      </c>
      <c r="Y25" s="5"/>
      <c r="Z25" s="13">
        <f t="shared" ref="Z25:Z54" si="11">IF(T25=0,0,X25/T25)</f>
        <v>-0.31483972453595244</v>
      </c>
    </row>
    <row r="26" spans="1:26" s="70" customFormat="1" ht="15" hidden="1" customHeight="1" outlineLevel="1" x14ac:dyDescent="0.3">
      <c r="A26" s="42"/>
      <c r="B26" s="12" t="str">
        <f>CONCATENATE("          ","5000"," - ","PURCHASES @ COST")</f>
        <v xml:space="preserve">          5000 - PURCHASES @ COST</v>
      </c>
      <c r="C26" s="12"/>
      <c r="D26" s="3">
        <v>120420.52</v>
      </c>
      <c r="E26" s="3"/>
      <c r="F26" s="20">
        <f t="shared" si="4"/>
        <v>0.16591059323127938</v>
      </c>
      <c r="G26" s="3"/>
      <c r="H26" s="3">
        <v>203868</v>
      </c>
      <c r="I26" s="3"/>
      <c r="J26" s="20">
        <f t="shared" si="5"/>
        <v>0.44993743144494741</v>
      </c>
      <c r="K26" s="3"/>
      <c r="L26" s="3">
        <f t="shared" si="6"/>
        <v>-83447.48</v>
      </c>
      <c r="M26" s="3"/>
      <c r="N26" s="20">
        <f t="shared" si="7"/>
        <v>-0.40932112935821213</v>
      </c>
      <c r="O26" s="12"/>
      <c r="P26" s="3">
        <v>3521577.49</v>
      </c>
      <c r="Q26" s="3"/>
      <c r="R26" s="20">
        <f t="shared" si="8"/>
        <v>0.57766071700429555</v>
      </c>
      <c r="S26" s="3"/>
      <c r="T26" s="3">
        <v>5049806</v>
      </c>
      <c r="U26" s="3"/>
      <c r="V26" s="20">
        <f t="shared" si="9"/>
        <v>0.61325611919533818</v>
      </c>
      <c r="W26" s="3"/>
      <c r="X26" s="3">
        <f t="shared" si="10"/>
        <v>-1528228.5099999998</v>
      </c>
      <c r="Y26" s="3"/>
      <c r="Z26" s="20">
        <f t="shared" si="11"/>
        <v>-0.30263113276034759</v>
      </c>
    </row>
    <row r="27" spans="1:26" s="70" customFormat="1" ht="15" hidden="1" customHeight="1" outlineLevel="1" x14ac:dyDescent="0.3">
      <c r="A27" s="42"/>
      <c r="B27" s="12" t="str">
        <f>CONCATENATE("          ","5001"," - ","PURCHASES @ COST-NEW TEXT")</f>
        <v xml:space="preserve">          5001 - PURCHASES @ COST-NEW TEXT</v>
      </c>
      <c r="C27" s="12"/>
      <c r="D27" s="3"/>
      <c r="E27" s="3"/>
      <c r="F27" s="20">
        <f t="shared" si="4"/>
        <v>0</v>
      </c>
      <c r="G27" s="3"/>
      <c r="H27" s="3"/>
      <c r="I27" s="3"/>
      <c r="J27" s="20">
        <f t="shared" si="5"/>
        <v>0</v>
      </c>
      <c r="K27" s="3"/>
      <c r="L27" s="3">
        <f t="shared" si="6"/>
        <v>0</v>
      </c>
      <c r="M27" s="3"/>
      <c r="N27" s="20">
        <f t="shared" si="7"/>
        <v>0</v>
      </c>
      <c r="O27" s="12"/>
      <c r="P27" s="3">
        <v>0</v>
      </c>
      <c r="Q27" s="3"/>
      <c r="R27" s="20">
        <f t="shared" si="8"/>
        <v>0</v>
      </c>
      <c r="S27" s="3"/>
      <c r="T27" s="3"/>
      <c r="U27" s="3"/>
      <c r="V27" s="20">
        <f t="shared" si="9"/>
        <v>0</v>
      </c>
      <c r="W27" s="3"/>
      <c r="X27" s="3">
        <f t="shared" si="10"/>
        <v>0</v>
      </c>
      <c r="Y27" s="3"/>
      <c r="Z27" s="20">
        <f t="shared" si="11"/>
        <v>0</v>
      </c>
    </row>
    <row r="28" spans="1:26" s="70" customFormat="1" ht="15" hidden="1" customHeight="1" outlineLevel="1" x14ac:dyDescent="0.3">
      <c r="A28" s="42"/>
      <c r="B28" s="12" t="str">
        <f>CONCATENATE("          ","5002"," - ","PURCHASES @ COST-USED TEXT")</f>
        <v xml:space="preserve">          5002 - PURCHASES @ COST-USED TEXT</v>
      </c>
      <c r="C28" s="12"/>
      <c r="D28" s="3"/>
      <c r="E28" s="3"/>
      <c r="F28" s="20">
        <f t="shared" si="4"/>
        <v>0</v>
      </c>
      <c r="G28" s="3"/>
      <c r="H28" s="3"/>
      <c r="I28" s="3"/>
      <c r="J28" s="20">
        <f t="shared" si="5"/>
        <v>0</v>
      </c>
      <c r="K28" s="3"/>
      <c r="L28" s="3">
        <f t="shared" si="6"/>
        <v>0</v>
      </c>
      <c r="M28" s="3"/>
      <c r="N28" s="20">
        <f t="shared" si="7"/>
        <v>0</v>
      </c>
      <c r="O28" s="12"/>
      <c r="P28" s="3">
        <v>0</v>
      </c>
      <c r="Q28" s="3"/>
      <c r="R28" s="20">
        <f t="shared" si="8"/>
        <v>0</v>
      </c>
      <c r="S28" s="3"/>
      <c r="T28" s="3"/>
      <c r="U28" s="3"/>
      <c r="V28" s="20">
        <f t="shared" si="9"/>
        <v>0</v>
      </c>
      <c r="W28" s="3"/>
      <c r="X28" s="3">
        <f t="shared" si="10"/>
        <v>0</v>
      </c>
      <c r="Y28" s="3"/>
      <c r="Z28" s="20">
        <f t="shared" si="11"/>
        <v>0</v>
      </c>
    </row>
    <row r="29" spans="1:26" s="70" customFormat="1" ht="15" hidden="1" customHeight="1" outlineLevel="1" x14ac:dyDescent="0.3">
      <c r="A29" s="42"/>
      <c r="B29" s="12" t="str">
        <f>CONCATENATE("          ","5004"," - ","PURCHASES @ COST-DIGITAL TEXT")</f>
        <v xml:space="preserve">          5004 - PURCHASES @ COST-DIGITAL TEXT</v>
      </c>
      <c r="C29" s="12"/>
      <c r="D29" s="3"/>
      <c r="E29" s="3"/>
      <c r="F29" s="20">
        <f t="shared" si="4"/>
        <v>0</v>
      </c>
      <c r="G29" s="3"/>
      <c r="H29" s="3"/>
      <c r="I29" s="3"/>
      <c r="J29" s="20">
        <f t="shared" si="5"/>
        <v>0</v>
      </c>
      <c r="K29" s="3"/>
      <c r="L29" s="3">
        <f t="shared" si="6"/>
        <v>0</v>
      </c>
      <c r="M29" s="3"/>
      <c r="N29" s="20">
        <f t="shared" si="7"/>
        <v>0</v>
      </c>
      <c r="O29" s="12"/>
      <c r="P29" s="3">
        <v>0</v>
      </c>
      <c r="Q29" s="3"/>
      <c r="R29" s="20">
        <f t="shared" si="8"/>
        <v>0</v>
      </c>
      <c r="S29" s="3"/>
      <c r="T29" s="3"/>
      <c r="U29" s="3"/>
      <c r="V29" s="20">
        <f t="shared" si="9"/>
        <v>0</v>
      </c>
      <c r="W29" s="3"/>
      <c r="X29" s="3">
        <f t="shared" si="10"/>
        <v>0</v>
      </c>
      <c r="Y29" s="3"/>
      <c r="Z29" s="20">
        <f t="shared" si="11"/>
        <v>0</v>
      </c>
    </row>
    <row r="30" spans="1:26" s="70" customFormat="1" ht="15" hidden="1" customHeight="1" outlineLevel="1" x14ac:dyDescent="0.3">
      <c r="A30" s="42"/>
      <c r="B30" s="12" t="str">
        <f>CONCATENATE("          ","5026"," - ","PURCHASES @ COST-WRITING INSTR")</f>
        <v xml:space="preserve">          5026 - PURCHASES @ COST-WRITING INSTR</v>
      </c>
      <c r="C30" s="12"/>
      <c r="D30" s="3"/>
      <c r="E30" s="3"/>
      <c r="F30" s="20">
        <f t="shared" si="4"/>
        <v>0</v>
      </c>
      <c r="G30" s="3"/>
      <c r="H30" s="3"/>
      <c r="I30" s="3"/>
      <c r="J30" s="20">
        <f t="shared" si="5"/>
        <v>0</v>
      </c>
      <c r="K30" s="3"/>
      <c r="L30" s="3">
        <f t="shared" si="6"/>
        <v>0</v>
      </c>
      <c r="M30" s="3"/>
      <c r="N30" s="20">
        <f t="shared" si="7"/>
        <v>0</v>
      </c>
      <c r="O30" s="12"/>
      <c r="P30" s="3">
        <v>0</v>
      </c>
      <c r="Q30" s="3"/>
      <c r="R30" s="20">
        <f t="shared" si="8"/>
        <v>0</v>
      </c>
      <c r="S30" s="3"/>
      <c r="T30" s="3"/>
      <c r="U30" s="3"/>
      <c r="V30" s="20">
        <f t="shared" si="9"/>
        <v>0</v>
      </c>
      <c r="W30" s="3"/>
      <c r="X30" s="3">
        <f t="shared" si="10"/>
        <v>0</v>
      </c>
      <c r="Y30" s="3"/>
      <c r="Z30" s="20">
        <f t="shared" si="11"/>
        <v>0</v>
      </c>
    </row>
    <row r="31" spans="1:26" s="70" customFormat="1" ht="15" hidden="1" customHeight="1" outlineLevel="1" x14ac:dyDescent="0.3">
      <c r="A31" s="42"/>
      <c r="B31" s="12" t="str">
        <f>CONCATENATE("          ","5027"," - ","PURCHASES @ COST-SCHOOL SUPPLI")</f>
        <v xml:space="preserve">          5027 - PURCHASES @ COST-SCHOOL SUPPLI</v>
      </c>
      <c r="C31" s="12"/>
      <c r="D31" s="3"/>
      <c r="E31" s="3"/>
      <c r="F31" s="20">
        <f t="shared" si="4"/>
        <v>0</v>
      </c>
      <c r="G31" s="3"/>
      <c r="H31" s="3"/>
      <c r="I31" s="3"/>
      <c r="J31" s="20">
        <f t="shared" si="5"/>
        <v>0</v>
      </c>
      <c r="K31" s="3"/>
      <c r="L31" s="3">
        <f t="shared" si="6"/>
        <v>0</v>
      </c>
      <c r="M31" s="3"/>
      <c r="N31" s="20">
        <f t="shared" si="7"/>
        <v>0</v>
      </c>
      <c r="O31" s="12"/>
      <c r="P31" s="3">
        <v>0</v>
      </c>
      <c r="Q31" s="3"/>
      <c r="R31" s="20">
        <f t="shared" si="8"/>
        <v>0</v>
      </c>
      <c r="S31" s="3"/>
      <c r="T31" s="3"/>
      <c r="U31" s="3"/>
      <c r="V31" s="20">
        <f t="shared" si="9"/>
        <v>0</v>
      </c>
      <c r="W31" s="3"/>
      <c r="X31" s="3">
        <f t="shared" si="10"/>
        <v>0</v>
      </c>
      <c r="Y31" s="3"/>
      <c r="Z31" s="20">
        <f t="shared" si="11"/>
        <v>0</v>
      </c>
    </row>
    <row r="32" spans="1:26" s="70" customFormat="1" ht="15" hidden="1" customHeight="1" outlineLevel="1" x14ac:dyDescent="0.3">
      <c r="A32" s="42"/>
      <c r="B32" s="12" t="str">
        <f>CONCATENATE("          ","5028"," - ","PURCHASES @ COST-ART/TECH")</f>
        <v xml:space="preserve">          5028 - PURCHASES @ COST-ART/TECH</v>
      </c>
      <c r="C32" s="12"/>
      <c r="D32" s="3"/>
      <c r="E32" s="3"/>
      <c r="F32" s="20">
        <f t="shared" si="4"/>
        <v>0</v>
      </c>
      <c r="G32" s="3"/>
      <c r="H32" s="3"/>
      <c r="I32" s="3"/>
      <c r="J32" s="20">
        <f t="shared" si="5"/>
        <v>0</v>
      </c>
      <c r="K32" s="3"/>
      <c r="L32" s="3">
        <f t="shared" si="6"/>
        <v>0</v>
      </c>
      <c r="M32" s="3"/>
      <c r="N32" s="20">
        <f t="shared" si="7"/>
        <v>0</v>
      </c>
      <c r="O32" s="12"/>
      <c r="P32" s="3">
        <v>0</v>
      </c>
      <c r="Q32" s="3"/>
      <c r="R32" s="20">
        <f t="shared" si="8"/>
        <v>0</v>
      </c>
      <c r="S32" s="3"/>
      <c r="T32" s="3"/>
      <c r="U32" s="3"/>
      <c r="V32" s="20">
        <f t="shared" si="9"/>
        <v>0</v>
      </c>
      <c r="W32" s="3"/>
      <c r="X32" s="3">
        <f t="shared" si="10"/>
        <v>0</v>
      </c>
      <c r="Y32" s="3"/>
      <c r="Z32" s="20">
        <f t="shared" si="11"/>
        <v>0</v>
      </c>
    </row>
    <row r="33" spans="1:26" s="70" customFormat="1" ht="15" hidden="1" customHeight="1" outlineLevel="1" x14ac:dyDescent="0.3">
      <c r="A33" s="42"/>
      <c r="B33" s="12" t="str">
        <f>CONCATENATE("          ","5031"," - ","PURCHASES @ COST-FOOD")</f>
        <v xml:space="preserve">          5031 - PURCHASES @ COST-FOOD</v>
      </c>
      <c r="C33" s="12"/>
      <c r="D33" s="3"/>
      <c r="E33" s="3"/>
      <c r="F33" s="20">
        <f t="shared" si="4"/>
        <v>0</v>
      </c>
      <c r="G33" s="3"/>
      <c r="H33" s="3"/>
      <c r="I33" s="3"/>
      <c r="J33" s="20">
        <f t="shared" si="5"/>
        <v>0</v>
      </c>
      <c r="K33" s="3"/>
      <c r="L33" s="3">
        <f t="shared" si="6"/>
        <v>0</v>
      </c>
      <c r="M33" s="3"/>
      <c r="N33" s="20">
        <f t="shared" si="7"/>
        <v>0</v>
      </c>
      <c r="O33" s="12"/>
      <c r="P33" s="3">
        <v>0</v>
      </c>
      <c r="Q33" s="3"/>
      <c r="R33" s="20">
        <f t="shared" si="8"/>
        <v>0</v>
      </c>
      <c r="S33" s="3"/>
      <c r="T33" s="3"/>
      <c r="U33" s="3"/>
      <c r="V33" s="20">
        <f t="shared" si="9"/>
        <v>0</v>
      </c>
      <c r="W33" s="3"/>
      <c r="X33" s="3">
        <f t="shared" si="10"/>
        <v>0</v>
      </c>
      <c r="Y33" s="3"/>
      <c r="Z33" s="20">
        <f t="shared" si="11"/>
        <v>0</v>
      </c>
    </row>
    <row r="34" spans="1:26" s="70" customFormat="1" ht="15" hidden="1" customHeight="1" outlineLevel="1" x14ac:dyDescent="0.3">
      <c r="A34" s="42"/>
      <c r="B34" s="12" t="str">
        <f>CONCATENATE("          ","5040"," - ","PURCHASES @ COST-LOGO CLOTHING")</f>
        <v xml:space="preserve">          5040 - PURCHASES @ COST-LOGO CLOTHING</v>
      </c>
      <c r="C34" s="12"/>
      <c r="D34" s="3"/>
      <c r="E34" s="3"/>
      <c r="F34" s="20">
        <f t="shared" si="4"/>
        <v>0</v>
      </c>
      <c r="G34" s="3"/>
      <c r="H34" s="3"/>
      <c r="I34" s="3"/>
      <c r="J34" s="20">
        <f t="shared" si="5"/>
        <v>0</v>
      </c>
      <c r="K34" s="3"/>
      <c r="L34" s="3">
        <f t="shared" si="6"/>
        <v>0</v>
      </c>
      <c r="M34" s="3"/>
      <c r="N34" s="20">
        <f t="shared" si="7"/>
        <v>0</v>
      </c>
      <c r="O34" s="12"/>
      <c r="P34" s="3">
        <v>0</v>
      </c>
      <c r="Q34" s="3"/>
      <c r="R34" s="20">
        <f t="shared" si="8"/>
        <v>0</v>
      </c>
      <c r="S34" s="3"/>
      <c r="T34" s="3"/>
      <c r="U34" s="3"/>
      <c r="V34" s="20">
        <f t="shared" si="9"/>
        <v>0</v>
      </c>
      <c r="W34" s="3"/>
      <c r="X34" s="3">
        <f t="shared" si="10"/>
        <v>0</v>
      </c>
      <c r="Y34" s="3"/>
      <c r="Z34" s="20">
        <f t="shared" si="11"/>
        <v>0</v>
      </c>
    </row>
    <row r="35" spans="1:26" s="70" customFormat="1" ht="15" hidden="1" customHeight="1" outlineLevel="1" x14ac:dyDescent="0.3">
      <c r="A35" s="42"/>
      <c r="B35" s="12" t="str">
        <f>CONCATENATE("          ","5041"," - ","PURCHASES @ COST-LOGO GIFTS")</f>
        <v xml:space="preserve">          5041 - PURCHASES @ COST-LOGO GIFTS</v>
      </c>
      <c r="C35" s="12"/>
      <c r="D35" s="3"/>
      <c r="E35" s="3"/>
      <c r="F35" s="20">
        <f t="shared" si="4"/>
        <v>0</v>
      </c>
      <c r="G35" s="3"/>
      <c r="H35" s="3"/>
      <c r="I35" s="3"/>
      <c r="J35" s="20">
        <f t="shared" si="5"/>
        <v>0</v>
      </c>
      <c r="K35" s="3"/>
      <c r="L35" s="3">
        <f t="shared" si="6"/>
        <v>0</v>
      </c>
      <c r="M35" s="3"/>
      <c r="N35" s="20">
        <f t="shared" si="7"/>
        <v>0</v>
      </c>
      <c r="O35" s="12"/>
      <c r="P35" s="3">
        <v>0</v>
      </c>
      <c r="Q35" s="3"/>
      <c r="R35" s="20">
        <f t="shared" si="8"/>
        <v>0</v>
      </c>
      <c r="S35" s="3"/>
      <c r="T35" s="3"/>
      <c r="U35" s="3"/>
      <c r="V35" s="20">
        <f t="shared" si="9"/>
        <v>0</v>
      </c>
      <c r="W35" s="3"/>
      <c r="X35" s="3">
        <f t="shared" si="10"/>
        <v>0</v>
      </c>
      <c r="Y35" s="3"/>
      <c r="Z35" s="20">
        <f t="shared" si="11"/>
        <v>0</v>
      </c>
    </row>
    <row r="36" spans="1:26" s="70" customFormat="1" ht="15" hidden="1" customHeight="1" outlineLevel="1" x14ac:dyDescent="0.3">
      <c r="A36" s="42"/>
      <c r="B36" s="12" t="str">
        <f>CONCATENATE("          ","5042"," - ","PURCHASES @ COST-EVERYDAY GIFT")</f>
        <v xml:space="preserve">          5042 - PURCHASES @ COST-EVERYDAY GIFT</v>
      </c>
      <c r="C36" s="12"/>
      <c r="D36" s="3"/>
      <c r="E36" s="3"/>
      <c r="F36" s="20">
        <f t="shared" si="4"/>
        <v>0</v>
      </c>
      <c r="G36" s="3"/>
      <c r="H36" s="3"/>
      <c r="I36" s="3"/>
      <c r="J36" s="20">
        <f t="shared" si="5"/>
        <v>0</v>
      </c>
      <c r="K36" s="3"/>
      <c r="L36" s="3">
        <f t="shared" si="6"/>
        <v>0</v>
      </c>
      <c r="M36" s="3"/>
      <c r="N36" s="20">
        <f t="shared" si="7"/>
        <v>0</v>
      </c>
      <c r="O36" s="12"/>
      <c r="P36" s="3">
        <v>0</v>
      </c>
      <c r="Q36" s="3"/>
      <c r="R36" s="20">
        <f t="shared" si="8"/>
        <v>0</v>
      </c>
      <c r="S36" s="3"/>
      <c r="T36" s="3"/>
      <c r="U36" s="3"/>
      <c r="V36" s="20">
        <f t="shared" si="9"/>
        <v>0</v>
      </c>
      <c r="W36" s="3"/>
      <c r="X36" s="3">
        <f t="shared" si="10"/>
        <v>0</v>
      </c>
      <c r="Y36" s="3"/>
      <c r="Z36" s="20">
        <f t="shared" si="11"/>
        <v>0</v>
      </c>
    </row>
    <row r="37" spans="1:26" s="70" customFormat="1" ht="15" hidden="1" customHeight="1" outlineLevel="1" x14ac:dyDescent="0.3">
      <c r="A37" s="42"/>
      <c r="B37" s="12" t="str">
        <f>CONCATENATE("          ","5043"," - ","PURCHASES @ COST-CARDS")</f>
        <v xml:space="preserve">          5043 - PURCHASES @ COST-CARDS</v>
      </c>
      <c r="C37" s="12"/>
      <c r="D37" s="3"/>
      <c r="E37" s="3"/>
      <c r="F37" s="20">
        <f t="shared" si="4"/>
        <v>0</v>
      </c>
      <c r="G37" s="3"/>
      <c r="H37" s="3"/>
      <c r="I37" s="3"/>
      <c r="J37" s="20">
        <f t="shared" si="5"/>
        <v>0</v>
      </c>
      <c r="K37" s="3"/>
      <c r="L37" s="3">
        <f t="shared" si="6"/>
        <v>0</v>
      </c>
      <c r="M37" s="3"/>
      <c r="N37" s="20">
        <f t="shared" si="7"/>
        <v>0</v>
      </c>
      <c r="O37" s="12"/>
      <c r="P37" s="3">
        <v>0</v>
      </c>
      <c r="Q37" s="3"/>
      <c r="R37" s="20">
        <f t="shared" si="8"/>
        <v>0</v>
      </c>
      <c r="S37" s="3"/>
      <c r="T37" s="3"/>
      <c r="U37" s="3"/>
      <c r="V37" s="20">
        <f t="shared" si="9"/>
        <v>0</v>
      </c>
      <c r="W37" s="3"/>
      <c r="X37" s="3">
        <f t="shared" si="10"/>
        <v>0</v>
      </c>
      <c r="Y37" s="3"/>
      <c r="Z37" s="20">
        <f t="shared" si="11"/>
        <v>0</v>
      </c>
    </row>
    <row r="38" spans="1:26" s="70" customFormat="1" ht="15" hidden="1" customHeight="1" outlineLevel="1" x14ac:dyDescent="0.3">
      <c r="A38" s="42"/>
      <c r="B38" s="12" t="str">
        <f>CONCATENATE("          ","5044"," - ","PURCHASES @ COST-ACCESSORIES")</f>
        <v xml:space="preserve">          5044 - PURCHASES @ COST-ACCESSORIES</v>
      </c>
      <c r="C38" s="12"/>
      <c r="D38" s="3"/>
      <c r="E38" s="3"/>
      <c r="F38" s="20">
        <f t="shared" si="4"/>
        <v>0</v>
      </c>
      <c r="G38" s="3"/>
      <c r="H38" s="3"/>
      <c r="I38" s="3"/>
      <c r="J38" s="20">
        <f t="shared" si="5"/>
        <v>0</v>
      </c>
      <c r="K38" s="3"/>
      <c r="L38" s="3">
        <f t="shared" si="6"/>
        <v>0</v>
      </c>
      <c r="M38" s="3"/>
      <c r="N38" s="20">
        <f t="shared" si="7"/>
        <v>0</v>
      </c>
      <c r="O38" s="12"/>
      <c r="P38" s="3">
        <v>0</v>
      </c>
      <c r="Q38" s="3"/>
      <c r="R38" s="20">
        <f t="shared" si="8"/>
        <v>0</v>
      </c>
      <c r="S38" s="3"/>
      <c r="T38" s="3"/>
      <c r="U38" s="3"/>
      <c r="V38" s="20">
        <f t="shared" si="9"/>
        <v>0</v>
      </c>
      <c r="W38" s="3"/>
      <c r="X38" s="3">
        <f t="shared" si="10"/>
        <v>0</v>
      </c>
      <c r="Y38" s="3"/>
      <c r="Z38" s="20">
        <f t="shared" si="11"/>
        <v>0</v>
      </c>
    </row>
    <row r="39" spans="1:26" s="70" customFormat="1" ht="15" hidden="1" customHeight="1" outlineLevel="1" x14ac:dyDescent="0.3">
      <c r="A39" s="42"/>
      <c r="B39" s="12" t="str">
        <f>CONCATENATE("          ","5045"," - ","PURCHASES @ COST-SPECIAL ORDER")</f>
        <v xml:space="preserve">          5045 - PURCHASES @ COST-SPECIAL ORDER</v>
      </c>
      <c r="C39" s="12"/>
      <c r="D39" s="3"/>
      <c r="E39" s="3"/>
      <c r="F39" s="20">
        <f t="shared" si="4"/>
        <v>0</v>
      </c>
      <c r="G39" s="3"/>
      <c r="H39" s="3"/>
      <c r="I39" s="3"/>
      <c r="J39" s="20">
        <f t="shared" si="5"/>
        <v>0</v>
      </c>
      <c r="K39" s="3"/>
      <c r="L39" s="3">
        <f t="shared" si="6"/>
        <v>0</v>
      </c>
      <c r="M39" s="3"/>
      <c r="N39" s="20">
        <f t="shared" si="7"/>
        <v>0</v>
      </c>
      <c r="O39" s="12"/>
      <c r="P39" s="3">
        <v>0</v>
      </c>
      <c r="Q39" s="3"/>
      <c r="R39" s="20">
        <f t="shared" si="8"/>
        <v>0</v>
      </c>
      <c r="S39" s="3"/>
      <c r="T39" s="3"/>
      <c r="U39" s="3"/>
      <c r="V39" s="20">
        <f t="shared" si="9"/>
        <v>0</v>
      </c>
      <c r="W39" s="3"/>
      <c r="X39" s="3">
        <f t="shared" si="10"/>
        <v>0</v>
      </c>
      <c r="Y39" s="3"/>
      <c r="Z39" s="20">
        <f t="shared" si="11"/>
        <v>0</v>
      </c>
    </row>
    <row r="40" spans="1:26" s="70" customFormat="1" ht="15" hidden="1" customHeight="1" outlineLevel="1" x14ac:dyDescent="0.3">
      <c r="A40" s="42"/>
      <c r="B40" s="12" t="str">
        <f>CONCATENATE("          ","5053"," - ","PURCHASES @ COST-FOOD")</f>
        <v xml:space="preserve">          5053 - PURCHASES @ COST-FOOD</v>
      </c>
      <c r="C40" s="12"/>
      <c r="D40" s="3">
        <v>-14878.27</v>
      </c>
      <c r="E40" s="3"/>
      <c r="F40" s="20">
        <f t="shared" si="4"/>
        <v>-2.0498687449241597E-2</v>
      </c>
      <c r="G40" s="3"/>
      <c r="H40" s="3"/>
      <c r="I40" s="3"/>
      <c r="J40" s="20">
        <f t="shared" si="5"/>
        <v>0</v>
      </c>
      <c r="K40" s="3"/>
      <c r="L40" s="3">
        <f t="shared" si="6"/>
        <v>-14878.27</v>
      </c>
      <c r="M40" s="3"/>
      <c r="N40" s="20">
        <f t="shared" si="7"/>
        <v>0</v>
      </c>
      <c r="O40" s="12"/>
      <c r="P40" s="3">
        <v>27059.34</v>
      </c>
      <c r="Q40" s="3"/>
      <c r="R40" s="20">
        <f t="shared" si="8"/>
        <v>4.4386692584359446E-3</v>
      </c>
      <c r="S40" s="3"/>
      <c r="T40" s="3"/>
      <c r="U40" s="3"/>
      <c r="V40" s="20">
        <f t="shared" si="9"/>
        <v>0</v>
      </c>
      <c r="W40" s="3"/>
      <c r="X40" s="3">
        <f t="shared" si="10"/>
        <v>27059.34</v>
      </c>
      <c r="Y40" s="3"/>
      <c r="Z40" s="20">
        <f t="shared" si="11"/>
        <v>0</v>
      </c>
    </row>
    <row r="41" spans="1:26" s="70" customFormat="1" ht="15" hidden="1" customHeight="1" outlineLevel="1" x14ac:dyDescent="0.3">
      <c r="A41" s="42"/>
      <c r="B41" s="12" t="str">
        <f>CONCATENATE("          ","5059"," - ","PURCHASES @ COST-FOOD")</f>
        <v xml:space="preserve">          5059 - PURCHASES @ COST-FOOD</v>
      </c>
      <c r="C41" s="12"/>
      <c r="D41" s="3">
        <v>52537.61</v>
      </c>
      <c r="E41" s="3"/>
      <c r="F41" s="20">
        <f t="shared" si="4"/>
        <v>7.2384225230497215E-2</v>
      </c>
      <c r="G41" s="3"/>
      <c r="H41" s="3"/>
      <c r="I41" s="3"/>
      <c r="J41" s="20">
        <f t="shared" si="5"/>
        <v>0</v>
      </c>
      <c r="K41" s="3"/>
      <c r="L41" s="3">
        <f t="shared" si="6"/>
        <v>52537.61</v>
      </c>
      <c r="M41" s="3"/>
      <c r="N41" s="20">
        <f t="shared" si="7"/>
        <v>0</v>
      </c>
      <c r="O41" s="12"/>
      <c r="P41" s="3">
        <v>118897.79</v>
      </c>
      <c r="Q41" s="3"/>
      <c r="R41" s="20">
        <f t="shared" si="8"/>
        <v>1.9503356895215207E-2</v>
      </c>
      <c r="S41" s="3"/>
      <c r="T41" s="3"/>
      <c r="U41" s="3"/>
      <c r="V41" s="20">
        <f t="shared" si="9"/>
        <v>0</v>
      </c>
      <c r="W41" s="3"/>
      <c r="X41" s="3">
        <f t="shared" si="10"/>
        <v>118897.79</v>
      </c>
      <c r="Y41" s="3"/>
      <c r="Z41" s="20">
        <f t="shared" si="11"/>
        <v>0</v>
      </c>
    </row>
    <row r="42" spans="1:26" s="70" customFormat="1" ht="15" hidden="1" customHeight="1" outlineLevel="1" x14ac:dyDescent="0.3">
      <c r="A42" s="42"/>
      <c r="B42" s="12" t="str">
        <f>CONCATENATE("          ","5200"," - ","PURCHASES OFFSET")</f>
        <v xml:space="preserve">          5200 - PURCHASES OFFSET</v>
      </c>
      <c r="C42" s="12"/>
      <c r="D42" s="3">
        <v>-141093.01</v>
      </c>
      <c r="E42" s="3"/>
      <c r="F42" s="20">
        <f t="shared" si="4"/>
        <v>-0.19439232607438361</v>
      </c>
      <c r="G42" s="3"/>
      <c r="H42" s="3"/>
      <c r="I42" s="3"/>
      <c r="J42" s="20">
        <f t="shared" si="5"/>
        <v>0</v>
      </c>
      <c r="K42" s="3"/>
      <c r="L42" s="3">
        <f t="shared" si="6"/>
        <v>-141093.01</v>
      </c>
      <c r="M42" s="3"/>
      <c r="N42" s="20">
        <f t="shared" si="7"/>
        <v>0</v>
      </c>
      <c r="O42" s="12"/>
      <c r="P42" s="3">
        <v>-3353138.65</v>
      </c>
      <c r="Q42" s="3"/>
      <c r="R42" s="20">
        <f t="shared" si="8"/>
        <v>-0.55003091150886918</v>
      </c>
      <c r="S42" s="3"/>
      <c r="T42" s="3"/>
      <c r="U42" s="3"/>
      <c r="V42" s="20">
        <f t="shared" si="9"/>
        <v>0</v>
      </c>
      <c r="W42" s="3"/>
      <c r="X42" s="3">
        <f t="shared" si="10"/>
        <v>-3353138.65</v>
      </c>
      <c r="Y42" s="3"/>
      <c r="Z42" s="20">
        <f t="shared" si="11"/>
        <v>0</v>
      </c>
    </row>
    <row r="43" spans="1:26" s="70" customFormat="1" ht="15" hidden="1" customHeight="1" outlineLevel="1" x14ac:dyDescent="0.3">
      <c r="A43" s="42"/>
      <c r="B43" s="12" t="str">
        <f>CONCATENATE("          ","5300"," - ","COG$ OFFSET")</f>
        <v xml:space="preserve">          5300 - COG$ OFFSET</v>
      </c>
      <c r="C43" s="12"/>
      <c r="D43" s="3">
        <v>260255.56</v>
      </c>
      <c r="E43" s="3"/>
      <c r="F43" s="20">
        <f t="shared" si="4"/>
        <v>0.35856973837464595</v>
      </c>
      <c r="G43" s="3"/>
      <c r="H43" s="3"/>
      <c r="I43" s="3"/>
      <c r="J43" s="20">
        <f t="shared" si="5"/>
        <v>0</v>
      </c>
      <c r="K43" s="3"/>
      <c r="L43" s="3">
        <f t="shared" si="6"/>
        <v>260255.56</v>
      </c>
      <c r="M43" s="3"/>
      <c r="N43" s="20">
        <f t="shared" si="7"/>
        <v>0</v>
      </c>
      <c r="O43" s="12"/>
      <c r="P43" s="3">
        <v>2997414.09</v>
      </c>
      <c r="Q43" s="3"/>
      <c r="R43" s="20">
        <f t="shared" si="8"/>
        <v>0.49167975922863422</v>
      </c>
      <c r="S43" s="3"/>
      <c r="T43" s="3"/>
      <c r="U43" s="3"/>
      <c r="V43" s="20">
        <f t="shared" si="9"/>
        <v>0</v>
      </c>
      <c r="W43" s="3"/>
      <c r="X43" s="3">
        <f t="shared" si="10"/>
        <v>2997414.09</v>
      </c>
      <c r="Y43" s="3"/>
      <c r="Z43" s="20">
        <f t="shared" si="11"/>
        <v>0</v>
      </c>
    </row>
    <row r="44" spans="1:26" s="70" customFormat="1" ht="15" hidden="1" customHeight="1" outlineLevel="1" x14ac:dyDescent="0.3">
      <c r="A44" s="42"/>
      <c r="B44" s="12" t="str">
        <f>CONCATENATE("          ","5500"," - ","FREIGHT-IN")</f>
        <v xml:space="preserve">          5500 - FREIGHT-IN</v>
      </c>
      <c r="C44" s="12"/>
      <c r="D44" s="3">
        <v>24326.63</v>
      </c>
      <c r="E44" s="3"/>
      <c r="F44" s="20">
        <f t="shared" si="4"/>
        <v>3.3516261303454239E-2</v>
      </c>
      <c r="G44" s="3"/>
      <c r="H44" s="3"/>
      <c r="I44" s="3"/>
      <c r="J44" s="20">
        <f t="shared" si="5"/>
        <v>0</v>
      </c>
      <c r="K44" s="3"/>
      <c r="L44" s="3">
        <f t="shared" si="6"/>
        <v>24326.63</v>
      </c>
      <c r="M44" s="3"/>
      <c r="N44" s="20">
        <f t="shared" si="7"/>
        <v>0</v>
      </c>
      <c r="O44" s="12"/>
      <c r="P44" s="3">
        <v>148116.41</v>
      </c>
      <c r="Q44" s="3"/>
      <c r="R44" s="20">
        <f t="shared" si="8"/>
        <v>2.4296222884109309E-2</v>
      </c>
      <c r="S44" s="3"/>
      <c r="T44" s="3"/>
      <c r="U44" s="3"/>
      <c r="V44" s="20">
        <f t="shared" si="9"/>
        <v>0</v>
      </c>
      <c r="W44" s="3"/>
      <c r="X44" s="3">
        <f t="shared" si="10"/>
        <v>148116.41</v>
      </c>
      <c r="Y44" s="3"/>
      <c r="Z44" s="20">
        <f t="shared" si="11"/>
        <v>0</v>
      </c>
    </row>
    <row r="45" spans="1:26" s="70" customFormat="1" ht="15" hidden="1" customHeight="1" outlineLevel="1" x14ac:dyDescent="0.3">
      <c r="A45" s="42"/>
      <c r="B45" s="12" t="str">
        <f>CONCATENATE("          ","5501"," - ","FREIGHT-IN-NEW TEXT")</f>
        <v xml:space="preserve">          5501 - FREIGHT-IN-NEW TEXT</v>
      </c>
      <c r="C45" s="12"/>
      <c r="D45" s="3"/>
      <c r="E45" s="3"/>
      <c r="F45" s="20">
        <f t="shared" si="4"/>
        <v>0</v>
      </c>
      <c r="G45" s="3"/>
      <c r="H45" s="3"/>
      <c r="I45" s="3"/>
      <c r="J45" s="20">
        <f t="shared" si="5"/>
        <v>0</v>
      </c>
      <c r="K45" s="3"/>
      <c r="L45" s="3">
        <f t="shared" si="6"/>
        <v>0</v>
      </c>
      <c r="M45" s="3"/>
      <c r="N45" s="20">
        <f t="shared" si="7"/>
        <v>0</v>
      </c>
      <c r="O45" s="12"/>
      <c r="P45" s="3">
        <v>0</v>
      </c>
      <c r="Q45" s="3"/>
      <c r="R45" s="20">
        <f t="shared" si="8"/>
        <v>0</v>
      </c>
      <c r="S45" s="3"/>
      <c r="T45" s="3"/>
      <c r="U45" s="3"/>
      <c r="V45" s="20">
        <f t="shared" si="9"/>
        <v>0</v>
      </c>
      <c r="W45" s="3"/>
      <c r="X45" s="3">
        <f t="shared" si="10"/>
        <v>0</v>
      </c>
      <c r="Y45" s="3"/>
      <c r="Z45" s="20">
        <f t="shared" si="11"/>
        <v>0</v>
      </c>
    </row>
    <row r="46" spans="1:26" s="70" customFormat="1" ht="15" hidden="1" customHeight="1" outlineLevel="1" x14ac:dyDescent="0.3">
      <c r="A46" s="42"/>
      <c r="B46" s="12" t="str">
        <f>CONCATENATE("          ","5502"," - ","FREIGHT-IN-USED TEXT")</f>
        <v xml:space="preserve">          5502 - FREIGHT-IN-USED TEXT</v>
      </c>
      <c r="C46" s="12"/>
      <c r="D46" s="3"/>
      <c r="E46" s="3"/>
      <c r="F46" s="20">
        <f t="shared" si="4"/>
        <v>0</v>
      </c>
      <c r="G46" s="3"/>
      <c r="H46" s="3"/>
      <c r="I46" s="3"/>
      <c r="J46" s="20">
        <f t="shared" si="5"/>
        <v>0</v>
      </c>
      <c r="K46" s="3"/>
      <c r="L46" s="3">
        <f t="shared" si="6"/>
        <v>0</v>
      </c>
      <c r="M46" s="3"/>
      <c r="N46" s="20">
        <f t="shared" si="7"/>
        <v>0</v>
      </c>
      <c r="O46" s="12"/>
      <c r="P46" s="3">
        <v>0</v>
      </c>
      <c r="Q46" s="3"/>
      <c r="R46" s="20">
        <f t="shared" si="8"/>
        <v>0</v>
      </c>
      <c r="S46" s="3"/>
      <c r="T46" s="3"/>
      <c r="U46" s="3"/>
      <c r="V46" s="20">
        <f t="shared" si="9"/>
        <v>0</v>
      </c>
      <c r="W46" s="3"/>
      <c r="X46" s="3">
        <f t="shared" si="10"/>
        <v>0</v>
      </c>
      <c r="Y46" s="3"/>
      <c r="Z46" s="20">
        <f t="shared" si="11"/>
        <v>0</v>
      </c>
    </row>
    <row r="47" spans="1:26" s="70" customFormat="1" ht="15" hidden="1" customHeight="1" outlineLevel="1" x14ac:dyDescent="0.3">
      <c r="A47" s="42"/>
      <c r="B47" s="12" t="str">
        <f>CONCATENATE("          ","5518"," - ","FREIGHT-IN-STUDY GUIDES")</f>
        <v xml:space="preserve">          5518 - FREIGHT-IN-STUDY GUIDES</v>
      </c>
      <c r="C47" s="12"/>
      <c r="D47" s="3"/>
      <c r="E47" s="3"/>
      <c r="F47" s="20">
        <f t="shared" si="4"/>
        <v>0</v>
      </c>
      <c r="G47" s="3"/>
      <c r="H47" s="3"/>
      <c r="I47" s="3"/>
      <c r="J47" s="20">
        <f t="shared" si="5"/>
        <v>0</v>
      </c>
      <c r="K47" s="3"/>
      <c r="L47" s="3">
        <f t="shared" si="6"/>
        <v>0</v>
      </c>
      <c r="M47" s="3"/>
      <c r="N47" s="20">
        <f t="shared" si="7"/>
        <v>0</v>
      </c>
      <c r="O47" s="12"/>
      <c r="P47" s="3">
        <v>0</v>
      </c>
      <c r="Q47" s="3"/>
      <c r="R47" s="20">
        <f t="shared" si="8"/>
        <v>0</v>
      </c>
      <c r="S47" s="3"/>
      <c r="T47" s="3"/>
      <c r="U47" s="3"/>
      <c r="V47" s="20">
        <f t="shared" si="9"/>
        <v>0</v>
      </c>
      <c r="W47" s="3"/>
      <c r="X47" s="3">
        <f t="shared" si="10"/>
        <v>0</v>
      </c>
      <c r="Y47" s="3"/>
      <c r="Z47" s="20">
        <f t="shared" si="11"/>
        <v>0</v>
      </c>
    </row>
    <row r="48" spans="1:26" s="70" customFormat="1" ht="15" hidden="1" customHeight="1" outlineLevel="1" x14ac:dyDescent="0.3">
      <c r="A48" s="42"/>
      <c r="B48" s="12" t="str">
        <f>CONCATENATE("          ","5527"," - ","FREIGHT-IN-SCHOOL SUPPLIES")</f>
        <v xml:space="preserve">          5527 - FREIGHT-IN-SCHOOL SUPPLIES</v>
      </c>
      <c r="C48" s="12"/>
      <c r="D48" s="3"/>
      <c r="E48" s="3"/>
      <c r="F48" s="20">
        <f t="shared" si="4"/>
        <v>0</v>
      </c>
      <c r="G48" s="3"/>
      <c r="H48" s="3"/>
      <c r="I48" s="3"/>
      <c r="J48" s="20">
        <f t="shared" si="5"/>
        <v>0</v>
      </c>
      <c r="K48" s="3"/>
      <c r="L48" s="3">
        <f t="shared" si="6"/>
        <v>0</v>
      </c>
      <c r="M48" s="3"/>
      <c r="N48" s="20">
        <f t="shared" si="7"/>
        <v>0</v>
      </c>
      <c r="O48" s="12"/>
      <c r="P48" s="3">
        <v>0</v>
      </c>
      <c r="Q48" s="3"/>
      <c r="R48" s="20">
        <f t="shared" si="8"/>
        <v>0</v>
      </c>
      <c r="S48" s="3"/>
      <c r="T48" s="3"/>
      <c r="U48" s="3"/>
      <c r="V48" s="20">
        <f t="shared" si="9"/>
        <v>0</v>
      </c>
      <c r="W48" s="3"/>
      <c r="X48" s="3">
        <f t="shared" si="10"/>
        <v>0</v>
      </c>
      <c r="Y48" s="3"/>
      <c r="Z48" s="20">
        <f t="shared" si="11"/>
        <v>0</v>
      </c>
    </row>
    <row r="49" spans="1:26" s="70" customFormat="1" ht="15" hidden="1" customHeight="1" outlineLevel="1" x14ac:dyDescent="0.3">
      <c r="A49" s="42"/>
      <c r="B49" s="12" t="str">
        <f>CONCATENATE("          ","5528"," - ","FREIGHT-IN-ART/TECH")</f>
        <v xml:space="preserve">          5528 - FREIGHT-IN-ART/TECH</v>
      </c>
      <c r="C49" s="12"/>
      <c r="D49" s="3"/>
      <c r="E49" s="3"/>
      <c r="F49" s="20">
        <f t="shared" si="4"/>
        <v>0</v>
      </c>
      <c r="G49" s="3"/>
      <c r="H49" s="3"/>
      <c r="I49" s="3"/>
      <c r="J49" s="20">
        <f t="shared" si="5"/>
        <v>0</v>
      </c>
      <c r="K49" s="3"/>
      <c r="L49" s="3">
        <f t="shared" si="6"/>
        <v>0</v>
      </c>
      <c r="M49" s="3"/>
      <c r="N49" s="20">
        <f t="shared" si="7"/>
        <v>0</v>
      </c>
      <c r="O49" s="12"/>
      <c r="P49" s="3">
        <v>0</v>
      </c>
      <c r="Q49" s="3"/>
      <c r="R49" s="20">
        <f t="shared" si="8"/>
        <v>0</v>
      </c>
      <c r="S49" s="3"/>
      <c r="T49" s="3"/>
      <c r="U49" s="3"/>
      <c r="V49" s="20">
        <f t="shared" si="9"/>
        <v>0</v>
      </c>
      <c r="W49" s="3"/>
      <c r="X49" s="3">
        <f t="shared" si="10"/>
        <v>0</v>
      </c>
      <c r="Y49" s="3"/>
      <c r="Z49" s="20">
        <f t="shared" si="11"/>
        <v>0</v>
      </c>
    </row>
    <row r="50" spans="1:26" s="70" customFormat="1" ht="15" hidden="1" customHeight="1" outlineLevel="1" x14ac:dyDescent="0.3">
      <c r="A50" s="42"/>
      <c r="B50" s="12" t="str">
        <f>CONCATENATE("          ","5540"," - ","FREIGHT-IN-LOGO CLOTHING")</f>
        <v xml:space="preserve">          5540 - FREIGHT-IN-LOGO CLOTHING</v>
      </c>
      <c r="C50" s="12"/>
      <c r="D50" s="3"/>
      <c r="E50" s="3"/>
      <c r="F50" s="20">
        <f t="shared" si="4"/>
        <v>0</v>
      </c>
      <c r="G50" s="3"/>
      <c r="H50" s="3"/>
      <c r="I50" s="3"/>
      <c r="J50" s="20">
        <f t="shared" si="5"/>
        <v>0</v>
      </c>
      <c r="K50" s="3"/>
      <c r="L50" s="3">
        <f t="shared" si="6"/>
        <v>0</v>
      </c>
      <c r="M50" s="3"/>
      <c r="N50" s="20">
        <f t="shared" si="7"/>
        <v>0</v>
      </c>
      <c r="O50" s="12"/>
      <c r="P50" s="3">
        <v>0</v>
      </c>
      <c r="Q50" s="3"/>
      <c r="R50" s="20">
        <f t="shared" si="8"/>
        <v>0</v>
      </c>
      <c r="S50" s="3"/>
      <c r="T50" s="3"/>
      <c r="U50" s="3"/>
      <c r="V50" s="20">
        <f t="shared" si="9"/>
        <v>0</v>
      </c>
      <c r="W50" s="3"/>
      <c r="X50" s="3">
        <f t="shared" si="10"/>
        <v>0</v>
      </c>
      <c r="Y50" s="3"/>
      <c r="Z50" s="20">
        <f t="shared" si="11"/>
        <v>0</v>
      </c>
    </row>
    <row r="51" spans="1:26" s="70" customFormat="1" ht="15" hidden="1" customHeight="1" outlineLevel="1" x14ac:dyDescent="0.3">
      <c r="A51" s="42"/>
      <c r="B51" s="12" t="str">
        <f>CONCATENATE("          ","5541"," - ","FREIGHT-IN-LOGO GIFTS")</f>
        <v xml:space="preserve">          5541 - FREIGHT-IN-LOGO GIFTS</v>
      </c>
      <c r="C51" s="12"/>
      <c r="D51" s="3"/>
      <c r="E51" s="3"/>
      <c r="F51" s="20">
        <f t="shared" si="4"/>
        <v>0</v>
      </c>
      <c r="G51" s="3"/>
      <c r="H51" s="3"/>
      <c r="I51" s="3"/>
      <c r="J51" s="20">
        <f t="shared" si="5"/>
        <v>0</v>
      </c>
      <c r="K51" s="3"/>
      <c r="L51" s="3">
        <f t="shared" si="6"/>
        <v>0</v>
      </c>
      <c r="M51" s="3"/>
      <c r="N51" s="20">
        <f t="shared" si="7"/>
        <v>0</v>
      </c>
      <c r="O51" s="12"/>
      <c r="P51" s="3">
        <v>0</v>
      </c>
      <c r="Q51" s="3"/>
      <c r="R51" s="20">
        <f t="shared" si="8"/>
        <v>0</v>
      </c>
      <c r="S51" s="3"/>
      <c r="T51" s="3"/>
      <c r="U51" s="3"/>
      <c r="V51" s="20">
        <f t="shared" si="9"/>
        <v>0</v>
      </c>
      <c r="W51" s="3"/>
      <c r="X51" s="3">
        <f t="shared" si="10"/>
        <v>0</v>
      </c>
      <c r="Y51" s="3"/>
      <c r="Z51" s="20">
        <f t="shared" si="11"/>
        <v>0</v>
      </c>
    </row>
    <row r="52" spans="1:26" s="70" customFormat="1" ht="15" hidden="1" customHeight="1" outlineLevel="1" x14ac:dyDescent="0.3">
      <c r="A52" s="42"/>
      <c r="B52" s="12" t="str">
        <f>CONCATENATE("          ","5542"," - ","FREIGHT-IN-EVERYDAY GIFTS")</f>
        <v xml:space="preserve">          5542 - FREIGHT-IN-EVERYDAY GIFTS</v>
      </c>
      <c r="C52" s="12"/>
      <c r="D52" s="3"/>
      <c r="E52" s="3"/>
      <c r="F52" s="20">
        <f t="shared" si="4"/>
        <v>0</v>
      </c>
      <c r="G52" s="3"/>
      <c r="H52" s="3"/>
      <c r="I52" s="3"/>
      <c r="J52" s="20">
        <f t="shared" si="5"/>
        <v>0</v>
      </c>
      <c r="K52" s="3"/>
      <c r="L52" s="3">
        <f t="shared" si="6"/>
        <v>0</v>
      </c>
      <c r="M52" s="3"/>
      <c r="N52" s="20">
        <f t="shared" si="7"/>
        <v>0</v>
      </c>
      <c r="O52" s="12"/>
      <c r="P52" s="3">
        <v>0</v>
      </c>
      <c r="Q52" s="3"/>
      <c r="R52" s="20">
        <f t="shared" si="8"/>
        <v>0</v>
      </c>
      <c r="S52" s="3"/>
      <c r="T52" s="3"/>
      <c r="U52" s="3"/>
      <c r="V52" s="20">
        <f t="shared" si="9"/>
        <v>0</v>
      </c>
      <c r="W52" s="3"/>
      <c r="X52" s="3">
        <f t="shared" si="10"/>
        <v>0</v>
      </c>
      <c r="Y52" s="3"/>
      <c r="Z52" s="20">
        <f t="shared" si="11"/>
        <v>0</v>
      </c>
    </row>
    <row r="53" spans="1:26" s="70" customFormat="1" ht="15" hidden="1" customHeight="1" outlineLevel="1" x14ac:dyDescent="0.3">
      <c r="A53" s="42"/>
      <c r="B53" s="12" t="str">
        <f>CONCATENATE("          ","5544"," - ","FREIGHT-IN-ACCESSORIES")</f>
        <v xml:space="preserve">          5544 - FREIGHT-IN-ACCESSORIES</v>
      </c>
      <c r="C53" s="12"/>
      <c r="D53" s="3"/>
      <c r="E53" s="3"/>
      <c r="F53" s="20">
        <f t="shared" si="4"/>
        <v>0</v>
      </c>
      <c r="G53" s="3"/>
      <c r="H53" s="3"/>
      <c r="I53" s="3"/>
      <c r="J53" s="20">
        <f t="shared" si="5"/>
        <v>0</v>
      </c>
      <c r="K53" s="3"/>
      <c r="L53" s="3">
        <f t="shared" si="6"/>
        <v>0</v>
      </c>
      <c r="M53" s="3"/>
      <c r="N53" s="20">
        <f t="shared" si="7"/>
        <v>0</v>
      </c>
      <c r="O53" s="12"/>
      <c r="P53" s="3">
        <v>0</v>
      </c>
      <c r="Q53" s="3"/>
      <c r="R53" s="20">
        <f t="shared" si="8"/>
        <v>0</v>
      </c>
      <c r="S53" s="3"/>
      <c r="T53" s="3"/>
      <c r="U53" s="3"/>
      <c r="V53" s="20">
        <f t="shared" si="9"/>
        <v>0</v>
      </c>
      <c r="W53" s="3"/>
      <c r="X53" s="3">
        <f t="shared" si="10"/>
        <v>0</v>
      </c>
      <c r="Y53" s="3"/>
      <c r="Z53" s="20">
        <f t="shared" si="11"/>
        <v>0</v>
      </c>
    </row>
    <row r="54" spans="1:26" s="70" customFormat="1" ht="15" hidden="1" customHeight="1" outlineLevel="1" x14ac:dyDescent="0.3">
      <c r="A54" s="42"/>
      <c r="B54" s="12" t="str">
        <f>CONCATENATE("          ","5545"," - ","FREIGHT-IN-SPECIAL ORDERS")</f>
        <v xml:space="preserve">          5545 - FREIGHT-IN-SPECIAL ORDERS</v>
      </c>
      <c r="C54" s="12"/>
      <c r="D54" s="3"/>
      <c r="E54" s="3"/>
      <c r="F54" s="20">
        <f t="shared" si="4"/>
        <v>0</v>
      </c>
      <c r="G54" s="3"/>
      <c r="H54" s="3"/>
      <c r="I54" s="3"/>
      <c r="J54" s="20">
        <f t="shared" si="5"/>
        <v>0</v>
      </c>
      <c r="K54" s="3"/>
      <c r="L54" s="3">
        <f t="shared" si="6"/>
        <v>0</v>
      </c>
      <c r="M54" s="3"/>
      <c r="N54" s="20">
        <f t="shared" si="7"/>
        <v>0</v>
      </c>
      <c r="O54" s="12"/>
      <c r="P54" s="3">
        <v>0</v>
      </c>
      <c r="Q54" s="3"/>
      <c r="R54" s="20">
        <f t="shared" si="8"/>
        <v>0</v>
      </c>
      <c r="S54" s="3"/>
      <c r="T54" s="3"/>
      <c r="U54" s="3"/>
      <c r="V54" s="20">
        <f t="shared" si="9"/>
        <v>0</v>
      </c>
      <c r="W54" s="3"/>
      <c r="X54" s="3">
        <f t="shared" si="10"/>
        <v>0</v>
      </c>
      <c r="Y54" s="3"/>
      <c r="Z54" s="20">
        <f t="shared" si="11"/>
        <v>0</v>
      </c>
    </row>
    <row r="55" spans="1:26" ht="15" customHeight="1" x14ac:dyDescent="0.3">
      <c r="A55" s="10"/>
      <c r="B55" s="11"/>
      <c r="C55" s="11"/>
      <c r="D55" s="4"/>
      <c r="E55" s="4"/>
      <c r="F55" s="9"/>
      <c r="G55" s="4"/>
      <c r="H55" s="4"/>
      <c r="I55" s="4"/>
      <c r="J55" s="9"/>
      <c r="K55" s="4"/>
      <c r="L55" s="4"/>
      <c r="M55" s="4"/>
      <c r="N55" s="9"/>
      <c r="O55" s="11"/>
      <c r="P55" s="4"/>
      <c r="Q55" s="4"/>
      <c r="R55" s="9"/>
      <c r="S55" s="4"/>
      <c r="T55" s="4"/>
      <c r="U55" s="4"/>
      <c r="V55" s="9"/>
      <c r="W55" s="4"/>
      <c r="X55" s="4"/>
      <c r="Y55" s="4"/>
      <c r="Z55" s="9"/>
    </row>
    <row r="56" spans="1:26" s="63" customFormat="1" ht="15" customHeight="1" x14ac:dyDescent="0.3">
      <c r="A56" s="11"/>
      <c r="B56" s="27" t="s">
        <v>289</v>
      </c>
      <c r="C56" s="27"/>
      <c r="D56" s="21">
        <f>D12-D25</f>
        <v>424246.6999999999</v>
      </c>
      <c r="E56" s="15"/>
      <c r="F56" s="23">
        <f>IF(D$12=0,0,D56/D$12)</f>
        <v>0.58451019538374849</v>
      </c>
      <c r="G56" s="15"/>
      <c r="H56" s="21">
        <f>H12-H25</f>
        <v>249235</v>
      </c>
      <c r="I56" s="15"/>
      <c r="J56" s="23">
        <f>IF(H$12=0,0,H56/H$12)</f>
        <v>0.55006256855505264</v>
      </c>
      <c r="K56" s="16"/>
      <c r="L56" s="21">
        <f>+D56-H56</f>
        <v>175011.6999999999</v>
      </c>
      <c r="M56" s="16"/>
      <c r="N56" s="23">
        <f>IF(H56=0,0,L56/H56)</f>
        <v>0.70219551828595461</v>
      </c>
      <c r="O56" s="28"/>
      <c r="P56" s="21">
        <f>P12-P25</f>
        <v>2636346.6300000004</v>
      </c>
      <c r="Q56" s="15"/>
      <c r="R56" s="23">
        <f>IF(P$12=0,0,P56/P$12)</f>
        <v>0.43245218623817888</v>
      </c>
      <c r="S56" s="15"/>
      <c r="T56" s="21">
        <f>T12-T25</f>
        <v>3184610</v>
      </c>
      <c r="U56" s="15"/>
      <c r="V56" s="23">
        <f>IF(T$12=0,0,T56/T$12)</f>
        <v>0.38674388080466182</v>
      </c>
      <c r="W56" s="16"/>
      <c r="X56" s="21">
        <f>+P56-T56</f>
        <v>-548263.36999999965</v>
      </c>
      <c r="Y56" s="16"/>
      <c r="Z56" s="23">
        <f>IF(T56=0,0,X56/T56)</f>
        <v>-0.17216028650289977</v>
      </c>
    </row>
    <row r="57" spans="1:26" ht="15" customHeight="1" x14ac:dyDescent="0.3">
      <c r="A57" s="10"/>
      <c r="B57" s="11"/>
      <c r="C57" s="10"/>
      <c r="D57" s="2"/>
      <c r="E57" s="2"/>
      <c r="F57" s="6"/>
      <c r="G57" s="2"/>
      <c r="H57" s="2"/>
      <c r="I57" s="2"/>
      <c r="J57" s="6"/>
      <c r="K57" s="2"/>
      <c r="L57" s="2"/>
      <c r="M57" s="2"/>
      <c r="N57" s="6"/>
      <c r="O57" s="35"/>
      <c r="P57" s="2"/>
      <c r="Q57" s="2"/>
      <c r="R57" s="6"/>
      <c r="S57" s="2"/>
      <c r="T57" s="2"/>
      <c r="U57" s="2"/>
      <c r="V57" s="6"/>
      <c r="W57" s="2"/>
      <c r="X57" s="2"/>
      <c r="Y57" s="2"/>
      <c r="Z57" s="6"/>
    </row>
    <row r="58" spans="1:26" s="63" customFormat="1" ht="15" customHeight="1" x14ac:dyDescent="0.3">
      <c r="A58" s="11"/>
      <c r="B58" s="28" t="s">
        <v>290</v>
      </c>
      <c r="C58" s="11"/>
      <c r="D58" s="22" cm="1">
        <f t="array" ref="D58">SUM(OSRRefD22x_0)</f>
        <v>377493.85000000009</v>
      </c>
      <c r="E58" s="22"/>
      <c r="F58" s="30">
        <f t="shared" ref="F58:F89" si="12">IF(D$12=0,0,D58/D$12)</f>
        <v>0.52009598193613182</v>
      </c>
      <c r="G58" s="22"/>
      <c r="H58" s="22" cm="1">
        <f t="array" ref="H58">SUM(OSRRefH22x_0)</f>
        <v>318379.89686681284</v>
      </c>
      <c r="I58" s="22"/>
      <c r="J58" s="30">
        <f t="shared" ref="J58:J89" si="13">IF(H$12=0,0,H58/H$12)</f>
        <v>0.70266561216061874</v>
      </c>
      <c r="K58" s="5"/>
      <c r="L58" s="22">
        <f t="shared" ref="L58:L89" si="14">+D58-H58</f>
        <v>59113.953133187257</v>
      </c>
      <c r="M58" s="5"/>
      <c r="N58" s="30">
        <f t="shared" ref="N58:N89" si="15">IF(H58=0,0,L58/H58)</f>
        <v>0.18567112344381551</v>
      </c>
      <c r="O58" s="11"/>
      <c r="P58" s="22" cm="1">
        <f t="array" ref="P58">SUM(OSRRefP22x_0)</f>
        <v>3118823.4999999995</v>
      </c>
      <c r="Q58" s="22"/>
      <c r="R58" s="30">
        <f t="shared" ref="R58:R89" si="16">IF(P$12=0,0,P58/P$12)</f>
        <v>0.51159510882148629</v>
      </c>
      <c r="S58" s="22"/>
      <c r="T58" s="22" cm="1">
        <f t="array" ref="T58">SUM(OSRRefT22x_0)</f>
        <v>3389478.9454543921</v>
      </c>
      <c r="U58" s="22"/>
      <c r="V58" s="30">
        <f t="shared" ref="V58:V89" si="17">IF(T$12=0,0,T58/T$12)</f>
        <v>0.4116234770570727</v>
      </c>
      <c r="W58" s="5"/>
      <c r="X58" s="22">
        <f t="shared" ref="X58:X89" si="18">+P58-T58</f>
        <v>-270655.44545439258</v>
      </c>
      <c r="Y58" s="5"/>
      <c r="Z58" s="30">
        <f t="shared" ref="Z58:Z89" si="19">IF(T58=0,0,X58/T58)</f>
        <v>-7.9851637909527901E-2</v>
      </c>
    </row>
    <row r="59" spans="1:26" s="69" customFormat="1" ht="15" customHeight="1" outlineLevel="1" collapsed="1" x14ac:dyDescent="0.3">
      <c r="A59" s="25"/>
      <c r="B59" s="14" t="str">
        <f>CONCATENATE("     ","*Benefits                                         ")</f>
        <v xml:space="preserve">     *Benefits                                         </v>
      </c>
      <c r="C59" s="14"/>
      <c r="D59" s="2">
        <f>SUM(OSRRefD22_0x_0)</f>
        <v>49394.850000000006</v>
      </c>
      <c r="E59" s="2"/>
      <c r="F59" s="6">
        <f t="shared" si="12"/>
        <v>6.805425575367105E-2</v>
      </c>
      <c r="G59" s="2"/>
      <c r="H59" s="2">
        <f>SUM(OSRRefH22_0x_0)</f>
        <v>47708.070127328254</v>
      </c>
      <c r="I59" s="2"/>
      <c r="J59" s="6">
        <f t="shared" si="13"/>
        <v>0.10529188755609266</v>
      </c>
      <c r="K59" s="2"/>
      <c r="L59" s="2">
        <f t="shared" si="14"/>
        <v>1686.7798726717519</v>
      </c>
      <c r="M59" s="2"/>
      <c r="N59" s="6">
        <f t="shared" si="15"/>
        <v>3.535627972730606E-2</v>
      </c>
      <c r="O59" s="14"/>
      <c r="P59" s="2">
        <f>SUM(OSRRefP22_0x_0)</f>
        <v>444900.22</v>
      </c>
      <c r="Q59" s="2"/>
      <c r="R59" s="6">
        <f t="shared" si="16"/>
        <v>7.2979050101938503E-2</v>
      </c>
      <c r="S59" s="2"/>
      <c r="T59" s="2">
        <f>SUM(OSRRefT22_0x_0)</f>
        <v>473196.159224706</v>
      </c>
      <c r="U59" s="2"/>
      <c r="V59" s="6">
        <f t="shared" si="17"/>
        <v>5.7465661101492323E-2</v>
      </c>
      <c r="W59" s="2"/>
      <c r="X59" s="2">
        <f t="shared" si="18"/>
        <v>-28295.939224706031</v>
      </c>
      <c r="Y59" s="2"/>
      <c r="Z59" s="6">
        <f t="shared" si="19"/>
        <v>-5.9797482868556372E-2</v>
      </c>
    </row>
    <row r="60" spans="1:26" s="70" customFormat="1" ht="15" hidden="1" customHeight="1" outlineLevel="2" x14ac:dyDescent="0.3">
      <c r="A60" s="26"/>
      <c r="B60" s="12" t="str">
        <f>CONCATENATE("          ","6111"," - ","F.I.C.A.")</f>
        <v xml:space="preserve">          6111 - F.I.C.A.</v>
      </c>
      <c r="C60" s="12"/>
      <c r="D60" s="7">
        <v>8035.93</v>
      </c>
      <c r="E60" s="3"/>
      <c r="F60" s="8">
        <f t="shared" si="12"/>
        <v>1.1071584091025639E-2</v>
      </c>
      <c r="G60" s="3"/>
      <c r="H60" s="7">
        <v>9627.6310507451508</v>
      </c>
      <c r="I60" s="3"/>
      <c r="J60" s="8">
        <f t="shared" si="13"/>
        <v>2.1248217404751569E-2</v>
      </c>
      <c r="K60" s="3"/>
      <c r="L60" s="7">
        <f t="shared" si="14"/>
        <v>-1591.7010507451505</v>
      </c>
      <c r="M60" s="3"/>
      <c r="N60" s="8">
        <f t="shared" si="15"/>
        <v>-0.16532634480441141</v>
      </c>
      <c r="O60" s="12"/>
      <c r="P60" s="7">
        <v>82247.66</v>
      </c>
      <c r="Q60" s="3"/>
      <c r="R60" s="8">
        <f t="shared" si="16"/>
        <v>1.3491465794076712E-2</v>
      </c>
      <c r="S60" s="3"/>
      <c r="T60" s="7">
        <v>96203.137756545097</v>
      </c>
      <c r="U60" s="3"/>
      <c r="V60" s="8">
        <f t="shared" si="17"/>
        <v>1.168305533222333E-2</v>
      </c>
      <c r="W60" s="3"/>
      <c r="X60" s="7">
        <f t="shared" si="18"/>
        <v>-13955.477756545093</v>
      </c>
      <c r="Y60" s="3"/>
      <c r="Z60" s="8">
        <f t="shared" si="19"/>
        <v>-0.14506260483791386</v>
      </c>
    </row>
    <row r="61" spans="1:26" s="70" customFormat="1" ht="15" hidden="1" customHeight="1" outlineLevel="2" x14ac:dyDescent="0.3">
      <c r="A61" s="26"/>
      <c r="B61" s="12" t="str">
        <f>CONCATENATE("          ","6112"," - ","COMPENSATION INSURANCE")</f>
        <v xml:space="preserve">          6112 - COMPENSATION INSURANCE</v>
      </c>
      <c r="C61" s="12"/>
      <c r="D61" s="7">
        <v>2939.87</v>
      </c>
      <c r="E61" s="3"/>
      <c r="F61" s="8">
        <f t="shared" si="12"/>
        <v>4.0504357207794923E-3</v>
      </c>
      <c r="G61" s="3"/>
      <c r="H61" s="7">
        <v>2978.8359683646199</v>
      </c>
      <c r="I61" s="3"/>
      <c r="J61" s="8">
        <f t="shared" si="13"/>
        <v>6.5743020204338089E-3</v>
      </c>
      <c r="K61" s="3"/>
      <c r="L61" s="7">
        <f t="shared" si="14"/>
        <v>-38.965968364620039</v>
      </c>
      <c r="M61" s="3"/>
      <c r="N61" s="8">
        <f t="shared" si="15"/>
        <v>-1.3080937916166074E-2</v>
      </c>
      <c r="O61" s="12"/>
      <c r="P61" s="7">
        <v>23837.31</v>
      </c>
      <c r="Q61" s="3"/>
      <c r="R61" s="8">
        <f t="shared" si="16"/>
        <v>3.9101447079199908E-3</v>
      </c>
      <c r="S61" s="3"/>
      <c r="T61" s="7">
        <v>30945.017859930002</v>
      </c>
      <c r="U61" s="3"/>
      <c r="V61" s="8">
        <f t="shared" si="17"/>
        <v>3.7580100228030745E-3</v>
      </c>
      <c r="W61" s="3"/>
      <c r="X61" s="7">
        <f t="shared" si="18"/>
        <v>-7107.7078599300003</v>
      </c>
      <c r="Y61" s="3"/>
      <c r="Z61" s="8">
        <f t="shared" si="19"/>
        <v>-0.22968827783853404</v>
      </c>
    </row>
    <row r="62" spans="1:26" s="70" customFormat="1" ht="15" hidden="1" customHeight="1" outlineLevel="2" x14ac:dyDescent="0.3">
      <c r="A62" s="26"/>
      <c r="B62" s="12" t="str">
        <f>CONCATENATE("          ","6113"," - ","GROUP INSURANCE")</f>
        <v xml:space="preserve">          6113 - GROUP INSURANCE</v>
      </c>
      <c r="C62" s="12"/>
      <c r="D62" s="7">
        <v>17292.98</v>
      </c>
      <c r="E62" s="3"/>
      <c r="F62" s="8">
        <f t="shared" si="12"/>
        <v>2.3825578651683693E-2</v>
      </c>
      <c r="G62" s="3"/>
      <c r="H62" s="7">
        <v>17692.9230769231</v>
      </c>
      <c r="I62" s="3"/>
      <c r="J62" s="8">
        <f t="shared" si="13"/>
        <v>3.9048346792943549E-2</v>
      </c>
      <c r="K62" s="3"/>
      <c r="L62" s="7">
        <f t="shared" si="14"/>
        <v>-399.94307692310031</v>
      </c>
      <c r="M62" s="3"/>
      <c r="N62" s="8">
        <f t="shared" si="15"/>
        <v>-2.2604692010713964E-2</v>
      </c>
      <c r="O62" s="12"/>
      <c r="P62" s="7">
        <v>159434.14000000001</v>
      </c>
      <c r="Q62" s="3"/>
      <c r="R62" s="8">
        <f t="shared" si="16"/>
        <v>2.615272271840971E-2</v>
      </c>
      <c r="S62" s="3"/>
      <c r="T62" s="7">
        <v>167383.5</v>
      </c>
      <c r="U62" s="3"/>
      <c r="V62" s="8">
        <f t="shared" si="17"/>
        <v>2.0327306757394817E-2</v>
      </c>
      <c r="W62" s="3"/>
      <c r="X62" s="7">
        <f t="shared" si="18"/>
        <v>-7949.359999999986</v>
      </c>
      <c r="Y62" s="3"/>
      <c r="Z62" s="8">
        <f t="shared" si="19"/>
        <v>-4.7491897349499719E-2</v>
      </c>
    </row>
    <row r="63" spans="1:26" s="70" customFormat="1" ht="15" hidden="1" customHeight="1" outlineLevel="2" x14ac:dyDescent="0.3">
      <c r="A63" s="26"/>
      <c r="B63" s="12" t="str">
        <f>CONCATENATE("          ","6114"," - ","STATE UNEMPLOYMENT INSURANCE")</f>
        <v xml:space="preserve">          6114 - STATE UNEMPLOYMENT INSURANCE</v>
      </c>
      <c r="C63" s="12"/>
      <c r="D63" s="7">
        <v>525.80999999999995</v>
      </c>
      <c r="E63" s="3"/>
      <c r="F63" s="8">
        <f t="shared" si="12"/>
        <v>7.244400624323744E-4</v>
      </c>
      <c r="G63" s="3"/>
      <c r="H63" s="7">
        <v>347.39153325692303</v>
      </c>
      <c r="I63" s="3"/>
      <c r="J63" s="8">
        <f t="shared" si="13"/>
        <v>7.6669440117792872E-4</v>
      </c>
      <c r="K63" s="3"/>
      <c r="L63" s="7">
        <f t="shared" si="14"/>
        <v>178.41846674307692</v>
      </c>
      <c r="M63" s="3"/>
      <c r="N63" s="8">
        <f t="shared" si="15"/>
        <v>0.51359474731677646</v>
      </c>
      <c r="O63" s="12"/>
      <c r="P63" s="7">
        <v>4271.4399999999996</v>
      </c>
      <c r="Q63" s="3"/>
      <c r="R63" s="8">
        <f t="shared" si="16"/>
        <v>7.0066414839584524E-4</v>
      </c>
      <c r="S63" s="3"/>
      <c r="T63" s="7">
        <v>3745.6838682213402</v>
      </c>
      <c r="U63" s="3"/>
      <c r="V63" s="8">
        <f t="shared" si="17"/>
        <v>4.548815445104231E-4</v>
      </c>
      <c r="W63" s="3"/>
      <c r="X63" s="7">
        <f t="shared" si="18"/>
        <v>525.75613177865944</v>
      </c>
      <c r="Y63" s="3"/>
      <c r="Z63" s="8">
        <f t="shared" si="19"/>
        <v>0.14036318874617623</v>
      </c>
    </row>
    <row r="64" spans="1:26" s="70" customFormat="1" ht="15" hidden="1" customHeight="1" outlineLevel="2" x14ac:dyDescent="0.3">
      <c r="A64" s="26"/>
      <c r="B64" s="12" t="str">
        <f>CONCATENATE("          ","6115"," - ","P.E.R.S.")</f>
        <v xml:space="preserve">          6115 - P.E.R.S.</v>
      </c>
      <c r="C64" s="12"/>
      <c r="D64" s="7">
        <v>5541.18</v>
      </c>
      <c r="E64" s="3"/>
      <c r="F64" s="8">
        <f t="shared" si="12"/>
        <v>7.6344169664879424E-3</v>
      </c>
      <c r="G64" s="3"/>
      <c r="H64" s="7">
        <v>4613.5268585692302</v>
      </c>
      <c r="I64" s="3"/>
      <c r="J64" s="8">
        <f t="shared" si="13"/>
        <v>1.0182070872559287E-2</v>
      </c>
      <c r="K64" s="3"/>
      <c r="L64" s="7">
        <f t="shared" si="14"/>
        <v>927.65314143077012</v>
      </c>
      <c r="M64" s="3"/>
      <c r="N64" s="8">
        <f t="shared" si="15"/>
        <v>0.20107244844748959</v>
      </c>
      <c r="O64" s="12"/>
      <c r="P64" s="7">
        <v>61893.74</v>
      </c>
      <c r="Q64" s="3"/>
      <c r="R64" s="8">
        <f t="shared" si="16"/>
        <v>1.0152717731756472E-2</v>
      </c>
      <c r="S64" s="3"/>
      <c r="T64" s="7">
        <v>46799.480332588399</v>
      </c>
      <c r="U64" s="3"/>
      <c r="V64" s="8">
        <f t="shared" si="17"/>
        <v>5.6834000532142654E-3</v>
      </c>
      <c r="W64" s="3"/>
      <c r="X64" s="7">
        <f t="shared" si="18"/>
        <v>15094.259667411599</v>
      </c>
      <c r="Y64" s="3"/>
      <c r="Z64" s="8">
        <f t="shared" si="19"/>
        <v>0.32253049735043421</v>
      </c>
    </row>
    <row r="65" spans="1:26" s="70" customFormat="1" ht="15" hidden="1" customHeight="1" outlineLevel="2" x14ac:dyDescent="0.3">
      <c r="A65" s="26"/>
      <c r="B65" s="12" t="str">
        <f>CONCATENATE("          ","6116"," - ","EDUCATIONAL BENEFITS")</f>
        <v xml:space="preserve">          6116 - EDUCATIONAL BENEFITS</v>
      </c>
      <c r="C65" s="12"/>
      <c r="D65" s="7"/>
      <c r="E65" s="3"/>
      <c r="F65" s="8">
        <f t="shared" si="12"/>
        <v>0</v>
      </c>
      <c r="G65" s="3"/>
      <c r="H65" s="7">
        <v>0</v>
      </c>
      <c r="I65" s="3"/>
      <c r="J65" s="8">
        <f t="shared" si="13"/>
        <v>0</v>
      </c>
      <c r="K65" s="3"/>
      <c r="L65" s="7">
        <f t="shared" si="14"/>
        <v>0</v>
      </c>
      <c r="M65" s="3"/>
      <c r="N65" s="8">
        <f t="shared" si="15"/>
        <v>0</v>
      </c>
      <c r="O65" s="12"/>
      <c r="P65" s="7"/>
      <c r="Q65" s="3"/>
      <c r="R65" s="8">
        <f t="shared" si="16"/>
        <v>0</v>
      </c>
      <c r="S65" s="3"/>
      <c r="T65" s="7">
        <v>0</v>
      </c>
      <c r="U65" s="3"/>
      <c r="V65" s="8">
        <f t="shared" si="17"/>
        <v>0</v>
      </c>
      <c r="W65" s="3"/>
      <c r="X65" s="7">
        <f t="shared" si="18"/>
        <v>0</v>
      </c>
      <c r="Y65" s="3"/>
      <c r="Z65" s="8">
        <f t="shared" si="19"/>
        <v>0</v>
      </c>
    </row>
    <row r="66" spans="1:26" s="70" customFormat="1" ht="15" hidden="1" customHeight="1" outlineLevel="2" x14ac:dyDescent="0.3">
      <c r="A66" s="26"/>
      <c r="B66" s="12" t="str">
        <f>CONCATENATE("          ","6117"," - ","RETIREMENT STAFF HOURLY")</f>
        <v xml:space="preserve">          6117 - RETIREMENT STAFF HOURLY</v>
      </c>
      <c r="C66" s="12"/>
      <c r="D66" s="7">
        <v>1069.67</v>
      </c>
      <c r="E66" s="3"/>
      <c r="F66" s="8">
        <f t="shared" si="12"/>
        <v>1.47374869550225E-3</v>
      </c>
      <c r="G66" s="3"/>
      <c r="H66" s="7"/>
      <c r="I66" s="3"/>
      <c r="J66" s="8">
        <f t="shared" si="13"/>
        <v>0</v>
      </c>
      <c r="K66" s="3"/>
      <c r="L66" s="7">
        <f t="shared" si="14"/>
        <v>1069.67</v>
      </c>
      <c r="M66" s="3"/>
      <c r="N66" s="8">
        <f t="shared" si="15"/>
        <v>0</v>
      </c>
      <c r="O66" s="12"/>
      <c r="P66" s="7">
        <v>6896.69</v>
      </c>
      <c r="Q66" s="3"/>
      <c r="R66" s="8">
        <f t="shared" si="16"/>
        <v>1.1312961028599586E-3</v>
      </c>
      <c r="S66" s="3"/>
      <c r="T66" s="7"/>
      <c r="U66" s="3"/>
      <c r="V66" s="8">
        <f t="shared" si="17"/>
        <v>0</v>
      </c>
      <c r="W66" s="3"/>
      <c r="X66" s="7">
        <f t="shared" si="18"/>
        <v>6896.69</v>
      </c>
      <c r="Y66" s="3"/>
      <c r="Z66" s="8">
        <f t="shared" si="19"/>
        <v>0</v>
      </c>
    </row>
    <row r="67" spans="1:26" s="70" customFormat="1" ht="15" hidden="1" customHeight="1" outlineLevel="2" x14ac:dyDescent="0.3">
      <c r="A67" s="26"/>
      <c r="B67" s="12" t="str">
        <f>CONCATENATE("          ","6118"," - ","VACATION")</f>
        <v xml:space="preserve">          6118 - VACATION</v>
      </c>
      <c r="C67" s="12"/>
      <c r="D67" s="7">
        <v>5763.04</v>
      </c>
      <c r="E67" s="3"/>
      <c r="F67" s="8">
        <f t="shared" si="12"/>
        <v>7.940086832506554E-3</v>
      </c>
      <c r="G67" s="3"/>
      <c r="H67" s="7">
        <v>4024.5376188230798</v>
      </c>
      <c r="I67" s="3"/>
      <c r="J67" s="8">
        <f t="shared" si="13"/>
        <v>8.8821694379050235E-3</v>
      </c>
      <c r="K67" s="3"/>
      <c r="L67" s="7">
        <f t="shared" si="14"/>
        <v>1738.5023811769202</v>
      </c>
      <c r="M67" s="3"/>
      <c r="N67" s="8">
        <f t="shared" si="15"/>
        <v>0.43197568163999944</v>
      </c>
      <c r="O67" s="12"/>
      <c r="P67" s="7">
        <v>58637.440000000002</v>
      </c>
      <c r="Q67" s="3"/>
      <c r="R67" s="8">
        <f t="shared" si="16"/>
        <v>9.6185717139214109E-3</v>
      </c>
      <c r="S67" s="3"/>
      <c r="T67" s="7">
        <v>41352.722552755797</v>
      </c>
      <c r="U67" s="3"/>
      <c r="V67" s="8">
        <f t="shared" si="17"/>
        <v>5.0219375062853025E-3</v>
      </c>
      <c r="W67" s="3"/>
      <c r="X67" s="7">
        <f t="shared" si="18"/>
        <v>17284.717447244206</v>
      </c>
      <c r="Y67" s="3"/>
      <c r="Z67" s="8">
        <f t="shared" si="19"/>
        <v>0.41798257479161627</v>
      </c>
    </row>
    <row r="68" spans="1:26" s="70" customFormat="1" ht="15" hidden="1" customHeight="1" outlineLevel="2" x14ac:dyDescent="0.3">
      <c r="A68" s="26"/>
      <c r="B68" s="12" t="str">
        <f>CONCATENATE("          ","6119"," - ","SICK LEAVE")</f>
        <v xml:space="preserve">          6119 - SICK LEAVE</v>
      </c>
      <c r="C68" s="12"/>
      <c r="D68" s="7">
        <v>4327.79</v>
      </c>
      <c r="E68" s="3"/>
      <c r="F68" s="8">
        <f t="shared" si="12"/>
        <v>5.9626565827850479E-3</v>
      </c>
      <c r="G68" s="3"/>
      <c r="H68" s="7">
        <v>6148.2240206461502</v>
      </c>
      <c r="I68" s="3"/>
      <c r="J68" s="8">
        <f t="shared" si="13"/>
        <v>1.356915319617427E-2</v>
      </c>
      <c r="K68" s="3"/>
      <c r="L68" s="7">
        <f t="shared" si="14"/>
        <v>-1820.4340206461502</v>
      </c>
      <c r="M68" s="3"/>
      <c r="N68" s="8">
        <f t="shared" si="15"/>
        <v>-0.29609103613222454</v>
      </c>
      <c r="O68" s="12"/>
      <c r="P68" s="7">
        <v>20506.39</v>
      </c>
      <c r="Q68" s="3"/>
      <c r="R68" s="8">
        <f t="shared" si="16"/>
        <v>3.3637584247989149E-3</v>
      </c>
      <c r="S68" s="3"/>
      <c r="T68" s="7">
        <v>65416.616854665401</v>
      </c>
      <c r="U68" s="3"/>
      <c r="V68" s="8">
        <f t="shared" si="17"/>
        <v>7.9442934210107192E-3</v>
      </c>
      <c r="W68" s="3"/>
      <c r="X68" s="7">
        <f t="shared" si="18"/>
        <v>-44910.226854665401</v>
      </c>
      <c r="Y68" s="3"/>
      <c r="Z68" s="8">
        <f t="shared" si="19"/>
        <v>-0.6865262835961301</v>
      </c>
    </row>
    <row r="69" spans="1:26" s="70" customFormat="1" ht="15" hidden="1" customHeight="1" outlineLevel="2" x14ac:dyDescent="0.3">
      <c r="A69" s="26"/>
      <c r="B69" s="12" t="str">
        <f>CONCATENATE("          ","6156"," - ","EMPLOYEE MEALS")</f>
        <v xml:space="preserve">          6156 - EMPLOYEE MEALS</v>
      </c>
      <c r="C69" s="12"/>
      <c r="D69" s="7">
        <v>3898.58</v>
      </c>
      <c r="E69" s="3"/>
      <c r="F69" s="8">
        <f t="shared" si="12"/>
        <v>5.3713081504680521E-3</v>
      </c>
      <c r="G69" s="3"/>
      <c r="H69" s="7">
        <v>2275</v>
      </c>
      <c r="I69" s="3"/>
      <c r="J69" s="8">
        <f t="shared" si="13"/>
        <v>5.0209334301472295E-3</v>
      </c>
      <c r="K69" s="3"/>
      <c r="L69" s="7">
        <f t="shared" si="14"/>
        <v>1623.58</v>
      </c>
      <c r="M69" s="3"/>
      <c r="N69" s="8">
        <f t="shared" si="15"/>
        <v>0.71366153846153846</v>
      </c>
      <c r="O69" s="12"/>
      <c r="P69" s="7">
        <v>27175.41</v>
      </c>
      <c r="Q69" s="3"/>
      <c r="R69" s="8">
        <f t="shared" si="16"/>
        <v>4.457708759799491E-3</v>
      </c>
      <c r="S69" s="3"/>
      <c r="T69" s="7">
        <v>21350</v>
      </c>
      <c r="U69" s="3"/>
      <c r="V69" s="8">
        <f t="shared" si="17"/>
        <v>2.5927764640503955E-3</v>
      </c>
      <c r="W69" s="3"/>
      <c r="X69" s="7">
        <f t="shared" si="18"/>
        <v>5825.41</v>
      </c>
      <c r="Y69" s="3"/>
      <c r="Z69" s="8">
        <f t="shared" si="19"/>
        <v>0.2728529274004684</v>
      </c>
    </row>
    <row r="70" spans="1:26" s="69" customFormat="1" ht="15" customHeight="1" outlineLevel="1" collapsed="1" x14ac:dyDescent="0.3">
      <c r="A70" s="25"/>
      <c r="B70" s="14" t="str">
        <f>CONCATENATE("     ","*Payroll                                          ")</f>
        <v xml:space="preserve">     *Payroll                                          </v>
      </c>
      <c r="C70" s="14"/>
      <c r="D70" s="2">
        <f>SUM(OSRRefD22_1x_0)</f>
        <v>199575.49000000002</v>
      </c>
      <c r="E70" s="2"/>
      <c r="F70" s="6">
        <f t="shared" si="12"/>
        <v>0.27496715626475676</v>
      </c>
      <c r="G70" s="2"/>
      <c r="H70" s="2">
        <f>SUM(OSRRefH22_1x_0)</f>
        <v>157795.57673948459</v>
      </c>
      <c r="I70" s="2"/>
      <c r="J70" s="6">
        <f t="shared" si="13"/>
        <v>0.348255422584897</v>
      </c>
      <c r="K70" s="2"/>
      <c r="L70" s="2">
        <f t="shared" si="14"/>
        <v>41779.91326051543</v>
      </c>
      <c r="M70" s="2"/>
      <c r="N70" s="6">
        <f t="shared" si="15"/>
        <v>0.26477239808497749</v>
      </c>
      <c r="O70" s="14"/>
      <c r="P70" s="2">
        <f>SUM(OSRRefP22_1x_0)</f>
        <v>1600374.97</v>
      </c>
      <c r="Q70" s="2"/>
      <c r="R70" s="6">
        <f t="shared" si="16"/>
        <v>0.26251694170328421</v>
      </c>
      <c r="S70" s="2"/>
      <c r="T70" s="2">
        <f>SUM(OSRRefT22_1x_0)</f>
        <v>1708541.2862296859</v>
      </c>
      <c r="U70" s="2"/>
      <c r="V70" s="6">
        <f t="shared" si="17"/>
        <v>0.20748785174682527</v>
      </c>
      <c r="W70" s="2"/>
      <c r="X70" s="2">
        <f t="shared" si="18"/>
        <v>-108166.31622968591</v>
      </c>
      <c r="Y70" s="2"/>
      <c r="Z70" s="6">
        <f t="shared" si="19"/>
        <v>-6.3309161506059558E-2</v>
      </c>
    </row>
    <row r="71" spans="1:26" s="70" customFormat="1" ht="15" hidden="1" customHeight="1" outlineLevel="2" x14ac:dyDescent="0.3">
      <c r="A71" s="26"/>
      <c r="B71" s="12" t="str">
        <f>CONCATENATE("          ","6001"," - ","ADMINISTRATIVE SALARIES")</f>
        <v xml:space="preserve">          6001 - ADMINISTRATIVE SALARIES</v>
      </c>
      <c r="C71" s="12"/>
      <c r="D71" s="7">
        <v>3959.51</v>
      </c>
      <c r="E71" s="3"/>
      <c r="F71" s="8">
        <f t="shared" si="12"/>
        <v>5.455255076171262E-3</v>
      </c>
      <c r="G71" s="3"/>
      <c r="H71" s="7">
        <v>4139.8076923076896</v>
      </c>
      <c r="I71" s="3"/>
      <c r="J71" s="8">
        <f t="shared" si="13"/>
        <v>9.136570917225641E-3</v>
      </c>
      <c r="K71" s="3"/>
      <c r="L71" s="7">
        <f t="shared" si="14"/>
        <v>-180.29769230768943</v>
      </c>
      <c r="M71" s="3"/>
      <c r="N71" s="8">
        <f t="shared" si="15"/>
        <v>-4.3552190272680154E-2</v>
      </c>
      <c r="O71" s="12"/>
      <c r="P71" s="7">
        <v>44917.06</v>
      </c>
      <c r="Q71" s="3"/>
      <c r="R71" s="8">
        <f t="shared" si="16"/>
        <v>7.3679540373609567E-3</v>
      </c>
      <c r="S71" s="3"/>
      <c r="T71" s="7">
        <v>40363.125</v>
      </c>
      <c r="U71" s="3"/>
      <c r="V71" s="8">
        <f t="shared" si="17"/>
        <v>4.9017592747318088E-3</v>
      </c>
      <c r="W71" s="3"/>
      <c r="X71" s="7">
        <f t="shared" si="18"/>
        <v>4553.9349999999977</v>
      </c>
      <c r="Y71" s="3"/>
      <c r="Z71" s="8">
        <f t="shared" si="19"/>
        <v>0.11282414332388778</v>
      </c>
    </row>
    <row r="72" spans="1:26" s="70" customFormat="1" ht="15" hidden="1" customHeight="1" outlineLevel="2" x14ac:dyDescent="0.3">
      <c r="A72" s="26"/>
      <c r="B72" s="12" t="str">
        <f>CONCATENATE("          ","6002"," - ","STAFF SALARIES")</f>
        <v xml:space="preserve">          6002 - STAFF SALARIES</v>
      </c>
      <c r="C72" s="12"/>
      <c r="D72" s="7">
        <v>51693.279999999999</v>
      </c>
      <c r="E72" s="3"/>
      <c r="F72" s="8">
        <f t="shared" si="12"/>
        <v>7.1220941006322078E-2</v>
      </c>
      <c r="G72" s="3"/>
      <c r="H72" s="7">
        <v>44231.773854176899</v>
      </c>
      <c r="I72" s="3"/>
      <c r="J72" s="8">
        <f t="shared" si="13"/>
        <v>9.7619688799625917E-2</v>
      </c>
      <c r="K72" s="3"/>
      <c r="L72" s="7">
        <f t="shared" si="14"/>
        <v>7461.5061458230994</v>
      </c>
      <c r="M72" s="3"/>
      <c r="N72" s="8">
        <f t="shared" si="15"/>
        <v>0.16869109003907817</v>
      </c>
      <c r="O72" s="12"/>
      <c r="P72" s="7">
        <v>530900.02</v>
      </c>
      <c r="Q72" s="3"/>
      <c r="R72" s="8">
        <f t="shared" si="16"/>
        <v>8.7085996852732855E-2</v>
      </c>
      <c r="S72" s="3"/>
      <c r="T72" s="7">
        <v>449224.38161668601</v>
      </c>
      <c r="U72" s="3"/>
      <c r="V72" s="8">
        <f t="shared" si="17"/>
        <v>5.4554491978142231E-2</v>
      </c>
      <c r="W72" s="3"/>
      <c r="X72" s="7">
        <f t="shared" si="18"/>
        <v>81675.638383314013</v>
      </c>
      <c r="Y72" s="3"/>
      <c r="Z72" s="8">
        <f t="shared" si="19"/>
        <v>0.18181479395525368</v>
      </c>
    </row>
    <row r="73" spans="1:26" s="70" customFormat="1" ht="15" hidden="1" customHeight="1" outlineLevel="2" x14ac:dyDescent="0.3">
      <c r="A73" s="26"/>
      <c r="B73" s="12" t="str">
        <f>CONCATENATE("          ","6003"," - ","STAFF HOURLY-9 MONTH")</f>
        <v xml:space="preserve">          6003 - STAFF HOURLY-9 MONTH</v>
      </c>
      <c r="C73" s="12"/>
      <c r="D73" s="7"/>
      <c r="E73" s="3"/>
      <c r="F73" s="8">
        <f t="shared" si="12"/>
        <v>0</v>
      </c>
      <c r="G73" s="3"/>
      <c r="H73" s="7">
        <v>0</v>
      </c>
      <c r="I73" s="3"/>
      <c r="J73" s="8">
        <f t="shared" si="13"/>
        <v>0</v>
      </c>
      <c r="K73" s="3"/>
      <c r="L73" s="7">
        <f t="shared" si="14"/>
        <v>0</v>
      </c>
      <c r="M73" s="3"/>
      <c r="N73" s="8">
        <f t="shared" si="15"/>
        <v>0</v>
      </c>
      <c r="O73" s="12"/>
      <c r="P73" s="7"/>
      <c r="Q73" s="3"/>
      <c r="R73" s="8">
        <f t="shared" si="16"/>
        <v>0</v>
      </c>
      <c r="S73" s="3"/>
      <c r="T73" s="7">
        <v>0</v>
      </c>
      <c r="U73" s="3"/>
      <c r="V73" s="8">
        <f t="shared" si="17"/>
        <v>0</v>
      </c>
      <c r="W73" s="3"/>
      <c r="X73" s="7">
        <f t="shared" si="18"/>
        <v>0</v>
      </c>
      <c r="Y73" s="3"/>
      <c r="Z73" s="8">
        <f t="shared" si="19"/>
        <v>0</v>
      </c>
    </row>
    <row r="74" spans="1:26" s="70" customFormat="1" ht="15" hidden="1" customHeight="1" outlineLevel="2" x14ac:dyDescent="0.3">
      <c r="A74" s="26"/>
      <c r="B74" s="12" t="str">
        <f>CONCATENATE("          ","6004"," - ","STAFF HOURLY")</f>
        <v xml:space="preserve">          6004 - STAFF HOURLY</v>
      </c>
      <c r="C74" s="12"/>
      <c r="D74" s="7">
        <v>25759.93</v>
      </c>
      <c r="E74" s="3"/>
      <c r="F74" s="8">
        <f t="shared" si="12"/>
        <v>3.5491004920890808E-2</v>
      </c>
      <c r="G74" s="3"/>
      <c r="H74" s="7">
        <v>39446.679318000002</v>
      </c>
      <c r="I74" s="3"/>
      <c r="J74" s="8">
        <f t="shared" si="13"/>
        <v>8.705896742683232E-2</v>
      </c>
      <c r="K74" s="3"/>
      <c r="L74" s="7">
        <f t="shared" si="14"/>
        <v>-13686.749318000002</v>
      </c>
      <c r="M74" s="3"/>
      <c r="N74" s="8">
        <f t="shared" si="15"/>
        <v>-0.34696835208013493</v>
      </c>
      <c r="O74" s="12"/>
      <c r="P74" s="7">
        <v>225240.68</v>
      </c>
      <c r="Q74" s="3"/>
      <c r="R74" s="8">
        <f t="shared" si="16"/>
        <v>3.6947275213113397E-2</v>
      </c>
      <c r="S74" s="3"/>
      <c r="T74" s="7">
        <v>364306.68908799998</v>
      </c>
      <c r="U74" s="3"/>
      <c r="V74" s="8">
        <f t="shared" si="17"/>
        <v>4.4241958274636596E-2</v>
      </c>
      <c r="W74" s="3"/>
      <c r="X74" s="7">
        <f t="shared" si="18"/>
        <v>-139066.00908799999</v>
      </c>
      <c r="Y74" s="3"/>
      <c r="Z74" s="8">
        <f t="shared" si="19"/>
        <v>-0.38172784978539864</v>
      </c>
    </row>
    <row r="75" spans="1:26" s="70" customFormat="1" ht="15" hidden="1" customHeight="1" outlineLevel="2" x14ac:dyDescent="0.3">
      <c r="A75" s="26"/>
      <c r="B75" s="12" t="str">
        <f>CONCATENATE("          ","6005"," - ","TEMPORARY WAGES-HOURLY")</f>
        <v xml:space="preserve">          6005 - TEMPORARY WAGES-HOURLY</v>
      </c>
      <c r="C75" s="12"/>
      <c r="D75" s="7">
        <v>8053.88</v>
      </c>
      <c r="E75" s="3"/>
      <c r="F75" s="8">
        <f t="shared" si="12"/>
        <v>1.1096314885648528E-2</v>
      </c>
      <c r="G75" s="3"/>
      <c r="H75" s="7">
        <v>1802</v>
      </c>
      <c r="I75" s="3"/>
      <c r="J75" s="8">
        <f t="shared" si="13"/>
        <v>3.9770206774177178E-3</v>
      </c>
      <c r="K75" s="3"/>
      <c r="L75" s="7">
        <f t="shared" si="14"/>
        <v>6251.88</v>
      </c>
      <c r="M75" s="3"/>
      <c r="N75" s="8">
        <f t="shared" si="15"/>
        <v>3.4694117647058822</v>
      </c>
      <c r="O75" s="12"/>
      <c r="P75" s="7">
        <v>93404.92</v>
      </c>
      <c r="Q75" s="3"/>
      <c r="R75" s="8">
        <f t="shared" si="16"/>
        <v>1.5321642988730276E-2</v>
      </c>
      <c r="S75" s="3"/>
      <c r="T75" s="7">
        <v>28982.34</v>
      </c>
      <c r="U75" s="3"/>
      <c r="V75" s="8">
        <f t="shared" si="17"/>
        <v>3.5196594391150508E-3</v>
      </c>
      <c r="W75" s="3"/>
      <c r="X75" s="7">
        <f t="shared" si="18"/>
        <v>64422.58</v>
      </c>
      <c r="Y75" s="3"/>
      <c r="Z75" s="8">
        <f t="shared" si="19"/>
        <v>2.222821897748767</v>
      </c>
    </row>
    <row r="76" spans="1:26" s="70" customFormat="1" ht="15" hidden="1" customHeight="1" outlineLevel="2" x14ac:dyDescent="0.3">
      <c r="A76" s="26"/>
      <c r="B76" s="12" t="str">
        <f>CONCATENATE("          ","6006"," - ","TEMPORARY PART TIME")</f>
        <v xml:space="preserve">          6006 - TEMPORARY PART TIME</v>
      </c>
      <c r="C76" s="12"/>
      <c r="D76" s="7">
        <v>2773.98</v>
      </c>
      <c r="E76" s="3"/>
      <c r="F76" s="8">
        <f t="shared" si="12"/>
        <v>3.8218790901393246E-3</v>
      </c>
      <c r="G76" s="3"/>
      <c r="H76" s="7">
        <v>0</v>
      </c>
      <c r="I76" s="3"/>
      <c r="J76" s="8">
        <f t="shared" si="13"/>
        <v>0</v>
      </c>
      <c r="K76" s="3"/>
      <c r="L76" s="7">
        <f t="shared" si="14"/>
        <v>2773.98</v>
      </c>
      <c r="M76" s="3"/>
      <c r="N76" s="8">
        <f t="shared" si="15"/>
        <v>0</v>
      </c>
      <c r="O76" s="12"/>
      <c r="P76" s="7">
        <v>17695.349999999999</v>
      </c>
      <c r="Q76" s="3"/>
      <c r="R76" s="8">
        <f t="shared" si="16"/>
        <v>2.9026504734507379E-3</v>
      </c>
      <c r="S76" s="3"/>
      <c r="T76" s="7">
        <v>0</v>
      </c>
      <c r="U76" s="3"/>
      <c r="V76" s="8">
        <f t="shared" si="17"/>
        <v>0</v>
      </c>
      <c r="W76" s="3"/>
      <c r="X76" s="7">
        <f t="shared" si="18"/>
        <v>17695.349999999999</v>
      </c>
      <c r="Y76" s="3"/>
      <c r="Z76" s="8">
        <f t="shared" si="19"/>
        <v>0</v>
      </c>
    </row>
    <row r="77" spans="1:26" s="70" customFormat="1" ht="15" hidden="1" customHeight="1" outlineLevel="2" x14ac:dyDescent="0.3">
      <c r="A77" s="26"/>
      <c r="B77" s="12" t="str">
        <f>CONCATENATE("          ","6007"," - ","STUDENT HOURLY")</f>
        <v xml:space="preserve">          6007 - STUDENT HOURLY</v>
      </c>
      <c r="C77" s="12"/>
      <c r="D77" s="7">
        <v>94286.82</v>
      </c>
      <c r="E77" s="3"/>
      <c r="F77" s="8">
        <f t="shared" si="12"/>
        <v>0.12990462290057256</v>
      </c>
      <c r="G77" s="3"/>
      <c r="H77" s="7">
        <v>30466.416000000001</v>
      </c>
      <c r="I77" s="3"/>
      <c r="J77" s="8">
        <f t="shared" si="13"/>
        <v>6.7239493007108755E-2</v>
      </c>
      <c r="K77" s="3"/>
      <c r="L77" s="7">
        <f t="shared" si="14"/>
        <v>63820.40400000001</v>
      </c>
      <c r="M77" s="3"/>
      <c r="N77" s="8">
        <f t="shared" si="15"/>
        <v>2.094778854198013</v>
      </c>
      <c r="O77" s="12"/>
      <c r="P77" s="7">
        <v>596204.6</v>
      </c>
      <c r="Q77" s="3"/>
      <c r="R77" s="8">
        <f t="shared" si="16"/>
        <v>9.7798210516520323E-2</v>
      </c>
      <c r="S77" s="3"/>
      <c r="T77" s="7">
        <v>327383.13</v>
      </c>
      <c r="U77" s="3"/>
      <c r="V77" s="8">
        <f t="shared" si="17"/>
        <v>3.9757905114339624E-2</v>
      </c>
      <c r="W77" s="3"/>
      <c r="X77" s="7">
        <f t="shared" si="18"/>
        <v>268821.46999999997</v>
      </c>
      <c r="Y77" s="3"/>
      <c r="Z77" s="8">
        <f t="shared" si="19"/>
        <v>0.82112193746818896</v>
      </c>
    </row>
    <row r="78" spans="1:26" s="70" customFormat="1" ht="15" hidden="1" customHeight="1" outlineLevel="2" x14ac:dyDescent="0.3">
      <c r="A78" s="26"/>
      <c r="B78" s="12" t="str">
        <f>CONCATENATE("          ","6008"," - ","STUDENT HOURLY-FICA EXEMPT")</f>
        <v xml:space="preserve">          6008 - STUDENT HOURLY-FICA EXEMPT</v>
      </c>
      <c r="C78" s="12"/>
      <c r="D78" s="7">
        <v>13048.09</v>
      </c>
      <c r="E78" s="3"/>
      <c r="F78" s="8">
        <f t="shared" si="12"/>
        <v>1.7977138385012154E-2</v>
      </c>
      <c r="G78" s="3"/>
      <c r="H78" s="7">
        <v>37708.899875000003</v>
      </c>
      <c r="I78" s="3"/>
      <c r="J78" s="8">
        <f t="shared" si="13"/>
        <v>8.3223681756686679E-2</v>
      </c>
      <c r="K78" s="3"/>
      <c r="L78" s="7">
        <f t="shared" si="14"/>
        <v>-24660.809875000003</v>
      </c>
      <c r="M78" s="3"/>
      <c r="N78" s="8">
        <f t="shared" si="15"/>
        <v>-0.65397850260143664</v>
      </c>
      <c r="O78" s="12"/>
      <c r="P78" s="7">
        <v>92012.34</v>
      </c>
      <c r="Q78" s="3"/>
      <c r="R78" s="8">
        <f t="shared" si="16"/>
        <v>1.5093211621375687E-2</v>
      </c>
      <c r="S78" s="3"/>
      <c r="T78" s="7">
        <v>498281.62052499998</v>
      </c>
      <c r="U78" s="3"/>
      <c r="V78" s="8">
        <f t="shared" si="17"/>
        <v>6.0512077665859969E-2</v>
      </c>
      <c r="W78" s="3"/>
      <c r="X78" s="7">
        <f t="shared" si="18"/>
        <v>-406269.28052499995</v>
      </c>
      <c r="Y78" s="3"/>
      <c r="Z78" s="8">
        <f t="shared" si="19"/>
        <v>-0.81534069046525559</v>
      </c>
    </row>
    <row r="79" spans="1:26" s="70" customFormat="1" ht="15" hidden="1" customHeight="1" outlineLevel="2" x14ac:dyDescent="0.3">
      <c r="A79" s="26"/>
      <c r="B79" s="12" t="str">
        <f>CONCATENATE("          ","6009"," - ","TEMPORARY-SEASONAL")</f>
        <v xml:space="preserve">          6009 - TEMPORARY-SEASONAL</v>
      </c>
      <c r="C79" s="12"/>
      <c r="D79" s="7"/>
      <c r="E79" s="3"/>
      <c r="F79" s="8">
        <f t="shared" si="12"/>
        <v>0</v>
      </c>
      <c r="G79" s="3"/>
      <c r="H79" s="7">
        <v>0</v>
      </c>
      <c r="I79" s="3"/>
      <c r="J79" s="8">
        <f t="shared" si="13"/>
        <v>0</v>
      </c>
      <c r="K79" s="3"/>
      <c r="L79" s="7">
        <f t="shared" si="14"/>
        <v>0</v>
      </c>
      <c r="M79" s="3"/>
      <c r="N79" s="8">
        <f t="shared" si="15"/>
        <v>0</v>
      </c>
      <c r="O79" s="12"/>
      <c r="P79" s="7"/>
      <c r="Q79" s="3"/>
      <c r="R79" s="8">
        <f t="shared" si="16"/>
        <v>0</v>
      </c>
      <c r="S79" s="3"/>
      <c r="T79" s="7">
        <v>0</v>
      </c>
      <c r="U79" s="3"/>
      <c r="V79" s="8">
        <f t="shared" si="17"/>
        <v>0</v>
      </c>
      <c r="W79" s="3"/>
      <c r="X79" s="7">
        <f t="shared" si="18"/>
        <v>0</v>
      </c>
      <c r="Y79" s="3"/>
      <c r="Z79" s="8">
        <f t="shared" si="19"/>
        <v>0</v>
      </c>
    </row>
    <row r="80" spans="1:26" s="70" customFormat="1" ht="15" hidden="1" customHeight="1" outlineLevel="2" x14ac:dyDescent="0.3">
      <c r="A80" s="26"/>
      <c r="B80" s="12" t="str">
        <f>CONCATENATE("          ","6010"," - ","GRATUITY")</f>
        <v xml:space="preserve">          6010 - GRATUITY</v>
      </c>
      <c r="C80" s="12"/>
      <c r="D80" s="7"/>
      <c r="E80" s="3"/>
      <c r="F80" s="8">
        <f t="shared" si="12"/>
        <v>0</v>
      </c>
      <c r="G80" s="3"/>
      <c r="H80" s="7">
        <v>0</v>
      </c>
      <c r="I80" s="3"/>
      <c r="J80" s="8">
        <f t="shared" si="13"/>
        <v>0</v>
      </c>
      <c r="K80" s="3"/>
      <c r="L80" s="7">
        <f t="shared" si="14"/>
        <v>0</v>
      </c>
      <c r="M80" s="3"/>
      <c r="N80" s="8">
        <f t="shared" si="15"/>
        <v>0</v>
      </c>
      <c r="O80" s="12"/>
      <c r="P80" s="7"/>
      <c r="Q80" s="3"/>
      <c r="R80" s="8">
        <f t="shared" si="16"/>
        <v>0</v>
      </c>
      <c r="S80" s="3"/>
      <c r="T80" s="7">
        <v>0</v>
      </c>
      <c r="U80" s="3"/>
      <c r="V80" s="8">
        <f t="shared" si="17"/>
        <v>0</v>
      </c>
      <c r="W80" s="3"/>
      <c r="X80" s="7">
        <f t="shared" si="18"/>
        <v>0</v>
      </c>
      <c r="Y80" s="3"/>
      <c r="Z80" s="8">
        <f t="shared" si="19"/>
        <v>0</v>
      </c>
    </row>
    <row r="81" spans="1:26" s="69" customFormat="1" ht="15" customHeight="1" outlineLevel="1" collapsed="1" x14ac:dyDescent="0.3">
      <c r="A81" s="25"/>
      <c r="B81" s="14" t="str">
        <f>CONCATENATE("     ","Advertising/Promo                                 ")</f>
        <v xml:space="preserve">     Advertising/Promo                                 </v>
      </c>
      <c r="C81" s="14"/>
      <c r="D81" s="2">
        <f>SUM(OSRRefD22_2x_0)</f>
        <v>2364.56</v>
      </c>
      <c r="E81" s="2"/>
      <c r="F81" s="6">
        <f t="shared" si="12"/>
        <v>3.2577965311140818E-3</v>
      </c>
      <c r="G81" s="2"/>
      <c r="H81" s="2">
        <f>SUM(OSRRefH22_2x_0)</f>
        <v>300</v>
      </c>
      <c r="I81" s="2"/>
      <c r="J81" s="6">
        <f t="shared" si="13"/>
        <v>6.6210111166776651E-4</v>
      </c>
      <c r="K81" s="2"/>
      <c r="L81" s="2">
        <f t="shared" si="14"/>
        <v>2064.56</v>
      </c>
      <c r="M81" s="2"/>
      <c r="N81" s="6">
        <f t="shared" si="15"/>
        <v>6.8818666666666664</v>
      </c>
      <c r="O81" s="14"/>
      <c r="P81" s="2">
        <f>SUM(OSRRefP22_2x_0)</f>
        <v>9624.7900000000009</v>
      </c>
      <c r="Q81" s="2"/>
      <c r="R81" s="6">
        <f t="shared" si="16"/>
        <v>1.5787990206672336E-3</v>
      </c>
      <c r="S81" s="2"/>
      <c r="T81" s="2">
        <f>SUM(OSRRefT22_2x_0)</f>
        <v>6100</v>
      </c>
      <c r="U81" s="2"/>
      <c r="V81" s="6">
        <f t="shared" si="17"/>
        <v>7.4079327544297009E-4</v>
      </c>
      <c r="W81" s="2"/>
      <c r="X81" s="2">
        <f t="shared" si="18"/>
        <v>3524.7900000000009</v>
      </c>
      <c r="Y81" s="2"/>
      <c r="Z81" s="6">
        <f t="shared" si="19"/>
        <v>0.57783442622950831</v>
      </c>
    </row>
    <row r="82" spans="1:26" s="70" customFormat="1" ht="15" hidden="1" customHeight="1" outlineLevel="2" x14ac:dyDescent="0.3">
      <c r="A82" s="26"/>
      <c r="B82" s="12" t="str">
        <f>CONCATENATE("          ","6362"," - ","ADVERTISING EXPENSE")</f>
        <v xml:space="preserve">          6362 - ADVERTISING EXPENSE</v>
      </c>
      <c r="C82" s="12"/>
      <c r="D82" s="7">
        <v>2364.56</v>
      </c>
      <c r="E82" s="3"/>
      <c r="F82" s="8">
        <f t="shared" si="12"/>
        <v>3.2577965311140818E-3</v>
      </c>
      <c r="G82" s="3"/>
      <c r="H82" s="7">
        <v>300</v>
      </c>
      <c r="I82" s="3"/>
      <c r="J82" s="8">
        <f t="shared" si="13"/>
        <v>6.6210111166776651E-4</v>
      </c>
      <c r="K82" s="3"/>
      <c r="L82" s="7">
        <f t="shared" si="14"/>
        <v>2064.56</v>
      </c>
      <c r="M82" s="3"/>
      <c r="N82" s="8">
        <f t="shared" si="15"/>
        <v>6.8818666666666664</v>
      </c>
      <c r="O82" s="12"/>
      <c r="P82" s="7">
        <v>9624.7900000000009</v>
      </c>
      <c r="Q82" s="3"/>
      <c r="R82" s="8">
        <f t="shared" si="16"/>
        <v>1.5787990206672336E-3</v>
      </c>
      <c r="S82" s="3"/>
      <c r="T82" s="7">
        <v>6100</v>
      </c>
      <c r="U82" s="3"/>
      <c r="V82" s="8">
        <f t="shared" si="17"/>
        <v>7.4079327544297009E-4</v>
      </c>
      <c r="W82" s="3"/>
      <c r="X82" s="7">
        <f t="shared" si="18"/>
        <v>3524.7900000000009</v>
      </c>
      <c r="Y82" s="3"/>
      <c r="Z82" s="8">
        <f t="shared" si="19"/>
        <v>0.57783442622950831</v>
      </c>
    </row>
    <row r="83" spans="1:26" s="69" customFormat="1" ht="15" customHeight="1" outlineLevel="1" collapsed="1" x14ac:dyDescent="0.3">
      <c r="A83" s="25"/>
      <c r="B83" s="14" t="str">
        <f>CONCATENATE("     ","Bad Debts/Over/Short                              ")</f>
        <v xml:space="preserve">     Bad Debts/Over/Short                              </v>
      </c>
      <c r="C83" s="14"/>
      <c r="D83" s="2">
        <f>SUM(OSRRefD22_3x_0)</f>
        <v>-47.38</v>
      </c>
      <c r="E83" s="2"/>
      <c r="F83" s="6">
        <f t="shared" si="12"/>
        <v>-6.5278275723257276E-5</v>
      </c>
      <c r="G83" s="2"/>
      <c r="H83" s="2">
        <f>SUM(OSRRefH22_3x_0)</f>
        <v>235</v>
      </c>
      <c r="I83" s="2"/>
      <c r="J83" s="6">
        <f t="shared" si="13"/>
        <v>5.1864587080641708E-4</v>
      </c>
      <c r="K83" s="2"/>
      <c r="L83" s="2">
        <f t="shared" si="14"/>
        <v>-282.38</v>
      </c>
      <c r="M83" s="2"/>
      <c r="N83" s="6">
        <f t="shared" si="15"/>
        <v>-1.2016170212765958</v>
      </c>
      <c r="O83" s="14"/>
      <c r="P83" s="2">
        <f>SUM(OSRRefP22_3x_0)</f>
        <v>61.41</v>
      </c>
      <c r="Q83" s="2"/>
      <c r="R83" s="6">
        <f t="shared" si="16"/>
        <v>1.0073367612090737E-5</v>
      </c>
      <c r="S83" s="2"/>
      <c r="T83" s="2">
        <f>SUM(OSRRefT22_3x_0)</f>
        <v>2115</v>
      </c>
      <c r="U83" s="2"/>
      <c r="V83" s="6">
        <f t="shared" si="17"/>
        <v>2.5684881599375109E-4</v>
      </c>
      <c r="W83" s="2"/>
      <c r="X83" s="2">
        <f t="shared" si="18"/>
        <v>-2053.59</v>
      </c>
      <c r="Y83" s="2"/>
      <c r="Z83" s="6">
        <f t="shared" si="19"/>
        <v>-0.97096453900709223</v>
      </c>
    </row>
    <row r="84" spans="1:26" s="70" customFormat="1" ht="15" hidden="1" customHeight="1" outlineLevel="2" x14ac:dyDescent="0.3">
      <c r="A84" s="26"/>
      <c r="B84" s="12" t="str">
        <f>CONCATENATE("          ","6272"," - ","CASH (OVER/SHORT)")</f>
        <v xml:space="preserve">          6272 - CASH (OVER/SHORT)</v>
      </c>
      <c r="C84" s="12"/>
      <c r="D84" s="7">
        <v>-47.38</v>
      </c>
      <c r="E84" s="3"/>
      <c r="F84" s="8">
        <f t="shared" si="12"/>
        <v>-6.5278275723257276E-5</v>
      </c>
      <c r="G84" s="3"/>
      <c r="H84" s="7">
        <v>235</v>
      </c>
      <c r="I84" s="3"/>
      <c r="J84" s="8">
        <f t="shared" si="13"/>
        <v>5.1864587080641708E-4</v>
      </c>
      <c r="K84" s="3"/>
      <c r="L84" s="7">
        <f t="shared" si="14"/>
        <v>-282.38</v>
      </c>
      <c r="M84" s="3"/>
      <c r="N84" s="8">
        <f t="shared" si="15"/>
        <v>-1.2016170212765958</v>
      </c>
      <c r="O84" s="12"/>
      <c r="P84" s="7">
        <v>61.41</v>
      </c>
      <c r="Q84" s="3"/>
      <c r="R84" s="8">
        <f t="shared" si="16"/>
        <v>1.0073367612090737E-5</v>
      </c>
      <c r="S84" s="3"/>
      <c r="T84" s="7">
        <v>2115</v>
      </c>
      <c r="U84" s="3"/>
      <c r="V84" s="8">
        <f t="shared" si="17"/>
        <v>2.5684881599375109E-4</v>
      </c>
      <c r="W84" s="3"/>
      <c r="X84" s="7">
        <f t="shared" si="18"/>
        <v>-2053.59</v>
      </c>
      <c r="Y84" s="3"/>
      <c r="Z84" s="8">
        <f t="shared" si="19"/>
        <v>-0.97096453900709223</v>
      </c>
    </row>
    <row r="85" spans="1:26" s="69" customFormat="1" ht="15" customHeight="1" outlineLevel="1" collapsed="1" x14ac:dyDescent="0.3">
      <c r="A85" s="25"/>
      <c r="B85" s="14" t="str">
        <f>CONCATENATE("     ","Bank/card Fees                                    ")</f>
        <v xml:space="preserve">     Bank/card Fees                                    </v>
      </c>
      <c r="C85" s="14"/>
      <c r="D85" s="2">
        <f>SUM(OSRRefD22_4x_0)</f>
        <v>21960.93</v>
      </c>
      <c r="E85" s="2"/>
      <c r="F85" s="6">
        <f t="shared" si="12"/>
        <v>3.0256894125773579E-2</v>
      </c>
      <c r="G85" s="2"/>
      <c r="H85" s="2">
        <f>SUM(OSRRefH22_4x_0)</f>
        <v>12177.25</v>
      </c>
      <c r="I85" s="2"/>
      <c r="J85" s="6">
        <f t="shared" si="13"/>
        <v>2.6875235873521031E-2</v>
      </c>
      <c r="K85" s="2"/>
      <c r="L85" s="2">
        <f t="shared" si="14"/>
        <v>9783.68</v>
      </c>
      <c r="M85" s="2"/>
      <c r="N85" s="6">
        <f t="shared" si="15"/>
        <v>0.80343920014781667</v>
      </c>
      <c r="O85" s="14"/>
      <c r="P85" s="2">
        <f>SUM(OSRRefP22_4x_0)</f>
        <v>125326.05</v>
      </c>
      <c r="Q85" s="2"/>
      <c r="R85" s="6">
        <f t="shared" si="16"/>
        <v>2.0557814248839998E-2</v>
      </c>
      <c r="S85" s="2"/>
      <c r="T85" s="2">
        <f>SUM(OSRRefT22_4x_0)</f>
        <v>170585.5</v>
      </c>
      <c r="U85" s="2"/>
      <c r="V85" s="6">
        <f t="shared" si="17"/>
        <v>2.0716162506242093E-2</v>
      </c>
      <c r="W85" s="2"/>
      <c r="X85" s="2">
        <f t="shared" si="18"/>
        <v>-45259.45</v>
      </c>
      <c r="Y85" s="2"/>
      <c r="Z85" s="6">
        <f t="shared" si="19"/>
        <v>-0.26531827148262893</v>
      </c>
    </row>
    <row r="86" spans="1:26" s="70" customFormat="1" ht="15" hidden="1" customHeight="1" outlineLevel="2" x14ac:dyDescent="0.3">
      <c r="A86" s="26"/>
      <c r="B86" s="12" t="str">
        <f>CONCATENATE("          ","6381"," - ","BANK/CREDIT CARD FEES")</f>
        <v xml:space="preserve">          6381 - BANK/CREDIT CARD FEES</v>
      </c>
      <c r="C86" s="12"/>
      <c r="D86" s="7">
        <v>21960.93</v>
      </c>
      <c r="E86" s="3"/>
      <c r="F86" s="8">
        <f t="shared" si="12"/>
        <v>3.0256894125773579E-2</v>
      </c>
      <c r="G86" s="3"/>
      <c r="H86" s="7">
        <v>12177.25</v>
      </c>
      <c r="I86" s="3"/>
      <c r="J86" s="8">
        <f t="shared" si="13"/>
        <v>2.6875235873521031E-2</v>
      </c>
      <c r="K86" s="3"/>
      <c r="L86" s="7">
        <f t="shared" si="14"/>
        <v>9783.68</v>
      </c>
      <c r="M86" s="3"/>
      <c r="N86" s="8">
        <f t="shared" si="15"/>
        <v>0.80343920014781667</v>
      </c>
      <c r="O86" s="12"/>
      <c r="P86" s="7">
        <v>125326.05</v>
      </c>
      <c r="Q86" s="3"/>
      <c r="R86" s="8">
        <f t="shared" si="16"/>
        <v>2.0557814248839998E-2</v>
      </c>
      <c r="S86" s="3"/>
      <c r="T86" s="7">
        <v>170585.5</v>
      </c>
      <c r="U86" s="3"/>
      <c r="V86" s="8">
        <f t="shared" si="17"/>
        <v>2.0716162506242093E-2</v>
      </c>
      <c r="W86" s="3"/>
      <c r="X86" s="7">
        <f t="shared" si="18"/>
        <v>-45259.45</v>
      </c>
      <c r="Y86" s="3"/>
      <c r="Z86" s="8">
        <f t="shared" si="19"/>
        <v>-0.26531827148262893</v>
      </c>
    </row>
    <row r="87" spans="1:26" s="69" customFormat="1" ht="15" customHeight="1" outlineLevel="1" collapsed="1" x14ac:dyDescent="0.3">
      <c r="A87" s="25"/>
      <c r="B87" s="14" t="str">
        <f>CONCATENATE("     ","Depreciation                                      ")</f>
        <v xml:space="preserve">     Depreciation                                      </v>
      </c>
      <c r="C87" s="14"/>
      <c r="D87" s="2">
        <f>SUM(OSRRefD22_5x_0)</f>
        <v>33864.76</v>
      </c>
      <c r="E87" s="2"/>
      <c r="F87" s="6">
        <f t="shared" si="12"/>
        <v>4.6657516685984252E-2</v>
      </c>
      <c r="G87" s="2"/>
      <c r="H87" s="2">
        <f>SUM(OSRRefH22_5x_0)</f>
        <v>33743</v>
      </c>
      <c r="I87" s="2"/>
      <c r="J87" s="6">
        <f t="shared" si="13"/>
        <v>7.4470926036684815E-2</v>
      </c>
      <c r="K87" s="2"/>
      <c r="L87" s="2">
        <f t="shared" si="14"/>
        <v>121.76000000000204</v>
      </c>
      <c r="M87" s="2"/>
      <c r="N87" s="6">
        <f t="shared" si="15"/>
        <v>3.6084521234034327E-3</v>
      </c>
      <c r="O87" s="14"/>
      <c r="P87" s="2">
        <f>SUM(OSRRefP22_5x_0)</f>
        <v>326791.67999999999</v>
      </c>
      <c r="Q87" s="2"/>
      <c r="R87" s="6">
        <f t="shared" si="16"/>
        <v>5.3605157551094615E-2</v>
      </c>
      <c r="S87" s="2"/>
      <c r="T87" s="2">
        <f>SUM(OSRRefT22_5x_0)</f>
        <v>325694</v>
      </c>
      <c r="U87" s="2"/>
      <c r="V87" s="6">
        <f t="shared" si="17"/>
        <v>3.9552774598708637E-2</v>
      </c>
      <c r="W87" s="2"/>
      <c r="X87" s="2">
        <f t="shared" si="18"/>
        <v>1097.679999999993</v>
      </c>
      <c r="Y87" s="2"/>
      <c r="Z87" s="6">
        <f t="shared" si="19"/>
        <v>3.3702800788469943E-3</v>
      </c>
    </row>
    <row r="88" spans="1:26" s="70" customFormat="1" ht="15" hidden="1" customHeight="1" outlineLevel="2" x14ac:dyDescent="0.3">
      <c r="A88" s="26"/>
      <c r="B88" s="12" t="str">
        <f>CONCATENATE("          ","6321"," - ","BUILDING DEPRECIATION")</f>
        <v xml:space="preserve">          6321 - BUILDING DEPRECIATION</v>
      </c>
      <c r="C88" s="12"/>
      <c r="D88" s="7">
        <v>18402.22</v>
      </c>
      <c r="E88" s="3"/>
      <c r="F88" s="8">
        <f t="shared" si="12"/>
        <v>2.5353845316167991E-2</v>
      </c>
      <c r="G88" s="3"/>
      <c r="H88" s="7"/>
      <c r="I88" s="3"/>
      <c r="J88" s="8">
        <f t="shared" si="13"/>
        <v>0</v>
      </c>
      <c r="K88" s="3"/>
      <c r="L88" s="7">
        <f t="shared" si="14"/>
        <v>18402.22</v>
      </c>
      <c r="M88" s="3"/>
      <c r="N88" s="8">
        <f t="shared" si="15"/>
        <v>0</v>
      </c>
      <c r="O88" s="12"/>
      <c r="P88" s="7">
        <v>184878.72</v>
      </c>
      <c r="Q88" s="3"/>
      <c r="R88" s="8">
        <f t="shared" si="16"/>
        <v>3.0326515391838331E-2</v>
      </c>
      <c r="S88" s="3"/>
      <c r="T88" s="7"/>
      <c r="U88" s="3"/>
      <c r="V88" s="8">
        <f t="shared" si="17"/>
        <v>0</v>
      </c>
      <c r="W88" s="3"/>
      <c r="X88" s="7">
        <f t="shared" si="18"/>
        <v>184878.72</v>
      </c>
      <c r="Y88" s="3"/>
      <c r="Z88" s="8">
        <f t="shared" si="19"/>
        <v>0</v>
      </c>
    </row>
    <row r="89" spans="1:26" s="70" customFormat="1" ht="15" hidden="1" customHeight="1" outlineLevel="2" x14ac:dyDescent="0.3">
      <c r="A89" s="26"/>
      <c r="B89" s="12" t="str">
        <f>CONCATENATE("          ","6322"," - ","EQUIPMENT DEPRECIATION EXPENSE")</f>
        <v xml:space="preserve">          6322 - EQUIPMENT DEPRECIATION EXPENSE</v>
      </c>
      <c r="C89" s="12"/>
      <c r="D89" s="7">
        <v>15462.54</v>
      </c>
      <c r="E89" s="3"/>
      <c r="F89" s="8">
        <f t="shared" si="12"/>
        <v>2.1303671369816261E-2</v>
      </c>
      <c r="G89" s="3"/>
      <c r="H89" s="7">
        <v>33743</v>
      </c>
      <c r="I89" s="3"/>
      <c r="J89" s="8">
        <f t="shared" si="13"/>
        <v>7.4470926036684815E-2</v>
      </c>
      <c r="K89" s="3"/>
      <c r="L89" s="7">
        <f t="shared" si="14"/>
        <v>-18280.46</v>
      </c>
      <c r="M89" s="3"/>
      <c r="N89" s="8">
        <f t="shared" si="15"/>
        <v>-0.54175562338855465</v>
      </c>
      <c r="O89" s="12"/>
      <c r="P89" s="7">
        <v>141912.95999999999</v>
      </c>
      <c r="Q89" s="3"/>
      <c r="R89" s="8">
        <f t="shared" si="16"/>
        <v>2.327864215925628E-2</v>
      </c>
      <c r="S89" s="3"/>
      <c r="T89" s="7">
        <v>325694</v>
      </c>
      <c r="U89" s="3"/>
      <c r="V89" s="8">
        <f t="shared" si="17"/>
        <v>3.9552774598708637E-2</v>
      </c>
      <c r="W89" s="3"/>
      <c r="X89" s="7">
        <f t="shared" si="18"/>
        <v>-183781.04</v>
      </c>
      <c r="Y89" s="3"/>
      <c r="Z89" s="8">
        <f t="shared" si="19"/>
        <v>-0.56427517854182152</v>
      </c>
    </row>
    <row r="90" spans="1:26" s="69" customFormat="1" ht="15" customHeight="1" outlineLevel="1" collapsed="1" x14ac:dyDescent="0.3">
      <c r="A90" s="25"/>
      <c r="B90" s="14" t="str">
        <f>CONCATENATE("     ","Discounts and Markdowns                           ")</f>
        <v xml:space="preserve">     Discounts and Markdowns                           </v>
      </c>
      <c r="C90" s="14"/>
      <c r="D90" s="2">
        <f>SUM(OSRRefD22_6x_0)</f>
        <v>-7.72</v>
      </c>
      <c r="E90" s="2"/>
      <c r="F90" s="6">
        <f t="shared" ref="F90:F121" si="20">IF(D$12=0,0,D90/D$12)</f>
        <v>-1.0636308328061336E-5</v>
      </c>
      <c r="G90" s="2"/>
      <c r="H90" s="2">
        <f>SUM(OSRRefH22_6x_0)</f>
        <v>0</v>
      </c>
      <c r="I90" s="2"/>
      <c r="J90" s="6">
        <f t="shared" ref="J90:J121" si="21">IF(H$12=0,0,H90/H$12)</f>
        <v>0</v>
      </c>
      <c r="K90" s="2"/>
      <c r="L90" s="2">
        <f t="shared" ref="L90:L121" si="22">+D90-H90</f>
        <v>-7.72</v>
      </c>
      <c r="M90" s="2"/>
      <c r="N90" s="6">
        <f t="shared" ref="N90:N121" si="23">IF(H90=0,0,L90/H90)</f>
        <v>0</v>
      </c>
      <c r="O90" s="14"/>
      <c r="P90" s="2">
        <f>SUM(OSRRefP22_6x_0)</f>
        <v>2056.83</v>
      </c>
      <c r="Q90" s="2"/>
      <c r="R90" s="6">
        <f t="shared" ref="R90:R121" si="24">IF(P$12=0,0,P90/P$12)</f>
        <v>3.3739138097340157E-4</v>
      </c>
      <c r="S90" s="2"/>
      <c r="T90" s="2">
        <f>SUM(OSRRefT22_6x_0)</f>
        <v>0</v>
      </c>
      <c r="U90" s="2"/>
      <c r="V90" s="6">
        <f t="shared" ref="V90:V121" si="25">IF(T$12=0,0,T90/T$12)</f>
        <v>0</v>
      </c>
      <c r="W90" s="2"/>
      <c r="X90" s="2">
        <f t="shared" ref="X90:X121" si="26">+P90-T90</f>
        <v>2056.83</v>
      </c>
      <c r="Y90" s="2"/>
      <c r="Z90" s="6">
        <f t="shared" ref="Z90:Z121" si="27">IF(T90=0,0,X90/T90)</f>
        <v>0</v>
      </c>
    </row>
    <row r="91" spans="1:26" s="70" customFormat="1" ht="15" hidden="1" customHeight="1" outlineLevel="2" x14ac:dyDescent="0.3">
      <c r="A91" s="26"/>
      <c r="B91" s="12" t="str">
        <f>CONCATENATE("          ","6382"," - ","DISCOUNTS/MARK DOWNS")</f>
        <v xml:space="preserve">          6382 - DISCOUNTS/MARK DOWNS</v>
      </c>
      <c r="C91" s="12"/>
      <c r="D91" s="7"/>
      <c r="E91" s="3"/>
      <c r="F91" s="8">
        <f t="shared" si="20"/>
        <v>0</v>
      </c>
      <c r="G91" s="3"/>
      <c r="H91" s="7"/>
      <c r="I91" s="3"/>
      <c r="J91" s="8">
        <f t="shared" si="21"/>
        <v>0</v>
      </c>
      <c r="K91" s="3"/>
      <c r="L91" s="7">
        <f t="shared" si="22"/>
        <v>0</v>
      </c>
      <c r="M91" s="3"/>
      <c r="N91" s="8">
        <f t="shared" si="23"/>
        <v>0</v>
      </c>
      <c r="O91" s="12"/>
      <c r="P91" s="7">
        <v>2171.35</v>
      </c>
      <c r="Q91" s="3"/>
      <c r="R91" s="8">
        <f t="shared" si="24"/>
        <v>3.5617662863561669E-4</v>
      </c>
      <c r="S91" s="3"/>
      <c r="T91" s="7">
        <v>0</v>
      </c>
      <c r="U91" s="3"/>
      <c r="V91" s="8">
        <f t="shared" si="25"/>
        <v>0</v>
      </c>
      <c r="W91" s="3"/>
      <c r="X91" s="7">
        <f t="shared" si="26"/>
        <v>2171.35</v>
      </c>
      <c r="Y91" s="3"/>
      <c r="Z91" s="8">
        <f t="shared" si="27"/>
        <v>0</v>
      </c>
    </row>
    <row r="92" spans="1:26" s="70" customFormat="1" ht="15" hidden="1" customHeight="1" outlineLevel="2" x14ac:dyDescent="0.3">
      <c r="A92" s="26"/>
      <c r="B92" s="12" t="str">
        <f>CONCATENATE("          ","9175"," - ","EARNED DISCOUNTS")</f>
        <v xml:space="preserve">          9175 - EARNED DISCOUNTS</v>
      </c>
      <c r="C92" s="12"/>
      <c r="D92" s="7">
        <v>-7.72</v>
      </c>
      <c r="E92" s="3"/>
      <c r="F92" s="8">
        <f t="shared" si="20"/>
        <v>-1.0636308328061336E-5</v>
      </c>
      <c r="G92" s="3"/>
      <c r="H92" s="7"/>
      <c r="I92" s="3"/>
      <c r="J92" s="8">
        <f t="shared" si="21"/>
        <v>0</v>
      </c>
      <c r="K92" s="3"/>
      <c r="L92" s="7">
        <f t="shared" si="22"/>
        <v>-7.72</v>
      </c>
      <c r="M92" s="3"/>
      <c r="N92" s="8">
        <f t="shared" si="23"/>
        <v>0</v>
      </c>
      <c r="O92" s="12"/>
      <c r="P92" s="7">
        <v>-114.52</v>
      </c>
      <c r="Q92" s="3"/>
      <c r="R92" s="8">
        <f t="shared" si="24"/>
        <v>-1.8785247662215132E-5</v>
      </c>
      <c r="S92" s="3"/>
      <c r="T92" s="7"/>
      <c r="U92" s="3"/>
      <c r="V92" s="8">
        <f t="shared" si="25"/>
        <v>0</v>
      </c>
      <c r="W92" s="3"/>
      <c r="X92" s="7">
        <f t="shared" si="26"/>
        <v>-114.52</v>
      </c>
      <c r="Y92" s="3"/>
      <c r="Z92" s="8">
        <f t="shared" si="27"/>
        <v>0</v>
      </c>
    </row>
    <row r="93" spans="1:26" s="69" customFormat="1" ht="15" customHeight="1" outlineLevel="1" collapsed="1" x14ac:dyDescent="0.3">
      <c r="A93" s="25"/>
      <c r="B93" s="14" t="str">
        <f>CONCATENATE("     ","Donations                                         ")</f>
        <v xml:space="preserve">     Donations                                         </v>
      </c>
      <c r="C93" s="14"/>
      <c r="D93" s="2">
        <f>SUM(OSRRefD22_7x_0)</f>
        <v>0</v>
      </c>
      <c r="E93" s="2"/>
      <c r="F93" s="6">
        <f t="shared" si="20"/>
        <v>0</v>
      </c>
      <c r="G93" s="2"/>
      <c r="H93" s="2">
        <f>SUM(OSRRefH22_7x_0)</f>
        <v>1250</v>
      </c>
      <c r="I93" s="2"/>
      <c r="J93" s="6">
        <f t="shared" si="21"/>
        <v>2.7587546319490269E-3</v>
      </c>
      <c r="K93" s="2"/>
      <c r="L93" s="2">
        <f t="shared" si="22"/>
        <v>-1250</v>
      </c>
      <c r="M93" s="2"/>
      <c r="N93" s="6">
        <f t="shared" si="23"/>
        <v>-1</v>
      </c>
      <c r="O93" s="14"/>
      <c r="P93" s="2">
        <f>SUM(OSRRefP22_7x_0)</f>
        <v>5818.27</v>
      </c>
      <c r="Q93" s="2"/>
      <c r="R93" s="6">
        <f t="shared" si="24"/>
        <v>9.5439785989902585E-4</v>
      </c>
      <c r="S93" s="2"/>
      <c r="T93" s="2">
        <f>SUM(OSRRefT22_7x_0)</f>
        <v>11250</v>
      </c>
      <c r="U93" s="2"/>
      <c r="V93" s="6">
        <f t="shared" si="25"/>
        <v>1.3662171063497399E-3</v>
      </c>
      <c r="W93" s="2"/>
      <c r="X93" s="2">
        <f t="shared" si="26"/>
        <v>-5431.73</v>
      </c>
      <c r="Y93" s="2"/>
      <c r="Z93" s="6">
        <f t="shared" si="27"/>
        <v>-0.48282044444444439</v>
      </c>
    </row>
    <row r="94" spans="1:26" s="70" customFormat="1" ht="15" hidden="1" customHeight="1" outlineLevel="2" x14ac:dyDescent="0.3">
      <c r="A94" s="26"/>
      <c r="B94" s="12" t="str">
        <f>CONCATENATE("          ","6399"," - ","DONATION-ON CAMPUS")</f>
        <v xml:space="preserve">          6399 - DONATION-ON CAMPUS</v>
      </c>
      <c r="C94" s="12"/>
      <c r="D94" s="7"/>
      <c r="E94" s="3"/>
      <c r="F94" s="8">
        <f t="shared" si="20"/>
        <v>0</v>
      </c>
      <c r="G94" s="3"/>
      <c r="H94" s="7">
        <v>1250</v>
      </c>
      <c r="I94" s="3"/>
      <c r="J94" s="8">
        <f t="shared" si="21"/>
        <v>2.7587546319490269E-3</v>
      </c>
      <c r="K94" s="3"/>
      <c r="L94" s="7">
        <f t="shared" si="22"/>
        <v>-1250</v>
      </c>
      <c r="M94" s="3"/>
      <c r="N94" s="8">
        <f t="shared" si="23"/>
        <v>-1</v>
      </c>
      <c r="O94" s="12"/>
      <c r="P94" s="7">
        <v>5818.27</v>
      </c>
      <c r="Q94" s="3"/>
      <c r="R94" s="8">
        <f t="shared" si="24"/>
        <v>9.5439785989902585E-4</v>
      </c>
      <c r="S94" s="3"/>
      <c r="T94" s="7">
        <v>11250</v>
      </c>
      <c r="U94" s="3"/>
      <c r="V94" s="8">
        <f t="shared" si="25"/>
        <v>1.3662171063497399E-3</v>
      </c>
      <c r="W94" s="3"/>
      <c r="X94" s="7">
        <f t="shared" si="26"/>
        <v>-5431.73</v>
      </c>
      <c r="Y94" s="3"/>
      <c r="Z94" s="8">
        <f t="shared" si="27"/>
        <v>-0.48282044444444439</v>
      </c>
    </row>
    <row r="95" spans="1:26" s="69" customFormat="1" ht="15" customHeight="1" outlineLevel="1" collapsed="1" x14ac:dyDescent="0.3">
      <c r="A95" s="25"/>
      <c r="B95" s="14" t="str">
        <f>CONCATENATE("     ","Employees' Appreciation                           ")</f>
        <v xml:space="preserve">     Employees' Appreciation                           </v>
      </c>
      <c r="C95" s="14"/>
      <c r="D95" s="2">
        <f>SUM(OSRRefD22_8x_0)</f>
        <v>74.69</v>
      </c>
      <c r="E95" s="2"/>
      <c r="F95" s="6">
        <f t="shared" si="20"/>
        <v>1.029049053138473E-4</v>
      </c>
      <c r="G95" s="2"/>
      <c r="H95" s="2">
        <f>SUM(OSRRefH22_8x_0)</f>
        <v>225</v>
      </c>
      <c r="I95" s="2"/>
      <c r="J95" s="6">
        <f t="shared" si="21"/>
        <v>4.9657583375082486E-4</v>
      </c>
      <c r="K95" s="2"/>
      <c r="L95" s="2">
        <f t="shared" si="22"/>
        <v>-150.31</v>
      </c>
      <c r="M95" s="2"/>
      <c r="N95" s="6">
        <f t="shared" si="23"/>
        <v>-0.66804444444444444</v>
      </c>
      <c r="O95" s="14"/>
      <c r="P95" s="2">
        <f>SUM(OSRRefP22_8x_0)</f>
        <v>4319.88</v>
      </c>
      <c r="Q95" s="2"/>
      <c r="R95" s="6">
        <f t="shared" si="24"/>
        <v>7.0860998664905609E-4</v>
      </c>
      <c r="S95" s="2"/>
      <c r="T95" s="2">
        <f>SUM(OSRRefT22_8x_0)</f>
        <v>2075</v>
      </c>
      <c r="U95" s="2"/>
      <c r="V95" s="6">
        <f t="shared" si="25"/>
        <v>2.5199115517117427E-4</v>
      </c>
      <c r="W95" s="2"/>
      <c r="X95" s="2">
        <f t="shared" si="26"/>
        <v>2244.88</v>
      </c>
      <c r="Y95" s="2"/>
      <c r="Z95" s="6">
        <f t="shared" si="27"/>
        <v>1.0818698795180723</v>
      </c>
    </row>
    <row r="96" spans="1:26" s="70" customFormat="1" ht="15" hidden="1" customHeight="1" outlineLevel="2" x14ac:dyDescent="0.3">
      <c r="A96" s="26"/>
      <c r="B96" s="12" t="str">
        <f>CONCATENATE("          ","6277"," - ","EMPLOYEE APPRECIATION")</f>
        <v xml:space="preserve">          6277 - EMPLOYEE APPRECIATION</v>
      </c>
      <c r="C96" s="12"/>
      <c r="D96" s="7">
        <v>74.69</v>
      </c>
      <c r="E96" s="3"/>
      <c r="F96" s="8">
        <f t="shared" si="20"/>
        <v>1.029049053138473E-4</v>
      </c>
      <c r="G96" s="3"/>
      <c r="H96" s="7">
        <v>225</v>
      </c>
      <c r="I96" s="3"/>
      <c r="J96" s="8">
        <f t="shared" si="21"/>
        <v>4.9657583375082486E-4</v>
      </c>
      <c r="K96" s="3"/>
      <c r="L96" s="7">
        <f t="shared" si="22"/>
        <v>-150.31</v>
      </c>
      <c r="M96" s="3"/>
      <c r="N96" s="8">
        <f t="shared" si="23"/>
        <v>-0.66804444444444444</v>
      </c>
      <c r="O96" s="12"/>
      <c r="P96" s="7">
        <v>4319.88</v>
      </c>
      <c r="Q96" s="3"/>
      <c r="R96" s="8">
        <f t="shared" si="24"/>
        <v>7.0860998664905609E-4</v>
      </c>
      <c r="S96" s="3"/>
      <c r="T96" s="7">
        <v>2075</v>
      </c>
      <c r="U96" s="3"/>
      <c r="V96" s="8">
        <f t="shared" si="25"/>
        <v>2.5199115517117427E-4</v>
      </c>
      <c r="W96" s="3"/>
      <c r="X96" s="7">
        <f t="shared" si="26"/>
        <v>2244.88</v>
      </c>
      <c r="Y96" s="3"/>
      <c r="Z96" s="8">
        <f t="shared" si="27"/>
        <v>1.0818698795180723</v>
      </c>
    </row>
    <row r="97" spans="1:26" s="69" customFormat="1" ht="15" customHeight="1" outlineLevel="1" collapsed="1" x14ac:dyDescent="0.3">
      <c r="A97" s="25"/>
      <c r="B97" s="14" t="str">
        <f>CONCATENATE("     ","Equipment Rental                                  ")</f>
        <v xml:space="preserve">     Equipment Rental                                  </v>
      </c>
      <c r="C97" s="14"/>
      <c r="D97" s="2">
        <f>SUM(OSRRefD22_9x_0)</f>
        <v>1712.05</v>
      </c>
      <c r="E97" s="2"/>
      <c r="F97" s="6">
        <f t="shared" si="20"/>
        <v>2.3587942581680581E-3</v>
      </c>
      <c r="G97" s="2"/>
      <c r="H97" s="2">
        <f>SUM(OSRRefH22_9x_0)</f>
        <v>1876</v>
      </c>
      <c r="I97" s="2"/>
      <c r="J97" s="6">
        <f t="shared" si="21"/>
        <v>4.1403389516290997E-3</v>
      </c>
      <c r="K97" s="2"/>
      <c r="L97" s="2">
        <f t="shared" si="22"/>
        <v>-163.95000000000005</v>
      </c>
      <c r="M97" s="2"/>
      <c r="N97" s="6">
        <f t="shared" si="23"/>
        <v>-8.739339019189768E-2</v>
      </c>
      <c r="O97" s="14"/>
      <c r="P97" s="2">
        <f>SUM(OSRRefP22_9x_0)</f>
        <v>14440.15</v>
      </c>
      <c r="Q97" s="2"/>
      <c r="R97" s="6">
        <f t="shared" si="24"/>
        <v>2.3686848937262994E-3</v>
      </c>
      <c r="S97" s="2"/>
      <c r="T97" s="2">
        <f>SUM(OSRRefT22_9x_0)</f>
        <v>16684</v>
      </c>
      <c r="U97" s="2"/>
      <c r="V97" s="6">
        <f t="shared" si="25"/>
        <v>2.0261303290968055E-3</v>
      </c>
      <c r="W97" s="2"/>
      <c r="X97" s="2">
        <f t="shared" si="26"/>
        <v>-2243.8500000000004</v>
      </c>
      <c r="Y97" s="2"/>
      <c r="Z97" s="6">
        <f t="shared" si="27"/>
        <v>-0.13449112922560538</v>
      </c>
    </row>
    <row r="98" spans="1:26" s="70" customFormat="1" ht="15" hidden="1" customHeight="1" outlineLevel="2" x14ac:dyDescent="0.3">
      <c r="A98" s="26"/>
      <c r="B98" s="12" t="str">
        <f>CONCATENATE("          ","6351"," - ","EQUIPMENT RENTAL")</f>
        <v xml:space="preserve">          6351 - EQUIPMENT RENTAL</v>
      </c>
      <c r="C98" s="12"/>
      <c r="D98" s="7">
        <v>1712.05</v>
      </c>
      <c r="E98" s="3"/>
      <c r="F98" s="8">
        <f t="shared" si="20"/>
        <v>2.3587942581680581E-3</v>
      </c>
      <c r="G98" s="3"/>
      <c r="H98" s="7">
        <v>1876</v>
      </c>
      <c r="I98" s="3"/>
      <c r="J98" s="8">
        <f t="shared" si="21"/>
        <v>4.1403389516290997E-3</v>
      </c>
      <c r="K98" s="3"/>
      <c r="L98" s="7">
        <f t="shared" si="22"/>
        <v>-163.95000000000005</v>
      </c>
      <c r="M98" s="3"/>
      <c r="N98" s="8">
        <f t="shared" si="23"/>
        <v>-8.739339019189768E-2</v>
      </c>
      <c r="O98" s="12"/>
      <c r="P98" s="7">
        <v>14440.15</v>
      </c>
      <c r="Q98" s="3"/>
      <c r="R98" s="8">
        <f t="shared" si="24"/>
        <v>2.3686848937262994E-3</v>
      </c>
      <c r="S98" s="3"/>
      <c r="T98" s="7">
        <v>16684</v>
      </c>
      <c r="U98" s="3"/>
      <c r="V98" s="8">
        <f t="shared" si="25"/>
        <v>2.0261303290968055E-3</v>
      </c>
      <c r="W98" s="3"/>
      <c r="X98" s="7">
        <f t="shared" si="26"/>
        <v>-2243.8500000000004</v>
      </c>
      <c r="Y98" s="3"/>
      <c r="Z98" s="8">
        <f t="shared" si="27"/>
        <v>-0.13449112922560538</v>
      </c>
    </row>
    <row r="99" spans="1:26" s="69" customFormat="1" ht="15" customHeight="1" outlineLevel="1" collapsed="1" x14ac:dyDescent="0.3">
      <c r="A99" s="25"/>
      <c r="B99" s="14" t="str">
        <f>CONCATENATE("     ","Freight out/Postage                               ")</f>
        <v xml:space="preserve">     Freight out/Postage                               </v>
      </c>
      <c r="C99" s="14"/>
      <c r="D99" s="2">
        <f>SUM(OSRRefD22_10x_0)</f>
        <v>1779.17</v>
      </c>
      <c r="E99" s="2"/>
      <c r="F99" s="6">
        <f t="shared" si="20"/>
        <v>2.4512695191757626E-3</v>
      </c>
      <c r="G99" s="2"/>
      <c r="H99" s="2">
        <f>SUM(OSRRefH22_10x_0)</f>
        <v>3350</v>
      </c>
      <c r="I99" s="2"/>
      <c r="J99" s="6">
        <f t="shared" si="21"/>
        <v>7.3934624136233924E-3</v>
      </c>
      <c r="K99" s="2"/>
      <c r="L99" s="2">
        <f t="shared" si="22"/>
        <v>-1570.83</v>
      </c>
      <c r="M99" s="2"/>
      <c r="N99" s="6">
        <f t="shared" si="23"/>
        <v>-0.46890447761194026</v>
      </c>
      <c r="O99" s="14"/>
      <c r="P99" s="2">
        <f>SUM(OSRRefP22_10x_0)</f>
        <v>-44728.740000000005</v>
      </c>
      <c r="Q99" s="2"/>
      <c r="R99" s="6">
        <f t="shared" si="24"/>
        <v>-7.3370630328224631E-3</v>
      </c>
      <c r="S99" s="2"/>
      <c r="T99" s="2">
        <f>SUM(OSRRefT22_10x_0)</f>
        <v>-11650</v>
      </c>
      <c r="U99" s="2"/>
      <c r="V99" s="6">
        <f t="shared" si="25"/>
        <v>-1.4147937145755085E-3</v>
      </c>
      <c r="W99" s="2"/>
      <c r="X99" s="2">
        <f t="shared" si="26"/>
        <v>-33078.740000000005</v>
      </c>
      <c r="Y99" s="2"/>
      <c r="Z99" s="6">
        <f t="shared" si="27"/>
        <v>2.8393768240343351</v>
      </c>
    </row>
    <row r="100" spans="1:26" s="70" customFormat="1" ht="15" hidden="1" customHeight="1" outlineLevel="2" x14ac:dyDescent="0.3">
      <c r="A100" s="26"/>
      <c r="B100" s="12" t="str">
        <f>CONCATENATE("          ","6305"," - ","FREIGHT OUT")</f>
        <v xml:space="preserve">          6305 - FREIGHT OUT</v>
      </c>
      <c r="C100" s="12"/>
      <c r="D100" s="7">
        <v>10386.42</v>
      </c>
      <c r="E100" s="3"/>
      <c r="F100" s="8">
        <f t="shared" si="20"/>
        <v>1.4309995536883785E-2</v>
      </c>
      <c r="G100" s="3"/>
      <c r="H100" s="7">
        <v>9250</v>
      </c>
      <c r="I100" s="3"/>
      <c r="J100" s="8">
        <f t="shared" si="21"/>
        <v>2.04147842764228E-2</v>
      </c>
      <c r="K100" s="3"/>
      <c r="L100" s="7">
        <f t="shared" si="22"/>
        <v>1136.42</v>
      </c>
      <c r="M100" s="3"/>
      <c r="N100" s="8">
        <f t="shared" si="23"/>
        <v>0.12285621621621623</v>
      </c>
      <c r="O100" s="12"/>
      <c r="P100" s="7">
        <v>112117.86</v>
      </c>
      <c r="Q100" s="3"/>
      <c r="R100" s="8">
        <f t="shared" si="24"/>
        <v>1.8391213477624548E-2</v>
      </c>
      <c r="S100" s="3"/>
      <c r="T100" s="7">
        <v>148450</v>
      </c>
      <c r="U100" s="3"/>
      <c r="V100" s="8">
        <f t="shared" si="25"/>
        <v>1.8027993727788346E-2</v>
      </c>
      <c r="W100" s="3"/>
      <c r="X100" s="7">
        <f t="shared" si="26"/>
        <v>-36332.14</v>
      </c>
      <c r="Y100" s="3"/>
      <c r="Z100" s="8">
        <f t="shared" si="27"/>
        <v>-0.24474328056584707</v>
      </c>
    </row>
    <row r="101" spans="1:26" s="70" customFormat="1" ht="15" hidden="1" customHeight="1" outlineLevel="2" x14ac:dyDescent="0.3">
      <c r="A101" s="26"/>
      <c r="B101" s="12" t="str">
        <f>CONCATENATE("          ","6307"," - ","POSTAGE")</f>
        <v xml:space="preserve">          6307 - POSTAGE</v>
      </c>
      <c r="C101" s="12"/>
      <c r="D101" s="7">
        <v>-8607.25</v>
      </c>
      <c r="E101" s="3"/>
      <c r="F101" s="8">
        <f t="shared" si="20"/>
        <v>-1.1858726017708023E-2</v>
      </c>
      <c r="G101" s="3"/>
      <c r="H101" s="7">
        <v>-5900</v>
      </c>
      <c r="I101" s="3"/>
      <c r="J101" s="8">
        <f t="shared" si="21"/>
        <v>-1.3021321862799407E-2</v>
      </c>
      <c r="K101" s="3"/>
      <c r="L101" s="7">
        <f t="shared" si="22"/>
        <v>-2707.25</v>
      </c>
      <c r="M101" s="3"/>
      <c r="N101" s="8">
        <f t="shared" si="23"/>
        <v>0.45885593220338983</v>
      </c>
      <c r="O101" s="12"/>
      <c r="P101" s="7">
        <v>-156846.6</v>
      </c>
      <c r="Q101" s="3"/>
      <c r="R101" s="8">
        <f t="shared" si="24"/>
        <v>-2.5728276510447012E-2</v>
      </c>
      <c r="S101" s="3"/>
      <c r="T101" s="7">
        <v>-160100</v>
      </c>
      <c r="U101" s="3"/>
      <c r="V101" s="8">
        <f t="shared" si="25"/>
        <v>-1.9442787442363853E-2</v>
      </c>
      <c r="W101" s="3"/>
      <c r="X101" s="7">
        <f t="shared" si="26"/>
        <v>3253.3999999999942</v>
      </c>
      <c r="Y101" s="3"/>
      <c r="Z101" s="8">
        <f t="shared" si="27"/>
        <v>-2.0321049344159865E-2</v>
      </c>
    </row>
    <row r="102" spans="1:26" s="69" customFormat="1" ht="15" customHeight="1" outlineLevel="1" collapsed="1" x14ac:dyDescent="0.3">
      <c r="A102" s="25"/>
      <c r="B102" s="14" t="str">
        <f>CONCATENATE("     ","General                                           ")</f>
        <v xml:space="preserve">     General                                           </v>
      </c>
      <c r="C102" s="14"/>
      <c r="D102" s="2">
        <f>SUM(OSRRefD22_11x_0)</f>
        <v>191.1</v>
      </c>
      <c r="E102" s="2"/>
      <c r="F102" s="6">
        <f t="shared" si="20"/>
        <v>2.6328996392390174E-4</v>
      </c>
      <c r="G102" s="2"/>
      <c r="H102" s="2">
        <f>SUM(OSRRefH22_11x_0)</f>
        <v>200</v>
      </c>
      <c r="I102" s="2"/>
      <c r="J102" s="6">
        <f t="shared" si="21"/>
        <v>4.4140074111184431E-4</v>
      </c>
      <c r="K102" s="2"/>
      <c r="L102" s="2">
        <f t="shared" si="22"/>
        <v>-8.9000000000000057</v>
      </c>
      <c r="M102" s="2"/>
      <c r="N102" s="6">
        <f t="shared" si="23"/>
        <v>-4.4500000000000026E-2</v>
      </c>
      <c r="O102" s="14"/>
      <c r="P102" s="2">
        <f>SUM(OSRRefP22_11x_0)</f>
        <v>9708.36</v>
      </c>
      <c r="Q102" s="2"/>
      <c r="R102" s="6">
        <f t="shared" si="24"/>
        <v>1.5925073960351285E-3</v>
      </c>
      <c r="S102" s="2"/>
      <c r="T102" s="2">
        <f>SUM(OSRRefT22_11x_0)</f>
        <v>5760</v>
      </c>
      <c r="U102" s="2"/>
      <c r="V102" s="6">
        <f t="shared" si="25"/>
        <v>6.995031584510668E-4</v>
      </c>
      <c r="W102" s="2"/>
      <c r="X102" s="2">
        <f t="shared" si="26"/>
        <v>3948.3600000000006</v>
      </c>
      <c r="Y102" s="2"/>
      <c r="Z102" s="6">
        <f t="shared" si="27"/>
        <v>0.68547916666666675</v>
      </c>
    </row>
    <row r="103" spans="1:26" s="70" customFormat="1" ht="15" hidden="1" customHeight="1" outlineLevel="2" x14ac:dyDescent="0.3">
      <c r="A103" s="26"/>
      <c r="B103" s="12" t="str">
        <f>CONCATENATE("          ","6276"," - ","PROPERTY TAX")</f>
        <v xml:space="preserve">          6276 - PROPERTY TAX</v>
      </c>
      <c r="C103" s="12"/>
      <c r="D103" s="7"/>
      <c r="E103" s="3"/>
      <c r="F103" s="8">
        <f t="shared" si="20"/>
        <v>0</v>
      </c>
      <c r="G103" s="3"/>
      <c r="H103" s="7"/>
      <c r="I103" s="3"/>
      <c r="J103" s="8">
        <f t="shared" si="21"/>
        <v>0</v>
      </c>
      <c r="K103" s="3"/>
      <c r="L103" s="7">
        <f t="shared" si="22"/>
        <v>0</v>
      </c>
      <c r="M103" s="3"/>
      <c r="N103" s="8">
        <f t="shared" si="23"/>
        <v>0</v>
      </c>
      <c r="O103" s="12"/>
      <c r="P103" s="7"/>
      <c r="Q103" s="3"/>
      <c r="R103" s="8">
        <f t="shared" si="24"/>
        <v>0</v>
      </c>
      <c r="S103" s="3"/>
      <c r="T103" s="7">
        <v>1250</v>
      </c>
      <c r="U103" s="3"/>
      <c r="V103" s="8">
        <f t="shared" si="25"/>
        <v>1.5180190070552665E-4</v>
      </c>
      <c r="W103" s="3"/>
      <c r="X103" s="7">
        <f t="shared" si="26"/>
        <v>-1250</v>
      </c>
      <c r="Y103" s="3"/>
      <c r="Z103" s="8">
        <f t="shared" si="27"/>
        <v>-1</v>
      </c>
    </row>
    <row r="104" spans="1:26" s="70" customFormat="1" ht="15" hidden="1" customHeight="1" outlineLevel="2" x14ac:dyDescent="0.3">
      <c r="A104" s="26"/>
      <c r="B104" s="12" t="str">
        <f>CONCATENATE("          ","6279"," - ","GENERAL EXPENSE")</f>
        <v xml:space="preserve">          6279 - GENERAL EXPENSE</v>
      </c>
      <c r="C104" s="12"/>
      <c r="D104" s="7">
        <v>191.1</v>
      </c>
      <c r="E104" s="3"/>
      <c r="F104" s="8">
        <f t="shared" si="20"/>
        <v>2.6328996392390174E-4</v>
      </c>
      <c r="G104" s="3"/>
      <c r="H104" s="7">
        <v>200</v>
      </c>
      <c r="I104" s="3"/>
      <c r="J104" s="8">
        <f t="shared" si="21"/>
        <v>4.4140074111184431E-4</v>
      </c>
      <c r="K104" s="3"/>
      <c r="L104" s="7">
        <f t="shared" si="22"/>
        <v>-8.9000000000000057</v>
      </c>
      <c r="M104" s="3"/>
      <c r="N104" s="8">
        <f t="shared" si="23"/>
        <v>-4.4500000000000026E-2</v>
      </c>
      <c r="O104" s="12"/>
      <c r="P104" s="7">
        <v>9708.36</v>
      </c>
      <c r="Q104" s="3"/>
      <c r="R104" s="8">
        <f t="shared" si="24"/>
        <v>1.5925073960351285E-3</v>
      </c>
      <c r="S104" s="3"/>
      <c r="T104" s="7">
        <v>4510</v>
      </c>
      <c r="U104" s="3"/>
      <c r="V104" s="8">
        <f t="shared" si="25"/>
        <v>5.4770125774554024E-4</v>
      </c>
      <c r="W104" s="3"/>
      <c r="X104" s="7">
        <f t="shared" si="26"/>
        <v>5198.3600000000006</v>
      </c>
      <c r="Y104" s="3"/>
      <c r="Z104" s="8">
        <f t="shared" si="27"/>
        <v>1.1526297117516631</v>
      </c>
    </row>
    <row r="105" spans="1:26" s="69" customFormat="1" ht="15" customHeight="1" outlineLevel="1" collapsed="1" x14ac:dyDescent="0.3">
      <c r="A105" s="25"/>
      <c r="B105" s="14" t="str">
        <f>CONCATENATE("     ","Insurance                                         ")</f>
        <v xml:space="preserve">     Insurance                                         </v>
      </c>
      <c r="C105" s="14"/>
      <c r="D105" s="2">
        <f>SUM(OSRRefD22_12x_0)</f>
        <v>5825.58</v>
      </c>
      <c r="E105" s="2"/>
      <c r="F105" s="6">
        <f t="shared" si="20"/>
        <v>8.0262519520450208E-3</v>
      </c>
      <c r="G105" s="2"/>
      <c r="H105" s="2">
        <f>SUM(OSRRefH22_12x_0)</f>
        <v>5705</v>
      </c>
      <c r="I105" s="2"/>
      <c r="J105" s="6">
        <f t="shared" si="21"/>
        <v>1.2590956140215359E-2</v>
      </c>
      <c r="K105" s="2"/>
      <c r="L105" s="2">
        <f t="shared" si="22"/>
        <v>120.57999999999993</v>
      </c>
      <c r="M105" s="2"/>
      <c r="N105" s="6">
        <f t="shared" si="23"/>
        <v>2.1135845749342668E-2</v>
      </c>
      <c r="O105" s="14"/>
      <c r="P105" s="2">
        <f>SUM(OSRRefP22_12x_0)</f>
        <v>52430.22</v>
      </c>
      <c r="Q105" s="2"/>
      <c r="R105" s="6">
        <f t="shared" si="24"/>
        <v>8.60037257845289E-3</v>
      </c>
      <c r="S105" s="2"/>
      <c r="T105" s="2">
        <f>SUM(OSRRefT22_12x_0)</f>
        <v>51345</v>
      </c>
      <c r="U105" s="2"/>
      <c r="V105" s="6">
        <f t="shared" si="25"/>
        <v>6.2354148733802127E-3</v>
      </c>
      <c r="W105" s="2"/>
      <c r="X105" s="2">
        <f t="shared" si="26"/>
        <v>1085.2200000000012</v>
      </c>
      <c r="Y105" s="2"/>
      <c r="Z105" s="6">
        <f t="shared" si="27"/>
        <v>2.1135845749342703E-2</v>
      </c>
    </row>
    <row r="106" spans="1:26" s="70" customFormat="1" ht="15" hidden="1" customHeight="1" outlineLevel="2" x14ac:dyDescent="0.3">
      <c r="A106" s="26"/>
      <c r="B106" s="12" t="str">
        <f>CONCATENATE("          ","6314"," - ","LIABILITY INSURANCE")</f>
        <v xml:space="preserve">          6314 - LIABILITY INSURANCE</v>
      </c>
      <c r="C106" s="12"/>
      <c r="D106" s="7">
        <v>5825.58</v>
      </c>
      <c r="E106" s="3"/>
      <c r="F106" s="8">
        <f t="shared" si="20"/>
        <v>8.0262519520450208E-3</v>
      </c>
      <c r="G106" s="3"/>
      <c r="H106" s="7">
        <v>5705</v>
      </c>
      <c r="I106" s="3"/>
      <c r="J106" s="8">
        <f t="shared" si="21"/>
        <v>1.2590956140215359E-2</v>
      </c>
      <c r="K106" s="3"/>
      <c r="L106" s="7">
        <f t="shared" si="22"/>
        <v>120.57999999999993</v>
      </c>
      <c r="M106" s="3"/>
      <c r="N106" s="8">
        <f t="shared" si="23"/>
        <v>2.1135845749342668E-2</v>
      </c>
      <c r="O106" s="12"/>
      <c r="P106" s="7">
        <v>52430.22</v>
      </c>
      <c r="Q106" s="3"/>
      <c r="R106" s="8">
        <f t="shared" si="24"/>
        <v>8.60037257845289E-3</v>
      </c>
      <c r="S106" s="3"/>
      <c r="T106" s="7">
        <v>51345</v>
      </c>
      <c r="U106" s="3"/>
      <c r="V106" s="8">
        <f t="shared" si="25"/>
        <v>6.2354148733802127E-3</v>
      </c>
      <c r="W106" s="3"/>
      <c r="X106" s="7">
        <f t="shared" si="26"/>
        <v>1085.2200000000012</v>
      </c>
      <c r="Y106" s="3"/>
      <c r="Z106" s="8">
        <f t="shared" si="27"/>
        <v>2.1135845749342703E-2</v>
      </c>
    </row>
    <row r="107" spans="1:26" s="69" customFormat="1" ht="15" customHeight="1" outlineLevel="1" collapsed="1" x14ac:dyDescent="0.3">
      <c r="A107" s="25"/>
      <c r="B107" s="14" t="str">
        <f>CONCATENATE("     ","Interest                                          ")</f>
        <v xml:space="preserve">     Interest                                          </v>
      </c>
      <c r="C107" s="14"/>
      <c r="D107" s="2">
        <f>SUM(OSRRefD22_13x_0)</f>
        <v>3905</v>
      </c>
      <c r="E107" s="2"/>
      <c r="F107" s="6">
        <f t="shared" si="20"/>
        <v>5.3801533706061546E-3</v>
      </c>
      <c r="G107" s="2"/>
      <c r="H107" s="2">
        <f>SUM(OSRRefH22_13x_0)</f>
        <v>3905</v>
      </c>
      <c r="I107" s="2"/>
      <c r="J107" s="6">
        <f t="shared" si="21"/>
        <v>8.6183494702087599E-3</v>
      </c>
      <c r="K107" s="2"/>
      <c r="L107" s="2">
        <f t="shared" si="22"/>
        <v>0</v>
      </c>
      <c r="M107" s="2"/>
      <c r="N107" s="6">
        <f t="shared" si="23"/>
        <v>0</v>
      </c>
      <c r="O107" s="14"/>
      <c r="P107" s="2">
        <f>SUM(OSRRefP22_13x_0)</f>
        <v>34869</v>
      </c>
      <c r="Q107" s="2"/>
      <c r="R107" s="6">
        <f t="shared" si="24"/>
        <v>5.7197240720728206E-3</v>
      </c>
      <c r="S107" s="2"/>
      <c r="T107" s="2">
        <f>SUM(OSRRefT22_13x_0)</f>
        <v>35145</v>
      </c>
      <c r="U107" s="2"/>
      <c r="V107" s="6">
        <f t="shared" si="25"/>
        <v>4.2680622402365871E-3</v>
      </c>
      <c r="W107" s="2"/>
      <c r="X107" s="2">
        <f t="shared" si="26"/>
        <v>-276</v>
      </c>
      <c r="Y107" s="2"/>
      <c r="Z107" s="6">
        <f t="shared" si="27"/>
        <v>-7.8531796841655992E-3</v>
      </c>
    </row>
    <row r="108" spans="1:26" s="70" customFormat="1" ht="15" hidden="1" customHeight="1" outlineLevel="2" x14ac:dyDescent="0.3">
      <c r="A108" s="26"/>
      <c r="B108" s="12" t="str">
        <f>CONCATENATE("          ","6401"," - ","INTEREST EXPENSE")</f>
        <v xml:space="preserve">          6401 - INTEREST EXPENSE</v>
      </c>
      <c r="C108" s="12"/>
      <c r="D108" s="7">
        <v>3905</v>
      </c>
      <c r="E108" s="3"/>
      <c r="F108" s="8">
        <f t="shared" si="20"/>
        <v>5.3801533706061546E-3</v>
      </c>
      <c r="G108" s="3"/>
      <c r="H108" s="7">
        <v>3905</v>
      </c>
      <c r="I108" s="3"/>
      <c r="J108" s="8">
        <f t="shared" si="21"/>
        <v>8.6183494702087599E-3</v>
      </c>
      <c r="K108" s="3"/>
      <c r="L108" s="7">
        <f t="shared" si="22"/>
        <v>0</v>
      </c>
      <c r="M108" s="3"/>
      <c r="N108" s="8">
        <f t="shared" si="23"/>
        <v>0</v>
      </c>
      <c r="O108" s="12"/>
      <c r="P108" s="7">
        <v>34869</v>
      </c>
      <c r="Q108" s="3"/>
      <c r="R108" s="8">
        <f t="shared" si="24"/>
        <v>5.7197240720728206E-3</v>
      </c>
      <c r="S108" s="3"/>
      <c r="T108" s="7">
        <v>35145</v>
      </c>
      <c r="U108" s="3"/>
      <c r="V108" s="8">
        <f t="shared" si="25"/>
        <v>4.2680622402365871E-3</v>
      </c>
      <c r="W108" s="3"/>
      <c r="X108" s="7">
        <f t="shared" si="26"/>
        <v>-276</v>
      </c>
      <c r="Y108" s="3"/>
      <c r="Z108" s="8">
        <f t="shared" si="27"/>
        <v>-7.8531796841655992E-3</v>
      </c>
    </row>
    <row r="109" spans="1:26" s="69" customFormat="1" ht="15" customHeight="1" outlineLevel="1" collapsed="1" x14ac:dyDescent="0.3">
      <c r="A109" s="25"/>
      <c r="B109" s="14" t="str">
        <f>CONCATENATE("     ","Inventory Adjustment                              ")</f>
        <v xml:space="preserve">     Inventory Adjustment                              </v>
      </c>
      <c r="C109" s="14"/>
      <c r="D109" s="2">
        <f>SUM(OSRRefD22_14x_0)</f>
        <v>5100</v>
      </c>
      <c r="E109" s="2"/>
      <c r="F109" s="6">
        <f t="shared" si="20"/>
        <v>7.0265767452218674E-3</v>
      </c>
      <c r="G109" s="2"/>
      <c r="H109" s="2">
        <f>SUM(OSRRefH22_14x_0)</f>
        <v>5100</v>
      </c>
      <c r="I109" s="2"/>
      <c r="J109" s="6">
        <f t="shared" si="21"/>
        <v>1.125571889835203E-2</v>
      </c>
      <c r="K109" s="2"/>
      <c r="L109" s="2">
        <f t="shared" si="22"/>
        <v>0</v>
      </c>
      <c r="M109" s="2"/>
      <c r="N109" s="6">
        <f t="shared" si="23"/>
        <v>0</v>
      </c>
      <c r="O109" s="14"/>
      <c r="P109" s="2">
        <f>SUM(OSRRefP22_14x_0)</f>
        <v>49900</v>
      </c>
      <c r="Q109" s="2"/>
      <c r="R109" s="6">
        <f t="shared" si="24"/>
        <v>8.1853288364000607E-3</v>
      </c>
      <c r="S109" s="2"/>
      <c r="T109" s="2">
        <f>SUM(OSRRefT22_14x_0)</f>
        <v>49900</v>
      </c>
      <c r="U109" s="2"/>
      <c r="V109" s="6">
        <f t="shared" si="25"/>
        <v>6.0599318761646245E-3</v>
      </c>
      <c r="W109" s="2"/>
      <c r="X109" s="2">
        <f t="shared" si="26"/>
        <v>0</v>
      </c>
      <c r="Y109" s="2"/>
      <c r="Z109" s="6">
        <f t="shared" si="27"/>
        <v>0</v>
      </c>
    </row>
    <row r="110" spans="1:26" s="70" customFormat="1" ht="15" hidden="1" customHeight="1" outlineLevel="2" x14ac:dyDescent="0.3">
      <c r="A110" s="26"/>
      <c r="B110" s="12" t="str">
        <f>CONCATENATE("          ","6408"," - ","INVENTORY ADJUSTMENT")</f>
        <v xml:space="preserve">          6408 - INVENTORY ADJUSTMENT</v>
      </c>
      <c r="C110" s="12"/>
      <c r="D110" s="7">
        <v>5100</v>
      </c>
      <c r="E110" s="3"/>
      <c r="F110" s="8">
        <f t="shared" si="20"/>
        <v>7.0265767452218674E-3</v>
      </c>
      <c r="G110" s="3"/>
      <c r="H110" s="7">
        <v>5100</v>
      </c>
      <c r="I110" s="3"/>
      <c r="J110" s="8">
        <f t="shared" si="21"/>
        <v>1.125571889835203E-2</v>
      </c>
      <c r="K110" s="3"/>
      <c r="L110" s="7">
        <f t="shared" si="22"/>
        <v>0</v>
      </c>
      <c r="M110" s="3"/>
      <c r="N110" s="8">
        <f t="shared" si="23"/>
        <v>0</v>
      </c>
      <c r="O110" s="12"/>
      <c r="P110" s="7">
        <v>49900</v>
      </c>
      <c r="Q110" s="3"/>
      <c r="R110" s="8">
        <f t="shared" si="24"/>
        <v>8.1853288364000607E-3</v>
      </c>
      <c r="S110" s="3"/>
      <c r="T110" s="7">
        <v>49900</v>
      </c>
      <c r="U110" s="3"/>
      <c r="V110" s="8">
        <f t="shared" si="25"/>
        <v>6.0599318761646245E-3</v>
      </c>
      <c r="W110" s="3"/>
      <c r="X110" s="7">
        <f t="shared" si="26"/>
        <v>0</v>
      </c>
      <c r="Y110" s="3"/>
      <c r="Z110" s="8">
        <f t="shared" si="27"/>
        <v>0</v>
      </c>
    </row>
    <row r="111" spans="1:26" s="69" customFormat="1" ht="15" customHeight="1" outlineLevel="1" collapsed="1" x14ac:dyDescent="0.3">
      <c r="A111" s="25"/>
      <c r="B111" s="14" t="str">
        <f>CONCATENATE("     ","Professional Services                             ")</f>
        <v xml:space="preserve">     Professional Services                             </v>
      </c>
      <c r="C111" s="14"/>
      <c r="D111" s="2">
        <f>SUM(OSRRefD22_15x_0)</f>
        <v>1050</v>
      </c>
      <c r="E111" s="2"/>
      <c r="F111" s="6">
        <f t="shared" si="20"/>
        <v>1.4466481534280314E-3</v>
      </c>
      <c r="G111" s="2"/>
      <c r="H111" s="2">
        <f>SUM(OSRRefH22_15x_0)</f>
        <v>0</v>
      </c>
      <c r="I111" s="2"/>
      <c r="J111" s="6">
        <f t="shared" si="21"/>
        <v>0</v>
      </c>
      <c r="K111" s="2"/>
      <c r="L111" s="2">
        <f t="shared" si="22"/>
        <v>1050</v>
      </c>
      <c r="M111" s="2"/>
      <c r="N111" s="6">
        <f t="shared" si="23"/>
        <v>0</v>
      </c>
      <c r="O111" s="14"/>
      <c r="P111" s="2">
        <f>SUM(OSRRefP22_15x_0)</f>
        <v>9626.5300000000007</v>
      </c>
      <c r="Q111" s="2"/>
      <c r="R111" s="6">
        <f t="shared" si="24"/>
        <v>1.5790844409513084E-3</v>
      </c>
      <c r="S111" s="2"/>
      <c r="T111" s="2">
        <f>SUM(OSRRefT22_15x_0)</f>
        <v>1500</v>
      </c>
      <c r="U111" s="2"/>
      <c r="V111" s="6">
        <f t="shared" si="25"/>
        <v>1.8216228084663198E-4</v>
      </c>
      <c r="W111" s="2"/>
      <c r="X111" s="2">
        <f t="shared" si="26"/>
        <v>8126.5300000000007</v>
      </c>
      <c r="Y111" s="2"/>
      <c r="Z111" s="6">
        <f t="shared" si="27"/>
        <v>5.4176866666666674</v>
      </c>
    </row>
    <row r="112" spans="1:26" s="70" customFormat="1" ht="15" hidden="1" customHeight="1" outlineLevel="2" x14ac:dyDescent="0.3">
      <c r="A112" s="26"/>
      <c r="B112" s="12" t="str">
        <f>CONCATENATE("          ","6336"," - ","PROFESSIONAL SERVICES")</f>
        <v xml:space="preserve">          6336 - PROFESSIONAL SERVICES</v>
      </c>
      <c r="C112" s="12"/>
      <c r="D112" s="7">
        <v>1050</v>
      </c>
      <c r="E112" s="3"/>
      <c r="F112" s="8">
        <f t="shared" si="20"/>
        <v>1.4466481534280314E-3</v>
      </c>
      <c r="G112" s="3"/>
      <c r="H112" s="7">
        <v>0</v>
      </c>
      <c r="I112" s="3"/>
      <c r="J112" s="8">
        <f t="shared" si="21"/>
        <v>0</v>
      </c>
      <c r="K112" s="3"/>
      <c r="L112" s="7">
        <f t="shared" si="22"/>
        <v>1050</v>
      </c>
      <c r="M112" s="3"/>
      <c r="N112" s="8">
        <f t="shared" si="23"/>
        <v>0</v>
      </c>
      <c r="O112" s="12"/>
      <c r="P112" s="7">
        <v>9626.5300000000007</v>
      </c>
      <c r="Q112" s="3"/>
      <c r="R112" s="8">
        <f t="shared" si="24"/>
        <v>1.5790844409513084E-3</v>
      </c>
      <c r="S112" s="3"/>
      <c r="T112" s="7">
        <v>1500</v>
      </c>
      <c r="U112" s="3"/>
      <c r="V112" s="8">
        <f t="shared" si="25"/>
        <v>1.8216228084663198E-4</v>
      </c>
      <c r="W112" s="3"/>
      <c r="X112" s="7">
        <f t="shared" si="26"/>
        <v>8126.5300000000007</v>
      </c>
      <c r="Y112" s="3"/>
      <c r="Z112" s="8">
        <f t="shared" si="27"/>
        <v>5.4176866666666674</v>
      </c>
    </row>
    <row r="113" spans="1:26" s="69" customFormat="1" ht="15" customHeight="1" outlineLevel="1" collapsed="1" x14ac:dyDescent="0.3">
      <c r="A113" s="25"/>
      <c r="B113" s="14" t="str">
        <f>CONCATENATE("     ","Rent                                              ")</f>
        <v xml:space="preserve">     Rent                                              </v>
      </c>
      <c r="C113" s="14"/>
      <c r="D113" s="2">
        <f>SUM(OSRRefD22_16x_0)</f>
        <v>6100</v>
      </c>
      <c r="E113" s="2"/>
      <c r="F113" s="6">
        <f t="shared" si="20"/>
        <v>8.4043368913438009E-3</v>
      </c>
      <c r="G113" s="2"/>
      <c r="H113" s="2">
        <f>SUM(OSRRefH22_16x_0)</f>
        <v>6100</v>
      </c>
      <c r="I113" s="2"/>
      <c r="J113" s="6">
        <f t="shared" si="21"/>
        <v>1.3462722603911252E-2</v>
      </c>
      <c r="K113" s="2"/>
      <c r="L113" s="2">
        <f t="shared" si="22"/>
        <v>0</v>
      </c>
      <c r="M113" s="2"/>
      <c r="N113" s="6">
        <f t="shared" si="23"/>
        <v>0</v>
      </c>
      <c r="O113" s="14"/>
      <c r="P113" s="2">
        <f>SUM(OSRRefP22_16x_0)</f>
        <v>54900</v>
      </c>
      <c r="Q113" s="2"/>
      <c r="R113" s="6">
        <f t="shared" si="24"/>
        <v>9.0055020665002674E-3</v>
      </c>
      <c r="S113" s="2"/>
      <c r="T113" s="2">
        <f>SUM(OSRRefT22_16x_0)</f>
        <v>54900</v>
      </c>
      <c r="U113" s="2"/>
      <c r="V113" s="6">
        <f t="shared" si="25"/>
        <v>6.6671394789867312E-3</v>
      </c>
      <c r="W113" s="2"/>
      <c r="X113" s="2">
        <f t="shared" si="26"/>
        <v>0</v>
      </c>
      <c r="Y113" s="2"/>
      <c r="Z113" s="6">
        <f t="shared" si="27"/>
        <v>0</v>
      </c>
    </row>
    <row r="114" spans="1:26" s="70" customFormat="1" ht="15" hidden="1" customHeight="1" outlineLevel="2" x14ac:dyDescent="0.3">
      <c r="A114" s="26"/>
      <c r="B114" s="12" t="str">
        <f>CONCATENATE("          ","6273"," - ","RENT")</f>
        <v xml:space="preserve">          6273 - RENT</v>
      </c>
      <c r="C114" s="12"/>
      <c r="D114" s="7">
        <v>6100</v>
      </c>
      <c r="E114" s="3"/>
      <c r="F114" s="8">
        <f t="shared" si="20"/>
        <v>8.4043368913438009E-3</v>
      </c>
      <c r="G114" s="3"/>
      <c r="H114" s="7">
        <v>6100</v>
      </c>
      <c r="I114" s="3"/>
      <c r="J114" s="8">
        <f t="shared" si="21"/>
        <v>1.3462722603911252E-2</v>
      </c>
      <c r="K114" s="3"/>
      <c r="L114" s="7">
        <f t="shared" si="22"/>
        <v>0</v>
      </c>
      <c r="M114" s="3"/>
      <c r="N114" s="8">
        <f t="shared" si="23"/>
        <v>0</v>
      </c>
      <c r="O114" s="12"/>
      <c r="P114" s="7">
        <v>54900</v>
      </c>
      <c r="Q114" s="3"/>
      <c r="R114" s="8">
        <f t="shared" si="24"/>
        <v>9.0055020665002674E-3</v>
      </c>
      <c r="S114" s="3"/>
      <c r="T114" s="7">
        <v>54900</v>
      </c>
      <c r="U114" s="3"/>
      <c r="V114" s="8">
        <f t="shared" si="25"/>
        <v>6.6671394789867312E-3</v>
      </c>
      <c r="W114" s="3"/>
      <c r="X114" s="7">
        <f t="shared" si="26"/>
        <v>0</v>
      </c>
      <c r="Y114" s="3"/>
      <c r="Z114" s="8">
        <f t="shared" si="27"/>
        <v>0</v>
      </c>
    </row>
    <row r="115" spans="1:26" s="69" customFormat="1" ht="15" customHeight="1" outlineLevel="1" collapsed="1" x14ac:dyDescent="0.3">
      <c r="A115" s="25"/>
      <c r="B115" s="14" t="str">
        <f>CONCATENATE("     ","Repair and Maintenance                            ")</f>
        <v xml:space="preserve">     Repair and Maintenance                            </v>
      </c>
      <c r="C115" s="14"/>
      <c r="D115" s="2">
        <f>SUM(OSRRefD22_17x_0)</f>
        <v>15532.49</v>
      </c>
      <c r="E115" s="2"/>
      <c r="F115" s="6">
        <f t="shared" si="20"/>
        <v>2.1400045692037489E-2</v>
      </c>
      <c r="G115" s="2"/>
      <c r="H115" s="2">
        <f>SUM(OSRRefH22_17x_0)</f>
        <v>11098</v>
      </c>
      <c r="I115" s="2"/>
      <c r="J115" s="6">
        <f t="shared" si="21"/>
        <v>2.4493327124296242E-2</v>
      </c>
      <c r="K115" s="2"/>
      <c r="L115" s="2">
        <f t="shared" si="22"/>
        <v>4434.49</v>
      </c>
      <c r="M115" s="2"/>
      <c r="N115" s="6">
        <f t="shared" si="23"/>
        <v>0.39957559920706431</v>
      </c>
      <c r="O115" s="14"/>
      <c r="P115" s="2">
        <f>SUM(OSRRefP22_17x_0)</f>
        <v>137013.20000000001</v>
      </c>
      <c r="Q115" s="2"/>
      <c r="R115" s="6">
        <f t="shared" si="24"/>
        <v>2.2474911762073127E-2</v>
      </c>
      <c r="S115" s="2"/>
      <c r="T115" s="2">
        <f>SUM(OSRRefT22_17x_0)</f>
        <v>154837</v>
      </c>
      <c r="U115" s="2"/>
      <c r="V115" s="6">
        <f t="shared" si="25"/>
        <v>1.8803640719633304E-2</v>
      </c>
      <c r="W115" s="2"/>
      <c r="X115" s="2">
        <f t="shared" si="26"/>
        <v>-17823.799999999988</v>
      </c>
      <c r="Y115" s="2"/>
      <c r="Z115" s="6">
        <f t="shared" si="27"/>
        <v>-0.11511331270949443</v>
      </c>
    </row>
    <row r="116" spans="1:26" s="70" customFormat="1" ht="15" hidden="1" customHeight="1" outlineLevel="2" x14ac:dyDescent="0.3">
      <c r="A116" s="26"/>
      <c r="B116" s="12" t="str">
        <f>CONCATENATE("          ","6371"," - ","COMPUTER SOFTWARE MAINTENANCE")</f>
        <v xml:space="preserve">          6371 - COMPUTER SOFTWARE MAINTENANCE</v>
      </c>
      <c r="C116" s="12"/>
      <c r="D116" s="7"/>
      <c r="E116" s="3"/>
      <c r="F116" s="8">
        <f t="shared" si="20"/>
        <v>0</v>
      </c>
      <c r="G116" s="3"/>
      <c r="H116" s="7">
        <v>1000</v>
      </c>
      <c r="I116" s="3"/>
      <c r="J116" s="8">
        <f t="shared" si="21"/>
        <v>2.2070037055592216E-3</v>
      </c>
      <c r="K116" s="3"/>
      <c r="L116" s="7">
        <f t="shared" si="22"/>
        <v>-1000</v>
      </c>
      <c r="M116" s="3"/>
      <c r="N116" s="8">
        <f t="shared" si="23"/>
        <v>-1</v>
      </c>
      <c r="O116" s="12"/>
      <c r="P116" s="7">
        <v>62511</v>
      </c>
      <c r="Q116" s="3"/>
      <c r="R116" s="8">
        <f t="shared" si="24"/>
        <v>1.0253969757358802E-2</v>
      </c>
      <c r="S116" s="3"/>
      <c r="T116" s="7">
        <v>50723</v>
      </c>
      <c r="U116" s="3"/>
      <c r="V116" s="8">
        <f t="shared" si="25"/>
        <v>6.1598782475891433E-3</v>
      </c>
      <c r="W116" s="3"/>
      <c r="X116" s="7">
        <f t="shared" si="26"/>
        <v>11788</v>
      </c>
      <c r="Y116" s="3"/>
      <c r="Z116" s="8">
        <f t="shared" si="27"/>
        <v>0.23239950318395994</v>
      </c>
    </row>
    <row r="117" spans="1:26" s="70" customFormat="1" ht="15" hidden="1" customHeight="1" outlineLevel="2" x14ac:dyDescent="0.3">
      <c r="A117" s="26"/>
      <c r="B117" s="12" t="str">
        <f>CONCATENATE("          ","6372"," - ","COMPUTER HARDWARE MAINTENANCE")</f>
        <v xml:space="preserve">          6372 - COMPUTER HARDWARE MAINTENANCE</v>
      </c>
      <c r="C117" s="12"/>
      <c r="D117" s="7"/>
      <c r="E117" s="3"/>
      <c r="F117" s="8">
        <f t="shared" si="20"/>
        <v>0</v>
      </c>
      <c r="G117" s="3"/>
      <c r="H117" s="7">
        <v>3750</v>
      </c>
      <c r="I117" s="3"/>
      <c r="J117" s="8">
        <f t="shared" si="21"/>
        <v>8.2762638958470813E-3</v>
      </c>
      <c r="K117" s="3"/>
      <c r="L117" s="7">
        <f t="shared" si="22"/>
        <v>-3750</v>
      </c>
      <c r="M117" s="3"/>
      <c r="N117" s="8">
        <f t="shared" si="23"/>
        <v>-1</v>
      </c>
      <c r="O117" s="12"/>
      <c r="P117" s="7"/>
      <c r="Q117" s="3"/>
      <c r="R117" s="8">
        <f t="shared" si="24"/>
        <v>0</v>
      </c>
      <c r="S117" s="3"/>
      <c r="T117" s="7">
        <v>30370</v>
      </c>
      <c r="U117" s="3"/>
      <c r="V117" s="8">
        <f t="shared" si="25"/>
        <v>3.6881789795414756E-3</v>
      </c>
      <c r="W117" s="3"/>
      <c r="X117" s="7">
        <f t="shared" si="26"/>
        <v>-30370</v>
      </c>
      <c r="Y117" s="3"/>
      <c r="Z117" s="8">
        <f t="shared" si="27"/>
        <v>-1</v>
      </c>
    </row>
    <row r="118" spans="1:26" s="70" customFormat="1" ht="15" hidden="1" customHeight="1" outlineLevel="2" x14ac:dyDescent="0.3">
      <c r="A118" s="26"/>
      <c r="B118" s="12" t="str">
        <f>CONCATENATE("          ","6373"," - ","MAINTENANCE CONTRACTS")</f>
        <v xml:space="preserve">          6373 - MAINTENANCE CONTRACTS</v>
      </c>
      <c r="C118" s="12"/>
      <c r="D118" s="7">
        <v>3884.22</v>
      </c>
      <c r="E118" s="3"/>
      <c r="F118" s="8">
        <f t="shared" si="20"/>
        <v>5.3515235147697411E-3</v>
      </c>
      <c r="G118" s="3"/>
      <c r="H118" s="7">
        <v>6093</v>
      </c>
      <c r="I118" s="3"/>
      <c r="J118" s="8">
        <f t="shared" si="21"/>
        <v>1.3447273577972338E-2</v>
      </c>
      <c r="K118" s="3"/>
      <c r="L118" s="7">
        <f t="shared" si="22"/>
        <v>-2208.7800000000002</v>
      </c>
      <c r="M118" s="3"/>
      <c r="N118" s="8">
        <f t="shared" si="23"/>
        <v>-0.36251107828655837</v>
      </c>
      <c r="O118" s="12"/>
      <c r="P118" s="7">
        <v>22600.720000000001</v>
      </c>
      <c r="Q118" s="3"/>
      <c r="R118" s="8">
        <f t="shared" si="24"/>
        <v>3.7073011049980681E-3</v>
      </c>
      <c r="S118" s="3"/>
      <c r="T118" s="7">
        <v>69319</v>
      </c>
      <c r="U118" s="3"/>
      <c r="V118" s="8">
        <f t="shared" si="25"/>
        <v>8.4182047640051216E-3</v>
      </c>
      <c r="W118" s="3"/>
      <c r="X118" s="7">
        <f t="shared" si="26"/>
        <v>-46718.28</v>
      </c>
      <c r="Y118" s="3"/>
      <c r="Z118" s="8">
        <f t="shared" si="27"/>
        <v>-0.67396067456252973</v>
      </c>
    </row>
    <row r="119" spans="1:26" s="70" customFormat="1" ht="15" hidden="1" customHeight="1" outlineLevel="2" x14ac:dyDescent="0.3">
      <c r="A119" s="26"/>
      <c r="B119" s="12" t="str">
        <f>CONCATENATE("          ","6375"," - ","OUTSIDE REPAIRS &amp; MAINTENANCE")</f>
        <v xml:space="preserve">          6375 - OUTSIDE REPAIRS &amp; MAINTENANCE</v>
      </c>
      <c r="C119" s="12"/>
      <c r="D119" s="7">
        <v>11648.27</v>
      </c>
      <c r="E119" s="3"/>
      <c r="F119" s="8">
        <f t="shared" si="20"/>
        <v>1.6048522177267748E-2</v>
      </c>
      <c r="G119" s="3"/>
      <c r="H119" s="7">
        <v>255</v>
      </c>
      <c r="I119" s="3"/>
      <c r="J119" s="8">
        <f t="shared" si="21"/>
        <v>5.6278594491760152E-4</v>
      </c>
      <c r="K119" s="3"/>
      <c r="L119" s="7">
        <f t="shared" si="22"/>
        <v>11393.27</v>
      </c>
      <c r="M119" s="3"/>
      <c r="N119" s="8">
        <f t="shared" si="23"/>
        <v>44.679490196078433</v>
      </c>
      <c r="O119" s="12"/>
      <c r="P119" s="7">
        <v>51901.48</v>
      </c>
      <c r="Q119" s="3"/>
      <c r="R119" s="8">
        <f t="shared" si="24"/>
        <v>8.513640899716254E-3</v>
      </c>
      <c r="S119" s="3"/>
      <c r="T119" s="7">
        <v>4425</v>
      </c>
      <c r="U119" s="3"/>
      <c r="V119" s="8">
        <f t="shared" si="25"/>
        <v>5.3737872849756439E-4</v>
      </c>
      <c r="W119" s="3"/>
      <c r="X119" s="7">
        <f t="shared" si="26"/>
        <v>47476.480000000003</v>
      </c>
      <c r="Y119" s="3"/>
      <c r="Z119" s="8">
        <f t="shared" si="27"/>
        <v>10.729148022598871</v>
      </c>
    </row>
    <row r="120" spans="1:26" s="69" customFormat="1" ht="15" customHeight="1" outlineLevel="1" collapsed="1" x14ac:dyDescent="0.3">
      <c r="A120" s="25"/>
      <c r="B120" s="14" t="str">
        <f>CONCATENATE("     ","Royalty &amp; Commissions                             ")</f>
        <v xml:space="preserve">     Royalty &amp; Commissions                             </v>
      </c>
      <c r="C120" s="14"/>
      <c r="D120" s="2">
        <f>SUM(OSRRefD22_18x_0)</f>
        <v>2502.14</v>
      </c>
      <c r="E120" s="2"/>
      <c r="F120" s="6">
        <f t="shared" si="20"/>
        <v>3.4473487720175374E-3</v>
      </c>
      <c r="G120" s="2"/>
      <c r="H120" s="2">
        <f>SUM(OSRRefH22_18x_0)</f>
        <v>5181</v>
      </c>
      <c r="I120" s="2"/>
      <c r="J120" s="6">
        <f t="shared" si="21"/>
        <v>1.1434486198502328E-2</v>
      </c>
      <c r="K120" s="2"/>
      <c r="L120" s="2">
        <f t="shared" si="22"/>
        <v>-2678.86</v>
      </c>
      <c r="M120" s="2"/>
      <c r="N120" s="6">
        <f t="shared" si="23"/>
        <v>-0.51705462265971824</v>
      </c>
      <c r="O120" s="14"/>
      <c r="P120" s="2">
        <f>SUM(OSRRefP22_18x_0)</f>
        <v>52735.930000000008</v>
      </c>
      <c r="Q120" s="2"/>
      <c r="R120" s="6">
        <f t="shared" si="24"/>
        <v>8.6505196100876789E-3</v>
      </c>
      <c r="S120" s="2"/>
      <c r="T120" s="2">
        <f>SUM(OSRRefT22_18x_0)</f>
        <v>82690</v>
      </c>
      <c r="U120" s="2"/>
      <c r="V120" s="6">
        <f t="shared" si="25"/>
        <v>1.0041999335472E-2</v>
      </c>
      <c r="W120" s="2"/>
      <c r="X120" s="2">
        <f t="shared" si="26"/>
        <v>-29954.069999999992</v>
      </c>
      <c r="Y120" s="2"/>
      <c r="Z120" s="6">
        <f t="shared" si="27"/>
        <v>-0.36224537428951498</v>
      </c>
    </row>
    <row r="121" spans="1:26" s="70" customFormat="1" ht="15" hidden="1" customHeight="1" outlineLevel="2" x14ac:dyDescent="0.3">
      <c r="A121" s="26"/>
      <c r="B121" s="12" t="str">
        <f>CONCATENATE("          ","6252"," - ","ROYALTY DUE CSTV")</f>
        <v xml:space="preserve">          6252 - ROYALTY DUE CSTV</v>
      </c>
      <c r="C121" s="12"/>
      <c r="D121" s="7"/>
      <c r="E121" s="3"/>
      <c r="F121" s="8">
        <f t="shared" si="20"/>
        <v>0</v>
      </c>
      <c r="G121" s="3"/>
      <c r="H121" s="7">
        <v>1085</v>
      </c>
      <c r="I121" s="3"/>
      <c r="J121" s="8">
        <f t="shared" si="21"/>
        <v>2.3945990205317554E-3</v>
      </c>
      <c r="K121" s="3"/>
      <c r="L121" s="7">
        <f t="shared" si="22"/>
        <v>-1085</v>
      </c>
      <c r="M121" s="3"/>
      <c r="N121" s="8">
        <f t="shared" si="23"/>
        <v>-1</v>
      </c>
      <c r="O121" s="12"/>
      <c r="P121" s="7"/>
      <c r="Q121" s="3"/>
      <c r="R121" s="8">
        <f t="shared" si="24"/>
        <v>0</v>
      </c>
      <c r="S121" s="3"/>
      <c r="T121" s="7">
        <v>12582</v>
      </c>
      <c r="U121" s="3"/>
      <c r="V121" s="8">
        <f t="shared" si="25"/>
        <v>1.5279772117415492E-3</v>
      </c>
      <c r="W121" s="3"/>
      <c r="X121" s="7">
        <f t="shared" si="26"/>
        <v>-12582</v>
      </c>
      <c r="Y121" s="3"/>
      <c r="Z121" s="8">
        <f t="shared" si="27"/>
        <v>-1</v>
      </c>
    </row>
    <row r="122" spans="1:26" s="70" customFormat="1" ht="15" hidden="1" customHeight="1" outlineLevel="2" x14ac:dyDescent="0.3">
      <c r="A122" s="26"/>
      <c r="B122" s="12" t="str">
        <f>CONCATENATE("          ","6253"," - ","ROYALTY DUE ATHLETICS-LRG")</f>
        <v xml:space="preserve">          6253 - ROYALTY DUE ATHLETICS-LRG</v>
      </c>
      <c r="C122" s="12"/>
      <c r="D122" s="7"/>
      <c r="E122" s="3"/>
      <c r="F122" s="8">
        <f t="shared" ref="F122:F151" si="28">IF(D$12=0,0,D122/D$12)</f>
        <v>0</v>
      </c>
      <c r="G122" s="3"/>
      <c r="H122" s="7">
        <v>0</v>
      </c>
      <c r="I122" s="3"/>
      <c r="J122" s="8">
        <f t="shared" ref="J122:J151" si="29">IF(H$12=0,0,H122/H$12)</f>
        <v>0</v>
      </c>
      <c r="K122" s="3"/>
      <c r="L122" s="7">
        <f t="shared" ref="L122:L151" si="30">+D122-H122</f>
        <v>0</v>
      </c>
      <c r="M122" s="3"/>
      <c r="N122" s="8">
        <f t="shared" ref="N122:N151" si="31">IF(H122=0,0,L122/H122)</f>
        <v>0</v>
      </c>
      <c r="O122" s="12"/>
      <c r="P122" s="7">
        <v>39221.160000000003</v>
      </c>
      <c r="Q122" s="3"/>
      <c r="R122" s="8">
        <f t="shared" ref="R122:R151" si="32">IF(P$12=0,0,P122/P$12)</f>
        <v>6.4336290970954044E-3</v>
      </c>
      <c r="S122" s="3"/>
      <c r="T122" s="7">
        <v>23947</v>
      </c>
      <c r="U122" s="3"/>
      <c r="V122" s="8">
        <f t="shared" ref="V122:V151" si="33">IF(T$12=0,0,T122/T$12)</f>
        <v>2.9081600929561973E-3</v>
      </c>
      <c r="W122" s="3"/>
      <c r="X122" s="7">
        <f t="shared" ref="X122:X151" si="34">+P122-T122</f>
        <v>15274.160000000003</v>
      </c>
      <c r="Y122" s="3"/>
      <c r="Z122" s="8">
        <f t="shared" ref="Z122:Z151" si="35">IF(T122=0,0,X122/T122)</f>
        <v>0.63783187873220037</v>
      </c>
    </row>
    <row r="123" spans="1:26" s="70" customFormat="1" ht="15" hidden="1" customHeight="1" outlineLevel="2" x14ac:dyDescent="0.3">
      <c r="A123" s="26"/>
      <c r="B123" s="12" t="str">
        <f>CONCATENATE("          ","6254"," - ","ROYALTY &amp; COMMISSIONS")</f>
        <v xml:space="preserve">          6254 - ROYALTY &amp; COMMISSIONS</v>
      </c>
      <c r="C123" s="12"/>
      <c r="D123" s="7"/>
      <c r="E123" s="3"/>
      <c r="F123" s="8">
        <f t="shared" si="28"/>
        <v>0</v>
      </c>
      <c r="G123" s="3"/>
      <c r="H123" s="7">
        <v>1000</v>
      </c>
      <c r="I123" s="3"/>
      <c r="J123" s="8">
        <f t="shared" si="29"/>
        <v>2.2070037055592216E-3</v>
      </c>
      <c r="K123" s="3"/>
      <c r="L123" s="7">
        <f t="shared" si="30"/>
        <v>-1000</v>
      </c>
      <c r="M123" s="3"/>
      <c r="N123" s="8">
        <f t="shared" si="31"/>
        <v>-1</v>
      </c>
      <c r="O123" s="12"/>
      <c r="P123" s="7">
        <v>3509.15</v>
      </c>
      <c r="Q123" s="3"/>
      <c r="R123" s="8">
        <f t="shared" si="32"/>
        <v>5.7562217808122796E-4</v>
      </c>
      <c r="S123" s="3"/>
      <c r="T123" s="7">
        <v>2500</v>
      </c>
      <c r="U123" s="3"/>
      <c r="V123" s="8">
        <f t="shared" si="33"/>
        <v>3.036038014110533E-4</v>
      </c>
      <c r="W123" s="3"/>
      <c r="X123" s="7">
        <f t="shared" si="34"/>
        <v>1009.1500000000001</v>
      </c>
      <c r="Y123" s="3"/>
      <c r="Z123" s="8">
        <f t="shared" si="35"/>
        <v>0.40366000000000002</v>
      </c>
    </row>
    <row r="124" spans="1:26" s="70" customFormat="1" ht="15" hidden="1" customHeight="1" outlineLevel="2" x14ac:dyDescent="0.3">
      <c r="A124" s="26"/>
      <c r="B124" s="12" t="str">
        <f>CONCATENATE("          ","6259"," - ","ROYALTY &amp; COMMISSIONS")</f>
        <v xml:space="preserve">          6259 - ROYALTY &amp; COMMISSIONS</v>
      </c>
      <c r="C124" s="12"/>
      <c r="D124" s="7">
        <v>2502.14</v>
      </c>
      <c r="E124" s="3"/>
      <c r="F124" s="8">
        <f t="shared" si="28"/>
        <v>3.4473487720175374E-3</v>
      </c>
      <c r="G124" s="3"/>
      <c r="H124" s="7">
        <v>3096</v>
      </c>
      <c r="I124" s="3"/>
      <c r="J124" s="8">
        <f t="shared" si="29"/>
        <v>6.8328834724113502E-3</v>
      </c>
      <c r="K124" s="3"/>
      <c r="L124" s="7">
        <f t="shared" si="30"/>
        <v>-593.86000000000013</v>
      </c>
      <c r="M124" s="3"/>
      <c r="N124" s="8">
        <f t="shared" si="31"/>
        <v>-0.19181524547803622</v>
      </c>
      <c r="O124" s="12"/>
      <c r="P124" s="7">
        <v>10005.620000000001</v>
      </c>
      <c r="Q124" s="3"/>
      <c r="R124" s="8">
        <f t="shared" si="32"/>
        <v>1.6412683349110459E-3</v>
      </c>
      <c r="S124" s="3"/>
      <c r="T124" s="7">
        <v>43661</v>
      </c>
      <c r="U124" s="3"/>
      <c r="V124" s="8">
        <f t="shared" si="33"/>
        <v>5.3022582293631992E-3</v>
      </c>
      <c r="W124" s="3"/>
      <c r="X124" s="7">
        <f t="shared" si="34"/>
        <v>-33655.379999999997</v>
      </c>
      <c r="Y124" s="3"/>
      <c r="Z124" s="8">
        <f t="shared" si="35"/>
        <v>-0.77083392501316961</v>
      </c>
    </row>
    <row r="125" spans="1:26" s="69" customFormat="1" ht="15" customHeight="1" outlineLevel="1" collapsed="1" x14ac:dyDescent="0.3">
      <c r="A125" s="25"/>
      <c r="B125" s="14" t="str">
        <f>CONCATENATE("     ","Services                                          ")</f>
        <v xml:space="preserve">     Services                                          </v>
      </c>
      <c r="C125" s="14"/>
      <c r="D125" s="2">
        <f>SUM(OSRRefD22_19x_0)</f>
        <v>5470.0199999999995</v>
      </c>
      <c r="E125" s="2"/>
      <c r="F125" s="6">
        <f t="shared" si="28"/>
        <v>7.5363755544899051E-3</v>
      </c>
      <c r="G125" s="2"/>
      <c r="H125" s="2">
        <f>SUM(OSRRefH22_19x_0)</f>
        <v>4712</v>
      </c>
      <c r="I125" s="2"/>
      <c r="J125" s="6">
        <f t="shared" si="29"/>
        <v>1.0399401460595053E-2</v>
      </c>
      <c r="K125" s="2"/>
      <c r="L125" s="2">
        <f t="shared" si="30"/>
        <v>758.01999999999953</v>
      </c>
      <c r="M125" s="2"/>
      <c r="N125" s="6">
        <f t="shared" si="31"/>
        <v>0.16087011884550076</v>
      </c>
      <c r="O125" s="14"/>
      <c r="P125" s="2">
        <f>SUM(OSRRefP22_19x_0)</f>
        <v>63396.65</v>
      </c>
      <c r="Q125" s="2"/>
      <c r="R125" s="6">
        <f t="shared" si="32"/>
        <v>1.0399247041606453E-2</v>
      </c>
      <c r="S125" s="2"/>
      <c r="T125" s="2">
        <f>SUM(OSRRefT22_19x_0)</f>
        <v>41765</v>
      </c>
      <c r="U125" s="2"/>
      <c r="V125" s="6">
        <f t="shared" si="33"/>
        <v>5.0720051063730563E-3</v>
      </c>
      <c r="W125" s="2"/>
      <c r="X125" s="2">
        <f t="shared" si="34"/>
        <v>21631.65</v>
      </c>
      <c r="Y125" s="2"/>
      <c r="Z125" s="6">
        <f t="shared" si="35"/>
        <v>0.51793726804740814</v>
      </c>
    </row>
    <row r="126" spans="1:26" s="70" customFormat="1" ht="15" hidden="1" customHeight="1" outlineLevel="2" x14ac:dyDescent="0.3">
      <c r="A126" s="26"/>
      <c r="B126" s="12" t="str">
        <f>CONCATENATE("          ","6282"," - ","JANITORIAL/EXTERMINATOR EXPENS")</f>
        <v xml:space="preserve">          6282 - JANITORIAL/EXTERMINATOR EXPENS</v>
      </c>
      <c r="C126" s="12"/>
      <c r="D126" s="7">
        <v>787.9</v>
      </c>
      <c r="E126" s="3"/>
      <c r="F126" s="8">
        <f t="shared" si="28"/>
        <v>1.0855372191294723E-3</v>
      </c>
      <c r="G126" s="3"/>
      <c r="H126" s="7">
        <v>4558</v>
      </c>
      <c r="I126" s="3"/>
      <c r="J126" s="8">
        <f t="shared" si="29"/>
        <v>1.0059522889938933E-2</v>
      </c>
      <c r="K126" s="3"/>
      <c r="L126" s="7">
        <f t="shared" si="30"/>
        <v>-3770.1</v>
      </c>
      <c r="M126" s="3"/>
      <c r="N126" s="8">
        <f t="shared" si="31"/>
        <v>-0.82713909609477843</v>
      </c>
      <c r="O126" s="12"/>
      <c r="P126" s="7">
        <v>5725.48</v>
      </c>
      <c r="Q126" s="3"/>
      <c r="R126" s="8">
        <f t="shared" si="32"/>
        <v>9.3917708509482607E-4</v>
      </c>
      <c r="S126" s="3"/>
      <c r="T126" s="7">
        <v>40764</v>
      </c>
      <c r="U126" s="3"/>
      <c r="V126" s="8">
        <f t="shared" si="33"/>
        <v>4.9504421442880713E-3</v>
      </c>
      <c r="W126" s="3"/>
      <c r="X126" s="7">
        <f t="shared" si="34"/>
        <v>-35038.520000000004</v>
      </c>
      <c r="Y126" s="3"/>
      <c r="Z126" s="8">
        <f t="shared" si="35"/>
        <v>-0.85954567755863032</v>
      </c>
    </row>
    <row r="127" spans="1:26" s="70" customFormat="1" ht="15" hidden="1" customHeight="1" outlineLevel="2" x14ac:dyDescent="0.3">
      <c r="A127" s="26"/>
      <c r="B127" s="12" t="str">
        <f>CONCATENATE("          ","6284"," - ","TRASH REMOVAL EXPENSE")</f>
        <v xml:space="preserve">          6284 - TRASH REMOVAL EXPENSE</v>
      </c>
      <c r="C127" s="12"/>
      <c r="D127" s="7">
        <v>149.69999999999999</v>
      </c>
      <c r="E127" s="3"/>
      <c r="F127" s="8">
        <f t="shared" si="28"/>
        <v>2.0625069387445361E-4</v>
      </c>
      <c r="G127" s="3"/>
      <c r="H127" s="7">
        <v>120</v>
      </c>
      <c r="I127" s="3"/>
      <c r="J127" s="8">
        <f t="shared" si="29"/>
        <v>2.6484044466710659E-4</v>
      </c>
      <c r="K127" s="3"/>
      <c r="L127" s="7">
        <f t="shared" si="30"/>
        <v>29.699999999999989</v>
      </c>
      <c r="M127" s="3"/>
      <c r="N127" s="8">
        <f t="shared" si="31"/>
        <v>0.24749999999999991</v>
      </c>
      <c r="O127" s="12"/>
      <c r="P127" s="7">
        <v>1340.17</v>
      </c>
      <c r="Q127" s="3"/>
      <c r="R127" s="8">
        <f t="shared" si="32"/>
        <v>2.1983431155667878E-4</v>
      </c>
      <c r="S127" s="3"/>
      <c r="T127" s="7">
        <v>720</v>
      </c>
      <c r="U127" s="3"/>
      <c r="V127" s="8">
        <f t="shared" si="33"/>
        <v>8.743789480638335E-5</v>
      </c>
      <c r="W127" s="3"/>
      <c r="X127" s="7">
        <f t="shared" si="34"/>
        <v>620.17000000000007</v>
      </c>
      <c r="Y127" s="3"/>
      <c r="Z127" s="8">
        <f t="shared" si="35"/>
        <v>0.86134722222222238</v>
      </c>
    </row>
    <row r="128" spans="1:26" s="70" customFormat="1" ht="15" hidden="1" customHeight="1" outlineLevel="2" x14ac:dyDescent="0.3">
      <c r="A128" s="26"/>
      <c r="B128" s="12" t="str">
        <f>CONCATENATE("          ","6285"," - ","JANITORIAL SERVICES")</f>
        <v xml:space="preserve">          6285 - JANITORIAL SERVICES</v>
      </c>
      <c r="C128" s="12"/>
      <c r="D128" s="7">
        <v>4337.13</v>
      </c>
      <c r="E128" s="3"/>
      <c r="F128" s="8">
        <f t="shared" si="28"/>
        <v>5.975524862549827E-3</v>
      </c>
      <c r="G128" s="3"/>
      <c r="H128" s="7"/>
      <c r="I128" s="3"/>
      <c r="J128" s="8">
        <f t="shared" si="29"/>
        <v>0</v>
      </c>
      <c r="K128" s="3"/>
      <c r="L128" s="7">
        <f t="shared" si="30"/>
        <v>4337.13</v>
      </c>
      <c r="M128" s="3"/>
      <c r="N128" s="8">
        <f t="shared" si="31"/>
        <v>0</v>
      </c>
      <c r="O128" s="12"/>
      <c r="P128" s="7">
        <v>55538.67</v>
      </c>
      <c r="Q128" s="3"/>
      <c r="R128" s="8">
        <f t="shared" si="32"/>
        <v>9.1102660738738867E-3</v>
      </c>
      <c r="S128" s="3"/>
      <c r="T128" s="7"/>
      <c r="U128" s="3"/>
      <c r="V128" s="8">
        <f t="shared" si="33"/>
        <v>0</v>
      </c>
      <c r="W128" s="3"/>
      <c r="X128" s="7">
        <f t="shared" si="34"/>
        <v>55538.67</v>
      </c>
      <c r="Y128" s="3"/>
      <c r="Z128" s="8">
        <f t="shared" si="35"/>
        <v>0</v>
      </c>
    </row>
    <row r="129" spans="1:26" s="70" customFormat="1" ht="15" hidden="1" customHeight="1" outlineLevel="2" x14ac:dyDescent="0.3">
      <c r="A129" s="26"/>
      <c r="B129" s="12" t="str">
        <f>CONCATENATE("          ","6286"," - ","LAUNDRY EXPENSE")</f>
        <v xml:space="preserve">          6286 - LAUNDRY EXPENSE</v>
      </c>
      <c r="C129" s="12"/>
      <c r="D129" s="7">
        <v>195.29</v>
      </c>
      <c r="E129" s="3"/>
      <c r="F129" s="8">
        <f t="shared" si="28"/>
        <v>2.6906277893615259E-4</v>
      </c>
      <c r="G129" s="3"/>
      <c r="H129" s="7">
        <v>34</v>
      </c>
      <c r="I129" s="3"/>
      <c r="J129" s="8">
        <f t="shared" si="29"/>
        <v>7.5038125989013529E-5</v>
      </c>
      <c r="K129" s="3"/>
      <c r="L129" s="7">
        <f t="shared" si="30"/>
        <v>161.29</v>
      </c>
      <c r="M129" s="3"/>
      <c r="N129" s="8">
        <f t="shared" si="31"/>
        <v>4.7438235294117641</v>
      </c>
      <c r="O129" s="12"/>
      <c r="P129" s="7">
        <v>792.33</v>
      </c>
      <c r="Q129" s="3"/>
      <c r="R129" s="8">
        <f t="shared" si="32"/>
        <v>1.2996957108105933E-4</v>
      </c>
      <c r="S129" s="3"/>
      <c r="T129" s="7">
        <v>281</v>
      </c>
      <c r="U129" s="3"/>
      <c r="V129" s="8">
        <f t="shared" si="33"/>
        <v>3.412506727860239E-5</v>
      </c>
      <c r="W129" s="3"/>
      <c r="X129" s="7">
        <f t="shared" si="34"/>
        <v>511.33000000000004</v>
      </c>
      <c r="Y129" s="3"/>
      <c r="Z129" s="8">
        <f t="shared" si="35"/>
        <v>1.8196797153024913</v>
      </c>
    </row>
    <row r="130" spans="1:26" s="69" customFormat="1" ht="15" customHeight="1" outlineLevel="1" collapsed="1" x14ac:dyDescent="0.3">
      <c r="A130" s="25"/>
      <c r="B130" s="14" t="str">
        <f>CONCATENATE("     ","Subscriptions &amp; Dues                              ")</f>
        <v xml:space="preserve">     Subscriptions &amp; Dues                              </v>
      </c>
      <c r="C130" s="14"/>
      <c r="D130" s="2">
        <f>SUM(OSRRefD22_20x_0)</f>
        <v>606.92999999999995</v>
      </c>
      <c r="E130" s="2"/>
      <c r="F130" s="6">
        <f t="shared" si="28"/>
        <v>8.3620396548578582E-4</v>
      </c>
      <c r="G130" s="2"/>
      <c r="H130" s="2">
        <f>SUM(OSRRefH22_20x_0)</f>
        <v>481</v>
      </c>
      <c r="I130" s="2"/>
      <c r="J130" s="6">
        <f t="shared" si="29"/>
        <v>1.0615687823739856E-3</v>
      </c>
      <c r="K130" s="2"/>
      <c r="L130" s="2">
        <f t="shared" si="30"/>
        <v>125.92999999999995</v>
      </c>
      <c r="M130" s="2"/>
      <c r="N130" s="6">
        <f t="shared" si="31"/>
        <v>0.26180873180873171</v>
      </c>
      <c r="O130" s="14"/>
      <c r="P130" s="2">
        <f>SUM(OSRRefP22_20x_0)</f>
        <v>2477.65</v>
      </c>
      <c r="Q130" s="2"/>
      <c r="R130" s="6">
        <f t="shared" si="32"/>
        <v>4.0642044071155536E-4</v>
      </c>
      <c r="S130" s="2"/>
      <c r="T130" s="2">
        <f>SUM(OSRRefT22_20x_0)</f>
        <v>10944</v>
      </c>
      <c r="U130" s="2"/>
      <c r="V130" s="6">
        <f t="shared" si="33"/>
        <v>1.329056001057027E-3</v>
      </c>
      <c r="W130" s="2"/>
      <c r="X130" s="2">
        <f t="shared" si="34"/>
        <v>-8466.35</v>
      </c>
      <c r="Y130" s="2"/>
      <c r="Z130" s="6">
        <f t="shared" si="35"/>
        <v>-0.7736065423976608</v>
      </c>
    </row>
    <row r="131" spans="1:26" s="70" customFormat="1" ht="15" hidden="1" customHeight="1" outlineLevel="2" x14ac:dyDescent="0.3">
      <c r="A131" s="26"/>
      <c r="B131" s="12" t="str">
        <f>CONCATENATE("          ","6258"," - ","MEMBERSHIP DUES")</f>
        <v xml:space="preserve">          6258 - MEMBERSHIP DUES</v>
      </c>
      <c r="C131" s="12"/>
      <c r="D131" s="7">
        <v>606.92999999999995</v>
      </c>
      <c r="E131" s="3"/>
      <c r="F131" s="8">
        <f t="shared" si="28"/>
        <v>8.3620396548578582E-4</v>
      </c>
      <c r="G131" s="3"/>
      <c r="H131" s="7">
        <v>300</v>
      </c>
      <c r="I131" s="3"/>
      <c r="J131" s="8">
        <f t="shared" si="29"/>
        <v>6.6210111166776651E-4</v>
      </c>
      <c r="K131" s="3"/>
      <c r="L131" s="7">
        <f t="shared" si="30"/>
        <v>306.92999999999995</v>
      </c>
      <c r="M131" s="3"/>
      <c r="N131" s="8">
        <f t="shared" si="31"/>
        <v>1.0230999999999999</v>
      </c>
      <c r="O131" s="12"/>
      <c r="P131" s="7">
        <v>2477.65</v>
      </c>
      <c r="Q131" s="3"/>
      <c r="R131" s="8">
        <f t="shared" si="32"/>
        <v>4.0642044071155536E-4</v>
      </c>
      <c r="S131" s="3"/>
      <c r="T131" s="7">
        <v>8095</v>
      </c>
      <c r="U131" s="3"/>
      <c r="V131" s="8">
        <f t="shared" si="33"/>
        <v>9.8306910896899056E-4</v>
      </c>
      <c r="W131" s="3"/>
      <c r="X131" s="7">
        <f t="shared" si="34"/>
        <v>-5617.35</v>
      </c>
      <c r="Y131" s="3"/>
      <c r="Z131" s="8">
        <f t="shared" si="35"/>
        <v>-0.69392835083384807</v>
      </c>
    </row>
    <row r="132" spans="1:26" s="70" customFormat="1" ht="15" hidden="1" customHeight="1" outlineLevel="2" x14ac:dyDescent="0.3">
      <c r="A132" s="26"/>
      <c r="B132" s="12" t="str">
        <f>CONCATENATE("          ","6275"," - ","SUBSCRIPTIONS")</f>
        <v xml:space="preserve">          6275 - SUBSCRIPTIONS</v>
      </c>
      <c r="C132" s="12"/>
      <c r="D132" s="7"/>
      <c r="E132" s="3"/>
      <c r="F132" s="8">
        <f t="shared" si="28"/>
        <v>0</v>
      </c>
      <c r="G132" s="3"/>
      <c r="H132" s="7">
        <v>181</v>
      </c>
      <c r="I132" s="3"/>
      <c r="J132" s="8">
        <f t="shared" si="29"/>
        <v>3.9946767070621911E-4</v>
      </c>
      <c r="K132" s="3"/>
      <c r="L132" s="7">
        <f t="shared" si="30"/>
        <v>-181</v>
      </c>
      <c r="M132" s="3"/>
      <c r="N132" s="8">
        <f t="shared" si="31"/>
        <v>-1</v>
      </c>
      <c r="O132" s="12"/>
      <c r="P132" s="7"/>
      <c r="Q132" s="3"/>
      <c r="R132" s="8">
        <f t="shared" si="32"/>
        <v>0</v>
      </c>
      <c r="S132" s="3"/>
      <c r="T132" s="7">
        <v>2849</v>
      </c>
      <c r="U132" s="3"/>
      <c r="V132" s="8">
        <f t="shared" si="33"/>
        <v>3.4598689208803637E-4</v>
      </c>
      <c r="W132" s="3"/>
      <c r="X132" s="7">
        <f t="shared" si="34"/>
        <v>-2849</v>
      </c>
      <c r="Y132" s="3"/>
      <c r="Z132" s="8">
        <f t="shared" si="35"/>
        <v>-1</v>
      </c>
    </row>
    <row r="133" spans="1:26" s="69" customFormat="1" ht="15" customHeight="1" outlineLevel="1" collapsed="1" x14ac:dyDescent="0.3">
      <c r="A133" s="25"/>
      <c r="B133" s="14" t="str">
        <f>CONCATENATE("     ","Supplies                                          ")</f>
        <v xml:space="preserve">     Supplies                                          </v>
      </c>
      <c r="C133" s="14"/>
      <c r="D133" s="2">
        <f>SUM(OSRRefD22_21x_0)</f>
        <v>12138.36</v>
      </c>
      <c r="E133" s="2"/>
      <c r="F133" s="6">
        <f t="shared" si="28"/>
        <v>1.6723748647280649E-2</v>
      </c>
      <c r="G133" s="2"/>
      <c r="H133" s="2">
        <f>SUM(OSRRefH22_21x_0)</f>
        <v>9030</v>
      </c>
      <c r="I133" s="2"/>
      <c r="J133" s="6">
        <f t="shared" si="29"/>
        <v>1.9929243461199772E-2</v>
      </c>
      <c r="K133" s="2"/>
      <c r="L133" s="2">
        <f t="shared" si="30"/>
        <v>3108.3600000000006</v>
      </c>
      <c r="M133" s="2"/>
      <c r="N133" s="6">
        <f t="shared" si="31"/>
        <v>0.34422591362126254</v>
      </c>
      <c r="O133" s="14"/>
      <c r="P133" s="2">
        <f>SUM(OSRRefP22_21x_0)</f>
        <v>92760.56</v>
      </c>
      <c r="Q133" s="2"/>
      <c r="R133" s="6">
        <f t="shared" si="32"/>
        <v>1.5215945624220803E-2</v>
      </c>
      <c r="S133" s="2"/>
      <c r="T133" s="2">
        <f>SUM(OSRRefT22_21x_0)</f>
        <v>116550</v>
      </c>
      <c r="U133" s="2"/>
      <c r="V133" s="6">
        <f t="shared" si="33"/>
        <v>1.4154009221783306E-2</v>
      </c>
      <c r="W133" s="2"/>
      <c r="X133" s="2">
        <f t="shared" si="34"/>
        <v>-23789.440000000002</v>
      </c>
      <c r="Y133" s="2"/>
      <c r="Z133" s="6">
        <f t="shared" si="35"/>
        <v>-0.20411359931359932</v>
      </c>
    </row>
    <row r="134" spans="1:26" s="70" customFormat="1" ht="15" hidden="1" customHeight="1" outlineLevel="2" x14ac:dyDescent="0.3">
      <c r="A134" s="26"/>
      <c r="B134" s="12" t="str">
        <f>CONCATENATE("          ","6234"," - ","EXPENDABLE SUPPLIES &amp; EQUIPMEN")</f>
        <v xml:space="preserve">          6234 - EXPENDABLE SUPPLIES &amp; EQUIPMEN</v>
      </c>
      <c r="C134" s="12"/>
      <c r="D134" s="7"/>
      <c r="E134" s="3"/>
      <c r="F134" s="8">
        <f t="shared" si="28"/>
        <v>0</v>
      </c>
      <c r="G134" s="3"/>
      <c r="H134" s="7">
        <v>350</v>
      </c>
      <c r="I134" s="3"/>
      <c r="J134" s="8">
        <f t="shared" si="29"/>
        <v>7.7245129694572762E-4</v>
      </c>
      <c r="K134" s="3"/>
      <c r="L134" s="7">
        <f t="shared" si="30"/>
        <v>-350</v>
      </c>
      <c r="M134" s="3"/>
      <c r="N134" s="8">
        <f t="shared" si="31"/>
        <v>-1</v>
      </c>
      <c r="O134" s="12"/>
      <c r="P134" s="7">
        <v>6484.46</v>
      </c>
      <c r="Q134" s="3"/>
      <c r="R134" s="8">
        <f t="shared" si="32"/>
        <v>1.0636761007311172E-3</v>
      </c>
      <c r="S134" s="3"/>
      <c r="T134" s="7">
        <v>2800</v>
      </c>
      <c r="U134" s="3"/>
      <c r="V134" s="8">
        <f t="shared" si="33"/>
        <v>3.4003625758037971E-4</v>
      </c>
      <c r="W134" s="3"/>
      <c r="X134" s="7">
        <f t="shared" si="34"/>
        <v>3684.46</v>
      </c>
      <c r="Y134" s="3"/>
      <c r="Z134" s="8">
        <f t="shared" si="35"/>
        <v>1.3158785714285715</v>
      </c>
    </row>
    <row r="135" spans="1:26" s="70" customFormat="1" ht="15" hidden="1" customHeight="1" outlineLevel="2" x14ac:dyDescent="0.3">
      <c r="A135" s="26"/>
      <c r="B135" s="12" t="str">
        <f>CONCATENATE("          ","6235"," - ","COVID-19 EXPENSES")</f>
        <v xml:space="preserve">          6235 - COVID-19 EXPENSES</v>
      </c>
      <c r="C135" s="12"/>
      <c r="D135" s="7">
        <v>71.45</v>
      </c>
      <c r="E135" s="3"/>
      <c r="F135" s="8">
        <f t="shared" si="28"/>
        <v>9.8440962440412237E-5</v>
      </c>
      <c r="G135" s="3"/>
      <c r="H135" s="7">
        <v>125</v>
      </c>
      <c r="I135" s="3"/>
      <c r="J135" s="8">
        <f t="shared" si="29"/>
        <v>2.7587546319490271E-4</v>
      </c>
      <c r="K135" s="3"/>
      <c r="L135" s="7">
        <f t="shared" si="30"/>
        <v>-53.55</v>
      </c>
      <c r="M135" s="3"/>
      <c r="N135" s="8">
        <f t="shared" si="31"/>
        <v>-0.4284</v>
      </c>
      <c r="O135" s="12"/>
      <c r="P135" s="7">
        <v>3501.77</v>
      </c>
      <c r="Q135" s="3"/>
      <c r="R135" s="8">
        <f t="shared" si="32"/>
        <v>5.744116023936001E-4</v>
      </c>
      <c r="S135" s="3"/>
      <c r="T135" s="7">
        <v>1125</v>
      </c>
      <c r="U135" s="3"/>
      <c r="V135" s="8">
        <f t="shared" si="33"/>
        <v>1.3662171063497398E-4</v>
      </c>
      <c r="W135" s="3"/>
      <c r="X135" s="7">
        <f t="shared" si="34"/>
        <v>2376.77</v>
      </c>
      <c r="Y135" s="3"/>
      <c r="Z135" s="8">
        <f t="shared" si="35"/>
        <v>2.1126844444444446</v>
      </c>
    </row>
    <row r="136" spans="1:26" s="70" customFormat="1" ht="15" hidden="1" customHeight="1" outlineLevel="2" x14ac:dyDescent="0.3">
      <c r="A136" s="26"/>
      <c r="B136" s="12" t="str">
        <f>CONCATENATE("          ","6237"," - ","JANITORIAL SUPPLIES")</f>
        <v xml:space="preserve">          6237 - JANITORIAL SUPPLIES</v>
      </c>
      <c r="C136" s="12"/>
      <c r="D136" s="7">
        <v>459.77</v>
      </c>
      <c r="E136" s="3"/>
      <c r="F136" s="8">
        <f t="shared" si="28"/>
        <v>6.3345278238248189E-4</v>
      </c>
      <c r="G136" s="3"/>
      <c r="H136" s="7">
        <v>10</v>
      </c>
      <c r="I136" s="3"/>
      <c r="J136" s="8">
        <f t="shared" si="29"/>
        <v>2.2070037055592217E-5</v>
      </c>
      <c r="K136" s="3"/>
      <c r="L136" s="7">
        <f t="shared" si="30"/>
        <v>449.77</v>
      </c>
      <c r="M136" s="3"/>
      <c r="N136" s="8">
        <f t="shared" si="31"/>
        <v>44.976999999999997</v>
      </c>
      <c r="O136" s="12"/>
      <c r="P136" s="7">
        <v>5677.85</v>
      </c>
      <c r="Q136" s="3"/>
      <c r="R136" s="8">
        <f t="shared" si="32"/>
        <v>9.3136411490489165E-4</v>
      </c>
      <c r="S136" s="3"/>
      <c r="T136" s="7">
        <v>370</v>
      </c>
      <c r="U136" s="3"/>
      <c r="V136" s="8">
        <f t="shared" si="33"/>
        <v>4.4933362608835893E-5</v>
      </c>
      <c r="W136" s="3"/>
      <c r="X136" s="7">
        <f t="shared" si="34"/>
        <v>5307.85</v>
      </c>
      <c r="Y136" s="3"/>
      <c r="Z136" s="8">
        <f t="shared" si="35"/>
        <v>14.345540540540542</v>
      </c>
    </row>
    <row r="137" spans="1:26" s="70" customFormat="1" ht="15" hidden="1" customHeight="1" outlineLevel="2" x14ac:dyDescent="0.3">
      <c r="A137" s="26"/>
      <c r="B137" s="12" t="str">
        <f>CONCATENATE("          ","6241"," - ","OFFICE EXPENSE")</f>
        <v xml:space="preserve">          6241 - OFFICE EXPENSE</v>
      </c>
      <c r="C137" s="12"/>
      <c r="D137" s="7">
        <v>1862.82</v>
      </c>
      <c r="E137" s="3"/>
      <c r="F137" s="8">
        <f t="shared" si="28"/>
        <v>2.5665191553988624E-3</v>
      </c>
      <c r="G137" s="3"/>
      <c r="H137" s="7">
        <v>470</v>
      </c>
      <c r="I137" s="3"/>
      <c r="J137" s="8">
        <f t="shared" si="29"/>
        <v>1.0372917416128342E-3</v>
      </c>
      <c r="K137" s="3"/>
      <c r="L137" s="7">
        <f t="shared" si="30"/>
        <v>1392.82</v>
      </c>
      <c r="M137" s="3"/>
      <c r="N137" s="8">
        <f t="shared" si="31"/>
        <v>2.9634468085106382</v>
      </c>
      <c r="O137" s="12"/>
      <c r="P137" s="7">
        <v>15194.6</v>
      </c>
      <c r="Q137" s="3"/>
      <c r="R137" s="8">
        <f t="shared" si="32"/>
        <v>2.4924408324161198E-3</v>
      </c>
      <c r="S137" s="3"/>
      <c r="T137" s="7">
        <v>5480</v>
      </c>
      <c r="U137" s="3"/>
      <c r="V137" s="8">
        <f t="shared" si="33"/>
        <v>6.6549953269302885E-4</v>
      </c>
      <c r="W137" s="3"/>
      <c r="X137" s="7">
        <f t="shared" si="34"/>
        <v>9714.6</v>
      </c>
      <c r="Y137" s="3"/>
      <c r="Z137" s="8">
        <f t="shared" si="35"/>
        <v>1.7727372262773724</v>
      </c>
    </row>
    <row r="138" spans="1:26" s="70" customFormat="1" ht="15" hidden="1" customHeight="1" outlineLevel="2" x14ac:dyDescent="0.3">
      <c r="A138" s="26"/>
      <c r="B138" s="12" t="str">
        <f>CONCATENATE("          ","6243"," - ","PAPER SUPPLIES")</f>
        <v xml:space="preserve">          6243 - PAPER SUPPLIES</v>
      </c>
      <c r="C138" s="12"/>
      <c r="D138" s="7">
        <v>1213.21</v>
      </c>
      <c r="E138" s="3"/>
      <c r="F138" s="8">
        <f t="shared" si="28"/>
        <v>1.6715123868765924E-3</v>
      </c>
      <c r="G138" s="3"/>
      <c r="H138" s="7">
        <v>350</v>
      </c>
      <c r="I138" s="3"/>
      <c r="J138" s="8">
        <f t="shared" si="29"/>
        <v>7.7245129694572762E-4</v>
      </c>
      <c r="K138" s="3"/>
      <c r="L138" s="7">
        <f t="shared" si="30"/>
        <v>863.21</v>
      </c>
      <c r="M138" s="3"/>
      <c r="N138" s="8">
        <f t="shared" si="31"/>
        <v>2.4663142857142857</v>
      </c>
      <c r="O138" s="12"/>
      <c r="P138" s="7">
        <v>6879.52</v>
      </c>
      <c r="Q138" s="3"/>
      <c r="R138" s="8">
        <f t="shared" si="32"/>
        <v>1.1284796279877947E-3</v>
      </c>
      <c r="S138" s="3"/>
      <c r="T138" s="7">
        <v>31950</v>
      </c>
      <c r="U138" s="3"/>
      <c r="V138" s="8">
        <f t="shared" si="33"/>
        <v>3.8800565820332612E-3</v>
      </c>
      <c r="W138" s="3"/>
      <c r="X138" s="7">
        <f t="shared" si="34"/>
        <v>-25070.48</v>
      </c>
      <c r="Y138" s="3"/>
      <c r="Z138" s="8">
        <f t="shared" si="35"/>
        <v>-0.78467856025039118</v>
      </c>
    </row>
    <row r="139" spans="1:26" s="70" customFormat="1" ht="15" hidden="1" customHeight="1" outlineLevel="2" x14ac:dyDescent="0.3">
      <c r="A139" s="26"/>
      <c r="B139" s="12" t="str">
        <f>CONCATENATE("          ","6245"," - ","PRINTING")</f>
        <v xml:space="preserve">          6245 - PRINTING</v>
      </c>
      <c r="C139" s="12"/>
      <c r="D139" s="7">
        <v>3682</v>
      </c>
      <c r="E139" s="3"/>
      <c r="F139" s="8">
        <f t="shared" si="28"/>
        <v>5.0729128580209639E-3</v>
      </c>
      <c r="G139" s="3"/>
      <c r="H139" s="7">
        <v>500</v>
      </c>
      <c r="I139" s="3"/>
      <c r="J139" s="8">
        <f t="shared" si="29"/>
        <v>1.1035018527796108E-3</v>
      </c>
      <c r="K139" s="3"/>
      <c r="L139" s="7">
        <f t="shared" si="30"/>
        <v>3182</v>
      </c>
      <c r="M139" s="3"/>
      <c r="N139" s="8">
        <f t="shared" si="31"/>
        <v>6.3639999999999999</v>
      </c>
      <c r="O139" s="12"/>
      <c r="P139" s="7">
        <v>6986.52</v>
      </c>
      <c r="Q139" s="3"/>
      <c r="R139" s="8">
        <f t="shared" si="32"/>
        <v>1.1460313351119391E-3</v>
      </c>
      <c r="S139" s="3"/>
      <c r="T139" s="7">
        <v>7995</v>
      </c>
      <c r="U139" s="3"/>
      <c r="V139" s="8">
        <f t="shared" si="33"/>
        <v>9.7092495691254851E-4</v>
      </c>
      <c r="W139" s="3"/>
      <c r="X139" s="7">
        <f t="shared" si="34"/>
        <v>-1008.4799999999996</v>
      </c>
      <c r="Y139" s="3"/>
      <c r="Z139" s="8">
        <f t="shared" si="35"/>
        <v>-0.12613883677298307</v>
      </c>
    </row>
    <row r="140" spans="1:26" s="70" customFormat="1" ht="15" hidden="1" customHeight="1" outlineLevel="2" x14ac:dyDescent="0.3">
      <c r="A140" s="26"/>
      <c r="B140" s="12" t="str">
        <f>CONCATENATE("          ","6247"," - ","STORE SUPPLIES")</f>
        <v xml:space="preserve">          6247 - STORE SUPPLIES</v>
      </c>
      <c r="C140" s="12"/>
      <c r="D140" s="7">
        <v>4849.1099999999997</v>
      </c>
      <c r="E140" s="3"/>
      <c r="F140" s="8">
        <f t="shared" si="28"/>
        <v>6.6809105021613342E-3</v>
      </c>
      <c r="G140" s="3"/>
      <c r="H140" s="7">
        <v>7225</v>
      </c>
      <c r="I140" s="3"/>
      <c r="J140" s="8">
        <f t="shared" si="29"/>
        <v>1.5945601772665376E-2</v>
      </c>
      <c r="K140" s="3"/>
      <c r="L140" s="7">
        <f t="shared" si="30"/>
        <v>-2375.8900000000003</v>
      </c>
      <c r="M140" s="3"/>
      <c r="N140" s="8">
        <f t="shared" si="31"/>
        <v>-0.32884290657439452</v>
      </c>
      <c r="O140" s="12"/>
      <c r="P140" s="7">
        <v>48035.839999999997</v>
      </c>
      <c r="Q140" s="3"/>
      <c r="R140" s="8">
        <f t="shared" si="32"/>
        <v>7.8795420106753406E-3</v>
      </c>
      <c r="S140" s="3"/>
      <c r="T140" s="7">
        <v>66830</v>
      </c>
      <c r="U140" s="3"/>
      <c r="V140" s="8">
        <f t="shared" si="33"/>
        <v>8.1159368193202772E-3</v>
      </c>
      <c r="W140" s="3"/>
      <c r="X140" s="7">
        <f t="shared" si="34"/>
        <v>-18794.160000000003</v>
      </c>
      <c r="Y140" s="3"/>
      <c r="Z140" s="8">
        <f t="shared" si="35"/>
        <v>-0.28122340266347456</v>
      </c>
    </row>
    <row r="141" spans="1:26" s="69" customFormat="1" ht="15" customHeight="1" outlineLevel="1" collapsed="1" x14ac:dyDescent="0.3">
      <c r="A141" s="25"/>
      <c r="B141" s="14" t="str">
        <f>CONCATENATE("     ","Telephone/Data Lines                              ")</f>
        <v xml:space="preserve">     Telephone/Data Lines                              </v>
      </c>
      <c r="C141" s="14"/>
      <c r="D141" s="2">
        <f>SUM(OSRRefD22_22x_0)</f>
        <v>1917.19</v>
      </c>
      <c r="E141" s="2"/>
      <c r="F141" s="6">
        <f t="shared" si="28"/>
        <v>2.6414279745435119E-3</v>
      </c>
      <c r="G141" s="2"/>
      <c r="H141" s="2">
        <f>SUM(OSRRefH22_22x_0)</f>
        <v>1913</v>
      </c>
      <c r="I141" s="2"/>
      <c r="J141" s="6">
        <f t="shared" si="29"/>
        <v>4.2219980887347906E-3</v>
      </c>
      <c r="K141" s="2"/>
      <c r="L141" s="2">
        <f t="shared" si="30"/>
        <v>4.1900000000000546</v>
      </c>
      <c r="M141" s="2"/>
      <c r="N141" s="6">
        <f t="shared" si="31"/>
        <v>2.1902770517512045E-3</v>
      </c>
      <c r="O141" s="14"/>
      <c r="P141" s="2">
        <f>SUM(OSRRefP22_22x_0)</f>
        <v>17537.419999999998</v>
      </c>
      <c r="Q141" s="2"/>
      <c r="R141" s="6">
        <f t="shared" si="32"/>
        <v>2.8767444818047928E-3</v>
      </c>
      <c r="S141" s="2"/>
      <c r="T141" s="2">
        <f>SUM(OSRRefT22_22x_0)</f>
        <v>17817</v>
      </c>
      <c r="U141" s="2"/>
      <c r="V141" s="6">
        <f t="shared" si="33"/>
        <v>2.1637235718962949E-3</v>
      </c>
      <c r="W141" s="2"/>
      <c r="X141" s="2">
        <f t="shared" si="34"/>
        <v>-279.58000000000175</v>
      </c>
      <c r="Y141" s="2"/>
      <c r="Z141" s="6">
        <f t="shared" si="35"/>
        <v>-1.5691755065387086E-2</v>
      </c>
    </row>
    <row r="142" spans="1:26" s="70" customFormat="1" ht="15" hidden="1" customHeight="1" outlineLevel="2" x14ac:dyDescent="0.3">
      <c r="A142" s="26"/>
      <c r="B142" s="12" t="str">
        <f>CONCATENATE("          ","6303"," - ","DATA PHONE LINES")</f>
        <v xml:space="preserve">          6303 - DATA PHONE LINES</v>
      </c>
      <c r="C142" s="12"/>
      <c r="D142" s="7"/>
      <c r="E142" s="3"/>
      <c r="F142" s="8">
        <f t="shared" si="28"/>
        <v>0</v>
      </c>
      <c r="G142" s="3"/>
      <c r="H142" s="7">
        <v>50</v>
      </c>
      <c r="I142" s="3"/>
      <c r="J142" s="8">
        <f t="shared" si="29"/>
        <v>1.1035018527796108E-4</v>
      </c>
      <c r="K142" s="3"/>
      <c r="L142" s="7">
        <f t="shared" si="30"/>
        <v>-50</v>
      </c>
      <c r="M142" s="3"/>
      <c r="N142" s="8">
        <f t="shared" si="31"/>
        <v>-1</v>
      </c>
      <c r="O142" s="12"/>
      <c r="P142" s="7">
        <v>295</v>
      </c>
      <c r="Q142" s="3"/>
      <c r="R142" s="8">
        <f t="shared" si="32"/>
        <v>4.8390220575912186E-5</v>
      </c>
      <c r="S142" s="3"/>
      <c r="T142" s="7">
        <v>450</v>
      </c>
      <c r="U142" s="3"/>
      <c r="V142" s="8">
        <f t="shared" si="33"/>
        <v>5.4648684253989599E-5</v>
      </c>
      <c r="W142" s="3"/>
      <c r="X142" s="7">
        <f t="shared" si="34"/>
        <v>-155</v>
      </c>
      <c r="Y142" s="3"/>
      <c r="Z142" s="8">
        <f t="shared" si="35"/>
        <v>-0.34444444444444444</v>
      </c>
    </row>
    <row r="143" spans="1:26" s="70" customFormat="1" ht="15" hidden="1" customHeight="1" outlineLevel="2" x14ac:dyDescent="0.3">
      <c r="A143" s="26"/>
      <c r="B143" s="12" t="str">
        <f>CONCATENATE("          ","6309"," - ","TELEPHONE")</f>
        <v xml:space="preserve">          6309 - TELEPHONE</v>
      </c>
      <c r="C143" s="12"/>
      <c r="D143" s="7">
        <v>1917.19</v>
      </c>
      <c r="E143" s="3"/>
      <c r="F143" s="8">
        <f t="shared" si="28"/>
        <v>2.6414279745435119E-3</v>
      </c>
      <c r="G143" s="3"/>
      <c r="H143" s="7">
        <v>1863</v>
      </c>
      <c r="I143" s="3"/>
      <c r="J143" s="8">
        <f t="shared" si="29"/>
        <v>4.1116479034568297E-3</v>
      </c>
      <c r="K143" s="3"/>
      <c r="L143" s="7">
        <f t="shared" si="30"/>
        <v>54.190000000000055</v>
      </c>
      <c r="M143" s="3"/>
      <c r="N143" s="8">
        <f t="shared" si="31"/>
        <v>2.9087493290391869E-2</v>
      </c>
      <c r="O143" s="12"/>
      <c r="P143" s="7">
        <v>17242.419999999998</v>
      </c>
      <c r="Q143" s="3"/>
      <c r="R143" s="8">
        <f t="shared" si="32"/>
        <v>2.8283542612288805E-3</v>
      </c>
      <c r="S143" s="3"/>
      <c r="T143" s="7">
        <v>17367</v>
      </c>
      <c r="U143" s="3"/>
      <c r="V143" s="8">
        <f t="shared" si="33"/>
        <v>2.109074887642305E-3</v>
      </c>
      <c r="W143" s="3"/>
      <c r="X143" s="7">
        <f t="shared" si="34"/>
        <v>-124.58000000000175</v>
      </c>
      <c r="Y143" s="3"/>
      <c r="Z143" s="8">
        <f t="shared" si="35"/>
        <v>-7.1733747912709018E-3</v>
      </c>
    </row>
    <row r="144" spans="1:26" s="69" customFormat="1" ht="15" customHeight="1" outlineLevel="1" collapsed="1" x14ac:dyDescent="0.3">
      <c r="A144" s="25"/>
      <c r="B144" s="14" t="str">
        <f>CONCATENATE("     ","Training                                          ")</f>
        <v xml:space="preserve">     Training                                          </v>
      </c>
      <c r="C144" s="14"/>
      <c r="D144" s="2">
        <f>SUM(OSRRefD22_23x_0)</f>
        <v>199</v>
      </c>
      <c r="E144" s="2"/>
      <c r="F144" s="6">
        <f t="shared" si="28"/>
        <v>2.7417426907826501E-4</v>
      </c>
      <c r="G144" s="2"/>
      <c r="H144" s="2">
        <f>SUM(OSRRefH22_23x_0)</f>
        <v>0</v>
      </c>
      <c r="I144" s="2"/>
      <c r="J144" s="6">
        <f t="shared" si="29"/>
        <v>0</v>
      </c>
      <c r="K144" s="2"/>
      <c r="L144" s="2">
        <f t="shared" si="30"/>
        <v>199</v>
      </c>
      <c r="M144" s="2"/>
      <c r="N144" s="6">
        <f t="shared" si="31"/>
        <v>0</v>
      </c>
      <c r="O144" s="14"/>
      <c r="P144" s="2">
        <f>SUM(OSRRefP22_23x_0)</f>
        <v>1414</v>
      </c>
      <c r="Q144" s="2"/>
      <c r="R144" s="6">
        <f t="shared" si="32"/>
        <v>2.3194498947233842E-4</v>
      </c>
      <c r="S144" s="2"/>
      <c r="T144" s="2">
        <f>SUM(OSRRefT22_23x_0)</f>
        <v>2150</v>
      </c>
      <c r="U144" s="2"/>
      <c r="V144" s="6">
        <f t="shared" si="33"/>
        <v>2.6109926921350586E-4</v>
      </c>
      <c r="W144" s="2"/>
      <c r="X144" s="2">
        <f t="shared" si="34"/>
        <v>-736</v>
      </c>
      <c r="Y144" s="2"/>
      <c r="Z144" s="6">
        <f t="shared" si="35"/>
        <v>-0.34232558139534885</v>
      </c>
    </row>
    <row r="145" spans="1:26" s="70" customFormat="1" ht="15" hidden="1" customHeight="1" outlineLevel="2" x14ac:dyDescent="0.3">
      <c r="A145" s="26"/>
      <c r="B145" s="12" t="str">
        <f>CONCATENATE("          ","6376"," - ","TRAINING")</f>
        <v xml:space="preserve">          6376 - TRAINING</v>
      </c>
      <c r="C145" s="12"/>
      <c r="D145" s="7">
        <v>199</v>
      </c>
      <c r="E145" s="3"/>
      <c r="F145" s="8">
        <f t="shared" si="28"/>
        <v>2.7417426907826501E-4</v>
      </c>
      <c r="G145" s="3"/>
      <c r="H145" s="7">
        <v>0</v>
      </c>
      <c r="I145" s="3"/>
      <c r="J145" s="8">
        <f t="shared" si="29"/>
        <v>0</v>
      </c>
      <c r="K145" s="3"/>
      <c r="L145" s="7">
        <f t="shared" si="30"/>
        <v>199</v>
      </c>
      <c r="M145" s="3"/>
      <c r="N145" s="8">
        <f t="shared" si="31"/>
        <v>0</v>
      </c>
      <c r="O145" s="12"/>
      <c r="P145" s="7">
        <v>1414</v>
      </c>
      <c r="Q145" s="3"/>
      <c r="R145" s="8">
        <f t="shared" si="32"/>
        <v>2.3194498947233842E-4</v>
      </c>
      <c r="S145" s="3"/>
      <c r="T145" s="7">
        <v>2150</v>
      </c>
      <c r="U145" s="3"/>
      <c r="V145" s="8">
        <f t="shared" si="33"/>
        <v>2.6109926921350586E-4</v>
      </c>
      <c r="W145" s="3"/>
      <c r="X145" s="7">
        <f t="shared" si="34"/>
        <v>-736</v>
      </c>
      <c r="Y145" s="3"/>
      <c r="Z145" s="8">
        <f t="shared" si="35"/>
        <v>-0.34232558139534885</v>
      </c>
    </row>
    <row r="146" spans="1:26" s="69" customFormat="1" ht="15" customHeight="1" outlineLevel="1" collapsed="1" x14ac:dyDescent="0.3">
      <c r="A146" s="25"/>
      <c r="B146" s="14" t="str">
        <f>CONCATENATE("     ","Travel                                            ")</f>
        <v xml:space="preserve">     Travel                                            </v>
      </c>
      <c r="C146" s="14"/>
      <c r="D146" s="2">
        <f>SUM(OSRRefD22_24x_0)</f>
        <v>46.81</v>
      </c>
      <c r="E146" s="2"/>
      <c r="F146" s="6">
        <f t="shared" si="28"/>
        <v>6.449295243996776E-5</v>
      </c>
      <c r="G146" s="2"/>
      <c r="H146" s="2">
        <f>SUM(OSRRefH22_24x_0)</f>
        <v>175</v>
      </c>
      <c r="I146" s="2"/>
      <c r="J146" s="6">
        <f t="shared" si="29"/>
        <v>3.8622564847286381E-4</v>
      </c>
      <c r="K146" s="2"/>
      <c r="L146" s="2">
        <f t="shared" si="30"/>
        <v>-128.19</v>
      </c>
      <c r="M146" s="2"/>
      <c r="N146" s="6">
        <f t="shared" si="31"/>
        <v>-0.73251428571428567</v>
      </c>
      <c r="O146" s="14"/>
      <c r="P146" s="2">
        <f>SUM(OSRRefP22_24x_0)</f>
        <v>1135.57</v>
      </c>
      <c r="Q146" s="2"/>
      <c r="R146" s="6">
        <f t="shared" si="32"/>
        <v>1.8627282298097831E-4</v>
      </c>
      <c r="S146" s="2"/>
      <c r="T146" s="2">
        <f>SUM(OSRRefT22_24x_0)</f>
        <v>1825</v>
      </c>
      <c r="U146" s="2"/>
      <c r="V146" s="6">
        <f t="shared" si="33"/>
        <v>2.2163077503006891E-4</v>
      </c>
      <c r="W146" s="2"/>
      <c r="X146" s="2">
        <f t="shared" si="34"/>
        <v>-689.43000000000006</v>
      </c>
      <c r="Y146" s="2"/>
      <c r="Z146" s="6">
        <f t="shared" si="35"/>
        <v>-0.37776986301369869</v>
      </c>
    </row>
    <row r="147" spans="1:26" s="70" customFormat="1" ht="15" hidden="1" customHeight="1" outlineLevel="2" x14ac:dyDescent="0.3">
      <c r="A147" s="26"/>
      <c r="B147" s="12" t="str">
        <f>CONCATENATE("          ","6292"," - ","TRAVEL/CONFERENCE")</f>
        <v xml:space="preserve">          6292 - TRAVEL/CONFERENCE</v>
      </c>
      <c r="C147" s="12"/>
      <c r="D147" s="7"/>
      <c r="E147" s="3"/>
      <c r="F147" s="8">
        <f t="shared" si="28"/>
        <v>0</v>
      </c>
      <c r="G147" s="3"/>
      <c r="H147" s="7">
        <v>125</v>
      </c>
      <c r="I147" s="3"/>
      <c r="J147" s="8">
        <f t="shared" si="29"/>
        <v>2.7587546319490271E-4</v>
      </c>
      <c r="K147" s="3"/>
      <c r="L147" s="7">
        <f t="shared" si="30"/>
        <v>-125</v>
      </c>
      <c r="M147" s="3"/>
      <c r="N147" s="8">
        <f t="shared" si="31"/>
        <v>-1</v>
      </c>
      <c r="O147" s="12"/>
      <c r="P147" s="7">
        <v>495</v>
      </c>
      <c r="Q147" s="3"/>
      <c r="R147" s="8">
        <f t="shared" si="32"/>
        <v>8.1197149779920443E-5</v>
      </c>
      <c r="S147" s="3"/>
      <c r="T147" s="7">
        <v>1125</v>
      </c>
      <c r="U147" s="3"/>
      <c r="V147" s="8">
        <f t="shared" si="33"/>
        <v>1.3662171063497398E-4</v>
      </c>
      <c r="W147" s="3"/>
      <c r="X147" s="7">
        <f t="shared" si="34"/>
        <v>-630</v>
      </c>
      <c r="Y147" s="3"/>
      <c r="Z147" s="8">
        <f t="shared" si="35"/>
        <v>-0.56000000000000005</v>
      </c>
    </row>
    <row r="148" spans="1:26" s="70" customFormat="1" ht="15" hidden="1" customHeight="1" outlineLevel="2" x14ac:dyDescent="0.3">
      <c r="A148" s="26"/>
      <c r="B148" s="12" t="str">
        <f>CONCATENATE("          ","6294"," - ","TRAVEL OPERATIONAL")</f>
        <v xml:space="preserve">          6294 - TRAVEL OPERATIONAL</v>
      </c>
      <c r="C148" s="12"/>
      <c r="D148" s="7">
        <v>46.81</v>
      </c>
      <c r="E148" s="3"/>
      <c r="F148" s="8">
        <f t="shared" si="28"/>
        <v>6.449295243996776E-5</v>
      </c>
      <c r="G148" s="3"/>
      <c r="H148" s="7">
        <v>25</v>
      </c>
      <c r="I148" s="3"/>
      <c r="J148" s="8">
        <f t="shared" si="29"/>
        <v>5.5175092638980538E-5</v>
      </c>
      <c r="K148" s="3"/>
      <c r="L148" s="7">
        <f t="shared" si="30"/>
        <v>21.810000000000002</v>
      </c>
      <c r="M148" s="3"/>
      <c r="N148" s="8">
        <f t="shared" si="31"/>
        <v>0.87240000000000006</v>
      </c>
      <c r="O148" s="12"/>
      <c r="P148" s="7">
        <v>403.48</v>
      </c>
      <c r="Q148" s="3"/>
      <c r="R148" s="8">
        <f t="shared" si="32"/>
        <v>6.6184698976166269E-5</v>
      </c>
      <c r="S148" s="3"/>
      <c r="T148" s="7">
        <v>225</v>
      </c>
      <c r="U148" s="3"/>
      <c r="V148" s="8">
        <f t="shared" si="33"/>
        <v>2.73243421269948E-5</v>
      </c>
      <c r="W148" s="3"/>
      <c r="X148" s="7">
        <f t="shared" si="34"/>
        <v>178.48000000000002</v>
      </c>
      <c r="Y148" s="3"/>
      <c r="Z148" s="8">
        <f t="shared" si="35"/>
        <v>0.79324444444444453</v>
      </c>
    </row>
    <row r="149" spans="1:26" s="70" customFormat="1" ht="15" hidden="1" customHeight="1" outlineLevel="2" x14ac:dyDescent="0.3">
      <c r="A149" s="26"/>
      <c r="B149" s="12" t="str">
        <f>CONCATENATE("          ","6298"," - ","VEHICLE MILEAGE")</f>
        <v xml:space="preserve">          6298 - VEHICLE MILEAGE</v>
      </c>
      <c r="C149" s="12"/>
      <c r="D149" s="7"/>
      <c r="E149" s="3"/>
      <c r="F149" s="8">
        <f t="shared" si="28"/>
        <v>0</v>
      </c>
      <c r="G149" s="3"/>
      <c r="H149" s="7">
        <v>25</v>
      </c>
      <c r="I149" s="3"/>
      <c r="J149" s="8">
        <f t="shared" si="29"/>
        <v>5.5175092638980538E-5</v>
      </c>
      <c r="K149" s="3"/>
      <c r="L149" s="7">
        <f t="shared" si="30"/>
        <v>-25</v>
      </c>
      <c r="M149" s="3"/>
      <c r="N149" s="8">
        <f t="shared" si="31"/>
        <v>-1</v>
      </c>
      <c r="O149" s="12"/>
      <c r="P149" s="7">
        <v>237.09</v>
      </c>
      <c r="Q149" s="3"/>
      <c r="R149" s="8">
        <f t="shared" si="32"/>
        <v>3.8890974224891598E-5</v>
      </c>
      <c r="S149" s="3"/>
      <c r="T149" s="7">
        <v>475</v>
      </c>
      <c r="U149" s="3"/>
      <c r="V149" s="8">
        <f t="shared" si="33"/>
        <v>5.7684722268100131E-5</v>
      </c>
      <c r="W149" s="3"/>
      <c r="X149" s="7">
        <f t="shared" si="34"/>
        <v>-237.91</v>
      </c>
      <c r="Y149" s="3"/>
      <c r="Z149" s="8">
        <f t="shared" si="35"/>
        <v>-0.50086315789473679</v>
      </c>
    </row>
    <row r="150" spans="1:26" s="69" customFormat="1" ht="15" customHeight="1" outlineLevel="1" collapsed="1" x14ac:dyDescent="0.3">
      <c r="A150" s="25"/>
      <c r="B150" s="14" t="str">
        <f>CONCATENATE("     ","Utilities                                         ")</f>
        <v xml:space="preserve">     Utilities                                         </v>
      </c>
      <c r="C150" s="14"/>
      <c r="D150" s="2">
        <f>SUM(OSRRefD22_25x_0)</f>
        <v>6237.83</v>
      </c>
      <c r="E150" s="2"/>
      <c r="F150" s="6">
        <f t="shared" si="28"/>
        <v>8.5942335722837878E-3</v>
      </c>
      <c r="G150" s="2"/>
      <c r="H150" s="2">
        <f>SUM(OSRRefH22_25x_0)</f>
        <v>6120</v>
      </c>
      <c r="I150" s="2"/>
      <c r="J150" s="6">
        <f t="shared" si="29"/>
        <v>1.3506862678022436E-2</v>
      </c>
      <c r="K150" s="2"/>
      <c r="L150" s="2">
        <f t="shared" si="30"/>
        <v>117.82999999999993</v>
      </c>
      <c r="M150" s="2"/>
      <c r="N150" s="6">
        <f t="shared" si="31"/>
        <v>1.9253267973856198E-2</v>
      </c>
      <c r="O150" s="14"/>
      <c r="P150" s="2">
        <f>SUM(OSRRefP22_25x_0)</f>
        <v>49932.9</v>
      </c>
      <c r="Q150" s="2"/>
      <c r="R150" s="6">
        <f t="shared" si="32"/>
        <v>8.1907255762541202E-3</v>
      </c>
      <c r="S150" s="2"/>
      <c r="T150" s="2">
        <f>SUM(OSRRefT22_25x_0)</f>
        <v>57760</v>
      </c>
      <c r="U150" s="2"/>
      <c r="V150" s="6">
        <f t="shared" si="33"/>
        <v>7.014462227800976E-3</v>
      </c>
      <c r="W150" s="2"/>
      <c r="X150" s="2">
        <f t="shared" si="34"/>
        <v>-7827.0999999999985</v>
      </c>
      <c r="Y150" s="2"/>
      <c r="Z150" s="6">
        <f t="shared" si="35"/>
        <v>-0.13551073407202213</v>
      </c>
    </row>
    <row r="151" spans="1:26" s="70" customFormat="1" ht="15" hidden="1" customHeight="1" outlineLevel="2" x14ac:dyDescent="0.3">
      <c r="A151" s="26"/>
      <c r="B151" s="12" t="str">
        <f>CONCATENATE("          ","6274"," - ","UTILITIES")</f>
        <v xml:space="preserve">          6274 - UTILITIES</v>
      </c>
      <c r="C151" s="12"/>
      <c r="D151" s="7">
        <v>6237.83</v>
      </c>
      <c r="E151" s="3"/>
      <c r="F151" s="8">
        <f t="shared" si="28"/>
        <v>8.5942335722837878E-3</v>
      </c>
      <c r="G151" s="3"/>
      <c r="H151" s="7">
        <v>6120</v>
      </c>
      <c r="I151" s="3"/>
      <c r="J151" s="8">
        <f t="shared" si="29"/>
        <v>1.3506862678022436E-2</v>
      </c>
      <c r="K151" s="3"/>
      <c r="L151" s="7">
        <f t="shared" si="30"/>
        <v>117.82999999999993</v>
      </c>
      <c r="M151" s="3"/>
      <c r="N151" s="8">
        <f t="shared" si="31"/>
        <v>1.9253267973856198E-2</v>
      </c>
      <c r="O151" s="12"/>
      <c r="P151" s="7">
        <v>49932.9</v>
      </c>
      <c r="Q151" s="3"/>
      <c r="R151" s="8">
        <f t="shared" si="32"/>
        <v>8.1907255762541202E-3</v>
      </c>
      <c r="S151" s="3"/>
      <c r="T151" s="7">
        <v>57760</v>
      </c>
      <c r="U151" s="3"/>
      <c r="V151" s="8">
        <f t="shared" si="33"/>
        <v>7.014462227800976E-3</v>
      </c>
      <c r="W151" s="3"/>
      <c r="X151" s="7">
        <f t="shared" si="34"/>
        <v>-7827.0999999999985</v>
      </c>
      <c r="Y151" s="3"/>
      <c r="Z151" s="8">
        <f t="shared" si="35"/>
        <v>-0.13551073407202213</v>
      </c>
    </row>
    <row r="152" spans="1:26" s="65" customFormat="1" ht="15" customHeight="1" x14ac:dyDescent="0.3">
      <c r="A152" s="35"/>
      <c r="B152" s="35"/>
      <c r="C152" s="35"/>
      <c r="D152" s="2"/>
      <c r="E152" s="2"/>
      <c r="F152" s="6"/>
      <c r="G152" s="2"/>
      <c r="H152" s="2"/>
      <c r="I152" s="2"/>
      <c r="J152" s="6"/>
      <c r="K152" s="2"/>
      <c r="L152" s="2"/>
      <c r="M152" s="2"/>
      <c r="N152" s="6"/>
      <c r="O152" s="35"/>
      <c r="P152" s="2"/>
      <c r="Q152" s="2"/>
      <c r="R152" s="6"/>
      <c r="S152" s="2"/>
      <c r="T152" s="2"/>
      <c r="U152" s="2"/>
      <c r="V152" s="6"/>
      <c r="W152" s="2"/>
      <c r="X152" s="2"/>
      <c r="Y152" s="2"/>
      <c r="Z152" s="6"/>
    </row>
    <row r="153" spans="1:26" s="63" customFormat="1" ht="15" customHeight="1" collapsed="1" x14ac:dyDescent="0.3">
      <c r="A153" s="11"/>
      <c r="B153" s="28" t="s">
        <v>291</v>
      </c>
      <c r="C153" s="11"/>
      <c r="D153" s="5">
        <f>SUM(OSRRefD25x_0)</f>
        <v>182868.54</v>
      </c>
      <c r="E153" s="5"/>
      <c r="F153" s="13">
        <f t="shared" ref="F153:F158" si="36">IF(D$12=0,0,D153/D$12)</f>
        <v>0.25194898639150487</v>
      </c>
      <c r="G153" s="5"/>
      <c r="H153" s="5">
        <f>SUM(OSRRefH25x_0)</f>
        <v>62092</v>
      </c>
      <c r="I153" s="5"/>
      <c r="J153" s="13">
        <f t="shared" ref="J153:J158" si="37">IF(H$12=0,0,H153/H$12)</f>
        <v>0.13703727408558319</v>
      </c>
      <c r="K153" s="5"/>
      <c r="L153" s="5">
        <f t="shared" ref="L153:L158" si="38">+D153-H153</f>
        <v>120776.54000000001</v>
      </c>
      <c r="M153" s="5"/>
      <c r="N153" s="13">
        <f t="shared" ref="N153:N158" si="39">IF(H153=0,0,L153/H153)</f>
        <v>1.945122399020808</v>
      </c>
      <c r="O153" s="11"/>
      <c r="P153" s="5">
        <f>SUM(OSRRefP25x_0)</f>
        <v>910907.34000000008</v>
      </c>
      <c r="Q153" s="5"/>
      <c r="R153" s="13">
        <f t="shared" ref="R153:R158" si="40">IF(P$12=0,0,P153/P$12)</f>
        <v>0.14942036307395742</v>
      </c>
      <c r="S153" s="5"/>
      <c r="T153" s="5">
        <f>SUM(OSRRefT25x_0)</f>
        <v>704672.23</v>
      </c>
      <c r="U153" s="5"/>
      <c r="V153" s="13">
        <f t="shared" ref="V153:V158" si="41">IF(T$12=0,0,T153/T$12)</f>
        <v>8.557646711072163E-2</v>
      </c>
      <c r="W153" s="5"/>
      <c r="X153" s="5">
        <f t="shared" ref="X153:X158" si="42">+P153-T153</f>
        <v>206235.1100000001</v>
      </c>
      <c r="Y153" s="5"/>
      <c r="Z153" s="13">
        <f t="shared" ref="Z153:Z158" si="43">IF(T153=0,0,X153/T153)</f>
        <v>0.29266813877424985</v>
      </c>
    </row>
    <row r="154" spans="1:26" s="70" customFormat="1" ht="15" hidden="1" customHeight="1" outlineLevel="1" x14ac:dyDescent="0.3">
      <c r="A154" s="42"/>
      <c r="B154" s="12" t="str">
        <f>CONCATENATE("          ","9150"," - ","MISC. INCOME")</f>
        <v xml:space="preserve">          9150 - MISC. INCOME</v>
      </c>
      <c r="C154" s="12"/>
      <c r="D154" s="3">
        <f>--7296.65</f>
        <v>7296.65</v>
      </c>
      <c r="E154" s="3"/>
      <c r="F154" s="20">
        <f t="shared" si="36"/>
        <v>1.0053033570200614E-2</v>
      </c>
      <c r="G154" s="3"/>
      <c r="H154" s="3">
        <v>3759</v>
      </c>
      <c r="I154" s="3"/>
      <c r="J154" s="20">
        <f t="shared" si="37"/>
        <v>8.2961269291971142E-3</v>
      </c>
      <c r="K154" s="3"/>
      <c r="L154" s="3">
        <f t="shared" si="38"/>
        <v>3537.6499999999996</v>
      </c>
      <c r="M154" s="3"/>
      <c r="N154" s="20">
        <f t="shared" si="39"/>
        <v>0.94111465815376416</v>
      </c>
      <c r="O154" s="12"/>
      <c r="P154" s="3">
        <f>--327930.42</f>
        <v>327930.42</v>
      </c>
      <c r="Q154" s="3"/>
      <c r="R154" s="20">
        <f t="shared" si="40"/>
        <v>5.3791950363903475E-2</v>
      </c>
      <c r="S154" s="3"/>
      <c r="T154" s="3">
        <v>131144</v>
      </c>
      <c r="U154" s="3"/>
      <c r="V154" s="20">
        <f t="shared" si="41"/>
        <v>1.592632677290047E-2</v>
      </c>
      <c r="W154" s="3"/>
      <c r="X154" s="3">
        <f t="shared" si="42"/>
        <v>196786.41999999998</v>
      </c>
      <c r="Y154" s="3"/>
      <c r="Z154" s="20">
        <f t="shared" si="43"/>
        <v>1.5005369669981088</v>
      </c>
    </row>
    <row r="155" spans="1:26" s="70" customFormat="1" ht="15" hidden="1" customHeight="1" outlineLevel="1" x14ac:dyDescent="0.3">
      <c r="A155" s="42"/>
      <c r="B155" s="12" t="str">
        <f>CONCATENATE("          ","9151"," - ","MISC. INCOME")</f>
        <v xml:space="preserve">          9151 - MISC. INCOME</v>
      </c>
      <c r="C155" s="12"/>
      <c r="D155" s="3">
        <f>0</f>
        <v>0</v>
      </c>
      <c r="E155" s="3"/>
      <c r="F155" s="20">
        <f t="shared" si="36"/>
        <v>0</v>
      </c>
      <c r="G155" s="3"/>
      <c r="H155" s="3"/>
      <c r="I155" s="3"/>
      <c r="J155" s="20">
        <f t="shared" si="37"/>
        <v>0</v>
      </c>
      <c r="K155" s="3"/>
      <c r="L155" s="3">
        <f t="shared" si="38"/>
        <v>0</v>
      </c>
      <c r="M155" s="3"/>
      <c r="N155" s="20">
        <f t="shared" si="39"/>
        <v>0</v>
      </c>
      <c r="O155" s="12"/>
      <c r="P155" s="3">
        <f>--323761.7</f>
        <v>323761.7</v>
      </c>
      <c r="Q155" s="3"/>
      <c r="R155" s="20">
        <f t="shared" si="40"/>
        <v>5.3108135854346809E-2</v>
      </c>
      <c r="S155" s="3"/>
      <c r="T155" s="3">
        <v>456862.23</v>
      </c>
      <c r="U155" s="3"/>
      <c r="V155" s="20">
        <f t="shared" si="41"/>
        <v>5.5482043899652382E-2</v>
      </c>
      <c r="W155" s="3"/>
      <c r="X155" s="3">
        <f t="shared" si="42"/>
        <v>-133100.52999999997</v>
      </c>
      <c r="Y155" s="3"/>
      <c r="Z155" s="20">
        <f t="shared" si="43"/>
        <v>-0.29133625250658163</v>
      </c>
    </row>
    <row r="156" spans="1:26" s="70" customFormat="1" ht="15" hidden="1" customHeight="1" outlineLevel="1" x14ac:dyDescent="0.3">
      <c r="A156" s="42"/>
      <c r="B156" s="12" t="str">
        <f>CONCATENATE("          ","9152"," - ","MISC. INCOME")</f>
        <v xml:space="preserve">          9152 - MISC. INCOME</v>
      </c>
      <c r="C156" s="12"/>
      <c r="D156" s="3">
        <f>--516.89</f>
        <v>516.89</v>
      </c>
      <c r="E156" s="3"/>
      <c r="F156" s="20">
        <f t="shared" si="36"/>
        <v>7.1215044192896677E-4</v>
      </c>
      <c r="G156" s="3"/>
      <c r="H156" s="3"/>
      <c r="I156" s="3"/>
      <c r="J156" s="20">
        <f t="shared" si="37"/>
        <v>0</v>
      </c>
      <c r="K156" s="3"/>
      <c r="L156" s="3">
        <f t="shared" si="38"/>
        <v>516.89</v>
      </c>
      <c r="M156" s="3"/>
      <c r="N156" s="20">
        <f t="shared" si="39"/>
        <v>0</v>
      </c>
      <c r="O156" s="12"/>
      <c r="P156" s="3">
        <f>--4384.52</f>
        <v>4384.5200000000004</v>
      </c>
      <c r="Q156" s="3"/>
      <c r="R156" s="20">
        <f t="shared" si="40"/>
        <v>7.1921318616779159E-4</v>
      </c>
      <c r="S156" s="3"/>
      <c r="T156" s="3"/>
      <c r="U156" s="3"/>
      <c r="V156" s="20">
        <f t="shared" si="41"/>
        <v>0</v>
      </c>
      <c r="W156" s="3"/>
      <c r="X156" s="3">
        <f t="shared" si="42"/>
        <v>4384.5200000000004</v>
      </c>
      <c r="Y156" s="3"/>
      <c r="Z156" s="20">
        <f t="shared" si="43"/>
        <v>0</v>
      </c>
    </row>
    <row r="157" spans="1:26" s="70" customFormat="1" ht="15" hidden="1" customHeight="1" outlineLevel="1" x14ac:dyDescent="0.3">
      <c r="A157" s="42"/>
      <c r="B157" s="12" t="str">
        <f>CONCATENATE("          ","9160"," - ","MISC. INCOME")</f>
        <v xml:space="preserve">          9160 - MISC. INCOME</v>
      </c>
      <c r="C157" s="12"/>
      <c r="D157" s="3">
        <f>0</f>
        <v>0</v>
      </c>
      <c r="E157" s="3"/>
      <c r="F157" s="20">
        <f t="shared" si="36"/>
        <v>0</v>
      </c>
      <c r="G157" s="3"/>
      <c r="H157" s="3">
        <v>58333</v>
      </c>
      <c r="I157" s="3"/>
      <c r="J157" s="20">
        <f t="shared" si="37"/>
        <v>0.12874114715638607</v>
      </c>
      <c r="K157" s="3"/>
      <c r="L157" s="3">
        <f t="shared" si="38"/>
        <v>-58333</v>
      </c>
      <c r="M157" s="3"/>
      <c r="N157" s="20">
        <f t="shared" si="39"/>
        <v>-1</v>
      </c>
      <c r="O157" s="12"/>
      <c r="P157" s="3">
        <f>0</f>
        <v>0</v>
      </c>
      <c r="Q157" s="3"/>
      <c r="R157" s="20">
        <f t="shared" si="40"/>
        <v>0</v>
      </c>
      <c r="S157" s="3"/>
      <c r="T157" s="3">
        <v>116666</v>
      </c>
      <c r="U157" s="3"/>
      <c r="V157" s="20">
        <f t="shared" si="41"/>
        <v>1.4168096438168779E-2</v>
      </c>
      <c r="W157" s="3"/>
      <c r="X157" s="3">
        <f t="shared" si="42"/>
        <v>-116666</v>
      </c>
      <c r="Y157" s="3"/>
      <c r="Z157" s="20">
        <f t="shared" si="43"/>
        <v>-1</v>
      </c>
    </row>
    <row r="158" spans="1:26" s="70" customFormat="1" ht="15" hidden="1" customHeight="1" outlineLevel="1" x14ac:dyDescent="0.3">
      <c r="A158" s="42"/>
      <c r="B158" s="12" t="str">
        <f>CONCATENATE("          ","9163"," - ","MISC. INCOME")</f>
        <v xml:space="preserve">          9163 - MISC. INCOME</v>
      </c>
      <c r="C158" s="12"/>
      <c r="D158" s="3">
        <f>--175055</f>
        <v>175055</v>
      </c>
      <c r="E158" s="3"/>
      <c r="F158" s="20">
        <f t="shared" si="36"/>
        <v>0.24118380237937528</v>
      </c>
      <c r="G158" s="3"/>
      <c r="H158" s="3"/>
      <c r="I158" s="3"/>
      <c r="J158" s="20">
        <f t="shared" si="37"/>
        <v>0</v>
      </c>
      <c r="K158" s="3"/>
      <c r="L158" s="3">
        <f t="shared" si="38"/>
        <v>175055</v>
      </c>
      <c r="M158" s="3"/>
      <c r="N158" s="20">
        <f t="shared" si="39"/>
        <v>0</v>
      </c>
      <c r="O158" s="12"/>
      <c r="P158" s="3">
        <f>--254830.7</f>
        <v>254830.7</v>
      </c>
      <c r="Q158" s="3"/>
      <c r="R158" s="20">
        <f t="shared" si="40"/>
        <v>4.180106366953934E-2</v>
      </c>
      <c r="S158" s="3"/>
      <c r="T158" s="3"/>
      <c r="U158" s="3"/>
      <c r="V158" s="20">
        <f t="shared" si="41"/>
        <v>0</v>
      </c>
      <c r="W158" s="3"/>
      <c r="X158" s="3">
        <f t="shared" si="42"/>
        <v>254830.7</v>
      </c>
      <c r="Y158" s="3"/>
      <c r="Z158" s="20">
        <f t="shared" si="43"/>
        <v>0</v>
      </c>
    </row>
    <row r="159" spans="1:26" ht="15" customHeight="1" x14ac:dyDescent="0.3">
      <c r="A159" s="10"/>
      <c r="B159" s="11"/>
      <c r="C159" s="11"/>
      <c r="D159" s="4"/>
      <c r="E159" s="4"/>
      <c r="F159" s="9"/>
      <c r="G159" s="4"/>
      <c r="H159" s="4"/>
      <c r="I159" s="4"/>
      <c r="J159" s="9"/>
      <c r="K159" s="4"/>
      <c r="L159" s="4"/>
      <c r="M159" s="4"/>
      <c r="N159" s="9"/>
      <c r="O159" s="11"/>
      <c r="P159" s="4"/>
      <c r="Q159" s="4"/>
      <c r="R159" s="9"/>
      <c r="S159" s="4"/>
      <c r="T159" s="4"/>
      <c r="U159" s="4"/>
      <c r="V159" s="9"/>
      <c r="W159" s="4"/>
      <c r="X159" s="4"/>
      <c r="Y159" s="4"/>
      <c r="Z159" s="9"/>
    </row>
    <row r="160" spans="1:26" s="63" customFormat="1" ht="15" customHeight="1" x14ac:dyDescent="0.3">
      <c r="A160" s="11"/>
      <c r="B160" s="27" t="s">
        <v>292</v>
      </c>
      <c r="C160" s="27"/>
      <c r="D160" s="21">
        <f>+D56-D58+D153</f>
        <v>229621.38999999981</v>
      </c>
      <c r="E160" s="15"/>
      <c r="F160" s="23">
        <f>IF(D$12=0,0,D160/D$12)</f>
        <v>0.31636319983912148</v>
      </c>
      <c r="G160" s="15"/>
      <c r="H160" s="21">
        <f>+H56-H58+H153</f>
        <v>-7052.8968668128364</v>
      </c>
      <c r="I160" s="15"/>
      <c r="J160" s="23">
        <f>IF(H$12=0,0,H160/H$12)</f>
        <v>-1.5565769519982954E-2</v>
      </c>
      <c r="K160" s="16"/>
      <c r="L160" s="21">
        <f>+D160-H160</f>
        <v>236674.28686681265</v>
      </c>
      <c r="M160" s="16"/>
      <c r="N160" s="23">
        <f>IF(H160=0,0,L160/H160)</f>
        <v>-33.557032143837993</v>
      </c>
      <c r="O160" s="28"/>
      <c r="P160" s="21">
        <f>+P56-P58+P153</f>
        <v>428430.4700000009</v>
      </c>
      <c r="Q160" s="15"/>
      <c r="R160" s="23">
        <f>IF(P$12=0,0,P160/P$12)</f>
        <v>7.0277440490650073E-2</v>
      </c>
      <c r="S160" s="15"/>
      <c r="T160" s="21">
        <f>+T56-T58+T153</f>
        <v>499803.28454560786</v>
      </c>
      <c r="U160" s="15"/>
      <c r="V160" s="23">
        <f>IF(T$12=0,0,T160/T$12)</f>
        <v>6.0696870858310763E-2</v>
      </c>
      <c r="W160" s="16"/>
      <c r="X160" s="21">
        <f>+P160-T160</f>
        <v>-71372.814545606961</v>
      </c>
      <c r="Y160" s="16"/>
      <c r="Z160" s="23">
        <f>IF(T160=0,0,X160/T160)</f>
        <v>-0.14280181173778195</v>
      </c>
    </row>
    <row r="161" spans="1:26" ht="15" customHeight="1" x14ac:dyDescent="0.3">
      <c r="A161" s="10"/>
      <c r="B161" s="11"/>
      <c r="C161" s="10"/>
      <c r="D161" s="4"/>
      <c r="E161" s="4"/>
      <c r="F161" s="9"/>
      <c r="G161" s="4"/>
      <c r="H161" s="4"/>
      <c r="I161" s="4"/>
      <c r="J161" s="9"/>
      <c r="K161" s="4"/>
      <c r="L161" s="4"/>
      <c r="M161" s="4"/>
      <c r="N161" s="9"/>
      <c r="P161" s="4"/>
      <c r="Q161" s="4"/>
      <c r="R161" s="9"/>
      <c r="S161" s="4"/>
      <c r="T161" s="4"/>
      <c r="U161" s="4"/>
      <c r="V161" s="9"/>
      <c r="W161" s="4"/>
      <c r="X161" s="4"/>
      <c r="Y161" s="4"/>
      <c r="Z161" s="9"/>
    </row>
    <row r="162" spans="1:26" s="63" customFormat="1" ht="15" customHeight="1" x14ac:dyDescent="0.3">
      <c r="A162" s="49"/>
      <c r="B162" s="11" t="s">
        <v>293</v>
      </c>
      <c r="C162" s="11"/>
      <c r="D162" s="5">
        <v>57220.2</v>
      </c>
      <c r="E162" s="5"/>
      <c r="F162" s="13">
        <f>IF(D$12=0,0,D162/D$12)</f>
        <v>7.8835711113126331E-2</v>
      </c>
      <c r="G162" s="5"/>
      <c r="H162" s="5">
        <v>51553</v>
      </c>
      <c r="I162" s="5"/>
      <c r="J162" s="13">
        <f>IF(H$12=0,0,H162/H$12)</f>
        <v>0.11377766203269456</v>
      </c>
      <c r="K162" s="5"/>
      <c r="L162" s="5">
        <f>+D162-H162</f>
        <v>5667.1999999999971</v>
      </c>
      <c r="M162" s="5"/>
      <c r="N162" s="13">
        <f>IF(H162=0,0,L162/H162)</f>
        <v>0.1099295870269431</v>
      </c>
      <c r="O162" s="11"/>
      <c r="P162" s="5">
        <v>727575.23</v>
      </c>
      <c r="Q162" s="5"/>
      <c r="R162" s="13">
        <f>IF(P$12=0,0,P162/P$12)</f>
        <v>0.11934754530600014</v>
      </c>
      <c r="S162" s="5"/>
      <c r="T162" s="5">
        <v>1002800</v>
      </c>
      <c r="U162" s="5"/>
      <c r="V162" s="13">
        <f>IF(T$12=0,0,T162/T$12)</f>
        <v>0.1217815568220017</v>
      </c>
      <c r="W162" s="5"/>
      <c r="X162" s="5">
        <f>+P162-T162</f>
        <v>-275224.77</v>
      </c>
      <c r="Y162" s="5"/>
      <c r="Z162" s="13">
        <f>IF(T162=0,0,X162/T162)</f>
        <v>-0.27445629238133229</v>
      </c>
    </row>
    <row r="163" spans="1:26" ht="15" customHeight="1" x14ac:dyDescent="0.3">
      <c r="A163" s="10"/>
      <c r="B163" s="11"/>
      <c r="C163" s="11"/>
      <c r="D163" s="4"/>
      <c r="E163" s="4"/>
      <c r="F163" s="9"/>
      <c r="G163" s="4"/>
      <c r="H163" s="4"/>
      <c r="I163" s="4"/>
      <c r="J163" s="9"/>
      <c r="K163" s="4"/>
      <c r="L163" s="4"/>
      <c r="M163" s="4"/>
      <c r="N163" s="9"/>
      <c r="O163" s="11"/>
      <c r="P163" s="4"/>
      <c r="Q163" s="4"/>
      <c r="R163" s="9"/>
      <c r="S163" s="4"/>
      <c r="T163" s="4"/>
      <c r="U163" s="4"/>
      <c r="V163" s="9"/>
      <c r="W163" s="4"/>
      <c r="X163" s="4"/>
      <c r="Y163" s="4"/>
      <c r="Z163" s="9"/>
    </row>
    <row r="164" spans="1:26" s="63" customFormat="1" ht="15" customHeight="1" x14ac:dyDescent="0.3">
      <c r="A164" s="11"/>
      <c r="B164" s="27" t="s">
        <v>294</v>
      </c>
      <c r="C164" s="27"/>
      <c r="D164" s="34">
        <f>+D160-D162</f>
        <v>172401.18999999983</v>
      </c>
      <c r="E164" s="15"/>
      <c r="F164" s="29">
        <f>IF(D$12=0,0,D164/D$12)</f>
        <v>0.23752748872599519</v>
      </c>
      <c r="G164" s="15"/>
      <c r="H164" s="34">
        <f>+H160-H162</f>
        <v>-58605.896866812836</v>
      </c>
      <c r="I164" s="15"/>
      <c r="J164" s="29">
        <f>IF(H$12=0,0,H164/H$12)</f>
        <v>-0.1293434315526775</v>
      </c>
      <c r="K164" s="16"/>
      <c r="L164" s="34">
        <f>D164-H164</f>
        <v>231007.08686681266</v>
      </c>
      <c r="M164" s="16"/>
      <c r="N164" s="29">
        <f>IF(H164=0,0,L164/H164)</f>
        <v>-3.9417038082668885</v>
      </c>
      <c r="O164" s="28"/>
      <c r="P164" s="34">
        <f>+P160-P162</f>
        <v>-299144.75999999908</v>
      </c>
      <c r="Q164" s="15"/>
      <c r="R164" s="29">
        <f>IF(P$12=0,0,P164/P$12)</f>
        <v>-4.9070104815350062E-2</v>
      </c>
      <c r="S164" s="15"/>
      <c r="T164" s="34">
        <f>+T160-T162</f>
        <v>-502996.71545439214</v>
      </c>
      <c r="U164" s="15"/>
      <c r="V164" s="29">
        <f>IF(T$12=0,0,T164/T$12)</f>
        <v>-6.1084685963690946E-2</v>
      </c>
      <c r="W164" s="16"/>
      <c r="X164" s="34">
        <f>P164-T164</f>
        <v>203851.95545439306</v>
      </c>
      <c r="Y164" s="16"/>
      <c r="Z164" s="29">
        <f>IF(T164=0,0,X164/T164)</f>
        <v>-0.40527492365479828</v>
      </c>
    </row>
    <row r="165" spans="1:26" ht="15" customHeight="1" x14ac:dyDescent="0.3">
      <c r="A165" s="10"/>
      <c r="B165" s="10"/>
      <c r="C165" s="10"/>
      <c r="D165" s="4"/>
      <c r="E165" s="4"/>
      <c r="F165" s="9"/>
      <c r="G165" s="4"/>
      <c r="H165" s="4"/>
      <c r="I165" s="4"/>
      <c r="J165" s="9"/>
      <c r="K165" s="4"/>
      <c r="L165" s="4"/>
      <c r="M165" s="4"/>
      <c r="N165" s="9"/>
      <c r="P165" s="4"/>
      <c r="Q165" s="4"/>
      <c r="R165" s="9"/>
      <c r="S165" s="4"/>
      <c r="T165" s="4"/>
      <c r="U165" s="4"/>
      <c r="V165" s="9"/>
      <c r="W165" s="4"/>
      <c r="X165" s="4"/>
      <c r="Y165" s="4"/>
      <c r="Z165" s="9"/>
    </row>
    <row r="166" spans="1:26" ht="15" customHeight="1" x14ac:dyDescent="0.3">
      <c r="A166" s="10"/>
      <c r="B166" s="10"/>
      <c r="C166" s="10"/>
      <c r="D166" s="4"/>
      <c r="E166" s="4"/>
      <c r="F166" s="9"/>
      <c r="G166" s="4"/>
      <c r="H166" s="4"/>
      <c r="I166" s="4"/>
      <c r="J166" s="9"/>
      <c r="K166" s="4"/>
      <c r="L166" s="4"/>
      <c r="M166" s="4"/>
      <c r="N166" s="9"/>
      <c r="P166" s="4"/>
      <c r="Q166" s="4"/>
      <c r="R166" s="9"/>
      <c r="S166" s="4"/>
      <c r="T166" s="4"/>
      <c r="U166" s="4"/>
      <c r="V166" s="9"/>
      <c r="W166" s="4"/>
      <c r="X166" s="4"/>
      <c r="Y166" s="4"/>
      <c r="Z166" s="9"/>
    </row>
    <row r="167" spans="1:26" s="63" customFormat="1" ht="15" customHeight="1" x14ac:dyDescent="0.3">
      <c r="A167" s="11"/>
      <c r="B167" s="27" t="s">
        <v>297</v>
      </c>
      <c r="C167" s="27"/>
      <c r="D167" s="32">
        <f>SUM(D164:D166)</f>
        <v>172401.18999999983</v>
      </c>
      <c r="E167" s="15"/>
      <c r="F167" s="31">
        <f>IF(D$12=0,0,D167/D$12)</f>
        <v>0.23752748872599519</v>
      </c>
      <c r="G167" s="15"/>
      <c r="H167" s="32">
        <f>SUM(H164:H166)</f>
        <v>-58605.896866812836</v>
      </c>
      <c r="I167" s="15"/>
      <c r="J167" s="31">
        <f>IF(H$12=0,0,H167/H$12)</f>
        <v>-0.1293434315526775</v>
      </c>
      <c r="K167" s="16"/>
      <c r="L167" s="32">
        <f>+D167-H167</f>
        <v>231007.08686681266</v>
      </c>
      <c r="M167" s="16"/>
      <c r="N167" s="31">
        <f>IF(H167=0,0,L167/H167)</f>
        <v>-3.9417038082668885</v>
      </c>
      <c r="O167" s="28"/>
      <c r="P167" s="32">
        <f>SUM(P164:P166)</f>
        <v>-299144.75999999908</v>
      </c>
      <c r="Q167" s="15"/>
      <c r="R167" s="31">
        <f>IF(P$12=0,0,P167/P$12)</f>
        <v>-4.9070104815350062E-2</v>
      </c>
      <c r="S167" s="15"/>
      <c r="T167" s="32">
        <f>SUM(T164:T166)</f>
        <v>-502996.71545439214</v>
      </c>
      <c r="U167" s="15"/>
      <c r="V167" s="31">
        <f>IF(T$12=0,0,T167/T$12)</f>
        <v>-6.1084685963690946E-2</v>
      </c>
      <c r="W167" s="16"/>
      <c r="X167" s="32">
        <f>+P167-T167</f>
        <v>203851.95545439306</v>
      </c>
      <c r="Y167" s="16"/>
      <c r="Z167" s="31">
        <f>IF(T167=0,0,X167/T167)</f>
        <v>-0.40527492365479828</v>
      </c>
    </row>
    <row r="168" spans="1:26" ht="15" customHeight="1" x14ac:dyDescent="0.3">
      <c r="A168" s="10"/>
      <c r="C168" s="10"/>
      <c r="D168" s="19"/>
      <c r="E168" s="19"/>
      <c r="G168" s="19"/>
      <c r="H168" s="19"/>
      <c r="I168" s="19"/>
      <c r="J168" s="40"/>
      <c r="K168" s="19"/>
      <c r="L168" s="19"/>
      <c r="M168" s="19"/>
      <c r="P168" s="19"/>
      <c r="Q168" s="19"/>
      <c r="R168" s="40"/>
      <c r="S168" s="19"/>
      <c r="T168" s="19"/>
      <c r="U168" s="19"/>
      <c r="V168" s="40"/>
      <c r="W168" s="19"/>
      <c r="X168" s="19"/>
    </row>
    <row r="169" spans="1:26" ht="15" customHeight="1" x14ac:dyDescent="0.3">
      <c r="A169" s="10"/>
      <c r="B169" s="51">
        <v>44663.047637187497</v>
      </c>
      <c r="D169" s="19"/>
      <c r="E169" s="19"/>
      <c r="G169" s="19"/>
      <c r="H169" s="19"/>
      <c r="I169" s="19"/>
      <c r="J169" s="40"/>
      <c r="K169" s="19"/>
      <c r="L169" s="19"/>
      <c r="M169" s="19"/>
      <c r="P169" s="19"/>
      <c r="Q169" s="19"/>
      <c r="R169" s="40"/>
      <c r="S169" s="19"/>
      <c r="T169" s="19"/>
      <c r="U169" s="19"/>
      <c r="V169" s="40"/>
      <c r="W169" s="19"/>
      <c r="X169" s="19"/>
    </row>
    <row r="170" spans="1:26" ht="15" customHeight="1" x14ac:dyDescent="0.3">
      <c r="A170" s="10"/>
      <c r="B170" s="58" t="s">
        <v>298</v>
      </c>
      <c r="D170" s="19"/>
      <c r="E170" s="19"/>
      <c r="G170" s="19"/>
      <c r="H170" s="19"/>
      <c r="I170" s="19"/>
      <c r="J170" s="40"/>
      <c r="K170" s="19"/>
      <c r="L170" s="19"/>
      <c r="M170" s="19"/>
      <c r="P170" s="19"/>
      <c r="Q170" s="19"/>
      <c r="R170" s="40"/>
      <c r="S170" s="19"/>
      <c r="T170" s="19"/>
      <c r="U170" s="19"/>
      <c r="V170" s="40"/>
      <c r="W170" s="19"/>
      <c r="X170" s="19"/>
    </row>
    <row r="171" spans="1:26" ht="15" customHeight="1" x14ac:dyDescent="0.3">
      <c r="A171" s="10"/>
      <c r="B171" s="50"/>
      <c r="D171" s="19"/>
      <c r="E171" s="19"/>
      <c r="G171" s="19"/>
      <c r="H171" s="19"/>
      <c r="I171" s="19"/>
      <c r="J171" s="40"/>
      <c r="K171" s="19"/>
      <c r="L171" s="19"/>
      <c r="M171" s="19"/>
      <c r="P171" s="19"/>
      <c r="Q171" s="19"/>
      <c r="R171" s="40"/>
      <c r="S171" s="19"/>
      <c r="T171" s="19"/>
      <c r="U171" s="19"/>
      <c r="V171" s="40"/>
      <c r="W171" s="19"/>
      <c r="X171" s="19"/>
    </row>
    <row r="172" spans="1:26" ht="15" customHeight="1" x14ac:dyDescent="0.3">
      <c r="D172" s="19"/>
      <c r="E172" s="19"/>
      <c r="G172" s="19"/>
      <c r="H172" s="19"/>
      <c r="I172" s="19"/>
      <c r="J172" s="40"/>
      <c r="K172" s="19"/>
      <c r="L172" s="19"/>
      <c r="M172" s="19"/>
      <c r="P172" s="19"/>
      <c r="Q172" s="19"/>
      <c r="R172" s="40"/>
      <c r="S172" s="19"/>
      <c r="T172" s="19"/>
      <c r="U172" s="19"/>
      <c r="V172" s="40"/>
      <c r="W172" s="19"/>
      <c r="X172" s="19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E0362A-2DD8-7686-CC15-3F01570D09A6}">
  <sheetPr>
    <tabColor rgb="FFFFFF00"/>
    <outlinePr summaryBelow="0" summaryRight="0"/>
  </sheetPr>
  <dimension ref="A2:Z163"/>
  <sheetViews>
    <sheetView showGridLines="0" defaultGridColor="0" colorId="8"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6" customWidth="1"/>
    <col min="2" max="2" width="33.44140625" style="66" customWidth="1"/>
    <col min="3" max="3" width="1.88671875" style="66" customWidth="1"/>
    <col min="4" max="4" width="15" style="66" customWidth="1"/>
    <col min="5" max="5" width="1.88671875" style="66" customWidth="1" outlineLevel="1"/>
    <col min="6" max="6" width="15" style="67" customWidth="1" outlineLevel="1"/>
    <col min="7" max="7" width="1.88671875" style="66" customWidth="1" outlineLevel="1"/>
    <col min="8" max="8" width="15" style="66" customWidth="1" outlineLevel="1"/>
    <col min="9" max="9" width="1.88671875" style="66" customWidth="1" outlineLevel="1"/>
    <col min="10" max="10" width="15" style="68" customWidth="1" outlineLevel="1"/>
    <col min="11" max="11" width="1.88671875" style="66" customWidth="1" outlineLevel="1"/>
    <col min="12" max="12" width="15" style="66" customWidth="1" outlineLevel="1"/>
    <col min="13" max="13" width="1.88671875" style="66" customWidth="1" outlineLevel="1"/>
    <col min="14" max="14" width="15" style="67" customWidth="1" outlineLevel="1"/>
    <col min="15" max="15" width="1.88671875" style="64" customWidth="1"/>
    <col min="16" max="16" width="15" style="66" customWidth="1"/>
    <col min="17" max="17" width="1.88671875" style="66" customWidth="1" outlineLevel="1"/>
    <col min="18" max="18" width="15" style="68" customWidth="1" outlineLevel="1"/>
    <col min="19" max="19" width="1.88671875" style="66" customWidth="1" outlineLevel="1"/>
    <col min="20" max="20" width="15" style="66" customWidth="1" outlineLevel="1"/>
    <col min="21" max="21" width="1.88671875" style="66" customWidth="1" outlineLevel="1"/>
    <col min="22" max="22" width="15" style="68" customWidth="1" outlineLevel="1"/>
    <col min="23" max="23" width="1.88671875" style="66" customWidth="1" outlineLevel="1"/>
    <col min="24" max="24" width="15" style="66" customWidth="1" outlineLevel="1"/>
    <col min="25" max="25" width="1.88671875" style="66" customWidth="1" outlineLevel="1"/>
    <col min="26" max="26" width="15" style="68" customWidth="1" outlineLevel="1"/>
  </cols>
  <sheetData>
    <row r="2" spans="1:26" ht="15" customHeight="1" x14ac:dyDescent="0.3">
      <c r="D2" s="54" t="s">
        <v>276</v>
      </c>
    </row>
    <row r="3" spans="1:26" ht="15" customHeight="1" x14ac:dyDescent="0.3">
      <c r="D3" s="54" t="s">
        <v>277</v>
      </c>
      <c r="E3" s="18"/>
      <c r="F3" s="44"/>
      <c r="G3" s="18"/>
      <c r="H3" s="18"/>
      <c r="I3" s="18"/>
      <c r="J3" s="38"/>
      <c r="K3" s="18"/>
      <c r="L3" s="18"/>
      <c r="M3" s="18"/>
      <c r="N3" s="44"/>
      <c r="O3" s="53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ht="15" customHeight="1" x14ac:dyDescent="0.3">
      <c r="D4" s="54" t="str">
        <f>CONCATENATE("Period ",RIGHT(202209,2),", ",2022)</f>
        <v>Period 09, 2022</v>
      </c>
      <c r="E4" s="18"/>
      <c r="F4" s="44"/>
      <c r="G4" s="18"/>
      <c r="H4" s="18"/>
      <c r="I4" s="18"/>
      <c r="J4" s="38"/>
      <c r="K4" s="18"/>
      <c r="L4" s="18"/>
      <c r="M4" s="18"/>
      <c r="N4" s="44"/>
      <c r="O4" s="53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ht="15" customHeight="1" x14ac:dyDescent="0.3">
      <c r="A5" s="24"/>
      <c r="D5" s="60">
        <v>44646</v>
      </c>
      <c r="E5" s="18"/>
      <c r="F5" s="44"/>
      <c r="G5" s="18"/>
      <c r="H5" s="18"/>
      <c r="I5" s="18"/>
      <c r="J5" s="38"/>
      <c r="K5" s="18"/>
      <c r="L5" s="18"/>
      <c r="M5" s="18"/>
      <c r="N5" s="44"/>
      <c r="O5" s="53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ht="15" customHeight="1" x14ac:dyDescent="0.3">
      <c r="A6" s="24"/>
      <c r="B6" s="47"/>
      <c r="C6" s="47"/>
      <c r="D6" s="24" t="s">
        <v>302</v>
      </c>
      <c r="E6" s="18"/>
      <c r="F6" s="44"/>
      <c r="G6" s="18"/>
      <c r="H6" s="18"/>
      <c r="I6" s="18"/>
      <c r="J6" s="38"/>
      <c r="K6" s="18"/>
      <c r="L6" s="18"/>
      <c r="M6" s="18"/>
      <c r="N6" s="44"/>
      <c r="O6" s="59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ht="15" customHeight="1" x14ac:dyDescent="0.3">
      <c r="B7" s="52"/>
    </row>
    <row r="8" spans="1:26" ht="15" customHeight="1" x14ac:dyDescent="0.3">
      <c r="B8" s="52"/>
    </row>
    <row r="9" spans="1:26" ht="15" customHeight="1" x14ac:dyDescent="0.3">
      <c r="B9" s="10"/>
      <c r="C9" s="10"/>
      <c r="D9" s="17" t="s">
        <v>279</v>
      </c>
      <c r="E9" s="17"/>
      <c r="F9" s="36"/>
      <c r="G9" s="17"/>
      <c r="H9" s="17"/>
      <c r="I9" s="17"/>
      <c r="J9" s="43"/>
      <c r="K9" s="17"/>
      <c r="L9" s="17"/>
      <c r="M9" s="17"/>
      <c r="N9" s="36"/>
      <c r="P9" s="17" t="s">
        <v>280</v>
      </c>
      <c r="Q9" s="17"/>
      <c r="R9" s="36"/>
      <c r="S9" s="17"/>
      <c r="T9" s="17"/>
      <c r="U9" s="17"/>
      <c r="V9" s="43"/>
      <c r="W9" s="17"/>
      <c r="X9" s="17"/>
      <c r="Y9" s="17"/>
      <c r="Z9" s="36"/>
    </row>
    <row r="10" spans="1:26" ht="15" customHeight="1" x14ac:dyDescent="0.3">
      <c r="A10" s="11"/>
      <c r="B10" s="57"/>
      <c r="C10" s="11"/>
      <c r="D10" s="41" t="s">
        <v>281</v>
      </c>
      <c r="E10" s="33"/>
      <c r="F10" s="37" t="s">
        <v>282</v>
      </c>
      <c r="G10" s="33"/>
      <c r="H10" s="48" t="s">
        <v>283</v>
      </c>
      <c r="I10" s="33"/>
      <c r="J10" s="45" t="s">
        <v>284</v>
      </c>
      <c r="K10" s="11"/>
      <c r="L10" s="41" t="s">
        <v>285</v>
      </c>
      <c r="M10" s="11"/>
      <c r="N10" s="37" t="s">
        <v>286</v>
      </c>
      <c r="O10" s="11"/>
      <c r="P10" s="56" t="s">
        <v>281</v>
      </c>
      <c r="Q10" s="33"/>
      <c r="R10" s="37" t="s">
        <v>282</v>
      </c>
      <c r="S10" s="33"/>
      <c r="T10" s="48" t="s">
        <v>283</v>
      </c>
      <c r="U10" s="33"/>
      <c r="V10" s="45" t="s">
        <v>284</v>
      </c>
      <c r="W10" s="11"/>
      <c r="X10" s="41" t="s">
        <v>285</v>
      </c>
      <c r="Y10" s="11"/>
      <c r="Z10" s="37" t="s">
        <v>286</v>
      </c>
    </row>
    <row r="11" spans="1:26" ht="16.5" customHeight="1" x14ac:dyDescent="0.3">
      <c r="A11" s="10"/>
      <c r="B11" s="55"/>
      <c r="C11" s="10"/>
      <c r="D11" s="10"/>
      <c r="E11" s="10"/>
      <c r="F11" s="9"/>
      <c r="G11" s="10"/>
      <c r="H11" s="10"/>
      <c r="I11" s="10"/>
      <c r="J11" s="46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6"/>
      <c r="W11" s="10"/>
      <c r="X11" s="10"/>
      <c r="Y11" s="10"/>
      <c r="Z11" s="9"/>
    </row>
    <row r="12" spans="1:26" s="63" customFormat="1" ht="15" customHeight="1" collapsed="1" x14ac:dyDescent="0.3">
      <c r="A12" s="11"/>
      <c r="B12" s="28" t="s">
        <v>287</v>
      </c>
      <c r="C12" s="11"/>
      <c r="D12" s="5">
        <f>SUM(OSRRefD13x_0)</f>
        <v>592882.92999999993</v>
      </c>
      <c r="E12" s="5"/>
      <c r="F12" s="13"/>
      <c r="G12" s="5"/>
      <c r="H12" s="5">
        <f>SUM(OSRRefH13x_0)</f>
        <v>360649</v>
      </c>
      <c r="I12" s="5"/>
      <c r="J12" s="13"/>
      <c r="K12" s="5"/>
      <c r="L12" s="5">
        <f t="shared" ref="L12:L19" si="0">+D12-H12</f>
        <v>232233.92999999993</v>
      </c>
      <c r="M12" s="5"/>
      <c r="N12" s="13">
        <f t="shared" ref="N12:N19" si="1">IF(H12=0,0,L12/H12)</f>
        <v>0.64393338120998511</v>
      </c>
      <c r="O12" s="11"/>
      <c r="P12" s="5">
        <f>SUM(OSRRefP13x_0)</f>
        <v>5788233.3700000001</v>
      </c>
      <c r="Q12" s="5"/>
      <c r="R12" s="13"/>
      <c r="S12" s="5"/>
      <c r="T12" s="5">
        <f>SUM(OSRRefT13x_0)</f>
        <v>7856381</v>
      </c>
      <c r="U12" s="5"/>
      <c r="V12" s="13"/>
      <c r="W12" s="5"/>
      <c r="X12" s="5">
        <f t="shared" ref="X12:X19" si="2">+P12-T12</f>
        <v>-2068147.63</v>
      </c>
      <c r="Y12" s="5"/>
      <c r="Z12" s="13">
        <f t="shared" ref="Z12:Z19" si="3">IF(T12=0,0,X12/T12)</f>
        <v>-0.26324431439870338</v>
      </c>
    </row>
    <row r="13" spans="1:26" s="70" customFormat="1" ht="15" hidden="1" customHeight="1" outlineLevel="1" x14ac:dyDescent="0.3">
      <c r="A13" s="42"/>
      <c r="B13" s="12" t="str">
        <f>CONCATENATE("          ","4000"," - ","TAXABLE SALES")</f>
        <v xml:space="preserve">          4000 - TAXABLE SALES</v>
      </c>
      <c r="C13" s="12"/>
      <c r="D13" s="3">
        <f>--524908.18</f>
        <v>524908.18000000005</v>
      </c>
      <c r="E13" s="3"/>
      <c r="F13" s="20"/>
      <c r="G13" s="3"/>
      <c r="H13" s="3">
        <v>305808</v>
      </c>
      <c r="I13" s="3"/>
      <c r="J13" s="20"/>
      <c r="K13" s="3"/>
      <c r="L13" s="3">
        <f t="shared" si="0"/>
        <v>219100.18000000005</v>
      </c>
      <c r="M13" s="3"/>
      <c r="N13" s="20">
        <f t="shared" si="1"/>
        <v>0.71646320567153265</v>
      </c>
      <c r="O13" s="12"/>
      <c r="P13" s="3">
        <f>--4961415.59</f>
        <v>4961415.59</v>
      </c>
      <c r="Q13" s="3"/>
      <c r="R13" s="20"/>
      <c r="S13" s="3"/>
      <c r="T13" s="3">
        <v>7564835</v>
      </c>
      <c r="U13" s="3"/>
      <c r="V13" s="20"/>
      <c r="W13" s="3"/>
      <c r="X13" s="3">
        <f t="shared" si="2"/>
        <v>-2603419.41</v>
      </c>
      <c r="Y13" s="3"/>
      <c r="Z13" s="20">
        <f t="shared" si="3"/>
        <v>-0.34414754717055956</v>
      </c>
    </row>
    <row r="14" spans="1:26" s="70" customFormat="1" ht="15" hidden="1" customHeight="1" outlineLevel="1" x14ac:dyDescent="0.3">
      <c r="A14" s="42"/>
      <c r="B14" s="12" t="str">
        <f>CONCATENATE("          ","4100"," - ","NON-TAXABLE SALES")</f>
        <v xml:space="preserve">          4100 - NON-TAXABLE SALES</v>
      </c>
      <c r="C14" s="12"/>
      <c r="D14" s="3">
        <f>--97229.47</f>
        <v>97229.47</v>
      </c>
      <c r="E14" s="3"/>
      <c r="F14" s="20"/>
      <c r="G14" s="3"/>
      <c r="H14" s="3">
        <v>54841</v>
      </c>
      <c r="I14" s="3"/>
      <c r="J14" s="20"/>
      <c r="K14" s="3"/>
      <c r="L14" s="3">
        <f t="shared" si="0"/>
        <v>42388.47</v>
      </c>
      <c r="M14" s="3"/>
      <c r="N14" s="20">
        <f t="shared" si="1"/>
        <v>0.77293393628854323</v>
      </c>
      <c r="O14" s="12"/>
      <c r="P14" s="3">
        <f>--1101380.13</f>
        <v>1101380.1299999999</v>
      </c>
      <c r="Q14" s="3"/>
      <c r="R14" s="20"/>
      <c r="S14" s="3"/>
      <c r="T14" s="3">
        <v>291546</v>
      </c>
      <c r="U14" s="3"/>
      <c r="V14" s="20"/>
      <c r="W14" s="3"/>
      <c r="X14" s="3">
        <f t="shared" si="2"/>
        <v>809834.12999999989</v>
      </c>
      <c r="Y14" s="3"/>
      <c r="Z14" s="20">
        <f t="shared" si="3"/>
        <v>2.7777233438291038</v>
      </c>
    </row>
    <row r="15" spans="1:26" s="70" customFormat="1" ht="15" hidden="1" customHeight="1" outlineLevel="1" x14ac:dyDescent="0.3">
      <c r="A15" s="42"/>
      <c r="B15" s="12" t="str">
        <f>CONCATENATE("          ","4141"," - ","NON-TAXABLE SALES-LOGO GIFTS")</f>
        <v xml:space="preserve">          4141 - NON-TAXABLE SALES-LOGO GIFTS</v>
      </c>
      <c r="C15" s="12"/>
      <c r="D15" s="3">
        <f>0</f>
        <v>0</v>
      </c>
      <c r="E15" s="3"/>
      <c r="F15" s="20"/>
      <c r="G15" s="3"/>
      <c r="H15" s="3"/>
      <c r="I15" s="3"/>
      <c r="J15" s="20"/>
      <c r="K15" s="3"/>
      <c r="L15" s="3">
        <f t="shared" si="0"/>
        <v>0</v>
      </c>
      <c r="M15" s="3"/>
      <c r="N15" s="20">
        <f t="shared" si="1"/>
        <v>0</v>
      </c>
      <c r="O15" s="12"/>
      <c r="P15" s="3">
        <f>0</f>
        <v>0</v>
      </c>
      <c r="Q15" s="3"/>
      <c r="R15" s="20"/>
      <c r="S15" s="3"/>
      <c r="T15" s="3"/>
      <c r="U15" s="3"/>
      <c r="V15" s="20"/>
      <c r="W15" s="3"/>
      <c r="X15" s="3">
        <f t="shared" si="2"/>
        <v>0</v>
      </c>
      <c r="Y15" s="3"/>
      <c r="Z15" s="20">
        <f t="shared" si="3"/>
        <v>0</v>
      </c>
    </row>
    <row r="16" spans="1:26" s="70" customFormat="1" ht="15" hidden="1" customHeight="1" outlineLevel="1" x14ac:dyDescent="0.3">
      <c r="A16" s="42"/>
      <c r="B16" s="12" t="str">
        <f>CONCATENATE("          ","4146"," - ","NON-TAXABLE SALES-COIN OP MACH")</f>
        <v xml:space="preserve">          4146 - NON-TAXABLE SALES-COIN OP MACH</v>
      </c>
      <c r="C16" s="12"/>
      <c r="D16" s="3">
        <f>0</f>
        <v>0</v>
      </c>
      <c r="E16" s="3"/>
      <c r="F16" s="20"/>
      <c r="G16" s="3"/>
      <c r="H16" s="3"/>
      <c r="I16" s="3"/>
      <c r="J16" s="20"/>
      <c r="K16" s="3"/>
      <c r="L16" s="3">
        <f t="shared" si="0"/>
        <v>0</v>
      </c>
      <c r="M16" s="3"/>
      <c r="N16" s="20">
        <f t="shared" si="1"/>
        <v>0</v>
      </c>
      <c r="O16" s="12"/>
      <c r="P16" s="3">
        <f>0</f>
        <v>0</v>
      </c>
      <c r="Q16" s="3"/>
      <c r="R16" s="20"/>
      <c r="S16" s="3"/>
      <c r="T16" s="3"/>
      <c r="U16" s="3"/>
      <c r="V16" s="20"/>
      <c r="W16" s="3"/>
      <c r="X16" s="3">
        <f t="shared" si="2"/>
        <v>0</v>
      </c>
      <c r="Y16" s="3"/>
      <c r="Z16" s="20">
        <f t="shared" si="3"/>
        <v>0</v>
      </c>
    </row>
    <row r="17" spans="1:26" s="70" customFormat="1" ht="15" hidden="1" customHeight="1" outlineLevel="1" x14ac:dyDescent="0.3">
      <c r="A17" s="42"/>
      <c r="B17" s="12" t="str">
        <f>CONCATENATE("          ","4200"," - ","TAXABLE RETURNS")</f>
        <v xml:space="preserve">          4200 - TAXABLE RETURNS</v>
      </c>
      <c r="C17" s="12"/>
      <c r="D17" s="3">
        <f>-19894.68</f>
        <v>-19894.68</v>
      </c>
      <c r="E17" s="3"/>
      <c r="F17" s="20"/>
      <c r="G17" s="3"/>
      <c r="H17" s="3"/>
      <c r="I17" s="3"/>
      <c r="J17" s="20"/>
      <c r="K17" s="3"/>
      <c r="L17" s="3">
        <f t="shared" si="0"/>
        <v>-19894.68</v>
      </c>
      <c r="M17" s="3"/>
      <c r="N17" s="20">
        <f t="shared" si="1"/>
        <v>0</v>
      </c>
      <c r="O17" s="12"/>
      <c r="P17" s="3">
        <f>-151408.01</f>
        <v>-151408.01</v>
      </c>
      <c r="Q17" s="3"/>
      <c r="R17" s="20"/>
      <c r="S17" s="3"/>
      <c r="T17" s="3"/>
      <c r="U17" s="3"/>
      <c r="V17" s="20"/>
      <c r="W17" s="3"/>
      <c r="X17" s="3">
        <f t="shared" si="2"/>
        <v>-151408.01</v>
      </c>
      <c r="Y17" s="3"/>
      <c r="Z17" s="20">
        <f t="shared" si="3"/>
        <v>0</v>
      </c>
    </row>
    <row r="18" spans="1:26" s="70" customFormat="1" ht="15" hidden="1" customHeight="1" outlineLevel="1" x14ac:dyDescent="0.3">
      <c r="A18" s="42"/>
      <c r="B18" s="12" t="str">
        <f>CONCATENATE("          ","4300"," - ","NON-TAX RETURNS")</f>
        <v xml:space="preserve">          4300 - NON-TAX RETURNS</v>
      </c>
      <c r="C18" s="12"/>
      <c r="D18" s="3">
        <f>0</f>
        <v>0</v>
      </c>
      <c r="E18" s="3"/>
      <c r="F18" s="20"/>
      <c r="G18" s="3"/>
      <c r="H18" s="3"/>
      <c r="I18" s="3"/>
      <c r="J18" s="20"/>
      <c r="K18" s="3"/>
      <c r="L18" s="3">
        <f t="shared" si="0"/>
        <v>0</v>
      </c>
      <c r="M18" s="3"/>
      <c r="N18" s="20">
        <f t="shared" si="1"/>
        <v>0</v>
      </c>
      <c r="O18" s="12"/>
      <c r="P18" s="3">
        <f>-31247.2</f>
        <v>-31247.200000000001</v>
      </c>
      <c r="Q18" s="3"/>
      <c r="R18" s="20"/>
      <c r="S18" s="3"/>
      <c r="T18" s="3"/>
      <c r="U18" s="3"/>
      <c r="V18" s="20"/>
      <c r="W18" s="3"/>
      <c r="X18" s="3">
        <f t="shared" si="2"/>
        <v>-31247.200000000001</v>
      </c>
      <c r="Y18" s="3"/>
      <c r="Z18" s="20">
        <f t="shared" si="3"/>
        <v>0</v>
      </c>
    </row>
    <row r="19" spans="1:26" s="70" customFormat="1" ht="15" hidden="1" customHeight="1" outlineLevel="1" x14ac:dyDescent="0.3">
      <c r="A19" s="42"/>
      <c r="B19" s="12" t="str">
        <f>CONCATENATE("          ","4500"," - ","SALES DISCOUNT")</f>
        <v xml:space="preserve">          4500 - SALES DISCOUNT</v>
      </c>
      <c r="C19" s="12"/>
      <c r="D19" s="3">
        <f>-9360.04</f>
        <v>-9360.0400000000009</v>
      </c>
      <c r="E19" s="3"/>
      <c r="F19" s="20"/>
      <c r="G19" s="3"/>
      <c r="H19" s="3"/>
      <c r="I19" s="3"/>
      <c r="J19" s="20"/>
      <c r="K19" s="3"/>
      <c r="L19" s="3">
        <f t="shared" si="0"/>
        <v>-9360.0400000000009</v>
      </c>
      <c r="M19" s="3"/>
      <c r="N19" s="20">
        <f t="shared" si="1"/>
        <v>0</v>
      </c>
      <c r="O19" s="12"/>
      <c r="P19" s="3">
        <f>-91907.14</f>
        <v>-91907.14</v>
      </c>
      <c r="Q19" s="3"/>
      <c r="R19" s="20"/>
      <c r="S19" s="3"/>
      <c r="T19" s="3"/>
      <c r="U19" s="3"/>
      <c r="V19" s="20"/>
      <c r="W19" s="3"/>
      <c r="X19" s="3">
        <f t="shared" si="2"/>
        <v>-91907.14</v>
      </c>
      <c r="Y19" s="3"/>
      <c r="Z19" s="20">
        <f t="shared" si="3"/>
        <v>0</v>
      </c>
    </row>
    <row r="20" spans="1:26" ht="15" customHeight="1" x14ac:dyDescent="0.3">
      <c r="A20" s="10"/>
      <c r="B20" s="11"/>
      <c r="C20" s="10"/>
      <c r="D20" s="4"/>
      <c r="E20" s="4"/>
      <c r="F20" s="9"/>
      <c r="G20" s="4"/>
      <c r="H20" s="4"/>
      <c r="I20" s="4"/>
      <c r="J20" s="9"/>
      <c r="K20" s="4"/>
      <c r="L20" s="4"/>
      <c r="M20" s="4"/>
      <c r="N20" s="9"/>
      <c r="P20" s="4"/>
      <c r="Q20" s="4"/>
      <c r="R20" s="9"/>
      <c r="S20" s="4"/>
      <c r="T20" s="4"/>
      <c r="U20" s="4"/>
      <c r="V20" s="9"/>
      <c r="W20" s="4"/>
      <c r="X20" s="4"/>
      <c r="Y20" s="4"/>
      <c r="Z20" s="9"/>
    </row>
    <row r="21" spans="1:26" s="63" customFormat="1" ht="15" customHeight="1" collapsed="1" x14ac:dyDescent="0.3">
      <c r="A21" s="11"/>
      <c r="B21" s="28" t="s">
        <v>288</v>
      </c>
      <c r="C21" s="11"/>
      <c r="D21" s="5">
        <f>SUM(OSRRefD16x_0)</f>
        <v>259262.7</v>
      </c>
      <c r="E21" s="5"/>
      <c r="F21" s="13">
        <f t="shared" ref="F21:F48" si="4">IF(D$12=0,0,D21/D$12)</f>
        <v>0.43729155771106454</v>
      </c>
      <c r="G21" s="5"/>
      <c r="H21" s="5">
        <f>SUM(OSRRefH16x_0)</f>
        <v>158564</v>
      </c>
      <c r="I21" s="5"/>
      <c r="J21" s="13">
        <f t="shared" ref="J21:J48" si="5">IF(H$12=0,0,H21/H$12)</f>
        <v>0.43966294097585185</v>
      </c>
      <c r="K21" s="5"/>
      <c r="L21" s="5">
        <f t="shared" ref="L21:L48" si="6">+D21-H21</f>
        <v>100698.70000000001</v>
      </c>
      <c r="M21" s="5"/>
      <c r="N21" s="13">
        <f t="shared" ref="N21:N48" si="7">IF(H21=0,0,L21/H21)</f>
        <v>0.63506659771448759</v>
      </c>
      <c r="O21" s="11"/>
      <c r="P21" s="5">
        <f>SUM(OSRRefP16x_0)</f>
        <v>3319535.3400000003</v>
      </c>
      <c r="Q21" s="5"/>
      <c r="R21" s="13">
        <f t="shared" ref="R21:R48" si="8">IF(P$12=0,0,P21/P$12)</f>
        <v>0.57349714978751798</v>
      </c>
      <c r="S21" s="5"/>
      <c r="T21" s="5">
        <f>SUM(OSRRefT16x_0)</f>
        <v>4864397</v>
      </c>
      <c r="U21" s="5"/>
      <c r="V21" s="13">
        <f t="shared" ref="V21:V48" si="9">IF(T$12=0,0,T21/T$12)</f>
        <v>0.6191651092277729</v>
      </c>
      <c r="W21" s="5"/>
      <c r="X21" s="5">
        <f t="shared" ref="X21:X48" si="10">+P21-T21</f>
        <v>-1544861.6599999997</v>
      </c>
      <c r="Y21" s="5"/>
      <c r="Z21" s="13">
        <f t="shared" ref="Z21:Z48" si="11">IF(T21=0,0,X21/T21)</f>
        <v>-0.31758543967525671</v>
      </c>
    </row>
    <row r="22" spans="1:26" s="70" customFormat="1" ht="15" hidden="1" customHeight="1" outlineLevel="1" x14ac:dyDescent="0.3">
      <c r="A22" s="42"/>
      <c r="B22" s="12" t="str">
        <f>CONCATENATE("          ","5000"," - ","PURCHASES @ COST")</f>
        <v xml:space="preserve">          5000 - PURCHASES @ COST</v>
      </c>
      <c r="C22" s="12"/>
      <c r="D22" s="3">
        <v>115773.52</v>
      </c>
      <c r="E22" s="3"/>
      <c r="F22" s="20">
        <f t="shared" si="4"/>
        <v>0.19527214251218197</v>
      </c>
      <c r="G22" s="3"/>
      <c r="H22" s="3">
        <v>158564</v>
      </c>
      <c r="I22" s="3"/>
      <c r="J22" s="20">
        <f t="shared" si="5"/>
        <v>0.43966294097585185</v>
      </c>
      <c r="K22" s="3"/>
      <c r="L22" s="3">
        <f t="shared" si="6"/>
        <v>-42790.479999999996</v>
      </c>
      <c r="M22" s="3"/>
      <c r="N22" s="20">
        <f t="shared" si="7"/>
        <v>-0.26986251608183442</v>
      </c>
      <c r="O22" s="12"/>
      <c r="P22" s="3">
        <v>3527143.49</v>
      </c>
      <c r="Q22" s="3"/>
      <c r="R22" s="20">
        <f t="shared" si="8"/>
        <v>0.60936442339746233</v>
      </c>
      <c r="S22" s="3"/>
      <c r="T22" s="3">
        <v>4864397</v>
      </c>
      <c r="U22" s="3"/>
      <c r="V22" s="20">
        <f t="shared" si="9"/>
        <v>0.6191651092277729</v>
      </c>
      <c r="W22" s="3"/>
      <c r="X22" s="3">
        <f t="shared" si="10"/>
        <v>-1337253.5099999998</v>
      </c>
      <c r="Y22" s="3"/>
      <c r="Z22" s="20">
        <f t="shared" si="11"/>
        <v>-0.27490632651899088</v>
      </c>
    </row>
    <row r="23" spans="1:26" s="70" customFormat="1" ht="15" hidden="1" customHeight="1" outlineLevel="1" x14ac:dyDescent="0.3">
      <c r="A23" s="42"/>
      <c r="B23" s="12" t="str">
        <f>CONCATENATE("          ","5001"," - ","PURCHASES @ COST-NEW TEXT")</f>
        <v xml:space="preserve">          5001 - PURCHASES @ COST-NEW TEXT</v>
      </c>
      <c r="C23" s="12"/>
      <c r="D23" s="3"/>
      <c r="E23" s="3"/>
      <c r="F23" s="20">
        <f t="shared" si="4"/>
        <v>0</v>
      </c>
      <c r="G23" s="3"/>
      <c r="H23" s="3"/>
      <c r="I23" s="3"/>
      <c r="J23" s="20">
        <f t="shared" si="5"/>
        <v>0</v>
      </c>
      <c r="K23" s="3"/>
      <c r="L23" s="3">
        <f t="shared" si="6"/>
        <v>0</v>
      </c>
      <c r="M23" s="3"/>
      <c r="N23" s="20">
        <f t="shared" si="7"/>
        <v>0</v>
      </c>
      <c r="O23" s="12"/>
      <c r="P23" s="3">
        <v>0</v>
      </c>
      <c r="Q23" s="3"/>
      <c r="R23" s="20">
        <f t="shared" si="8"/>
        <v>0</v>
      </c>
      <c r="S23" s="3"/>
      <c r="T23" s="3"/>
      <c r="U23" s="3"/>
      <c r="V23" s="20">
        <f t="shared" si="9"/>
        <v>0</v>
      </c>
      <c r="W23" s="3"/>
      <c r="X23" s="3">
        <f t="shared" si="10"/>
        <v>0</v>
      </c>
      <c r="Y23" s="3"/>
      <c r="Z23" s="20">
        <f t="shared" si="11"/>
        <v>0</v>
      </c>
    </row>
    <row r="24" spans="1:26" s="70" customFormat="1" ht="15" hidden="1" customHeight="1" outlineLevel="1" x14ac:dyDescent="0.3">
      <c r="A24" s="42"/>
      <c r="B24" s="12" t="str">
        <f>CONCATENATE("          ","5002"," - ","PURCHASES @ COST-USED TEXT")</f>
        <v xml:space="preserve">          5002 - PURCHASES @ COST-USED TEXT</v>
      </c>
      <c r="C24" s="12"/>
      <c r="D24" s="3"/>
      <c r="E24" s="3"/>
      <c r="F24" s="20">
        <f t="shared" si="4"/>
        <v>0</v>
      </c>
      <c r="G24" s="3"/>
      <c r="H24" s="3"/>
      <c r="I24" s="3"/>
      <c r="J24" s="20">
        <f t="shared" si="5"/>
        <v>0</v>
      </c>
      <c r="K24" s="3"/>
      <c r="L24" s="3">
        <f t="shared" si="6"/>
        <v>0</v>
      </c>
      <c r="M24" s="3"/>
      <c r="N24" s="20">
        <f t="shared" si="7"/>
        <v>0</v>
      </c>
      <c r="O24" s="12"/>
      <c r="P24" s="3">
        <v>0</v>
      </c>
      <c r="Q24" s="3"/>
      <c r="R24" s="20">
        <f t="shared" si="8"/>
        <v>0</v>
      </c>
      <c r="S24" s="3"/>
      <c r="T24" s="3"/>
      <c r="U24" s="3"/>
      <c r="V24" s="20">
        <f t="shared" si="9"/>
        <v>0</v>
      </c>
      <c r="W24" s="3"/>
      <c r="X24" s="3">
        <f t="shared" si="10"/>
        <v>0</v>
      </c>
      <c r="Y24" s="3"/>
      <c r="Z24" s="20">
        <f t="shared" si="11"/>
        <v>0</v>
      </c>
    </row>
    <row r="25" spans="1:26" s="70" customFormat="1" ht="15" hidden="1" customHeight="1" outlineLevel="1" x14ac:dyDescent="0.3">
      <c r="A25" s="42"/>
      <c r="B25" s="12" t="str">
        <f>CONCATENATE("          ","5004"," - ","PURCHASES @ COST-DIGITAL TEXT")</f>
        <v xml:space="preserve">          5004 - PURCHASES @ COST-DIGITAL TEXT</v>
      </c>
      <c r="C25" s="12"/>
      <c r="D25" s="3"/>
      <c r="E25" s="3"/>
      <c r="F25" s="20">
        <f t="shared" si="4"/>
        <v>0</v>
      </c>
      <c r="G25" s="3"/>
      <c r="H25" s="3"/>
      <c r="I25" s="3"/>
      <c r="J25" s="20">
        <f t="shared" si="5"/>
        <v>0</v>
      </c>
      <c r="K25" s="3"/>
      <c r="L25" s="3">
        <f t="shared" si="6"/>
        <v>0</v>
      </c>
      <c r="M25" s="3"/>
      <c r="N25" s="20">
        <f t="shared" si="7"/>
        <v>0</v>
      </c>
      <c r="O25" s="12"/>
      <c r="P25" s="3">
        <v>0</v>
      </c>
      <c r="Q25" s="3"/>
      <c r="R25" s="20">
        <f t="shared" si="8"/>
        <v>0</v>
      </c>
      <c r="S25" s="3"/>
      <c r="T25" s="3"/>
      <c r="U25" s="3"/>
      <c r="V25" s="20">
        <f t="shared" si="9"/>
        <v>0</v>
      </c>
      <c r="W25" s="3"/>
      <c r="X25" s="3">
        <f t="shared" si="10"/>
        <v>0</v>
      </c>
      <c r="Y25" s="3"/>
      <c r="Z25" s="20">
        <f t="shared" si="11"/>
        <v>0</v>
      </c>
    </row>
    <row r="26" spans="1:26" s="70" customFormat="1" ht="15" hidden="1" customHeight="1" outlineLevel="1" x14ac:dyDescent="0.3">
      <c r="A26" s="42"/>
      <c r="B26" s="12" t="str">
        <f>CONCATENATE("          ","5026"," - ","PURCHASES @ COST-WRITING INSTR")</f>
        <v xml:space="preserve">          5026 - PURCHASES @ COST-WRITING INSTR</v>
      </c>
      <c r="C26" s="12"/>
      <c r="D26" s="3"/>
      <c r="E26" s="3"/>
      <c r="F26" s="20">
        <f t="shared" si="4"/>
        <v>0</v>
      </c>
      <c r="G26" s="3"/>
      <c r="H26" s="3"/>
      <c r="I26" s="3"/>
      <c r="J26" s="20">
        <f t="shared" si="5"/>
        <v>0</v>
      </c>
      <c r="K26" s="3"/>
      <c r="L26" s="3">
        <f t="shared" si="6"/>
        <v>0</v>
      </c>
      <c r="M26" s="3"/>
      <c r="N26" s="20">
        <f t="shared" si="7"/>
        <v>0</v>
      </c>
      <c r="O26" s="12"/>
      <c r="P26" s="3">
        <v>0</v>
      </c>
      <c r="Q26" s="3"/>
      <c r="R26" s="20">
        <f t="shared" si="8"/>
        <v>0</v>
      </c>
      <c r="S26" s="3"/>
      <c r="T26" s="3"/>
      <c r="U26" s="3"/>
      <c r="V26" s="20">
        <f t="shared" si="9"/>
        <v>0</v>
      </c>
      <c r="W26" s="3"/>
      <c r="X26" s="3">
        <f t="shared" si="10"/>
        <v>0</v>
      </c>
      <c r="Y26" s="3"/>
      <c r="Z26" s="20">
        <f t="shared" si="11"/>
        <v>0</v>
      </c>
    </row>
    <row r="27" spans="1:26" s="70" customFormat="1" ht="15" hidden="1" customHeight="1" outlineLevel="1" x14ac:dyDescent="0.3">
      <c r="A27" s="42"/>
      <c r="B27" s="12" t="str">
        <f>CONCATENATE("          ","5027"," - ","PURCHASES @ COST-SCHOOL SUPPLI")</f>
        <v xml:space="preserve">          5027 - PURCHASES @ COST-SCHOOL SUPPLI</v>
      </c>
      <c r="C27" s="12"/>
      <c r="D27" s="3"/>
      <c r="E27" s="3"/>
      <c r="F27" s="20">
        <f t="shared" si="4"/>
        <v>0</v>
      </c>
      <c r="G27" s="3"/>
      <c r="H27" s="3"/>
      <c r="I27" s="3"/>
      <c r="J27" s="20">
        <f t="shared" si="5"/>
        <v>0</v>
      </c>
      <c r="K27" s="3"/>
      <c r="L27" s="3">
        <f t="shared" si="6"/>
        <v>0</v>
      </c>
      <c r="M27" s="3"/>
      <c r="N27" s="20">
        <f t="shared" si="7"/>
        <v>0</v>
      </c>
      <c r="O27" s="12"/>
      <c r="P27" s="3">
        <v>0</v>
      </c>
      <c r="Q27" s="3"/>
      <c r="R27" s="20">
        <f t="shared" si="8"/>
        <v>0</v>
      </c>
      <c r="S27" s="3"/>
      <c r="T27" s="3"/>
      <c r="U27" s="3"/>
      <c r="V27" s="20">
        <f t="shared" si="9"/>
        <v>0</v>
      </c>
      <c r="W27" s="3"/>
      <c r="X27" s="3">
        <f t="shared" si="10"/>
        <v>0</v>
      </c>
      <c r="Y27" s="3"/>
      <c r="Z27" s="20">
        <f t="shared" si="11"/>
        <v>0</v>
      </c>
    </row>
    <row r="28" spans="1:26" s="70" customFormat="1" ht="15" hidden="1" customHeight="1" outlineLevel="1" x14ac:dyDescent="0.3">
      <c r="A28" s="42"/>
      <c r="B28" s="12" t="str">
        <f>CONCATENATE("          ","5028"," - ","PURCHASES @ COST-ART/TECH")</f>
        <v xml:space="preserve">          5028 - PURCHASES @ COST-ART/TECH</v>
      </c>
      <c r="C28" s="12"/>
      <c r="D28" s="3"/>
      <c r="E28" s="3"/>
      <c r="F28" s="20">
        <f t="shared" si="4"/>
        <v>0</v>
      </c>
      <c r="G28" s="3"/>
      <c r="H28" s="3"/>
      <c r="I28" s="3"/>
      <c r="J28" s="20">
        <f t="shared" si="5"/>
        <v>0</v>
      </c>
      <c r="K28" s="3"/>
      <c r="L28" s="3">
        <f t="shared" si="6"/>
        <v>0</v>
      </c>
      <c r="M28" s="3"/>
      <c r="N28" s="20">
        <f t="shared" si="7"/>
        <v>0</v>
      </c>
      <c r="O28" s="12"/>
      <c r="P28" s="3">
        <v>0</v>
      </c>
      <c r="Q28" s="3"/>
      <c r="R28" s="20">
        <f t="shared" si="8"/>
        <v>0</v>
      </c>
      <c r="S28" s="3"/>
      <c r="T28" s="3"/>
      <c r="U28" s="3"/>
      <c r="V28" s="20">
        <f t="shared" si="9"/>
        <v>0</v>
      </c>
      <c r="W28" s="3"/>
      <c r="X28" s="3">
        <f t="shared" si="10"/>
        <v>0</v>
      </c>
      <c r="Y28" s="3"/>
      <c r="Z28" s="20">
        <f t="shared" si="11"/>
        <v>0</v>
      </c>
    </row>
    <row r="29" spans="1:26" s="70" customFormat="1" ht="15" hidden="1" customHeight="1" outlineLevel="1" x14ac:dyDescent="0.3">
      <c r="A29" s="42"/>
      <c r="B29" s="12" t="str">
        <f>CONCATENATE("          ","5031"," - ","PURCHASES @ COST-FOOD")</f>
        <v xml:space="preserve">          5031 - PURCHASES @ COST-FOOD</v>
      </c>
      <c r="C29" s="12"/>
      <c r="D29" s="3"/>
      <c r="E29" s="3"/>
      <c r="F29" s="20">
        <f t="shared" si="4"/>
        <v>0</v>
      </c>
      <c r="G29" s="3"/>
      <c r="H29" s="3"/>
      <c r="I29" s="3"/>
      <c r="J29" s="20">
        <f t="shared" si="5"/>
        <v>0</v>
      </c>
      <c r="K29" s="3"/>
      <c r="L29" s="3">
        <f t="shared" si="6"/>
        <v>0</v>
      </c>
      <c r="M29" s="3"/>
      <c r="N29" s="20">
        <f t="shared" si="7"/>
        <v>0</v>
      </c>
      <c r="O29" s="12"/>
      <c r="P29" s="3">
        <v>0</v>
      </c>
      <c r="Q29" s="3"/>
      <c r="R29" s="20">
        <f t="shared" si="8"/>
        <v>0</v>
      </c>
      <c r="S29" s="3"/>
      <c r="T29" s="3"/>
      <c r="U29" s="3"/>
      <c r="V29" s="20">
        <f t="shared" si="9"/>
        <v>0</v>
      </c>
      <c r="W29" s="3"/>
      <c r="X29" s="3">
        <f t="shared" si="10"/>
        <v>0</v>
      </c>
      <c r="Y29" s="3"/>
      <c r="Z29" s="20">
        <f t="shared" si="11"/>
        <v>0</v>
      </c>
    </row>
    <row r="30" spans="1:26" s="70" customFormat="1" ht="15" hidden="1" customHeight="1" outlineLevel="1" x14ac:dyDescent="0.3">
      <c r="A30" s="42"/>
      <c r="B30" s="12" t="str">
        <f>CONCATENATE("          ","5040"," - ","PURCHASES @ COST-LOGO CLOTHING")</f>
        <v xml:space="preserve">          5040 - PURCHASES @ COST-LOGO CLOTHING</v>
      </c>
      <c r="C30" s="12"/>
      <c r="D30" s="3"/>
      <c r="E30" s="3"/>
      <c r="F30" s="20">
        <f t="shared" si="4"/>
        <v>0</v>
      </c>
      <c r="G30" s="3"/>
      <c r="H30" s="3"/>
      <c r="I30" s="3"/>
      <c r="J30" s="20">
        <f t="shared" si="5"/>
        <v>0</v>
      </c>
      <c r="K30" s="3"/>
      <c r="L30" s="3">
        <f t="shared" si="6"/>
        <v>0</v>
      </c>
      <c r="M30" s="3"/>
      <c r="N30" s="20">
        <f t="shared" si="7"/>
        <v>0</v>
      </c>
      <c r="O30" s="12"/>
      <c r="P30" s="3">
        <v>0</v>
      </c>
      <c r="Q30" s="3"/>
      <c r="R30" s="20">
        <f t="shared" si="8"/>
        <v>0</v>
      </c>
      <c r="S30" s="3"/>
      <c r="T30" s="3"/>
      <c r="U30" s="3"/>
      <c r="V30" s="20">
        <f t="shared" si="9"/>
        <v>0</v>
      </c>
      <c r="W30" s="3"/>
      <c r="X30" s="3">
        <f t="shared" si="10"/>
        <v>0</v>
      </c>
      <c r="Y30" s="3"/>
      <c r="Z30" s="20">
        <f t="shared" si="11"/>
        <v>0</v>
      </c>
    </row>
    <row r="31" spans="1:26" s="70" customFormat="1" ht="15" hidden="1" customHeight="1" outlineLevel="1" x14ac:dyDescent="0.3">
      <c r="A31" s="42"/>
      <c r="B31" s="12" t="str">
        <f>CONCATENATE("          ","5041"," - ","PURCHASES @ COST-LOGO GIFTS")</f>
        <v xml:space="preserve">          5041 - PURCHASES @ COST-LOGO GIFTS</v>
      </c>
      <c r="C31" s="12"/>
      <c r="D31" s="3"/>
      <c r="E31" s="3"/>
      <c r="F31" s="20">
        <f t="shared" si="4"/>
        <v>0</v>
      </c>
      <c r="G31" s="3"/>
      <c r="H31" s="3"/>
      <c r="I31" s="3"/>
      <c r="J31" s="20">
        <f t="shared" si="5"/>
        <v>0</v>
      </c>
      <c r="K31" s="3"/>
      <c r="L31" s="3">
        <f t="shared" si="6"/>
        <v>0</v>
      </c>
      <c r="M31" s="3"/>
      <c r="N31" s="20">
        <f t="shared" si="7"/>
        <v>0</v>
      </c>
      <c r="O31" s="12"/>
      <c r="P31" s="3">
        <v>0</v>
      </c>
      <c r="Q31" s="3"/>
      <c r="R31" s="20">
        <f t="shared" si="8"/>
        <v>0</v>
      </c>
      <c r="S31" s="3"/>
      <c r="T31" s="3"/>
      <c r="U31" s="3"/>
      <c r="V31" s="20">
        <f t="shared" si="9"/>
        <v>0</v>
      </c>
      <c r="W31" s="3"/>
      <c r="X31" s="3">
        <f t="shared" si="10"/>
        <v>0</v>
      </c>
      <c r="Y31" s="3"/>
      <c r="Z31" s="20">
        <f t="shared" si="11"/>
        <v>0</v>
      </c>
    </row>
    <row r="32" spans="1:26" s="70" customFormat="1" ht="15" hidden="1" customHeight="1" outlineLevel="1" x14ac:dyDescent="0.3">
      <c r="A32" s="42"/>
      <c r="B32" s="12" t="str">
        <f>CONCATENATE("          ","5042"," - ","PURCHASES @ COST-EVERYDAY GIFT")</f>
        <v xml:space="preserve">          5042 - PURCHASES @ COST-EVERYDAY GIFT</v>
      </c>
      <c r="C32" s="12"/>
      <c r="D32" s="3"/>
      <c r="E32" s="3"/>
      <c r="F32" s="20">
        <f t="shared" si="4"/>
        <v>0</v>
      </c>
      <c r="G32" s="3"/>
      <c r="H32" s="3"/>
      <c r="I32" s="3"/>
      <c r="J32" s="20">
        <f t="shared" si="5"/>
        <v>0</v>
      </c>
      <c r="K32" s="3"/>
      <c r="L32" s="3">
        <f t="shared" si="6"/>
        <v>0</v>
      </c>
      <c r="M32" s="3"/>
      <c r="N32" s="20">
        <f t="shared" si="7"/>
        <v>0</v>
      </c>
      <c r="O32" s="12"/>
      <c r="P32" s="3">
        <v>0</v>
      </c>
      <c r="Q32" s="3"/>
      <c r="R32" s="20">
        <f t="shared" si="8"/>
        <v>0</v>
      </c>
      <c r="S32" s="3"/>
      <c r="T32" s="3"/>
      <c r="U32" s="3"/>
      <c r="V32" s="20">
        <f t="shared" si="9"/>
        <v>0</v>
      </c>
      <c r="W32" s="3"/>
      <c r="X32" s="3">
        <f t="shared" si="10"/>
        <v>0</v>
      </c>
      <c r="Y32" s="3"/>
      <c r="Z32" s="20">
        <f t="shared" si="11"/>
        <v>0</v>
      </c>
    </row>
    <row r="33" spans="1:26" s="70" customFormat="1" ht="15" hidden="1" customHeight="1" outlineLevel="1" x14ac:dyDescent="0.3">
      <c r="A33" s="42"/>
      <c r="B33" s="12" t="str">
        <f>CONCATENATE("          ","5043"," - ","PURCHASES @ COST-CARDS")</f>
        <v xml:space="preserve">          5043 - PURCHASES @ COST-CARDS</v>
      </c>
      <c r="C33" s="12"/>
      <c r="D33" s="3"/>
      <c r="E33" s="3"/>
      <c r="F33" s="20">
        <f t="shared" si="4"/>
        <v>0</v>
      </c>
      <c r="G33" s="3"/>
      <c r="H33" s="3"/>
      <c r="I33" s="3"/>
      <c r="J33" s="20">
        <f t="shared" si="5"/>
        <v>0</v>
      </c>
      <c r="K33" s="3"/>
      <c r="L33" s="3">
        <f t="shared" si="6"/>
        <v>0</v>
      </c>
      <c r="M33" s="3"/>
      <c r="N33" s="20">
        <f t="shared" si="7"/>
        <v>0</v>
      </c>
      <c r="O33" s="12"/>
      <c r="P33" s="3">
        <v>0</v>
      </c>
      <c r="Q33" s="3"/>
      <c r="R33" s="20">
        <f t="shared" si="8"/>
        <v>0</v>
      </c>
      <c r="S33" s="3"/>
      <c r="T33" s="3"/>
      <c r="U33" s="3"/>
      <c r="V33" s="20">
        <f t="shared" si="9"/>
        <v>0</v>
      </c>
      <c r="W33" s="3"/>
      <c r="X33" s="3">
        <f t="shared" si="10"/>
        <v>0</v>
      </c>
      <c r="Y33" s="3"/>
      <c r="Z33" s="20">
        <f t="shared" si="11"/>
        <v>0</v>
      </c>
    </row>
    <row r="34" spans="1:26" s="70" customFormat="1" ht="15" hidden="1" customHeight="1" outlineLevel="1" x14ac:dyDescent="0.3">
      <c r="A34" s="42"/>
      <c r="B34" s="12" t="str">
        <f>CONCATENATE("          ","5044"," - ","PURCHASES @ COST-ACCESSORIES")</f>
        <v xml:space="preserve">          5044 - PURCHASES @ COST-ACCESSORIES</v>
      </c>
      <c r="C34" s="12"/>
      <c r="D34" s="3"/>
      <c r="E34" s="3"/>
      <c r="F34" s="20">
        <f t="shared" si="4"/>
        <v>0</v>
      </c>
      <c r="G34" s="3"/>
      <c r="H34" s="3"/>
      <c r="I34" s="3"/>
      <c r="J34" s="20">
        <f t="shared" si="5"/>
        <v>0</v>
      </c>
      <c r="K34" s="3"/>
      <c r="L34" s="3">
        <f t="shared" si="6"/>
        <v>0</v>
      </c>
      <c r="M34" s="3"/>
      <c r="N34" s="20">
        <f t="shared" si="7"/>
        <v>0</v>
      </c>
      <c r="O34" s="12"/>
      <c r="P34" s="3">
        <v>0</v>
      </c>
      <c r="Q34" s="3"/>
      <c r="R34" s="20">
        <f t="shared" si="8"/>
        <v>0</v>
      </c>
      <c r="S34" s="3"/>
      <c r="T34" s="3"/>
      <c r="U34" s="3"/>
      <c r="V34" s="20">
        <f t="shared" si="9"/>
        <v>0</v>
      </c>
      <c r="W34" s="3"/>
      <c r="X34" s="3">
        <f t="shared" si="10"/>
        <v>0</v>
      </c>
      <c r="Y34" s="3"/>
      <c r="Z34" s="20">
        <f t="shared" si="11"/>
        <v>0</v>
      </c>
    </row>
    <row r="35" spans="1:26" s="70" customFormat="1" ht="15" hidden="1" customHeight="1" outlineLevel="1" x14ac:dyDescent="0.3">
      <c r="A35" s="42"/>
      <c r="B35" s="12" t="str">
        <f>CONCATENATE("          ","5045"," - ","PURCHASES @ COST-SPECIAL ORDER")</f>
        <v xml:space="preserve">          5045 - PURCHASES @ COST-SPECIAL ORDER</v>
      </c>
      <c r="C35" s="12"/>
      <c r="D35" s="3"/>
      <c r="E35" s="3"/>
      <c r="F35" s="20">
        <f t="shared" si="4"/>
        <v>0</v>
      </c>
      <c r="G35" s="3"/>
      <c r="H35" s="3"/>
      <c r="I35" s="3"/>
      <c r="J35" s="20">
        <f t="shared" si="5"/>
        <v>0</v>
      </c>
      <c r="K35" s="3"/>
      <c r="L35" s="3">
        <f t="shared" si="6"/>
        <v>0</v>
      </c>
      <c r="M35" s="3"/>
      <c r="N35" s="20">
        <f t="shared" si="7"/>
        <v>0</v>
      </c>
      <c r="O35" s="12"/>
      <c r="P35" s="3">
        <v>0</v>
      </c>
      <c r="Q35" s="3"/>
      <c r="R35" s="20">
        <f t="shared" si="8"/>
        <v>0</v>
      </c>
      <c r="S35" s="3"/>
      <c r="T35" s="3"/>
      <c r="U35" s="3"/>
      <c r="V35" s="20">
        <f t="shared" si="9"/>
        <v>0</v>
      </c>
      <c r="W35" s="3"/>
      <c r="X35" s="3">
        <f t="shared" si="10"/>
        <v>0</v>
      </c>
      <c r="Y35" s="3"/>
      <c r="Z35" s="20">
        <f t="shared" si="11"/>
        <v>0</v>
      </c>
    </row>
    <row r="36" spans="1:26" s="70" customFormat="1" ht="15" hidden="1" customHeight="1" outlineLevel="1" x14ac:dyDescent="0.3">
      <c r="A36" s="42"/>
      <c r="B36" s="12" t="str">
        <f>CONCATENATE("          ","5200"," - ","PURCHASES OFFSET")</f>
        <v xml:space="preserve">          5200 - PURCHASES OFFSET</v>
      </c>
      <c r="C36" s="12"/>
      <c r="D36" s="3">
        <v>-141093.01</v>
      </c>
      <c r="E36" s="3"/>
      <c r="F36" s="20">
        <f t="shared" si="4"/>
        <v>-0.23797785846187211</v>
      </c>
      <c r="G36" s="3"/>
      <c r="H36" s="3"/>
      <c r="I36" s="3"/>
      <c r="J36" s="20">
        <f t="shared" si="5"/>
        <v>0</v>
      </c>
      <c r="K36" s="3"/>
      <c r="L36" s="3">
        <f t="shared" si="6"/>
        <v>-141093.01</v>
      </c>
      <c r="M36" s="3"/>
      <c r="N36" s="20">
        <f t="shared" si="7"/>
        <v>0</v>
      </c>
      <c r="O36" s="12"/>
      <c r="P36" s="3">
        <v>-3353138.65</v>
      </c>
      <c r="Q36" s="3"/>
      <c r="R36" s="20">
        <f t="shared" si="8"/>
        <v>-0.57930260161573266</v>
      </c>
      <c r="S36" s="3"/>
      <c r="T36" s="3"/>
      <c r="U36" s="3"/>
      <c r="V36" s="20">
        <f t="shared" si="9"/>
        <v>0</v>
      </c>
      <c r="W36" s="3"/>
      <c r="X36" s="3">
        <f t="shared" si="10"/>
        <v>-3353138.65</v>
      </c>
      <c r="Y36" s="3"/>
      <c r="Z36" s="20">
        <f t="shared" si="11"/>
        <v>0</v>
      </c>
    </row>
    <row r="37" spans="1:26" s="70" customFormat="1" ht="15" hidden="1" customHeight="1" outlineLevel="1" x14ac:dyDescent="0.3">
      <c r="A37" s="42"/>
      <c r="B37" s="12" t="str">
        <f>CONCATENATE("          ","5300"," - ","COG$ OFFSET")</f>
        <v xml:space="preserve">          5300 - COG$ OFFSET</v>
      </c>
      <c r="C37" s="12"/>
      <c r="D37" s="3">
        <v>260255.56</v>
      </c>
      <c r="E37" s="3"/>
      <c r="F37" s="20">
        <f t="shared" si="4"/>
        <v>0.43896618848513658</v>
      </c>
      <c r="G37" s="3"/>
      <c r="H37" s="3"/>
      <c r="I37" s="3"/>
      <c r="J37" s="20">
        <f t="shared" si="5"/>
        <v>0</v>
      </c>
      <c r="K37" s="3"/>
      <c r="L37" s="3">
        <f t="shared" si="6"/>
        <v>260255.56</v>
      </c>
      <c r="M37" s="3"/>
      <c r="N37" s="20">
        <f t="shared" si="7"/>
        <v>0</v>
      </c>
      <c r="O37" s="12"/>
      <c r="P37" s="3">
        <v>2997414.09</v>
      </c>
      <c r="Q37" s="3"/>
      <c r="R37" s="20">
        <f t="shared" si="8"/>
        <v>0.51784610232465456</v>
      </c>
      <c r="S37" s="3"/>
      <c r="T37" s="3"/>
      <c r="U37" s="3"/>
      <c r="V37" s="20">
        <f t="shared" si="9"/>
        <v>0</v>
      </c>
      <c r="W37" s="3"/>
      <c r="X37" s="3">
        <f t="shared" si="10"/>
        <v>2997414.09</v>
      </c>
      <c r="Y37" s="3"/>
      <c r="Z37" s="20">
        <f t="shared" si="11"/>
        <v>0</v>
      </c>
    </row>
    <row r="38" spans="1:26" s="70" customFormat="1" ht="15" hidden="1" customHeight="1" outlineLevel="1" x14ac:dyDescent="0.3">
      <c r="A38" s="42"/>
      <c r="B38" s="12" t="str">
        <f>CONCATENATE("          ","5500"," - ","FREIGHT-IN")</f>
        <v xml:space="preserve">          5500 - FREIGHT-IN</v>
      </c>
      <c r="C38" s="12"/>
      <c r="D38" s="3">
        <v>24326.63</v>
      </c>
      <c r="E38" s="3"/>
      <c r="F38" s="20">
        <f t="shared" si="4"/>
        <v>4.1031085175618064E-2</v>
      </c>
      <c r="G38" s="3"/>
      <c r="H38" s="3"/>
      <c r="I38" s="3"/>
      <c r="J38" s="20">
        <f t="shared" si="5"/>
        <v>0</v>
      </c>
      <c r="K38" s="3"/>
      <c r="L38" s="3">
        <f t="shared" si="6"/>
        <v>24326.63</v>
      </c>
      <c r="M38" s="3"/>
      <c r="N38" s="20">
        <f t="shared" si="7"/>
        <v>0</v>
      </c>
      <c r="O38" s="12"/>
      <c r="P38" s="3">
        <v>148116.41</v>
      </c>
      <c r="Q38" s="3"/>
      <c r="R38" s="20">
        <f t="shared" si="8"/>
        <v>2.5589225681133861E-2</v>
      </c>
      <c r="S38" s="3"/>
      <c r="T38" s="3"/>
      <c r="U38" s="3"/>
      <c r="V38" s="20">
        <f t="shared" si="9"/>
        <v>0</v>
      </c>
      <c r="W38" s="3"/>
      <c r="X38" s="3">
        <f t="shared" si="10"/>
        <v>148116.41</v>
      </c>
      <c r="Y38" s="3"/>
      <c r="Z38" s="20">
        <f t="shared" si="11"/>
        <v>0</v>
      </c>
    </row>
    <row r="39" spans="1:26" s="70" customFormat="1" ht="15" hidden="1" customHeight="1" outlineLevel="1" x14ac:dyDescent="0.3">
      <c r="A39" s="42"/>
      <c r="B39" s="12" t="str">
        <f>CONCATENATE("          ","5501"," - ","FREIGHT-IN-NEW TEXT")</f>
        <v xml:space="preserve">          5501 - FREIGHT-IN-NEW TEXT</v>
      </c>
      <c r="C39" s="12"/>
      <c r="D39" s="3"/>
      <c r="E39" s="3"/>
      <c r="F39" s="20">
        <f t="shared" si="4"/>
        <v>0</v>
      </c>
      <c r="G39" s="3"/>
      <c r="H39" s="3"/>
      <c r="I39" s="3"/>
      <c r="J39" s="20">
        <f t="shared" si="5"/>
        <v>0</v>
      </c>
      <c r="K39" s="3"/>
      <c r="L39" s="3">
        <f t="shared" si="6"/>
        <v>0</v>
      </c>
      <c r="M39" s="3"/>
      <c r="N39" s="20">
        <f t="shared" si="7"/>
        <v>0</v>
      </c>
      <c r="O39" s="12"/>
      <c r="P39" s="3">
        <v>0</v>
      </c>
      <c r="Q39" s="3"/>
      <c r="R39" s="20">
        <f t="shared" si="8"/>
        <v>0</v>
      </c>
      <c r="S39" s="3"/>
      <c r="T39" s="3"/>
      <c r="U39" s="3"/>
      <c r="V39" s="20">
        <f t="shared" si="9"/>
        <v>0</v>
      </c>
      <c r="W39" s="3"/>
      <c r="X39" s="3">
        <f t="shared" si="10"/>
        <v>0</v>
      </c>
      <c r="Y39" s="3"/>
      <c r="Z39" s="20">
        <f t="shared" si="11"/>
        <v>0</v>
      </c>
    </row>
    <row r="40" spans="1:26" s="70" customFormat="1" ht="15" hidden="1" customHeight="1" outlineLevel="1" x14ac:dyDescent="0.3">
      <c r="A40" s="42"/>
      <c r="B40" s="12" t="str">
        <f>CONCATENATE("          ","5502"," - ","FREIGHT-IN-USED TEXT")</f>
        <v xml:space="preserve">          5502 - FREIGHT-IN-USED TEXT</v>
      </c>
      <c r="C40" s="12"/>
      <c r="D40" s="3"/>
      <c r="E40" s="3"/>
      <c r="F40" s="20">
        <f t="shared" si="4"/>
        <v>0</v>
      </c>
      <c r="G40" s="3"/>
      <c r="H40" s="3"/>
      <c r="I40" s="3"/>
      <c r="J40" s="20">
        <f t="shared" si="5"/>
        <v>0</v>
      </c>
      <c r="K40" s="3"/>
      <c r="L40" s="3">
        <f t="shared" si="6"/>
        <v>0</v>
      </c>
      <c r="M40" s="3"/>
      <c r="N40" s="20">
        <f t="shared" si="7"/>
        <v>0</v>
      </c>
      <c r="O40" s="12"/>
      <c r="P40" s="3">
        <v>0</v>
      </c>
      <c r="Q40" s="3"/>
      <c r="R40" s="20">
        <f t="shared" si="8"/>
        <v>0</v>
      </c>
      <c r="S40" s="3"/>
      <c r="T40" s="3"/>
      <c r="U40" s="3"/>
      <c r="V40" s="20">
        <f t="shared" si="9"/>
        <v>0</v>
      </c>
      <c r="W40" s="3"/>
      <c r="X40" s="3">
        <f t="shared" si="10"/>
        <v>0</v>
      </c>
      <c r="Y40" s="3"/>
      <c r="Z40" s="20">
        <f t="shared" si="11"/>
        <v>0</v>
      </c>
    </row>
    <row r="41" spans="1:26" s="70" customFormat="1" ht="15" hidden="1" customHeight="1" outlineLevel="1" x14ac:dyDescent="0.3">
      <c r="A41" s="42"/>
      <c r="B41" s="12" t="str">
        <f>CONCATENATE("          ","5518"," - ","FREIGHT-IN-STUDY GUIDES")</f>
        <v xml:space="preserve">          5518 - FREIGHT-IN-STUDY GUIDES</v>
      </c>
      <c r="C41" s="12"/>
      <c r="D41" s="3"/>
      <c r="E41" s="3"/>
      <c r="F41" s="20">
        <f t="shared" si="4"/>
        <v>0</v>
      </c>
      <c r="G41" s="3"/>
      <c r="H41" s="3"/>
      <c r="I41" s="3"/>
      <c r="J41" s="20">
        <f t="shared" si="5"/>
        <v>0</v>
      </c>
      <c r="K41" s="3"/>
      <c r="L41" s="3">
        <f t="shared" si="6"/>
        <v>0</v>
      </c>
      <c r="M41" s="3"/>
      <c r="N41" s="20">
        <f t="shared" si="7"/>
        <v>0</v>
      </c>
      <c r="O41" s="12"/>
      <c r="P41" s="3">
        <v>0</v>
      </c>
      <c r="Q41" s="3"/>
      <c r="R41" s="20">
        <f t="shared" si="8"/>
        <v>0</v>
      </c>
      <c r="S41" s="3"/>
      <c r="T41" s="3"/>
      <c r="U41" s="3"/>
      <c r="V41" s="20">
        <f t="shared" si="9"/>
        <v>0</v>
      </c>
      <c r="W41" s="3"/>
      <c r="X41" s="3">
        <f t="shared" si="10"/>
        <v>0</v>
      </c>
      <c r="Y41" s="3"/>
      <c r="Z41" s="20">
        <f t="shared" si="11"/>
        <v>0</v>
      </c>
    </row>
    <row r="42" spans="1:26" s="70" customFormat="1" ht="15" hidden="1" customHeight="1" outlineLevel="1" x14ac:dyDescent="0.3">
      <c r="A42" s="42"/>
      <c r="B42" s="12" t="str">
        <f>CONCATENATE("          ","5527"," - ","FREIGHT-IN-SCHOOL SUPPLIES")</f>
        <v xml:space="preserve">          5527 - FREIGHT-IN-SCHOOL SUPPLIES</v>
      </c>
      <c r="C42" s="12"/>
      <c r="D42" s="3"/>
      <c r="E42" s="3"/>
      <c r="F42" s="20">
        <f t="shared" si="4"/>
        <v>0</v>
      </c>
      <c r="G42" s="3"/>
      <c r="H42" s="3"/>
      <c r="I42" s="3"/>
      <c r="J42" s="20">
        <f t="shared" si="5"/>
        <v>0</v>
      </c>
      <c r="K42" s="3"/>
      <c r="L42" s="3">
        <f t="shared" si="6"/>
        <v>0</v>
      </c>
      <c r="M42" s="3"/>
      <c r="N42" s="20">
        <f t="shared" si="7"/>
        <v>0</v>
      </c>
      <c r="O42" s="12"/>
      <c r="P42" s="3">
        <v>0</v>
      </c>
      <c r="Q42" s="3"/>
      <c r="R42" s="20">
        <f t="shared" si="8"/>
        <v>0</v>
      </c>
      <c r="S42" s="3"/>
      <c r="T42" s="3"/>
      <c r="U42" s="3"/>
      <c r="V42" s="20">
        <f t="shared" si="9"/>
        <v>0</v>
      </c>
      <c r="W42" s="3"/>
      <c r="X42" s="3">
        <f t="shared" si="10"/>
        <v>0</v>
      </c>
      <c r="Y42" s="3"/>
      <c r="Z42" s="20">
        <f t="shared" si="11"/>
        <v>0</v>
      </c>
    </row>
    <row r="43" spans="1:26" s="70" customFormat="1" ht="15" hidden="1" customHeight="1" outlineLevel="1" x14ac:dyDescent="0.3">
      <c r="A43" s="42"/>
      <c r="B43" s="12" t="str">
        <f>CONCATENATE("          ","5528"," - ","FREIGHT-IN-ART/TECH")</f>
        <v xml:space="preserve">          5528 - FREIGHT-IN-ART/TECH</v>
      </c>
      <c r="C43" s="12"/>
      <c r="D43" s="3"/>
      <c r="E43" s="3"/>
      <c r="F43" s="20">
        <f t="shared" si="4"/>
        <v>0</v>
      </c>
      <c r="G43" s="3"/>
      <c r="H43" s="3"/>
      <c r="I43" s="3"/>
      <c r="J43" s="20">
        <f t="shared" si="5"/>
        <v>0</v>
      </c>
      <c r="K43" s="3"/>
      <c r="L43" s="3">
        <f t="shared" si="6"/>
        <v>0</v>
      </c>
      <c r="M43" s="3"/>
      <c r="N43" s="20">
        <f t="shared" si="7"/>
        <v>0</v>
      </c>
      <c r="O43" s="12"/>
      <c r="P43" s="3">
        <v>0</v>
      </c>
      <c r="Q43" s="3"/>
      <c r="R43" s="20">
        <f t="shared" si="8"/>
        <v>0</v>
      </c>
      <c r="S43" s="3"/>
      <c r="T43" s="3"/>
      <c r="U43" s="3"/>
      <c r="V43" s="20">
        <f t="shared" si="9"/>
        <v>0</v>
      </c>
      <c r="W43" s="3"/>
      <c r="X43" s="3">
        <f t="shared" si="10"/>
        <v>0</v>
      </c>
      <c r="Y43" s="3"/>
      <c r="Z43" s="20">
        <f t="shared" si="11"/>
        <v>0</v>
      </c>
    </row>
    <row r="44" spans="1:26" s="70" customFormat="1" ht="15" hidden="1" customHeight="1" outlineLevel="1" x14ac:dyDescent="0.3">
      <c r="A44" s="42"/>
      <c r="B44" s="12" t="str">
        <f>CONCATENATE("          ","5540"," - ","FREIGHT-IN-LOGO CLOTHING")</f>
        <v xml:space="preserve">          5540 - FREIGHT-IN-LOGO CLOTHING</v>
      </c>
      <c r="C44" s="12"/>
      <c r="D44" s="3"/>
      <c r="E44" s="3"/>
      <c r="F44" s="20">
        <f t="shared" si="4"/>
        <v>0</v>
      </c>
      <c r="G44" s="3"/>
      <c r="H44" s="3"/>
      <c r="I44" s="3"/>
      <c r="J44" s="20">
        <f t="shared" si="5"/>
        <v>0</v>
      </c>
      <c r="K44" s="3"/>
      <c r="L44" s="3">
        <f t="shared" si="6"/>
        <v>0</v>
      </c>
      <c r="M44" s="3"/>
      <c r="N44" s="20">
        <f t="shared" si="7"/>
        <v>0</v>
      </c>
      <c r="O44" s="12"/>
      <c r="P44" s="3">
        <v>0</v>
      </c>
      <c r="Q44" s="3"/>
      <c r="R44" s="20">
        <f t="shared" si="8"/>
        <v>0</v>
      </c>
      <c r="S44" s="3"/>
      <c r="T44" s="3"/>
      <c r="U44" s="3"/>
      <c r="V44" s="20">
        <f t="shared" si="9"/>
        <v>0</v>
      </c>
      <c r="W44" s="3"/>
      <c r="X44" s="3">
        <f t="shared" si="10"/>
        <v>0</v>
      </c>
      <c r="Y44" s="3"/>
      <c r="Z44" s="20">
        <f t="shared" si="11"/>
        <v>0</v>
      </c>
    </row>
    <row r="45" spans="1:26" s="70" customFormat="1" ht="15" hidden="1" customHeight="1" outlineLevel="1" x14ac:dyDescent="0.3">
      <c r="A45" s="42"/>
      <c r="B45" s="12" t="str">
        <f>CONCATENATE("          ","5541"," - ","FREIGHT-IN-LOGO GIFTS")</f>
        <v xml:space="preserve">          5541 - FREIGHT-IN-LOGO GIFTS</v>
      </c>
      <c r="C45" s="12"/>
      <c r="D45" s="3"/>
      <c r="E45" s="3"/>
      <c r="F45" s="20">
        <f t="shared" si="4"/>
        <v>0</v>
      </c>
      <c r="G45" s="3"/>
      <c r="H45" s="3"/>
      <c r="I45" s="3"/>
      <c r="J45" s="20">
        <f t="shared" si="5"/>
        <v>0</v>
      </c>
      <c r="K45" s="3"/>
      <c r="L45" s="3">
        <f t="shared" si="6"/>
        <v>0</v>
      </c>
      <c r="M45" s="3"/>
      <c r="N45" s="20">
        <f t="shared" si="7"/>
        <v>0</v>
      </c>
      <c r="O45" s="12"/>
      <c r="P45" s="3">
        <v>0</v>
      </c>
      <c r="Q45" s="3"/>
      <c r="R45" s="20">
        <f t="shared" si="8"/>
        <v>0</v>
      </c>
      <c r="S45" s="3"/>
      <c r="T45" s="3"/>
      <c r="U45" s="3"/>
      <c r="V45" s="20">
        <f t="shared" si="9"/>
        <v>0</v>
      </c>
      <c r="W45" s="3"/>
      <c r="X45" s="3">
        <f t="shared" si="10"/>
        <v>0</v>
      </c>
      <c r="Y45" s="3"/>
      <c r="Z45" s="20">
        <f t="shared" si="11"/>
        <v>0</v>
      </c>
    </row>
    <row r="46" spans="1:26" s="70" customFormat="1" ht="15" hidden="1" customHeight="1" outlineLevel="1" x14ac:dyDescent="0.3">
      <c r="A46" s="42"/>
      <c r="B46" s="12" t="str">
        <f>CONCATENATE("          ","5542"," - ","FREIGHT-IN-EVERYDAY GIFTS")</f>
        <v xml:space="preserve">          5542 - FREIGHT-IN-EVERYDAY GIFTS</v>
      </c>
      <c r="C46" s="12"/>
      <c r="D46" s="3"/>
      <c r="E46" s="3"/>
      <c r="F46" s="20">
        <f t="shared" si="4"/>
        <v>0</v>
      </c>
      <c r="G46" s="3"/>
      <c r="H46" s="3"/>
      <c r="I46" s="3"/>
      <c r="J46" s="20">
        <f t="shared" si="5"/>
        <v>0</v>
      </c>
      <c r="K46" s="3"/>
      <c r="L46" s="3">
        <f t="shared" si="6"/>
        <v>0</v>
      </c>
      <c r="M46" s="3"/>
      <c r="N46" s="20">
        <f t="shared" si="7"/>
        <v>0</v>
      </c>
      <c r="O46" s="12"/>
      <c r="P46" s="3">
        <v>0</v>
      </c>
      <c r="Q46" s="3"/>
      <c r="R46" s="20">
        <f t="shared" si="8"/>
        <v>0</v>
      </c>
      <c r="S46" s="3"/>
      <c r="T46" s="3"/>
      <c r="U46" s="3"/>
      <c r="V46" s="20">
        <f t="shared" si="9"/>
        <v>0</v>
      </c>
      <c r="W46" s="3"/>
      <c r="X46" s="3">
        <f t="shared" si="10"/>
        <v>0</v>
      </c>
      <c r="Y46" s="3"/>
      <c r="Z46" s="20">
        <f t="shared" si="11"/>
        <v>0</v>
      </c>
    </row>
    <row r="47" spans="1:26" s="70" customFormat="1" ht="15" hidden="1" customHeight="1" outlineLevel="1" x14ac:dyDescent="0.3">
      <c r="A47" s="42"/>
      <c r="B47" s="12" t="str">
        <f>CONCATENATE("          ","5544"," - ","FREIGHT-IN-ACCESSORIES")</f>
        <v xml:space="preserve">          5544 - FREIGHT-IN-ACCESSORIES</v>
      </c>
      <c r="C47" s="12"/>
      <c r="D47" s="3"/>
      <c r="E47" s="3"/>
      <c r="F47" s="20">
        <f t="shared" si="4"/>
        <v>0</v>
      </c>
      <c r="G47" s="3"/>
      <c r="H47" s="3"/>
      <c r="I47" s="3"/>
      <c r="J47" s="20">
        <f t="shared" si="5"/>
        <v>0</v>
      </c>
      <c r="K47" s="3"/>
      <c r="L47" s="3">
        <f t="shared" si="6"/>
        <v>0</v>
      </c>
      <c r="M47" s="3"/>
      <c r="N47" s="20">
        <f t="shared" si="7"/>
        <v>0</v>
      </c>
      <c r="O47" s="12"/>
      <c r="P47" s="3">
        <v>0</v>
      </c>
      <c r="Q47" s="3"/>
      <c r="R47" s="20">
        <f t="shared" si="8"/>
        <v>0</v>
      </c>
      <c r="S47" s="3"/>
      <c r="T47" s="3"/>
      <c r="U47" s="3"/>
      <c r="V47" s="20">
        <f t="shared" si="9"/>
        <v>0</v>
      </c>
      <c r="W47" s="3"/>
      <c r="X47" s="3">
        <f t="shared" si="10"/>
        <v>0</v>
      </c>
      <c r="Y47" s="3"/>
      <c r="Z47" s="20">
        <f t="shared" si="11"/>
        <v>0</v>
      </c>
    </row>
    <row r="48" spans="1:26" s="70" customFormat="1" ht="15" hidden="1" customHeight="1" outlineLevel="1" x14ac:dyDescent="0.3">
      <c r="A48" s="42"/>
      <c r="B48" s="12" t="str">
        <f>CONCATENATE("          ","5545"," - ","FREIGHT-IN-SPECIAL ORDERS")</f>
        <v xml:space="preserve">          5545 - FREIGHT-IN-SPECIAL ORDERS</v>
      </c>
      <c r="C48" s="12"/>
      <c r="D48" s="3"/>
      <c r="E48" s="3"/>
      <c r="F48" s="20">
        <f t="shared" si="4"/>
        <v>0</v>
      </c>
      <c r="G48" s="3"/>
      <c r="H48" s="3"/>
      <c r="I48" s="3"/>
      <c r="J48" s="20">
        <f t="shared" si="5"/>
        <v>0</v>
      </c>
      <c r="K48" s="3"/>
      <c r="L48" s="3">
        <f t="shared" si="6"/>
        <v>0</v>
      </c>
      <c r="M48" s="3"/>
      <c r="N48" s="20">
        <f t="shared" si="7"/>
        <v>0</v>
      </c>
      <c r="O48" s="12"/>
      <c r="P48" s="3">
        <v>0</v>
      </c>
      <c r="Q48" s="3"/>
      <c r="R48" s="20">
        <f t="shared" si="8"/>
        <v>0</v>
      </c>
      <c r="S48" s="3"/>
      <c r="T48" s="3"/>
      <c r="U48" s="3"/>
      <c r="V48" s="20">
        <f t="shared" si="9"/>
        <v>0</v>
      </c>
      <c r="W48" s="3"/>
      <c r="X48" s="3">
        <f t="shared" si="10"/>
        <v>0</v>
      </c>
      <c r="Y48" s="3"/>
      <c r="Z48" s="20">
        <f t="shared" si="11"/>
        <v>0</v>
      </c>
    </row>
    <row r="49" spans="1:26" ht="15" customHeight="1" x14ac:dyDescent="0.3">
      <c r="A49" s="10"/>
      <c r="B49" s="11"/>
      <c r="C49" s="11"/>
      <c r="D49" s="4"/>
      <c r="E49" s="4"/>
      <c r="F49" s="9"/>
      <c r="G49" s="4"/>
      <c r="H49" s="4"/>
      <c r="I49" s="4"/>
      <c r="J49" s="9"/>
      <c r="K49" s="4"/>
      <c r="L49" s="4"/>
      <c r="M49" s="4"/>
      <c r="N49" s="9"/>
      <c r="O49" s="11"/>
      <c r="P49" s="4"/>
      <c r="Q49" s="4"/>
      <c r="R49" s="9"/>
      <c r="S49" s="4"/>
      <c r="T49" s="4"/>
      <c r="U49" s="4"/>
      <c r="V49" s="9"/>
      <c r="W49" s="4"/>
      <c r="X49" s="4"/>
      <c r="Y49" s="4"/>
      <c r="Z49" s="9"/>
    </row>
    <row r="50" spans="1:26" s="63" customFormat="1" ht="15" customHeight="1" x14ac:dyDescent="0.3">
      <c r="A50" s="11"/>
      <c r="B50" s="27" t="s">
        <v>289</v>
      </c>
      <c r="C50" s="27"/>
      <c r="D50" s="21">
        <f>D12-D21</f>
        <v>333620.22999999992</v>
      </c>
      <c r="E50" s="15"/>
      <c r="F50" s="23">
        <f>IF(D$12=0,0,D50/D$12)</f>
        <v>0.56270844228893546</v>
      </c>
      <c r="G50" s="15"/>
      <c r="H50" s="21">
        <f>H12-H21</f>
        <v>202085</v>
      </c>
      <c r="I50" s="15"/>
      <c r="J50" s="23">
        <f>IF(H$12=0,0,H50/H$12)</f>
        <v>0.5603370590241481</v>
      </c>
      <c r="K50" s="16"/>
      <c r="L50" s="21">
        <f>+D50-H50</f>
        <v>131535.22999999992</v>
      </c>
      <c r="M50" s="16"/>
      <c r="N50" s="23">
        <f>IF(H50=0,0,L50/H50)</f>
        <v>0.65089061533513093</v>
      </c>
      <c r="O50" s="28"/>
      <c r="P50" s="21">
        <f>P12-P21</f>
        <v>2468698.0299999998</v>
      </c>
      <c r="Q50" s="15"/>
      <c r="R50" s="23">
        <f>IF(P$12=0,0,P50/P$12)</f>
        <v>0.42650285021248197</v>
      </c>
      <c r="S50" s="15"/>
      <c r="T50" s="21">
        <f>T12-T21</f>
        <v>2991984</v>
      </c>
      <c r="U50" s="15"/>
      <c r="V50" s="23">
        <f>IF(T$12=0,0,T50/T$12)</f>
        <v>0.38083489077222704</v>
      </c>
      <c r="W50" s="16"/>
      <c r="X50" s="21">
        <f>+P50-T50</f>
        <v>-523285.9700000002</v>
      </c>
      <c r="Y50" s="16"/>
      <c r="Z50" s="23">
        <f>IF(T50=0,0,X50/T50)</f>
        <v>-0.17489597872181142</v>
      </c>
    </row>
    <row r="51" spans="1:26" ht="15" customHeight="1" x14ac:dyDescent="0.3">
      <c r="A51" s="10"/>
      <c r="B51" s="11"/>
      <c r="C51" s="10"/>
      <c r="D51" s="2"/>
      <c r="E51" s="2"/>
      <c r="F51" s="6"/>
      <c r="G51" s="2"/>
      <c r="H51" s="2"/>
      <c r="I51" s="2"/>
      <c r="J51" s="6"/>
      <c r="K51" s="2"/>
      <c r="L51" s="2"/>
      <c r="M51" s="2"/>
      <c r="N51" s="6"/>
      <c r="O51" s="35"/>
      <c r="P51" s="2"/>
      <c r="Q51" s="2"/>
      <c r="R51" s="6"/>
      <c r="S51" s="2"/>
      <c r="T51" s="2"/>
      <c r="U51" s="2"/>
      <c r="V51" s="6"/>
      <c r="W51" s="2"/>
      <c r="X51" s="2"/>
      <c r="Y51" s="2"/>
      <c r="Z51" s="6"/>
    </row>
    <row r="52" spans="1:26" s="63" customFormat="1" ht="15" customHeight="1" x14ac:dyDescent="0.3">
      <c r="A52" s="11"/>
      <c r="B52" s="28" t="s">
        <v>290</v>
      </c>
      <c r="C52" s="11"/>
      <c r="D52" s="22" cm="1">
        <f t="array" ref="D52">SUM(OSRRefD22x_0)</f>
        <v>316367.82</v>
      </c>
      <c r="E52" s="22"/>
      <c r="F52" s="30">
        <f t="shared" ref="F52:F83" si="12">IF(D$12=0,0,D52/D$12)</f>
        <v>0.53360925739589105</v>
      </c>
      <c r="G52" s="22"/>
      <c r="H52" s="22" cm="1">
        <f t="array" ref="H52">SUM(OSRRefH22x_0)</f>
        <v>277280.61917775508</v>
      </c>
      <c r="I52" s="22"/>
      <c r="J52" s="30">
        <f t="shared" ref="J52:J83" si="13">IF(H$12=0,0,H52/H$12)</f>
        <v>0.76883789828269333</v>
      </c>
      <c r="K52" s="5"/>
      <c r="L52" s="22">
        <f t="shared" ref="L52:L83" si="14">+D52-H52</f>
        <v>39087.200822244922</v>
      </c>
      <c r="M52" s="5"/>
      <c r="N52" s="30">
        <f t="shared" ref="N52:N83" si="15">IF(H52=0,0,L52/H52)</f>
        <v>0.14096622020736133</v>
      </c>
      <c r="O52" s="11"/>
      <c r="P52" s="22" cm="1">
        <f t="array" ref="P52">SUM(OSRRefP22x_0)</f>
        <v>2854066.21</v>
      </c>
      <c r="Q52" s="22"/>
      <c r="R52" s="30">
        <f t="shared" ref="R52:R83" si="16">IF(P$12=0,0,P52/P$12)</f>
        <v>0.49308070831981676</v>
      </c>
      <c r="S52" s="22"/>
      <c r="T52" s="22" cm="1">
        <f t="array" ref="T52">SUM(OSRRefT22x_0)</f>
        <v>3060655.9566983921</v>
      </c>
      <c r="U52" s="22"/>
      <c r="V52" s="30">
        <f t="shared" ref="V52:V83" si="17">IF(T$12=0,0,T52/T$12)</f>
        <v>0.38957580553926702</v>
      </c>
      <c r="W52" s="5"/>
      <c r="X52" s="22">
        <f t="shared" ref="X52:X83" si="18">+P52-T52</f>
        <v>-206589.74669839209</v>
      </c>
      <c r="Y52" s="5"/>
      <c r="Z52" s="30">
        <f t="shared" ref="Z52:Z83" si="19">IF(T52=0,0,X52/T52)</f>
        <v>-6.7498519801371518E-2</v>
      </c>
    </row>
    <row r="53" spans="1:26" s="69" customFormat="1" ht="15" customHeight="1" outlineLevel="1" collapsed="1" x14ac:dyDescent="0.3">
      <c r="A53" s="25"/>
      <c r="B53" s="14" t="str">
        <f>CONCATENATE("     ","*Benefits                                         ")</f>
        <v xml:space="preserve">     *Benefits                                         </v>
      </c>
      <c r="C53" s="14"/>
      <c r="D53" s="2">
        <f>SUM(OSRRefD22_0x_0)</f>
        <v>42176.249999999993</v>
      </c>
      <c r="E53" s="2"/>
      <c r="F53" s="6">
        <f t="shared" si="12"/>
        <v>7.113756842349972E-2</v>
      </c>
      <c r="G53" s="2"/>
      <c r="H53" s="2">
        <f>SUM(OSRRefH22_0x_0)</f>
        <v>43135.526219039784</v>
      </c>
      <c r="I53" s="2"/>
      <c r="J53" s="6">
        <f t="shared" si="13"/>
        <v>0.11960528441515098</v>
      </c>
      <c r="K53" s="2"/>
      <c r="L53" s="2">
        <f t="shared" si="14"/>
        <v>-959.27621903979161</v>
      </c>
      <c r="M53" s="2"/>
      <c r="N53" s="6">
        <f t="shared" si="15"/>
        <v>-2.2238658088199522E-2</v>
      </c>
      <c r="O53" s="14"/>
      <c r="P53" s="2">
        <f>SUM(OSRRefP22_0x_0)</f>
        <v>422023.29</v>
      </c>
      <c r="Q53" s="2"/>
      <c r="R53" s="6">
        <f t="shared" si="16"/>
        <v>7.2910551980733276E-2</v>
      </c>
      <c r="S53" s="2"/>
      <c r="T53" s="2">
        <f>SUM(OSRRefT22_0x_0)</f>
        <v>433045.98486870603</v>
      </c>
      <c r="U53" s="2"/>
      <c r="V53" s="6">
        <f t="shared" si="17"/>
        <v>5.5120288192324944E-2</v>
      </c>
      <c r="W53" s="2"/>
      <c r="X53" s="2">
        <f t="shared" si="18"/>
        <v>-11022.69486870605</v>
      </c>
      <c r="Y53" s="2"/>
      <c r="Z53" s="6">
        <f t="shared" si="19"/>
        <v>-2.5453866919117121E-2</v>
      </c>
    </row>
    <row r="54" spans="1:26" s="70" customFormat="1" ht="15" hidden="1" customHeight="1" outlineLevel="2" x14ac:dyDescent="0.3">
      <c r="A54" s="26"/>
      <c r="B54" s="12" t="str">
        <f>CONCATENATE("          ","6111"," - ","F.I.C.A.")</f>
        <v xml:space="preserve">          6111 - F.I.C.A.</v>
      </c>
      <c r="C54" s="12"/>
      <c r="D54" s="7">
        <v>6717.54</v>
      </c>
      <c r="E54" s="3"/>
      <c r="F54" s="8">
        <f t="shared" si="12"/>
        <v>1.1330297534455918E-2</v>
      </c>
      <c r="G54" s="3"/>
      <c r="H54" s="7">
        <v>9003.9075770720792</v>
      </c>
      <c r="I54" s="3"/>
      <c r="J54" s="8">
        <f t="shared" si="13"/>
        <v>2.4965846507468699E-2</v>
      </c>
      <c r="K54" s="3"/>
      <c r="L54" s="7">
        <f t="shared" si="14"/>
        <v>-2286.3675770720793</v>
      </c>
      <c r="M54" s="3"/>
      <c r="N54" s="8">
        <f t="shared" si="15"/>
        <v>-0.25393059152386011</v>
      </c>
      <c r="O54" s="12"/>
      <c r="P54" s="7">
        <v>77778.09</v>
      </c>
      <c r="Q54" s="3"/>
      <c r="R54" s="8">
        <f t="shared" si="16"/>
        <v>1.3437276113143309E-2</v>
      </c>
      <c r="S54" s="3"/>
      <c r="T54" s="7">
        <v>90677.273800545096</v>
      </c>
      <c r="U54" s="3"/>
      <c r="V54" s="8">
        <f t="shared" si="17"/>
        <v>1.154186307926577E-2</v>
      </c>
      <c r="W54" s="3"/>
      <c r="X54" s="7">
        <f t="shared" si="18"/>
        <v>-12899.183800545099</v>
      </c>
      <c r="Y54" s="3"/>
      <c r="Z54" s="8">
        <f t="shared" si="19"/>
        <v>-0.14225376723299279</v>
      </c>
    </row>
    <row r="55" spans="1:26" s="70" customFormat="1" ht="15" hidden="1" customHeight="1" outlineLevel="2" x14ac:dyDescent="0.3">
      <c r="A55" s="26"/>
      <c r="B55" s="12" t="str">
        <f>CONCATENATE("          ","6112"," - ","COMPENSATION INSURANCE")</f>
        <v xml:space="preserve">          6112 - COMPENSATION INSURANCE</v>
      </c>
      <c r="C55" s="12"/>
      <c r="D55" s="7">
        <v>2432.83</v>
      </c>
      <c r="E55" s="3"/>
      <c r="F55" s="8">
        <f t="shared" si="12"/>
        <v>4.1033901920569721E-3</v>
      </c>
      <c r="G55" s="3"/>
      <c r="H55" s="7">
        <v>2302.0521844800001</v>
      </c>
      <c r="I55" s="3"/>
      <c r="J55" s="8">
        <f t="shared" si="13"/>
        <v>6.3830821227287473E-3</v>
      </c>
      <c r="K55" s="3"/>
      <c r="L55" s="7">
        <f t="shared" si="14"/>
        <v>130.77781551999988</v>
      </c>
      <c r="M55" s="3"/>
      <c r="N55" s="8">
        <f t="shared" si="15"/>
        <v>5.6809231520327449E-2</v>
      </c>
      <c r="O55" s="12"/>
      <c r="P55" s="7">
        <v>22323.63</v>
      </c>
      <c r="Q55" s="3"/>
      <c r="R55" s="8">
        <f t="shared" si="16"/>
        <v>3.856725977169784E-3</v>
      </c>
      <c r="S55" s="3"/>
      <c r="T55" s="7">
        <v>25642.52285193</v>
      </c>
      <c r="U55" s="3"/>
      <c r="V55" s="8">
        <f t="shared" si="17"/>
        <v>3.2639102981296352E-3</v>
      </c>
      <c r="W55" s="3"/>
      <c r="X55" s="7">
        <f t="shared" si="18"/>
        <v>-3318.8928519299989</v>
      </c>
      <c r="Y55" s="3"/>
      <c r="Z55" s="8">
        <f t="shared" si="19"/>
        <v>-0.12942926369197719</v>
      </c>
    </row>
    <row r="56" spans="1:26" s="70" customFormat="1" ht="15" hidden="1" customHeight="1" outlineLevel="2" x14ac:dyDescent="0.3">
      <c r="A56" s="26"/>
      <c r="B56" s="12" t="str">
        <f>CONCATENATE("          ","6113"," - ","GROUP INSURANCE")</f>
        <v xml:space="preserve">          6113 - GROUP INSURANCE</v>
      </c>
      <c r="C56" s="12"/>
      <c r="D56" s="7">
        <v>14256.33</v>
      </c>
      <c r="E56" s="3"/>
      <c r="F56" s="8">
        <f t="shared" si="12"/>
        <v>2.4045775782412897E-2</v>
      </c>
      <c r="G56" s="3"/>
      <c r="H56" s="7">
        <v>15715.9230769231</v>
      </c>
      <c r="I56" s="3"/>
      <c r="J56" s="8">
        <f t="shared" si="13"/>
        <v>4.3576782624998547E-2</v>
      </c>
      <c r="K56" s="3"/>
      <c r="L56" s="7">
        <f t="shared" si="14"/>
        <v>-1459.5930769230999</v>
      </c>
      <c r="M56" s="3"/>
      <c r="N56" s="8">
        <f t="shared" si="15"/>
        <v>-9.287351877322006E-2</v>
      </c>
      <c r="O56" s="12"/>
      <c r="P56" s="7">
        <v>150290.35</v>
      </c>
      <c r="Q56" s="3"/>
      <c r="R56" s="8">
        <f t="shared" si="16"/>
        <v>2.5964804871024059E-2</v>
      </c>
      <c r="S56" s="3"/>
      <c r="T56" s="7">
        <v>149590.5</v>
      </c>
      <c r="U56" s="3"/>
      <c r="V56" s="8">
        <f t="shared" si="17"/>
        <v>1.904063715850848E-2</v>
      </c>
      <c r="W56" s="3"/>
      <c r="X56" s="7">
        <f t="shared" si="18"/>
        <v>699.85000000000582</v>
      </c>
      <c r="Y56" s="3"/>
      <c r="Z56" s="8">
        <f t="shared" si="19"/>
        <v>4.6784388046032721E-3</v>
      </c>
    </row>
    <row r="57" spans="1:26" s="70" customFormat="1" ht="15" hidden="1" customHeight="1" outlineLevel="2" x14ac:dyDescent="0.3">
      <c r="A57" s="26"/>
      <c r="B57" s="12" t="str">
        <f>CONCATENATE("          ","6114"," - ","STATE UNEMPLOYMENT INSURANCE")</f>
        <v xml:space="preserve">          6114 - STATE UNEMPLOYMENT INSURANCE</v>
      </c>
      <c r="C57" s="12"/>
      <c r="D57" s="7">
        <v>436.73</v>
      </c>
      <c r="E57" s="3"/>
      <c r="F57" s="8">
        <f t="shared" si="12"/>
        <v>7.3662097169840946E-4</v>
      </c>
      <c r="G57" s="3"/>
      <c r="H57" s="7">
        <v>309.89164021846199</v>
      </c>
      <c r="I57" s="3"/>
      <c r="J57" s="8">
        <f t="shared" si="13"/>
        <v>8.5926105498271722E-4</v>
      </c>
      <c r="K57" s="3"/>
      <c r="L57" s="7">
        <f t="shared" si="14"/>
        <v>126.83835978153803</v>
      </c>
      <c r="M57" s="3"/>
      <c r="N57" s="8">
        <f t="shared" si="15"/>
        <v>0.40929906883619621</v>
      </c>
      <c r="O57" s="12"/>
      <c r="P57" s="7">
        <v>4027.95</v>
      </c>
      <c r="Q57" s="3"/>
      <c r="R57" s="8">
        <f t="shared" si="16"/>
        <v>6.9588590205719363E-4</v>
      </c>
      <c r="S57" s="3"/>
      <c r="T57" s="7">
        <v>3451.8780762213401</v>
      </c>
      <c r="U57" s="3"/>
      <c r="V57" s="8">
        <f t="shared" si="17"/>
        <v>4.3937254013283472E-4</v>
      </c>
      <c r="W57" s="3"/>
      <c r="X57" s="7">
        <f t="shared" si="18"/>
        <v>576.07192377865977</v>
      </c>
      <c r="Y57" s="3"/>
      <c r="Z57" s="8">
        <f t="shared" si="19"/>
        <v>0.16688652120913469</v>
      </c>
    </row>
    <row r="58" spans="1:26" s="70" customFormat="1" ht="15" hidden="1" customHeight="1" outlineLevel="2" x14ac:dyDescent="0.3">
      <c r="A58" s="26"/>
      <c r="B58" s="12" t="str">
        <f>CONCATENATE("          ","6115"," - ","P.E.R.S.")</f>
        <v xml:space="preserve">          6115 - P.E.R.S.</v>
      </c>
      <c r="C58" s="12"/>
      <c r="D58" s="7">
        <v>4993</v>
      </c>
      <c r="E58" s="3"/>
      <c r="F58" s="8">
        <f t="shared" si="12"/>
        <v>8.4215614033617062E-3</v>
      </c>
      <c r="G58" s="3"/>
      <c r="H58" s="7">
        <v>4215.5982431846096</v>
      </c>
      <c r="I58" s="3"/>
      <c r="J58" s="8">
        <f t="shared" si="13"/>
        <v>1.1688922590065714E-2</v>
      </c>
      <c r="K58" s="3"/>
      <c r="L58" s="7">
        <f t="shared" si="14"/>
        <v>777.4017568153904</v>
      </c>
      <c r="M58" s="3"/>
      <c r="N58" s="8">
        <f t="shared" si="15"/>
        <v>0.18441077919894805</v>
      </c>
      <c r="O58" s="12"/>
      <c r="P58" s="7">
        <v>60249.2</v>
      </c>
      <c r="Q58" s="3"/>
      <c r="R58" s="8">
        <f t="shared" si="16"/>
        <v>1.040890996418135E-2</v>
      </c>
      <c r="S58" s="3"/>
      <c r="T58" s="7">
        <v>42919.676332588402</v>
      </c>
      <c r="U58" s="3"/>
      <c r="V58" s="8">
        <f t="shared" si="17"/>
        <v>5.4630339761511573E-3</v>
      </c>
      <c r="W58" s="3"/>
      <c r="X58" s="7">
        <f t="shared" si="18"/>
        <v>17329.523667411595</v>
      </c>
      <c r="Y58" s="3"/>
      <c r="Z58" s="8">
        <f t="shared" si="19"/>
        <v>0.40376641084437753</v>
      </c>
    </row>
    <row r="59" spans="1:26" s="70" customFormat="1" ht="15" hidden="1" customHeight="1" outlineLevel="2" x14ac:dyDescent="0.3">
      <c r="A59" s="26"/>
      <c r="B59" s="12" t="str">
        <f>CONCATENATE("          ","6116"," - ","EDUCATIONAL BENEFITS")</f>
        <v xml:space="preserve">          6116 - EDUCATIONAL BENEFITS</v>
      </c>
      <c r="C59" s="12"/>
      <c r="D59" s="7"/>
      <c r="E59" s="3"/>
      <c r="F59" s="8">
        <f t="shared" si="12"/>
        <v>0</v>
      </c>
      <c r="G59" s="3"/>
      <c r="H59" s="7">
        <v>0</v>
      </c>
      <c r="I59" s="3"/>
      <c r="J59" s="8">
        <f t="shared" si="13"/>
        <v>0</v>
      </c>
      <c r="K59" s="3"/>
      <c r="L59" s="7">
        <f t="shared" si="14"/>
        <v>0</v>
      </c>
      <c r="M59" s="3"/>
      <c r="N59" s="8">
        <f t="shared" si="15"/>
        <v>0</v>
      </c>
      <c r="O59" s="12"/>
      <c r="P59" s="7"/>
      <c r="Q59" s="3"/>
      <c r="R59" s="8">
        <f t="shared" si="16"/>
        <v>0</v>
      </c>
      <c r="S59" s="3"/>
      <c r="T59" s="7">
        <v>0</v>
      </c>
      <c r="U59" s="3"/>
      <c r="V59" s="8">
        <f t="shared" si="17"/>
        <v>0</v>
      </c>
      <c r="W59" s="3"/>
      <c r="X59" s="7">
        <f t="shared" si="18"/>
        <v>0</v>
      </c>
      <c r="Y59" s="3"/>
      <c r="Z59" s="8">
        <f t="shared" si="19"/>
        <v>0</v>
      </c>
    </row>
    <row r="60" spans="1:26" s="70" customFormat="1" ht="15" hidden="1" customHeight="1" outlineLevel="2" x14ac:dyDescent="0.3">
      <c r="A60" s="26"/>
      <c r="B60" s="12" t="str">
        <f>CONCATENATE("          ","6117"," - ","RETIREMENT STAFF HOURLY")</f>
        <v xml:space="preserve">          6117 - RETIREMENT STAFF HOURLY</v>
      </c>
      <c r="C60" s="12"/>
      <c r="D60" s="7">
        <v>775.07</v>
      </c>
      <c r="E60" s="3"/>
      <c r="F60" s="8">
        <f t="shared" si="12"/>
        <v>1.3072901255564908E-3</v>
      </c>
      <c r="G60" s="3"/>
      <c r="H60" s="7"/>
      <c r="I60" s="3"/>
      <c r="J60" s="8">
        <f t="shared" si="13"/>
        <v>0</v>
      </c>
      <c r="K60" s="3"/>
      <c r="L60" s="7">
        <f t="shared" si="14"/>
        <v>775.07</v>
      </c>
      <c r="M60" s="3"/>
      <c r="N60" s="8">
        <f t="shared" si="15"/>
        <v>0</v>
      </c>
      <c r="O60" s="12"/>
      <c r="P60" s="7">
        <v>6139.66</v>
      </c>
      <c r="Q60" s="3"/>
      <c r="R60" s="8">
        <f t="shared" si="16"/>
        <v>1.060713970487337E-3</v>
      </c>
      <c r="S60" s="3"/>
      <c r="T60" s="7"/>
      <c r="U60" s="3"/>
      <c r="V60" s="8">
        <f t="shared" si="17"/>
        <v>0</v>
      </c>
      <c r="W60" s="3"/>
      <c r="X60" s="7">
        <f t="shared" si="18"/>
        <v>6139.66</v>
      </c>
      <c r="Y60" s="3"/>
      <c r="Z60" s="8">
        <f t="shared" si="19"/>
        <v>0</v>
      </c>
    </row>
    <row r="61" spans="1:26" s="70" customFormat="1" ht="15" hidden="1" customHeight="1" outlineLevel="2" x14ac:dyDescent="0.3">
      <c r="A61" s="26"/>
      <c r="B61" s="12" t="str">
        <f>CONCATENATE("          ","6118"," - ","VACATION")</f>
        <v xml:space="preserve">          6118 - VACATION</v>
      </c>
      <c r="C61" s="12"/>
      <c r="D61" s="7">
        <v>5231.3599999999997</v>
      </c>
      <c r="E61" s="3"/>
      <c r="F61" s="8">
        <f t="shared" si="12"/>
        <v>8.8235969283177035E-3</v>
      </c>
      <c r="G61" s="3"/>
      <c r="H61" s="7">
        <v>3793.1837726692302</v>
      </c>
      <c r="I61" s="3"/>
      <c r="J61" s="8">
        <f t="shared" si="13"/>
        <v>1.0517660585969268E-2</v>
      </c>
      <c r="K61" s="3"/>
      <c r="L61" s="7">
        <f t="shared" si="14"/>
        <v>1438.1762273307695</v>
      </c>
      <c r="M61" s="3"/>
      <c r="N61" s="8">
        <f t="shared" si="15"/>
        <v>0.37914752185042105</v>
      </c>
      <c r="O61" s="12"/>
      <c r="P61" s="7">
        <v>56797.54</v>
      </c>
      <c r="Q61" s="3"/>
      <c r="R61" s="8">
        <f t="shared" si="16"/>
        <v>9.8125863919685044E-3</v>
      </c>
      <c r="S61" s="3"/>
      <c r="T61" s="7">
        <v>39097.0225527558</v>
      </c>
      <c r="U61" s="3"/>
      <c r="V61" s="8">
        <f t="shared" si="17"/>
        <v>4.9764672248909262E-3</v>
      </c>
      <c r="W61" s="3"/>
      <c r="X61" s="7">
        <f t="shared" si="18"/>
        <v>17700.517447244201</v>
      </c>
      <c r="Y61" s="3"/>
      <c r="Z61" s="8">
        <f t="shared" si="19"/>
        <v>0.45273313136211085</v>
      </c>
    </row>
    <row r="62" spans="1:26" s="70" customFormat="1" ht="15" hidden="1" customHeight="1" outlineLevel="2" x14ac:dyDescent="0.3">
      <c r="A62" s="26"/>
      <c r="B62" s="12" t="str">
        <f>CONCATENATE("          ","6119"," - ","SICK LEAVE")</f>
        <v xml:space="preserve">          6119 - SICK LEAVE</v>
      </c>
      <c r="C62" s="12"/>
      <c r="D62" s="7">
        <v>3899.81</v>
      </c>
      <c r="E62" s="3"/>
      <c r="F62" s="8">
        <f t="shared" si="12"/>
        <v>6.5777066646192702E-3</v>
      </c>
      <c r="G62" s="3"/>
      <c r="H62" s="7">
        <v>5519.9697244923</v>
      </c>
      <c r="I62" s="3"/>
      <c r="J62" s="8">
        <f t="shared" si="13"/>
        <v>1.5305656537221232E-2</v>
      </c>
      <c r="K62" s="3"/>
      <c r="L62" s="7">
        <f t="shared" si="14"/>
        <v>-1620.1597244923</v>
      </c>
      <c r="M62" s="3"/>
      <c r="N62" s="8">
        <f t="shared" si="15"/>
        <v>-0.29350880627181603</v>
      </c>
      <c r="O62" s="12"/>
      <c r="P62" s="7">
        <v>18929.080000000002</v>
      </c>
      <c r="Q62" s="3"/>
      <c r="R62" s="8">
        <f t="shared" si="16"/>
        <v>3.2702689732774202E-3</v>
      </c>
      <c r="S62" s="3"/>
      <c r="T62" s="7">
        <v>60317.111254665397</v>
      </c>
      <c r="U62" s="3"/>
      <c r="V62" s="8">
        <f t="shared" si="17"/>
        <v>7.6774676857786555E-3</v>
      </c>
      <c r="W62" s="3"/>
      <c r="X62" s="7">
        <f t="shared" si="18"/>
        <v>-41388.031254665395</v>
      </c>
      <c r="Y62" s="3"/>
      <c r="Z62" s="8">
        <f t="shared" si="19"/>
        <v>-0.68617396280668397</v>
      </c>
    </row>
    <row r="63" spans="1:26" s="70" customFormat="1" ht="15" hidden="1" customHeight="1" outlineLevel="2" x14ac:dyDescent="0.3">
      <c r="A63" s="26"/>
      <c r="B63" s="12" t="str">
        <f>CONCATENATE("          ","6156"," - ","EMPLOYEE MEALS")</f>
        <v xml:space="preserve">          6156 - EMPLOYEE MEALS</v>
      </c>
      <c r="C63" s="12"/>
      <c r="D63" s="7">
        <v>3433.58</v>
      </c>
      <c r="E63" s="3"/>
      <c r="F63" s="8">
        <f t="shared" si="12"/>
        <v>5.7913288210203664E-3</v>
      </c>
      <c r="G63" s="3"/>
      <c r="H63" s="7">
        <v>2275</v>
      </c>
      <c r="I63" s="3"/>
      <c r="J63" s="8">
        <f t="shared" si="13"/>
        <v>6.3080723917160455E-3</v>
      </c>
      <c r="K63" s="3"/>
      <c r="L63" s="7">
        <f t="shared" si="14"/>
        <v>1158.58</v>
      </c>
      <c r="M63" s="3"/>
      <c r="N63" s="8">
        <f t="shared" si="15"/>
        <v>0.50926593406593401</v>
      </c>
      <c r="O63" s="12"/>
      <c r="P63" s="7">
        <v>25487.79</v>
      </c>
      <c r="Q63" s="3"/>
      <c r="R63" s="8">
        <f t="shared" si="16"/>
        <v>4.4033798174243277E-3</v>
      </c>
      <c r="S63" s="3"/>
      <c r="T63" s="7">
        <v>21350</v>
      </c>
      <c r="U63" s="3"/>
      <c r="V63" s="8">
        <f t="shared" si="17"/>
        <v>2.7175362294674862E-3</v>
      </c>
      <c r="W63" s="3"/>
      <c r="X63" s="7">
        <f t="shared" si="18"/>
        <v>4137.7900000000009</v>
      </c>
      <c r="Y63" s="3"/>
      <c r="Z63" s="8">
        <f t="shared" si="19"/>
        <v>0.1938074941451991</v>
      </c>
    </row>
    <row r="64" spans="1:26" s="69" customFormat="1" ht="15" customHeight="1" outlineLevel="1" collapsed="1" x14ac:dyDescent="0.3">
      <c r="A64" s="25"/>
      <c r="B64" s="14" t="str">
        <f>CONCATENATE("     ","*Payroll                                          ")</f>
        <v xml:space="preserve">     *Payroll                                          </v>
      </c>
      <c r="C64" s="14"/>
      <c r="D64" s="2">
        <f>SUM(OSRRefD22_1x_0)</f>
        <v>166169.60000000001</v>
      </c>
      <c r="E64" s="2"/>
      <c r="F64" s="6">
        <f t="shared" si="12"/>
        <v>0.28027388138835441</v>
      </c>
      <c r="G64" s="2"/>
      <c r="H64" s="2">
        <f>SUM(OSRRefH22_1x_0)</f>
        <v>140798.09295871528</v>
      </c>
      <c r="I64" s="2"/>
      <c r="J64" s="6">
        <f t="shared" si="13"/>
        <v>0.39040200571390821</v>
      </c>
      <c r="K64" s="2"/>
      <c r="L64" s="2">
        <f t="shared" si="14"/>
        <v>25371.507041284727</v>
      </c>
      <c r="M64" s="2"/>
      <c r="N64" s="6">
        <f t="shared" si="15"/>
        <v>0.18019780316715045</v>
      </c>
      <c r="O64" s="14"/>
      <c r="P64" s="2">
        <f>SUM(OSRRefP22_1x_0)</f>
        <v>1500931.24</v>
      </c>
      <c r="Q64" s="2"/>
      <c r="R64" s="6">
        <f t="shared" si="16"/>
        <v>0.25930731262136375</v>
      </c>
      <c r="S64" s="2"/>
      <c r="T64" s="2">
        <f>SUM(OSRRefT22_1x_0)</f>
        <v>1575988.9718296858</v>
      </c>
      <c r="U64" s="2"/>
      <c r="V64" s="6">
        <f t="shared" si="17"/>
        <v>0.20059986548891734</v>
      </c>
      <c r="W64" s="2"/>
      <c r="X64" s="2">
        <f t="shared" si="18"/>
        <v>-75057.731829685858</v>
      </c>
      <c r="Y64" s="2"/>
      <c r="Z64" s="6">
        <f t="shared" si="19"/>
        <v>-4.7625797623790225E-2</v>
      </c>
    </row>
    <row r="65" spans="1:26" s="70" customFormat="1" ht="15" hidden="1" customHeight="1" outlineLevel="2" x14ac:dyDescent="0.3">
      <c r="A65" s="26"/>
      <c r="B65" s="12" t="str">
        <f>CONCATENATE("          ","6001"," - ","ADMINISTRATIVE SALARIES")</f>
        <v xml:space="preserve">          6001 - ADMINISTRATIVE SALARIES</v>
      </c>
      <c r="C65" s="12"/>
      <c r="D65" s="7">
        <v>3959.51</v>
      </c>
      <c r="E65" s="3"/>
      <c r="F65" s="8">
        <f t="shared" si="12"/>
        <v>6.6784010799568819E-3</v>
      </c>
      <c r="G65" s="3"/>
      <c r="H65" s="7">
        <v>4139.8076923076896</v>
      </c>
      <c r="I65" s="3"/>
      <c r="J65" s="8">
        <f t="shared" si="13"/>
        <v>1.1478772136641693E-2</v>
      </c>
      <c r="K65" s="3"/>
      <c r="L65" s="7">
        <f t="shared" si="14"/>
        <v>-180.29769230768943</v>
      </c>
      <c r="M65" s="3"/>
      <c r="N65" s="8">
        <f t="shared" si="15"/>
        <v>-4.3552190272680154E-2</v>
      </c>
      <c r="O65" s="12"/>
      <c r="P65" s="7">
        <v>44917.06</v>
      </c>
      <c r="Q65" s="3"/>
      <c r="R65" s="8">
        <f t="shared" si="16"/>
        <v>7.7600637584520887E-3</v>
      </c>
      <c r="S65" s="3"/>
      <c r="T65" s="7">
        <v>40363.125</v>
      </c>
      <c r="U65" s="3"/>
      <c r="V65" s="8">
        <f t="shared" si="17"/>
        <v>5.1376231626241138E-3</v>
      </c>
      <c r="W65" s="3"/>
      <c r="X65" s="7">
        <f t="shared" si="18"/>
        <v>4553.9349999999977</v>
      </c>
      <c r="Y65" s="3"/>
      <c r="Z65" s="8">
        <f t="shared" si="19"/>
        <v>0.11282414332388778</v>
      </c>
    </row>
    <row r="66" spans="1:26" s="70" customFormat="1" ht="15" hidden="1" customHeight="1" outlineLevel="2" x14ac:dyDescent="0.3">
      <c r="A66" s="26"/>
      <c r="B66" s="12" t="str">
        <f>CONCATENATE("          ","6002"," - ","STAFF SALARIES")</f>
        <v xml:space="preserve">          6002 - STAFF SALARIES</v>
      </c>
      <c r="C66" s="12"/>
      <c r="D66" s="7">
        <v>47158.67</v>
      </c>
      <c r="E66" s="3"/>
      <c r="F66" s="8">
        <f t="shared" si="12"/>
        <v>7.9541284819922217E-2</v>
      </c>
      <c r="G66" s="3"/>
      <c r="H66" s="7">
        <v>40067.404623407601</v>
      </c>
      <c r="I66" s="3"/>
      <c r="J66" s="8">
        <f t="shared" si="13"/>
        <v>0.11109806106049816</v>
      </c>
      <c r="K66" s="3"/>
      <c r="L66" s="7">
        <f t="shared" si="14"/>
        <v>7091.2653765923969</v>
      </c>
      <c r="M66" s="3"/>
      <c r="N66" s="8">
        <f t="shared" si="15"/>
        <v>0.17698339693431603</v>
      </c>
      <c r="O66" s="12"/>
      <c r="P66" s="7">
        <v>515280.41</v>
      </c>
      <c r="Q66" s="3"/>
      <c r="R66" s="8">
        <f t="shared" si="16"/>
        <v>8.9022051645440123E-2</v>
      </c>
      <c r="S66" s="3"/>
      <c r="T66" s="7">
        <v>408621.78161668603</v>
      </c>
      <c r="U66" s="3"/>
      <c r="V66" s="8">
        <f t="shared" si="17"/>
        <v>5.2011451788894408E-2</v>
      </c>
      <c r="W66" s="3"/>
      <c r="X66" s="7">
        <f t="shared" si="18"/>
        <v>106658.62838331395</v>
      </c>
      <c r="Y66" s="3"/>
      <c r="Z66" s="8">
        <f t="shared" si="19"/>
        <v>0.26102041834707362</v>
      </c>
    </row>
    <row r="67" spans="1:26" s="70" customFormat="1" ht="15" hidden="1" customHeight="1" outlineLevel="2" x14ac:dyDescent="0.3">
      <c r="A67" s="26"/>
      <c r="B67" s="12" t="str">
        <f>CONCATENATE("          ","6003"," - ","STAFF HOURLY-9 MONTH")</f>
        <v xml:space="preserve">          6003 - STAFF HOURLY-9 MONTH</v>
      </c>
      <c r="C67" s="12"/>
      <c r="D67" s="7"/>
      <c r="E67" s="3"/>
      <c r="F67" s="8">
        <f t="shared" si="12"/>
        <v>0</v>
      </c>
      <c r="G67" s="3"/>
      <c r="H67" s="7">
        <v>0</v>
      </c>
      <c r="I67" s="3"/>
      <c r="J67" s="8">
        <f t="shared" si="13"/>
        <v>0</v>
      </c>
      <c r="K67" s="3"/>
      <c r="L67" s="7">
        <f t="shared" si="14"/>
        <v>0</v>
      </c>
      <c r="M67" s="3"/>
      <c r="N67" s="8">
        <f t="shared" si="15"/>
        <v>0</v>
      </c>
      <c r="O67" s="12"/>
      <c r="P67" s="7"/>
      <c r="Q67" s="3"/>
      <c r="R67" s="8">
        <f t="shared" si="16"/>
        <v>0</v>
      </c>
      <c r="S67" s="3"/>
      <c r="T67" s="7">
        <v>0</v>
      </c>
      <c r="U67" s="3"/>
      <c r="V67" s="8">
        <f t="shared" si="17"/>
        <v>0</v>
      </c>
      <c r="W67" s="3"/>
      <c r="X67" s="7">
        <f t="shared" si="18"/>
        <v>0</v>
      </c>
      <c r="Y67" s="3"/>
      <c r="Z67" s="8">
        <f t="shared" si="19"/>
        <v>0</v>
      </c>
    </row>
    <row r="68" spans="1:26" s="70" customFormat="1" ht="15" hidden="1" customHeight="1" outlineLevel="2" x14ac:dyDescent="0.3">
      <c r="A68" s="26"/>
      <c r="B68" s="12" t="str">
        <f>CONCATENATE("          ","6004"," - ","STAFF HOURLY")</f>
        <v xml:space="preserve">          6004 - STAFF HOURLY</v>
      </c>
      <c r="C68" s="12"/>
      <c r="D68" s="7">
        <v>21529.040000000001</v>
      </c>
      <c r="E68" s="3"/>
      <c r="F68" s="8">
        <f t="shared" si="12"/>
        <v>3.6312463912563653E-2</v>
      </c>
      <c r="G68" s="3"/>
      <c r="H68" s="7">
        <v>36029.393568</v>
      </c>
      <c r="I68" s="3"/>
      <c r="J68" s="8">
        <f t="shared" si="13"/>
        <v>9.9901548508383495E-2</v>
      </c>
      <c r="K68" s="3"/>
      <c r="L68" s="7">
        <f t="shared" si="14"/>
        <v>-14500.353567999999</v>
      </c>
      <c r="M68" s="3"/>
      <c r="N68" s="8">
        <f t="shared" si="15"/>
        <v>-0.40245899617024605</v>
      </c>
      <c r="O68" s="12"/>
      <c r="P68" s="7">
        <v>206848.46</v>
      </c>
      <c r="Q68" s="3"/>
      <c r="R68" s="8">
        <f t="shared" si="16"/>
        <v>3.5736026310217689E-2</v>
      </c>
      <c r="S68" s="3"/>
      <c r="T68" s="7">
        <v>338028.22508800001</v>
      </c>
      <c r="U68" s="3"/>
      <c r="V68" s="8">
        <f t="shared" si="17"/>
        <v>4.30259460542965E-2</v>
      </c>
      <c r="W68" s="3"/>
      <c r="X68" s="7">
        <f t="shared" si="18"/>
        <v>-131179.76508800001</v>
      </c>
      <c r="Y68" s="3"/>
      <c r="Z68" s="8">
        <f t="shared" si="19"/>
        <v>-0.38807340734298018</v>
      </c>
    </row>
    <row r="69" spans="1:26" s="70" customFormat="1" ht="15" hidden="1" customHeight="1" outlineLevel="2" x14ac:dyDescent="0.3">
      <c r="A69" s="26"/>
      <c r="B69" s="12" t="str">
        <f>CONCATENATE("          ","6005"," - ","TEMPORARY WAGES-HOURLY")</f>
        <v xml:space="preserve">          6005 - TEMPORARY WAGES-HOURLY</v>
      </c>
      <c r="C69" s="12"/>
      <c r="D69" s="7">
        <v>5143.54</v>
      </c>
      <c r="E69" s="3"/>
      <c r="F69" s="8">
        <f t="shared" si="12"/>
        <v>8.6754732506803666E-3</v>
      </c>
      <c r="G69" s="3"/>
      <c r="H69" s="7">
        <v>1802</v>
      </c>
      <c r="I69" s="3"/>
      <c r="J69" s="8">
        <f t="shared" si="13"/>
        <v>4.9965478900537638E-3</v>
      </c>
      <c r="K69" s="3"/>
      <c r="L69" s="7">
        <f t="shared" si="14"/>
        <v>3341.54</v>
      </c>
      <c r="M69" s="3"/>
      <c r="N69" s="8">
        <f t="shared" si="15"/>
        <v>1.8543507214206436</v>
      </c>
      <c r="O69" s="12"/>
      <c r="P69" s="7">
        <v>72197.25</v>
      </c>
      <c r="Q69" s="3"/>
      <c r="R69" s="8">
        <f t="shared" si="16"/>
        <v>1.2473106280440106E-2</v>
      </c>
      <c r="S69" s="3"/>
      <c r="T69" s="7">
        <v>28982.34</v>
      </c>
      <c r="U69" s="3"/>
      <c r="V69" s="8">
        <f t="shared" si="17"/>
        <v>3.6890191552573634E-3</v>
      </c>
      <c r="W69" s="3"/>
      <c r="X69" s="7">
        <f t="shared" si="18"/>
        <v>43214.91</v>
      </c>
      <c r="Y69" s="3"/>
      <c r="Z69" s="8">
        <f t="shared" si="19"/>
        <v>1.491077325019305</v>
      </c>
    </row>
    <row r="70" spans="1:26" s="70" customFormat="1" ht="15" hidden="1" customHeight="1" outlineLevel="2" x14ac:dyDescent="0.3">
      <c r="A70" s="26"/>
      <c r="B70" s="12" t="str">
        <f>CONCATENATE("          ","6006"," - ","TEMPORARY PART TIME")</f>
        <v xml:space="preserve">          6006 - TEMPORARY PART TIME</v>
      </c>
      <c r="C70" s="12"/>
      <c r="D70" s="7">
        <v>1071.74</v>
      </c>
      <c r="E70" s="3"/>
      <c r="F70" s="8">
        <f t="shared" si="12"/>
        <v>1.8076755895130934E-3</v>
      </c>
      <c r="G70" s="3"/>
      <c r="H70" s="7">
        <v>0</v>
      </c>
      <c r="I70" s="3"/>
      <c r="J70" s="8">
        <f t="shared" si="13"/>
        <v>0</v>
      </c>
      <c r="K70" s="3"/>
      <c r="L70" s="7">
        <f t="shared" si="14"/>
        <v>1071.74</v>
      </c>
      <c r="M70" s="3"/>
      <c r="N70" s="8">
        <f t="shared" si="15"/>
        <v>0</v>
      </c>
      <c r="O70" s="12"/>
      <c r="P70" s="7">
        <v>15352.11</v>
      </c>
      <c r="Q70" s="3"/>
      <c r="R70" s="8">
        <f t="shared" si="16"/>
        <v>2.6522963085021571E-3</v>
      </c>
      <c r="S70" s="3"/>
      <c r="T70" s="7">
        <v>0</v>
      </c>
      <c r="U70" s="3"/>
      <c r="V70" s="8">
        <f t="shared" si="17"/>
        <v>0</v>
      </c>
      <c r="W70" s="3"/>
      <c r="X70" s="7">
        <f t="shared" si="18"/>
        <v>15352.11</v>
      </c>
      <c r="Y70" s="3"/>
      <c r="Z70" s="8">
        <f t="shared" si="19"/>
        <v>0</v>
      </c>
    </row>
    <row r="71" spans="1:26" s="70" customFormat="1" ht="15" hidden="1" customHeight="1" outlineLevel="2" x14ac:dyDescent="0.3">
      <c r="A71" s="26"/>
      <c r="B71" s="12" t="str">
        <f>CONCATENATE("          ","6007"," - ","STUDENT HOURLY")</f>
        <v xml:space="preserve">          6007 - STUDENT HOURLY</v>
      </c>
      <c r="C71" s="12"/>
      <c r="D71" s="7">
        <v>77003.78</v>
      </c>
      <c r="E71" s="3"/>
      <c r="F71" s="8">
        <f t="shared" si="12"/>
        <v>0.12988024465470782</v>
      </c>
      <c r="G71" s="3"/>
      <c r="H71" s="7">
        <v>30466.416000000001</v>
      </c>
      <c r="I71" s="3"/>
      <c r="J71" s="8">
        <f t="shared" si="13"/>
        <v>8.4476640722697144E-2</v>
      </c>
      <c r="K71" s="3"/>
      <c r="L71" s="7">
        <f t="shared" si="14"/>
        <v>46537.364000000001</v>
      </c>
      <c r="M71" s="3"/>
      <c r="N71" s="8">
        <f t="shared" si="15"/>
        <v>1.5274971627775318</v>
      </c>
      <c r="O71" s="12"/>
      <c r="P71" s="7">
        <v>558213.18000000005</v>
      </c>
      <c r="Q71" s="3"/>
      <c r="R71" s="8">
        <f t="shared" si="16"/>
        <v>9.6439300960666011E-2</v>
      </c>
      <c r="S71" s="3"/>
      <c r="T71" s="7">
        <v>327383.13</v>
      </c>
      <c r="U71" s="3"/>
      <c r="V71" s="8">
        <f t="shared" si="17"/>
        <v>4.1670984388358964E-2</v>
      </c>
      <c r="W71" s="3"/>
      <c r="X71" s="7">
        <f t="shared" si="18"/>
        <v>230830.05000000005</v>
      </c>
      <c r="Y71" s="3"/>
      <c r="Z71" s="8">
        <f t="shared" si="19"/>
        <v>0.70507619008957501</v>
      </c>
    </row>
    <row r="72" spans="1:26" s="70" customFormat="1" ht="15" hidden="1" customHeight="1" outlineLevel="2" x14ac:dyDescent="0.3">
      <c r="A72" s="26"/>
      <c r="B72" s="12" t="str">
        <f>CONCATENATE("          ","6008"," - ","STUDENT HOURLY-FICA EXEMPT")</f>
        <v xml:space="preserve">          6008 - STUDENT HOURLY-FICA EXEMPT</v>
      </c>
      <c r="C72" s="12"/>
      <c r="D72" s="7">
        <v>10303.32</v>
      </c>
      <c r="E72" s="3"/>
      <c r="F72" s="8">
        <f t="shared" si="12"/>
        <v>1.7378338081010362E-2</v>
      </c>
      <c r="G72" s="3"/>
      <c r="H72" s="7">
        <v>28293.071075</v>
      </c>
      <c r="I72" s="3"/>
      <c r="J72" s="8">
        <f t="shared" si="13"/>
        <v>7.8450435395633983E-2</v>
      </c>
      <c r="K72" s="3"/>
      <c r="L72" s="7">
        <f t="shared" si="14"/>
        <v>-17989.751075</v>
      </c>
      <c r="M72" s="3"/>
      <c r="N72" s="8">
        <f t="shared" si="15"/>
        <v>-0.63583592701238778</v>
      </c>
      <c r="O72" s="12"/>
      <c r="P72" s="7">
        <v>88122.77</v>
      </c>
      <c r="Q72" s="3"/>
      <c r="R72" s="8">
        <f t="shared" si="16"/>
        <v>1.5224467357645603E-2</v>
      </c>
      <c r="S72" s="3"/>
      <c r="T72" s="7">
        <v>432610.37012500002</v>
      </c>
      <c r="U72" s="3"/>
      <c r="V72" s="8">
        <f t="shared" si="17"/>
        <v>5.5064840939486007E-2</v>
      </c>
      <c r="W72" s="3"/>
      <c r="X72" s="7">
        <f t="shared" si="18"/>
        <v>-344487.600125</v>
      </c>
      <c r="Y72" s="3"/>
      <c r="Z72" s="8">
        <f t="shared" si="19"/>
        <v>-0.79629991307296333</v>
      </c>
    </row>
    <row r="73" spans="1:26" s="70" customFormat="1" ht="15" hidden="1" customHeight="1" outlineLevel="2" x14ac:dyDescent="0.3">
      <c r="A73" s="26"/>
      <c r="B73" s="12" t="str">
        <f>CONCATENATE("          ","6009"," - ","TEMPORARY-SEASONAL")</f>
        <v xml:space="preserve">          6009 - TEMPORARY-SEASONAL</v>
      </c>
      <c r="C73" s="12"/>
      <c r="D73" s="7"/>
      <c r="E73" s="3"/>
      <c r="F73" s="8">
        <f t="shared" si="12"/>
        <v>0</v>
      </c>
      <c r="G73" s="3"/>
      <c r="H73" s="7">
        <v>0</v>
      </c>
      <c r="I73" s="3"/>
      <c r="J73" s="8">
        <f t="shared" si="13"/>
        <v>0</v>
      </c>
      <c r="K73" s="3"/>
      <c r="L73" s="7">
        <f t="shared" si="14"/>
        <v>0</v>
      </c>
      <c r="M73" s="3"/>
      <c r="N73" s="8">
        <f t="shared" si="15"/>
        <v>0</v>
      </c>
      <c r="O73" s="12"/>
      <c r="P73" s="7"/>
      <c r="Q73" s="3"/>
      <c r="R73" s="8">
        <f t="shared" si="16"/>
        <v>0</v>
      </c>
      <c r="S73" s="3"/>
      <c r="T73" s="7">
        <v>0</v>
      </c>
      <c r="U73" s="3"/>
      <c r="V73" s="8">
        <f t="shared" si="17"/>
        <v>0</v>
      </c>
      <c r="W73" s="3"/>
      <c r="X73" s="7">
        <f t="shared" si="18"/>
        <v>0</v>
      </c>
      <c r="Y73" s="3"/>
      <c r="Z73" s="8">
        <f t="shared" si="19"/>
        <v>0</v>
      </c>
    </row>
    <row r="74" spans="1:26" s="70" customFormat="1" ht="15" hidden="1" customHeight="1" outlineLevel="2" x14ac:dyDescent="0.3">
      <c r="A74" s="26"/>
      <c r="B74" s="12" t="str">
        <f>CONCATENATE("          ","6010"," - ","GRATUITY")</f>
        <v xml:space="preserve">          6010 - GRATUITY</v>
      </c>
      <c r="C74" s="12"/>
      <c r="D74" s="7"/>
      <c r="E74" s="3"/>
      <c r="F74" s="8">
        <f t="shared" si="12"/>
        <v>0</v>
      </c>
      <c r="G74" s="3"/>
      <c r="H74" s="7">
        <v>0</v>
      </c>
      <c r="I74" s="3"/>
      <c r="J74" s="8">
        <f t="shared" si="13"/>
        <v>0</v>
      </c>
      <c r="K74" s="3"/>
      <c r="L74" s="7">
        <f t="shared" si="14"/>
        <v>0</v>
      </c>
      <c r="M74" s="3"/>
      <c r="N74" s="8">
        <f t="shared" si="15"/>
        <v>0</v>
      </c>
      <c r="O74" s="12"/>
      <c r="P74" s="7"/>
      <c r="Q74" s="3"/>
      <c r="R74" s="8">
        <f t="shared" si="16"/>
        <v>0</v>
      </c>
      <c r="S74" s="3"/>
      <c r="T74" s="7">
        <v>0</v>
      </c>
      <c r="U74" s="3"/>
      <c r="V74" s="8">
        <f t="shared" si="17"/>
        <v>0</v>
      </c>
      <c r="W74" s="3"/>
      <c r="X74" s="7">
        <f t="shared" si="18"/>
        <v>0</v>
      </c>
      <c r="Y74" s="3"/>
      <c r="Z74" s="8">
        <f t="shared" si="19"/>
        <v>0</v>
      </c>
    </row>
    <row r="75" spans="1:26" s="69" customFormat="1" ht="15" customHeight="1" outlineLevel="1" collapsed="1" x14ac:dyDescent="0.3">
      <c r="A75" s="25"/>
      <c r="B75" s="14" t="str">
        <f>CONCATENATE("     ","Advertising/Promo                                 ")</f>
        <v xml:space="preserve">     Advertising/Promo                                 </v>
      </c>
      <c r="C75" s="14"/>
      <c r="D75" s="2">
        <f>SUM(OSRRefD22_2x_0)</f>
        <v>2355.75</v>
      </c>
      <c r="E75" s="2"/>
      <c r="F75" s="6">
        <f t="shared" si="12"/>
        <v>3.9733813891386621E-3</v>
      </c>
      <c r="G75" s="2"/>
      <c r="H75" s="2">
        <f>SUM(OSRRefH22_2x_0)</f>
        <v>300</v>
      </c>
      <c r="I75" s="2"/>
      <c r="J75" s="6">
        <f t="shared" si="13"/>
        <v>8.3183372198453339E-4</v>
      </c>
      <c r="K75" s="2"/>
      <c r="L75" s="2">
        <f t="shared" si="14"/>
        <v>2055.75</v>
      </c>
      <c r="M75" s="2"/>
      <c r="N75" s="6">
        <f t="shared" si="15"/>
        <v>6.8525</v>
      </c>
      <c r="O75" s="14"/>
      <c r="P75" s="2">
        <f>SUM(OSRRefP22_2x_0)</f>
        <v>8999.6200000000008</v>
      </c>
      <c r="Q75" s="2"/>
      <c r="R75" s="6">
        <f t="shared" si="16"/>
        <v>1.5548129152228706E-3</v>
      </c>
      <c r="S75" s="2"/>
      <c r="T75" s="2">
        <f>SUM(OSRRefT22_2x_0)</f>
        <v>6100</v>
      </c>
      <c r="U75" s="2"/>
      <c r="V75" s="6">
        <f t="shared" si="17"/>
        <v>7.7643892270499613E-4</v>
      </c>
      <c r="W75" s="2"/>
      <c r="X75" s="2">
        <f t="shared" si="18"/>
        <v>2899.6200000000008</v>
      </c>
      <c r="Y75" s="2"/>
      <c r="Z75" s="6">
        <f t="shared" si="19"/>
        <v>0.47534754098360671</v>
      </c>
    </row>
    <row r="76" spans="1:26" s="70" customFormat="1" ht="15" hidden="1" customHeight="1" outlineLevel="2" x14ac:dyDescent="0.3">
      <c r="A76" s="26"/>
      <c r="B76" s="12" t="str">
        <f>CONCATENATE("          ","6362"," - ","ADVERTISING EXPENSE")</f>
        <v xml:space="preserve">          6362 - ADVERTISING EXPENSE</v>
      </c>
      <c r="C76" s="12"/>
      <c r="D76" s="7">
        <v>2355.75</v>
      </c>
      <c r="E76" s="3"/>
      <c r="F76" s="8">
        <f t="shared" si="12"/>
        <v>3.9733813891386621E-3</v>
      </c>
      <c r="G76" s="3"/>
      <c r="H76" s="7">
        <v>300</v>
      </c>
      <c r="I76" s="3"/>
      <c r="J76" s="8">
        <f t="shared" si="13"/>
        <v>8.3183372198453339E-4</v>
      </c>
      <c r="K76" s="3"/>
      <c r="L76" s="7">
        <f t="shared" si="14"/>
        <v>2055.75</v>
      </c>
      <c r="M76" s="3"/>
      <c r="N76" s="8">
        <f t="shared" si="15"/>
        <v>6.8525</v>
      </c>
      <c r="O76" s="12"/>
      <c r="P76" s="7">
        <v>8999.6200000000008</v>
      </c>
      <c r="Q76" s="3"/>
      <c r="R76" s="8">
        <f t="shared" si="16"/>
        <v>1.5548129152228706E-3</v>
      </c>
      <c r="S76" s="3"/>
      <c r="T76" s="7">
        <v>6100</v>
      </c>
      <c r="U76" s="3"/>
      <c r="V76" s="8">
        <f t="shared" si="17"/>
        <v>7.7643892270499613E-4</v>
      </c>
      <c r="W76" s="3"/>
      <c r="X76" s="7">
        <f t="shared" si="18"/>
        <v>2899.6200000000008</v>
      </c>
      <c r="Y76" s="3"/>
      <c r="Z76" s="8">
        <f t="shared" si="19"/>
        <v>0.47534754098360671</v>
      </c>
    </row>
    <row r="77" spans="1:26" s="69" customFormat="1" ht="15" customHeight="1" outlineLevel="1" collapsed="1" x14ac:dyDescent="0.3">
      <c r="A77" s="25"/>
      <c r="B77" s="14" t="str">
        <f>CONCATENATE("     ","Bad Debts/Over/Short                              ")</f>
        <v xml:space="preserve">     Bad Debts/Over/Short                              </v>
      </c>
      <c r="C77" s="14"/>
      <c r="D77" s="2">
        <f>SUM(OSRRefD22_3x_0)</f>
        <v>-46.63</v>
      </c>
      <c r="E77" s="2"/>
      <c r="F77" s="6">
        <f t="shared" si="12"/>
        <v>-7.8649591075256636E-5</v>
      </c>
      <c r="G77" s="2"/>
      <c r="H77" s="2">
        <f>SUM(OSRRefH22_3x_0)</f>
        <v>235</v>
      </c>
      <c r="I77" s="2"/>
      <c r="J77" s="6">
        <f t="shared" si="13"/>
        <v>6.5160308222121785E-4</v>
      </c>
      <c r="K77" s="2"/>
      <c r="L77" s="2">
        <f t="shared" si="14"/>
        <v>-281.63</v>
      </c>
      <c r="M77" s="2"/>
      <c r="N77" s="6">
        <f t="shared" si="15"/>
        <v>-1.1984255319148935</v>
      </c>
      <c r="O77" s="14"/>
      <c r="P77" s="2">
        <f>SUM(OSRRefP22_3x_0)</f>
        <v>53.05</v>
      </c>
      <c r="Q77" s="2"/>
      <c r="R77" s="6">
        <f t="shared" si="16"/>
        <v>9.1651453230884505E-6</v>
      </c>
      <c r="S77" s="2"/>
      <c r="T77" s="2">
        <f>SUM(OSRRefT22_3x_0)</f>
        <v>2115</v>
      </c>
      <c r="U77" s="2"/>
      <c r="V77" s="6">
        <f t="shared" si="17"/>
        <v>2.6920792156083062E-4</v>
      </c>
      <c r="W77" s="2"/>
      <c r="X77" s="2">
        <f t="shared" si="18"/>
        <v>-2061.9499999999998</v>
      </c>
      <c r="Y77" s="2"/>
      <c r="Z77" s="6">
        <f t="shared" si="19"/>
        <v>-0.97491725768321502</v>
      </c>
    </row>
    <row r="78" spans="1:26" s="70" customFormat="1" ht="15" hidden="1" customHeight="1" outlineLevel="2" x14ac:dyDescent="0.3">
      <c r="A78" s="26"/>
      <c r="B78" s="12" t="str">
        <f>CONCATENATE("          ","6272"," - ","CASH (OVER/SHORT)")</f>
        <v xml:space="preserve">          6272 - CASH (OVER/SHORT)</v>
      </c>
      <c r="C78" s="12"/>
      <c r="D78" s="7">
        <v>-46.63</v>
      </c>
      <c r="E78" s="3"/>
      <c r="F78" s="8">
        <f t="shared" si="12"/>
        <v>-7.8649591075256636E-5</v>
      </c>
      <c r="G78" s="3"/>
      <c r="H78" s="7">
        <v>235</v>
      </c>
      <c r="I78" s="3"/>
      <c r="J78" s="8">
        <f t="shared" si="13"/>
        <v>6.5160308222121785E-4</v>
      </c>
      <c r="K78" s="3"/>
      <c r="L78" s="7">
        <f t="shared" si="14"/>
        <v>-281.63</v>
      </c>
      <c r="M78" s="3"/>
      <c r="N78" s="8">
        <f t="shared" si="15"/>
        <v>-1.1984255319148935</v>
      </c>
      <c r="O78" s="12"/>
      <c r="P78" s="7">
        <v>53.05</v>
      </c>
      <c r="Q78" s="3"/>
      <c r="R78" s="8">
        <f t="shared" si="16"/>
        <v>9.1651453230884505E-6</v>
      </c>
      <c r="S78" s="3"/>
      <c r="T78" s="7">
        <v>2115</v>
      </c>
      <c r="U78" s="3"/>
      <c r="V78" s="8">
        <f t="shared" si="17"/>
        <v>2.6920792156083062E-4</v>
      </c>
      <c r="W78" s="3"/>
      <c r="X78" s="7">
        <f t="shared" si="18"/>
        <v>-2061.9499999999998</v>
      </c>
      <c r="Y78" s="3"/>
      <c r="Z78" s="8">
        <f t="shared" si="19"/>
        <v>-0.97491725768321502</v>
      </c>
    </row>
    <row r="79" spans="1:26" s="69" customFormat="1" ht="15" customHeight="1" outlineLevel="1" collapsed="1" x14ac:dyDescent="0.3">
      <c r="A79" s="25"/>
      <c r="B79" s="14" t="str">
        <f>CONCATENATE("     ","Bank/card Fees                                    ")</f>
        <v xml:space="preserve">     Bank/card Fees                                    </v>
      </c>
      <c r="C79" s="14"/>
      <c r="D79" s="2">
        <f>SUM(OSRRefD22_4x_0)</f>
        <v>16082.6</v>
      </c>
      <c r="E79" s="2"/>
      <c r="F79" s="6">
        <f t="shared" si="12"/>
        <v>2.7126097221250749E-2</v>
      </c>
      <c r="G79" s="2"/>
      <c r="H79" s="2">
        <f>SUM(OSRRefH22_4x_0)</f>
        <v>8002</v>
      </c>
      <c r="I79" s="2"/>
      <c r="J79" s="6">
        <f t="shared" si="13"/>
        <v>2.2187778144400788E-2</v>
      </c>
      <c r="K79" s="2"/>
      <c r="L79" s="2">
        <f t="shared" si="14"/>
        <v>8080.6</v>
      </c>
      <c r="M79" s="2"/>
      <c r="N79" s="6">
        <f t="shared" si="15"/>
        <v>1.0098225443639091</v>
      </c>
      <c r="O79" s="14"/>
      <c r="P79" s="2">
        <f>SUM(OSRRefP22_4x_0)</f>
        <v>111367.42</v>
      </c>
      <c r="Q79" s="2"/>
      <c r="R79" s="6">
        <f t="shared" si="16"/>
        <v>1.9240312696652728E-2</v>
      </c>
      <c r="S79" s="2"/>
      <c r="T79" s="2">
        <f>SUM(OSRRefT22_4x_0)</f>
        <v>153640</v>
      </c>
      <c r="U79" s="2"/>
      <c r="V79" s="6">
        <f t="shared" si="17"/>
        <v>1.9556078046622231E-2</v>
      </c>
      <c r="W79" s="2"/>
      <c r="X79" s="2">
        <f t="shared" si="18"/>
        <v>-42272.58</v>
      </c>
      <c r="Y79" s="2"/>
      <c r="Z79" s="6">
        <f t="shared" si="19"/>
        <v>-0.27514045821400679</v>
      </c>
    </row>
    <row r="80" spans="1:26" s="70" customFormat="1" ht="15" hidden="1" customHeight="1" outlineLevel="2" x14ac:dyDescent="0.3">
      <c r="A80" s="26"/>
      <c r="B80" s="12" t="str">
        <f>CONCATENATE("          ","6381"," - ","BANK/CREDIT CARD FEES")</f>
        <v xml:space="preserve">          6381 - BANK/CREDIT CARD FEES</v>
      </c>
      <c r="C80" s="12"/>
      <c r="D80" s="7">
        <v>16082.6</v>
      </c>
      <c r="E80" s="3"/>
      <c r="F80" s="8">
        <f t="shared" si="12"/>
        <v>2.7126097221250749E-2</v>
      </c>
      <c r="G80" s="3"/>
      <c r="H80" s="7">
        <v>8002</v>
      </c>
      <c r="I80" s="3"/>
      <c r="J80" s="8">
        <f t="shared" si="13"/>
        <v>2.2187778144400788E-2</v>
      </c>
      <c r="K80" s="3"/>
      <c r="L80" s="7">
        <f t="shared" si="14"/>
        <v>8080.6</v>
      </c>
      <c r="M80" s="3"/>
      <c r="N80" s="8">
        <f t="shared" si="15"/>
        <v>1.0098225443639091</v>
      </c>
      <c r="O80" s="12"/>
      <c r="P80" s="7">
        <v>111367.42</v>
      </c>
      <c r="Q80" s="3"/>
      <c r="R80" s="8">
        <f t="shared" si="16"/>
        <v>1.9240312696652728E-2</v>
      </c>
      <c r="S80" s="3"/>
      <c r="T80" s="7">
        <v>153640</v>
      </c>
      <c r="U80" s="3"/>
      <c r="V80" s="8">
        <f t="shared" si="17"/>
        <v>1.9556078046622231E-2</v>
      </c>
      <c r="W80" s="3"/>
      <c r="X80" s="7">
        <f t="shared" si="18"/>
        <v>-42272.58</v>
      </c>
      <c r="Y80" s="3"/>
      <c r="Z80" s="8">
        <f t="shared" si="19"/>
        <v>-0.27514045821400679</v>
      </c>
    </row>
    <row r="81" spans="1:26" s="69" customFormat="1" ht="15" customHeight="1" outlineLevel="1" collapsed="1" x14ac:dyDescent="0.3">
      <c r="A81" s="25"/>
      <c r="B81" s="14" t="str">
        <f>CONCATENATE("     ","Depreciation                                      ")</f>
        <v xml:space="preserve">     Depreciation                                      </v>
      </c>
      <c r="C81" s="14"/>
      <c r="D81" s="2">
        <f>SUM(OSRRefD22_5x_0)</f>
        <v>27540.01</v>
      </c>
      <c r="E81" s="2"/>
      <c r="F81" s="6">
        <f t="shared" si="12"/>
        <v>4.645100846468965E-2</v>
      </c>
      <c r="G81" s="2"/>
      <c r="H81" s="2">
        <f>SUM(OSRRefH22_5x_0)</f>
        <v>27419</v>
      </c>
      <c r="I81" s="2"/>
      <c r="J81" s="6">
        <f t="shared" si="13"/>
        <v>7.6026829410313079E-2</v>
      </c>
      <c r="K81" s="2"/>
      <c r="L81" s="2">
        <f t="shared" si="14"/>
        <v>121.0099999999984</v>
      </c>
      <c r="M81" s="2"/>
      <c r="N81" s="6">
        <f t="shared" si="15"/>
        <v>4.4133629964622492E-3</v>
      </c>
      <c r="O81" s="14"/>
      <c r="P81" s="2">
        <f>SUM(OSRRefP22_5x_0)</f>
        <v>267436.57</v>
      </c>
      <c r="Q81" s="2"/>
      <c r="R81" s="6">
        <f t="shared" si="16"/>
        <v>4.6203487818252911E-2</v>
      </c>
      <c r="S81" s="2"/>
      <c r="T81" s="2">
        <f>SUM(OSRRefT22_5x_0)</f>
        <v>266348</v>
      </c>
      <c r="U81" s="2"/>
      <c r="V81" s="6">
        <f t="shared" si="17"/>
        <v>3.3902123636824641E-2</v>
      </c>
      <c r="W81" s="2"/>
      <c r="X81" s="2">
        <f t="shared" si="18"/>
        <v>1088.570000000007</v>
      </c>
      <c r="Y81" s="2"/>
      <c r="Z81" s="6">
        <f t="shared" si="19"/>
        <v>4.0870214906813902E-3</v>
      </c>
    </row>
    <row r="82" spans="1:26" s="70" customFormat="1" ht="15" hidden="1" customHeight="1" outlineLevel="2" x14ac:dyDescent="0.3">
      <c r="A82" s="26"/>
      <c r="B82" s="12" t="str">
        <f>CONCATENATE("          ","6321"," - ","BUILDING DEPRECIATION")</f>
        <v xml:space="preserve">          6321 - BUILDING DEPRECIATION</v>
      </c>
      <c r="C82" s="12"/>
      <c r="D82" s="7">
        <v>13321.71</v>
      </c>
      <c r="E82" s="3"/>
      <c r="F82" s="8">
        <f t="shared" si="12"/>
        <v>2.2469376880187797E-2</v>
      </c>
      <c r="G82" s="3"/>
      <c r="H82" s="7"/>
      <c r="I82" s="3"/>
      <c r="J82" s="8">
        <f t="shared" si="13"/>
        <v>0</v>
      </c>
      <c r="K82" s="3"/>
      <c r="L82" s="7">
        <f t="shared" si="14"/>
        <v>13321.71</v>
      </c>
      <c r="M82" s="3"/>
      <c r="N82" s="8">
        <f t="shared" si="15"/>
        <v>0</v>
      </c>
      <c r="O82" s="12"/>
      <c r="P82" s="7">
        <v>139154.13</v>
      </c>
      <c r="Q82" s="3"/>
      <c r="R82" s="8">
        <f t="shared" si="16"/>
        <v>2.4040863784315594E-2</v>
      </c>
      <c r="S82" s="3"/>
      <c r="T82" s="7"/>
      <c r="U82" s="3"/>
      <c r="V82" s="8">
        <f t="shared" si="17"/>
        <v>0</v>
      </c>
      <c r="W82" s="3"/>
      <c r="X82" s="7">
        <f t="shared" si="18"/>
        <v>139154.13</v>
      </c>
      <c r="Y82" s="3"/>
      <c r="Z82" s="8">
        <f t="shared" si="19"/>
        <v>0</v>
      </c>
    </row>
    <row r="83" spans="1:26" s="70" customFormat="1" ht="15" hidden="1" customHeight="1" outlineLevel="2" x14ac:dyDescent="0.3">
      <c r="A83" s="26"/>
      <c r="B83" s="12" t="str">
        <f>CONCATENATE("          ","6322"," - ","EQUIPMENT DEPRECIATION EXPENSE")</f>
        <v xml:space="preserve">          6322 - EQUIPMENT DEPRECIATION EXPENSE</v>
      </c>
      <c r="C83" s="12"/>
      <c r="D83" s="7">
        <v>14218.3</v>
      </c>
      <c r="E83" s="3"/>
      <c r="F83" s="8">
        <f t="shared" si="12"/>
        <v>2.3981631584501853E-2</v>
      </c>
      <c r="G83" s="3"/>
      <c r="H83" s="7">
        <v>27419</v>
      </c>
      <c r="I83" s="3"/>
      <c r="J83" s="8">
        <f t="shared" si="13"/>
        <v>7.6026829410313079E-2</v>
      </c>
      <c r="K83" s="3"/>
      <c r="L83" s="7">
        <f t="shared" si="14"/>
        <v>-13200.7</v>
      </c>
      <c r="M83" s="3"/>
      <c r="N83" s="8">
        <f t="shared" si="15"/>
        <v>-0.48144352456325906</v>
      </c>
      <c r="O83" s="12"/>
      <c r="P83" s="7">
        <v>128282.44</v>
      </c>
      <c r="Q83" s="3"/>
      <c r="R83" s="8">
        <f t="shared" si="16"/>
        <v>2.2162624033937317E-2</v>
      </c>
      <c r="S83" s="3"/>
      <c r="T83" s="7">
        <v>266348</v>
      </c>
      <c r="U83" s="3"/>
      <c r="V83" s="8">
        <f t="shared" si="17"/>
        <v>3.3902123636824641E-2</v>
      </c>
      <c r="W83" s="3"/>
      <c r="X83" s="7">
        <f t="shared" si="18"/>
        <v>-138065.56</v>
      </c>
      <c r="Y83" s="3"/>
      <c r="Z83" s="8">
        <f t="shared" si="19"/>
        <v>-0.51836529652935259</v>
      </c>
    </row>
    <row r="84" spans="1:26" s="69" customFormat="1" ht="15" customHeight="1" outlineLevel="1" collapsed="1" x14ac:dyDescent="0.3">
      <c r="A84" s="25"/>
      <c r="B84" s="14" t="str">
        <f>CONCATENATE("     ","Discounts and Markdowns                           ")</f>
        <v xml:space="preserve">     Discounts and Markdowns                           </v>
      </c>
      <c r="C84" s="14"/>
      <c r="D84" s="2">
        <f>SUM(OSRRefD22_6x_0)</f>
        <v>-7.72</v>
      </c>
      <c r="E84" s="2"/>
      <c r="F84" s="6">
        <f t="shared" ref="F84:F115" si="20">IF(D$12=0,0,D84/D$12)</f>
        <v>-1.3021120375315918E-5</v>
      </c>
      <c r="G84" s="2"/>
      <c r="H84" s="2">
        <f>SUM(OSRRefH22_6x_0)</f>
        <v>0</v>
      </c>
      <c r="I84" s="2"/>
      <c r="J84" s="6">
        <f t="shared" ref="J84:J115" si="21">IF(H$12=0,0,H84/H$12)</f>
        <v>0</v>
      </c>
      <c r="K84" s="2"/>
      <c r="L84" s="2">
        <f t="shared" ref="L84:L115" si="22">+D84-H84</f>
        <v>-7.72</v>
      </c>
      <c r="M84" s="2"/>
      <c r="N84" s="6">
        <f t="shared" ref="N84:N115" si="23">IF(H84=0,0,L84/H84)</f>
        <v>0</v>
      </c>
      <c r="O84" s="14"/>
      <c r="P84" s="2">
        <f>SUM(OSRRefP22_6x_0)</f>
        <v>2056.83</v>
      </c>
      <c r="Q84" s="2"/>
      <c r="R84" s="6">
        <f t="shared" ref="R84:R115" si="24">IF(P$12=0,0,P84/P$12)</f>
        <v>3.5534676446537261E-4</v>
      </c>
      <c r="S84" s="2"/>
      <c r="T84" s="2">
        <f>SUM(OSRRefT22_6x_0)</f>
        <v>0</v>
      </c>
      <c r="U84" s="2"/>
      <c r="V84" s="6">
        <f t="shared" ref="V84:V115" si="25">IF(T$12=0,0,T84/T$12)</f>
        <v>0</v>
      </c>
      <c r="W84" s="2"/>
      <c r="X84" s="2">
        <f t="shared" ref="X84:X115" si="26">+P84-T84</f>
        <v>2056.83</v>
      </c>
      <c r="Y84" s="2"/>
      <c r="Z84" s="6">
        <f t="shared" ref="Z84:Z115" si="27">IF(T84=0,0,X84/T84)</f>
        <v>0</v>
      </c>
    </row>
    <row r="85" spans="1:26" s="70" customFormat="1" ht="15" hidden="1" customHeight="1" outlineLevel="2" x14ac:dyDescent="0.3">
      <c r="A85" s="26"/>
      <c r="B85" s="12" t="str">
        <f>CONCATENATE("          ","6382"," - ","DISCOUNTS/MARK DOWNS")</f>
        <v xml:space="preserve">          6382 - DISCOUNTS/MARK DOWNS</v>
      </c>
      <c r="C85" s="12"/>
      <c r="D85" s="7"/>
      <c r="E85" s="3"/>
      <c r="F85" s="8">
        <f t="shared" si="20"/>
        <v>0</v>
      </c>
      <c r="G85" s="3"/>
      <c r="H85" s="7"/>
      <c r="I85" s="3"/>
      <c r="J85" s="8">
        <f t="shared" si="21"/>
        <v>0</v>
      </c>
      <c r="K85" s="3"/>
      <c r="L85" s="7">
        <f t="shared" si="22"/>
        <v>0</v>
      </c>
      <c r="M85" s="3"/>
      <c r="N85" s="8">
        <f t="shared" si="23"/>
        <v>0</v>
      </c>
      <c r="O85" s="12"/>
      <c r="P85" s="7">
        <v>2171.35</v>
      </c>
      <c r="Q85" s="3"/>
      <c r="R85" s="8">
        <f t="shared" si="24"/>
        <v>3.7513173039185871E-4</v>
      </c>
      <c r="S85" s="3"/>
      <c r="T85" s="7">
        <v>0</v>
      </c>
      <c r="U85" s="3"/>
      <c r="V85" s="8">
        <f t="shared" si="25"/>
        <v>0</v>
      </c>
      <c r="W85" s="3"/>
      <c r="X85" s="7">
        <f t="shared" si="26"/>
        <v>2171.35</v>
      </c>
      <c r="Y85" s="3"/>
      <c r="Z85" s="8">
        <f t="shared" si="27"/>
        <v>0</v>
      </c>
    </row>
    <row r="86" spans="1:26" s="70" customFormat="1" ht="15" hidden="1" customHeight="1" outlineLevel="2" x14ac:dyDescent="0.3">
      <c r="A86" s="26"/>
      <c r="B86" s="12" t="str">
        <f>CONCATENATE("          ","9175"," - ","EARNED DISCOUNTS")</f>
        <v xml:space="preserve">          9175 - EARNED DISCOUNTS</v>
      </c>
      <c r="C86" s="12"/>
      <c r="D86" s="7">
        <v>-7.72</v>
      </c>
      <c r="E86" s="3"/>
      <c r="F86" s="8">
        <f t="shared" si="20"/>
        <v>-1.3021120375315918E-5</v>
      </c>
      <c r="G86" s="3"/>
      <c r="H86" s="7"/>
      <c r="I86" s="3"/>
      <c r="J86" s="8">
        <f t="shared" si="21"/>
        <v>0</v>
      </c>
      <c r="K86" s="3"/>
      <c r="L86" s="7">
        <f t="shared" si="22"/>
        <v>-7.72</v>
      </c>
      <c r="M86" s="3"/>
      <c r="N86" s="8">
        <f t="shared" si="23"/>
        <v>0</v>
      </c>
      <c r="O86" s="12"/>
      <c r="P86" s="7">
        <v>-114.52</v>
      </c>
      <c r="Q86" s="3"/>
      <c r="R86" s="8">
        <f t="shared" si="24"/>
        <v>-1.9784965926486131E-5</v>
      </c>
      <c r="S86" s="3"/>
      <c r="T86" s="7"/>
      <c r="U86" s="3"/>
      <c r="V86" s="8">
        <f t="shared" si="25"/>
        <v>0</v>
      </c>
      <c r="W86" s="3"/>
      <c r="X86" s="7">
        <f t="shared" si="26"/>
        <v>-114.52</v>
      </c>
      <c r="Y86" s="3"/>
      <c r="Z86" s="8">
        <f t="shared" si="27"/>
        <v>0</v>
      </c>
    </row>
    <row r="87" spans="1:26" s="69" customFormat="1" ht="15" customHeight="1" outlineLevel="1" collapsed="1" x14ac:dyDescent="0.3">
      <c r="A87" s="25"/>
      <c r="B87" s="14" t="str">
        <f>CONCATENATE("     ","Donations                                         ")</f>
        <v xml:space="preserve">     Donations                                         </v>
      </c>
      <c r="C87" s="14"/>
      <c r="D87" s="2">
        <f>SUM(OSRRefD22_7x_0)</f>
        <v>0</v>
      </c>
      <c r="E87" s="2"/>
      <c r="F87" s="6">
        <f t="shared" si="20"/>
        <v>0</v>
      </c>
      <c r="G87" s="2"/>
      <c r="H87" s="2">
        <f>SUM(OSRRefH22_7x_0)</f>
        <v>1250</v>
      </c>
      <c r="I87" s="2"/>
      <c r="J87" s="6">
        <f t="shared" si="21"/>
        <v>3.4659738416022226E-3</v>
      </c>
      <c r="K87" s="2"/>
      <c r="L87" s="2">
        <f t="shared" si="22"/>
        <v>-1250</v>
      </c>
      <c r="M87" s="2"/>
      <c r="N87" s="6">
        <f t="shared" si="23"/>
        <v>-1</v>
      </c>
      <c r="O87" s="14"/>
      <c r="P87" s="2">
        <f>SUM(OSRRefP22_7x_0)</f>
        <v>5818.27</v>
      </c>
      <c r="Q87" s="2"/>
      <c r="R87" s="6">
        <f t="shared" si="24"/>
        <v>1.0051892569079329E-3</v>
      </c>
      <c r="S87" s="2"/>
      <c r="T87" s="2">
        <f>SUM(OSRRefT22_7x_0)</f>
        <v>11250</v>
      </c>
      <c r="U87" s="2"/>
      <c r="V87" s="6">
        <f t="shared" si="25"/>
        <v>1.4319570295788862E-3</v>
      </c>
      <c r="W87" s="2"/>
      <c r="X87" s="2">
        <f t="shared" si="26"/>
        <v>-5431.73</v>
      </c>
      <c r="Y87" s="2"/>
      <c r="Z87" s="6">
        <f t="shared" si="27"/>
        <v>-0.48282044444444439</v>
      </c>
    </row>
    <row r="88" spans="1:26" s="70" customFormat="1" ht="15" hidden="1" customHeight="1" outlineLevel="2" x14ac:dyDescent="0.3">
      <c r="A88" s="26"/>
      <c r="B88" s="12" t="str">
        <f>CONCATENATE("          ","6399"," - ","DONATION-ON CAMPUS")</f>
        <v xml:space="preserve">          6399 - DONATION-ON CAMPUS</v>
      </c>
      <c r="C88" s="12"/>
      <c r="D88" s="7"/>
      <c r="E88" s="3"/>
      <c r="F88" s="8">
        <f t="shared" si="20"/>
        <v>0</v>
      </c>
      <c r="G88" s="3"/>
      <c r="H88" s="7">
        <v>1250</v>
      </c>
      <c r="I88" s="3"/>
      <c r="J88" s="8">
        <f t="shared" si="21"/>
        <v>3.4659738416022226E-3</v>
      </c>
      <c r="K88" s="3"/>
      <c r="L88" s="7">
        <f t="shared" si="22"/>
        <v>-1250</v>
      </c>
      <c r="M88" s="3"/>
      <c r="N88" s="8">
        <f t="shared" si="23"/>
        <v>-1</v>
      </c>
      <c r="O88" s="12"/>
      <c r="P88" s="7">
        <v>5818.27</v>
      </c>
      <c r="Q88" s="3"/>
      <c r="R88" s="8">
        <f t="shared" si="24"/>
        <v>1.0051892569079329E-3</v>
      </c>
      <c r="S88" s="3"/>
      <c r="T88" s="7">
        <v>11250</v>
      </c>
      <c r="U88" s="3"/>
      <c r="V88" s="8">
        <f t="shared" si="25"/>
        <v>1.4319570295788862E-3</v>
      </c>
      <c r="W88" s="3"/>
      <c r="X88" s="7">
        <f t="shared" si="26"/>
        <v>-5431.73</v>
      </c>
      <c r="Y88" s="3"/>
      <c r="Z88" s="8">
        <f t="shared" si="27"/>
        <v>-0.48282044444444439</v>
      </c>
    </row>
    <row r="89" spans="1:26" s="69" customFormat="1" ht="15" customHeight="1" outlineLevel="1" collapsed="1" x14ac:dyDescent="0.3">
      <c r="A89" s="25"/>
      <c r="B89" s="14" t="str">
        <f>CONCATENATE("     ","Employees' Appreciation                           ")</f>
        <v xml:space="preserve">     Employees' Appreciation                           </v>
      </c>
      <c r="C89" s="14"/>
      <c r="D89" s="2">
        <f>SUM(OSRRefD22_8x_0)</f>
        <v>74.69</v>
      </c>
      <c r="E89" s="2"/>
      <c r="F89" s="6">
        <f t="shared" si="20"/>
        <v>1.2597765295755775E-4</v>
      </c>
      <c r="G89" s="2"/>
      <c r="H89" s="2">
        <f>SUM(OSRRefH22_8x_0)</f>
        <v>225</v>
      </c>
      <c r="I89" s="2"/>
      <c r="J89" s="6">
        <f t="shared" si="21"/>
        <v>6.2387529148840012E-4</v>
      </c>
      <c r="K89" s="2"/>
      <c r="L89" s="2">
        <f t="shared" si="22"/>
        <v>-150.31</v>
      </c>
      <c r="M89" s="2"/>
      <c r="N89" s="6">
        <f t="shared" si="23"/>
        <v>-0.66804444444444444</v>
      </c>
      <c r="O89" s="14"/>
      <c r="P89" s="2">
        <f>SUM(OSRRefP22_8x_0)</f>
        <v>4319.88</v>
      </c>
      <c r="Q89" s="2"/>
      <c r="R89" s="6">
        <f t="shared" si="24"/>
        <v>7.4632097979836633E-4</v>
      </c>
      <c r="S89" s="2"/>
      <c r="T89" s="2">
        <f>SUM(OSRRefT22_8x_0)</f>
        <v>2025</v>
      </c>
      <c r="U89" s="2"/>
      <c r="V89" s="6">
        <f t="shared" si="25"/>
        <v>2.5775226532419955E-4</v>
      </c>
      <c r="W89" s="2"/>
      <c r="X89" s="2">
        <f t="shared" si="26"/>
        <v>2294.88</v>
      </c>
      <c r="Y89" s="2"/>
      <c r="Z89" s="6">
        <f t="shared" si="27"/>
        <v>1.1332740740740741</v>
      </c>
    </row>
    <row r="90" spans="1:26" s="70" customFormat="1" ht="15" hidden="1" customHeight="1" outlineLevel="2" x14ac:dyDescent="0.3">
      <c r="A90" s="26"/>
      <c r="B90" s="12" t="str">
        <f>CONCATENATE("          ","6277"," - ","EMPLOYEE APPRECIATION")</f>
        <v xml:space="preserve">          6277 - EMPLOYEE APPRECIATION</v>
      </c>
      <c r="C90" s="12"/>
      <c r="D90" s="7">
        <v>74.69</v>
      </c>
      <c r="E90" s="3"/>
      <c r="F90" s="8">
        <f t="shared" si="20"/>
        <v>1.2597765295755775E-4</v>
      </c>
      <c r="G90" s="3"/>
      <c r="H90" s="7">
        <v>225</v>
      </c>
      <c r="I90" s="3"/>
      <c r="J90" s="8">
        <f t="shared" si="21"/>
        <v>6.2387529148840012E-4</v>
      </c>
      <c r="K90" s="3"/>
      <c r="L90" s="7">
        <f t="shared" si="22"/>
        <v>-150.31</v>
      </c>
      <c r="M90" s="3"/>
      <c r="N90" s="8">
        <f t="shared" si="23"/>
        <v>-0.66804444444444444</v>
      </c>
      <c r="O90" s="12"/>
      <c r="P90" s="7">
        <v>4319.88</v>
      </c>
      <c r="Q90" s="3"/>
      <c r="R90" s="8">
        <f t="shared" si="24"/>
        <v>7.4632097979836633E-4</v>
      </c>
      <c r="S90" s="3"/>
      <c r="T90" s="7">
        <v>2025</v>
      </c>
      <c r="U90" s="3"/>
      <c r="V90" s="8">
        <f t="shared" si="25"/>
        <v>2.5775226532419955E-4</v>
      </c>
      <c r="W90" s="3"/>
      <c r="X90" s="7">
        <f t="shared" si="26"/>
        <v>2294.88</v>
      </c>
      <c r="Y90" s="3"/>
      <c r="Z90" s="8">
        <f t="shared" si="27"/>
        <v>1.1332740740740741</v>
      </c>
    </row>
    <row r="91" spans="1:26" s="69" customFormat="1" ht="15" customHeight="1" outlineLevel="1" collapsed="1" x14ac:dyDescent="0.3">
      <c r="A91" s="25"/>
      <c r="B91" s="14" t="str">
        <f>CONCATENATE("     ","Equipment Rental                                  ")</f>
        <v xml:space="preserve">     Equipment Rental                                  </v>
      </c>
      <c r="C91" s="14"/>
      <c r="D91" s="2">
        <f>SUM(OSRRefD22_9x_0)</f>
        <v>1712.05</v>
      </c>
      <c r="E91" s="2"/>
      <c r="F91" s="6">
        <f t="shared" si="20"/>
        <v>2.8876695775336288E-3</v>
      </c>
      <c r="G91" s="2"/>
      <c r="H91" s="2">
        <f>SUM(OSRRefH22_9x_0)</f>
        <v>1700</v>
      </c>
      <c r="I91" s="2"/>
      <c r="J91" s="6">
        <f t="shared" si="21"/>
        <v>4.7137244245790228E-3</v>
      </c>
      <c r="K91" s="2"/>
      <c r="L91" s="2">
        <f t="shared" si="22"/>
        <v>12.049999999999955</v>
      </c>
      <c r="M91" s="2"/>
      <c r="N91" s="6">
        <f t="shared" si="23"/>
        <v>7.08823529411762E-3</v>
      </c>
      <c r="O91" s="14"/>
      <c r="P91" s="2">
        <f>SUM(OSRRefP22_9x_0)</f>
        <v>14410.15</v>
      </c>
      <c r="Q91" s="2"/>
      <c r="R91" s="6">
        <f t="shared" si="24"/>
        <v>2.4895592625354011E-3</v>
      </c>
      <c r="S91" s="2"/>
      <c r="T91" s="2">
        <f>SUM(OSRRefT22_9x_0)</f>
        <v>15100</v>
      </c>
      <c r="U91" s="2"/>
      <c r="V91" s="6">
        <f t="shared" si="25"/>
        <v>1.9220045463681052E-3</v>
      </c>
      <c r="W91" s="2"/>
      <c r="X91" s="2">
        <f t="shared" si="26"/>
        <v>-689.85000000000036</v>
      </c>
      <c r="Y91" s="2"/>
      <c r="Z91" s="6">
        <f t="shared" si="27"/>
        <v>-4.5685430463576183E-2</v>
      </c>
    </row>
    <row r="92" spans="1:26" s="70" customFormat="1" ht="15" hidden="1" customHeight="1" outlineLevel="2" x14ac:dyDescent="0.3">
      <c r="A92" s="26"/>
      <c r="B92" s="12" t="str">
        <f>CONCATENATE("          ","6351"," - ","EQUIPMENT RENTAL")</f>
        <v xml:space="preserve">          6351 - EQUIPMENT RENTAL</v>
      </c>
      <c r="C92" s="12"/>
      <c r="D92" s="7">
        <v>1712.05</v>
      </c>
      <c r="E92" s="3"/>
      <c r="F92" s="8">
        <f t="shared" si="20"/>
        <v>2.8876695775336288E-3</v>
      </c>
      <c r="G92" s="3"/>
      <c r="H92" s="7">
        <v>1700</v>
      </c>
      <c r="I92" s="3"/>
      <c r="J92" s="8">
        <f t="shared" si="21"/>
        <v>4.7137244245790228E-3</v>
      </c>
      <c r="K92" s="3"/>
      <c r="L92" s="7">
        <f t="shared" si="22"/>
        <v>12.049999999999955</v>
      </c>
      <c r="M92" s="3"/>
      <c r="N92" s="8">
        <f t="shared" si="23"/>
        <v>7.08823529411762E-3</v>
      </c>
      <c r="O92" s="12"/>
      <c r="P92" s="7">
        <v>14410.15</v>
      </c>
      <c r="Q92" s="3"/>
      <c r="R92" s="8">
        <f t="shared" si="24"/>
        <v>2.4895592625354011E-3</v>
      </c>
      <c r="S92" s="3"/>
      <c r="T92" s="7">
        <v>15100</v>
      </c>
      <c r="U92" s="3"/>
      <c r="V92" s="8">
        <f t="shared" si="25"/>
        <v>1.9220045463681052E-3</v>
      </c>
      <c r="W92" s="3"/>
      <c r="X92" s="7">
        <f t="shared" si="26"/>
        <v>-689.85000000000036</v>
      </c>
      <c r="Y92" s="3"/>
      <c r="Z92" s="8">
        <f t="shared" si="27"/>
        <v>-4.5685430463576183E-2</v>
      </c>
    </row>
    <row r="93" spans="1:26" s="69" customFormat="1" ht="15" customHeight="1" outlineLevel="1" collapsed="1" x14ac:dyDescent="0.3">
      <c r="A93" s="25"/>
      <c r="B93" s="14" t="str">
        <f>CONCATENATE("     ","Freight out/Postage                               ")</f>
        <v xml:space="preserve">     Freight out/Postage                               </v>
      </c>
      <c r="C93" s="14"/>
      <c r="D93" s="2">
        <f>SUM(OSRRefD22_10x_0)</f>
        <v>1779.17</v>
      </c>
      <c r="E93" s="2"/>
      <c r="F93" s="6">
        <f t="shared" si="20"/>
        <v>3.0008791111594329E-3</v>
      </c>
      <c r="G93" s="2"/>
      <c r="H93" s="2">
        <f>SUM(OSRRefH22_10x_0)</f>
        <v>3350</v>
      </c>
      <c r="I93" s="2"/>
      <c r="J93" s="6">
        <f t="shared" si="21"/>
        <v>9.2888098954939571E-3</v>
      </c>
      <c r="K93" s="2"/>
      <c r="L93" s="2">
        <f t="shared" si="22"/>
        <v>-1570.83</v>
      </c>
      <c r="M93" s="2"/>
      <c r="N93" s="6">
        <f t="shared" si="23"/>
        <v>-0.46890447761194026</v>
      </c>
      <c r="O93" s="14"/>
      <c r="P93" s="2">
        <f>SUM(OSRRefP22_10x_0)</f>
        <v>-44728.740000000005</v>
      </c>
      <c r="Q93" s="2"/>
      <c r="R93" s="6">
        <f t="shared" si="24"/>
        <v>-7.7275287882872636E-3</v>
      </c>
      <c r="S93" s="2"/>
      <c r="T93" s="2">
        <f>SUM(OSRRefT22_10x_0)</f>
        <v>-11650</v>
      </c>
      <c r="U93" s="2"/>
      <c r="V93" s="6">
        <f t="shared" si="25"/>
        <v>-1.4828710572972466E-3</v>
      </c>
      <c r="W93" s="2"/>
      <c r="X93" s="2">
        <f t="shared" si="26"/>
        <v>-33078.740000000005</v>
      </c>
      <c r="Y93" s="2"/>
      <c r="Z93" s="6">
        <f t="shared" si="27"/>
        <v>2.8393768240343351</v>
      </c>
    </row>
    <row r="94" spans="1:26" s="70" customFormat="1" ht="15" hidden="1" customHeight="1" outlineLevel="2" x14ac:dyDescent="0.3">
      <c r="A94" s="26"/>
      <c r="B94" s="12" t="str">
        <f>CONCATENATE("          ","6305"," - ","FREIGHT OUT")</f>
        <v xml:space="preserve">          6305 - FREIGHT OUT</v>
      </c>
      <c r="C94" s="12"/>
      <c r="D94" s="7">
        <v>10386.42</v>
      </c>
      <c r="E94" s="3"/>
      <c r="F94" s="8">
        <f t="shared" si="20"/>
        <v>1.7518500659143621E-2</v>
      </c>
      <c r="G94" s="3"/>
      <c r="H94" s="7">
        <v>9250</v>
      </c>
      <c r="I94" s="3"/>
      <c r="J94" s="8">
        <f t="shared" si="21"/>
        <v>2.5648206427856448E-2</v>
      </c>
      <c r="K94" s="3"/>
      <c r="L94" s="7">
        <f t="shared" si="22"/>
        <v>1136.42</v>
      </c>
      <c r="M94" s="3"/>
      <c r="N94" s="8">
        <f t="shared" si="23"/>
        <v>0.12285621621621623</v>
      </c>
      <c r="O94" s="12"/>
      <c r="P94" s="7">
        <v>112117.86</v>
      </c>
      <c r="Q94" s="3"/>
      <c r="R94" s="8">
        <f t="shared" si="24"/>
        <v>1.9369961926742424E-2</v>
      </c>
      <c r="S94" s="3"/>
      <c r="T94" s="7">
        <v>148450</v>
      </c>
      <c r="U94" s="3"/>
      <c r="V94" s="8">
        <f t="shared" si="25"/>
        <v>1.8895468536976504E-2</v>
      </c>
      <c r="W94" s="3"/>
      <c r="X94" s="7">
        <f t="shared" si="26"/>
        <v>-36332.14</v>
      </c>
      <c r="Y94" s="3"/>
      <c r="Z94" s="8">
        <f t="shared" si="27"/>
        <v>-0.24474328056584707</v>
      </c>
    </row>
    <row r="95" spans="1:26" s="70" customFormat="1" ht="15" hidden="1" customHeight="1" outlineLevel="2" x14ac:dyDescent="0.3">
      <c r="A95" s="26"/>
      <c r="B95" s="12" t="str">
        <f>CONCATENATE("          ","6307"," - ","POSTAGE")</f>
        <v xml:space="preserve">          6307 - POSTAGE</v>
      </c>
      <c r="C95" s="12"/>
      <c r="D95" s="7">
        <v>-8607.25</v>
      </c>
      <c r="E95" s="3"/>
      <c r="F95" s="8">
        <f t="shared" si="20"/>
        <v>-1.4517621547984187E-2</v>
      </c>
      <c r="G95" s="3"/>
      <c r="H95" s="7">
        <v>-5900</v>
      </c>
      <c r="I95" s="3"/>
      <c r="J95" s="8">
        <f t="shared" si="21"/>
        <v>-1.6359396532362493E-2</v>
      </c>
      <c r="K95" s="3"/>
      <c r="L95" s="7">
        <f t="shared" si="22"/>
        <v>-2707.25</v>
      </c>
      <c r="M95" s="3"/>
      <c r="N95" s="8">
        <f t="shared" si="23"/>
        <v>0.45885593220338983</v>
      </c>
      <c r="O95" s="12"/>
      <c r="P95" s="7">
        <v>-156846.6</v>
      </c>
      <c r="Q95" s="3"/>
      <c r="R95" s="8">
        <f t="shared" si="24"/>
        <v>-2.709749071502969E-2</v>
      </c>
      <c r="S95" s="3"/>
      <c r="T95" s="7">
        <v>-160100</v>
      </c>
      <c r="U95" s="3"/>
      <c r="V95" s="8">
        <f t="shared" si="25"/>
        <v>-2.0378339594273751E-2</v>
      </c>
      <c r="W95" s="3"/>
      <c r="X95" s="7">
        <f t="shared" si="26"/>
        <v>3253.3999999999942</v>
      </c>
      <c r="Y95" s="3"/>
      <c r="Z95" s="8">
        <f t="shared" si="27"/>
        <v>-2.0321049344159865E-2</v>
      </c>
    </row>
    <row r="96" spans="1:26" s="69" customFormat="1" ht="15" customHeight="1" outlineLevel="1" collapsed="1" x14ac:dyDescent="0.3">
      <c r="A96" s="25"/>
      <c r="B96" s="14" t="str">
        <f>CONCATENATE("     ","General                                           ")</f>
        <v xml:space="preserve">     General                                           </v>
      </c>
      <c r="C96" s="14"/>
      <c r="D96" s="2">
        <f>SUM(OSRRefD22_11x_0)</f>
        <v>191.1</v>
      </c>
      <c r="E96" s="2"/>
      <c r="F96" s="6">
        <f t="shared" si="20"/>
        <v>3.2232332949778134E-4</v>
      </c>
      <c r="G96" s="2"/>
      <c r="H96" s="2">
        <f>SUM(OSRRefH22_11x_0)</f>
        <v>200</v>
      </c>
      <c r="I96" s="2"/>
      <c r="J96" s="6">
        <f t="shared" si="21"/>
        <v>5.5455581465635559E-4</v>
      </c>
      <c r="K96" s="2"/>
      <c r="L96" s="2">
        <f t="shared" si="22"/>
        <v>-8.9000000000000057</v>
      </c>
      <c r="M96" s="2"/>
      <c r="N96" s="6">
        <f t="shared" si="23"/>
        <v>-4.4500000000000026E-2</v>
      </c>
      <c r="O96" s="14"/>
      <c r="P96" s="2">
        <f>SUM(OSRRefP22_11x_0)</f>
        <v>5946.45</v>
      </c>
      <c r="Q96" s="2"/>
      <c r="R96" s="6">
        <f t="shared" si="24"/>
        <v>1.0273341829685073E-3</v>
      </c>
      <c r="S96" s="2"/>
      <c r="T96" s="2">
        <f>SUM(OSRRefT22_11x_0)</f>
        <v>4550</v>
      </c>
      <c r="U96" s="2"/>
      <c r="V96" s="6">
        <f t="shared" si="25"/>
        <v>5.7914706529634951E-4</v>
      </c>
      <c r="W96" s="2"/>
      <c r="X96" s="2">
        <f t="shared" si="26"/>
        <v>1396.4499999999998</v>
      </c>
      <c r="Y96" s="2"/>
      <c r="Z96" s="6">
        <f t="shared" si="27"/>
        <v>0.30691208791208785</v>
      </c>
    </row>
    <row r="97" spans="1:26" s="70" customFormat="1" ht="15" hidden="1" customHeight="1" outlineLevel="2" x14ac:dyDescent="0.3">
      <c r="A97" s="26"/>
      <c r="B97" s="12" t="str">
        <f>CONCATENATE("          ","6276"," - ","PROPERTY TAX")</f>
        <v xml:space="preserve">          6276 - PROPERTY TAX</v>
      </c>
      <c r="C97" s="12"/>
      <c r="D97" s="7"/>
      <c r="E97" s="3"/>
      <c r="F97" s="8">
        <f t="shared" si="20"/>
        <v>0</v>
      </c>
      <c r="G97" s="3"/>
      <c r="H97" s="7"/>
      <c r="I97" s="3"/>
      <c r="J97" s="8">
        <f t="shared" si="21"/>
        <v>0</v>
      </c>
      <c r="K97" s="3"/>
      <c r="L97" s="7">
        <f t="shared" si="22"/>
        <v>0</v>
      </c>
      <c r="M97" s="3"/>
      <c r="N97" s="8">
        <f t="shared" si="23"/>
        <v>0</v>
      </c>
      <c r="O97" s="12"/>
      <c r="P97" s="7"/>
      <c r="Q97" s="3"/>
      <c r="R97" s="8">
        <f t="shared" si="24"/>
        <v>0</v>
      </c>
      <c r="S97" s="3"/>
      <c r="T97" s="7">
        <v>1250</v>
      </c>
      <c r="U97" s="3"/>
      <c r="V97" s="8">
        <f t="shared" si="25"/>
        <v>1.5910633661987624E-4</v>
      </c>
      <c r="W97" s="3"/>
      <c r="X97" s="7">
        <f t="shared" si="26"/>
        <v>-1250</v>
      </c>
      <c r="Y97" s="3"/>
      <c r="Z97" s="8">
        <f t="shared" si="27"/>
        <v>-1</v>
      </c>
    </row>
    <row r="98" spans="1:26" s="70" customFormat="1" ht="15" hidden="1" customHeight="1" outlineLevel="2" x14ac:dyDescent="0.3">
      <c r="A98" s="26"/>
      <c r="B98" s="12" t="str">
        <f>CONCATENATE("          ","6279"," - ","GENERAL EXPENSE")</f>
        <v xml:space="preserve">          6279 - GENERAL EXPENSE</v>
      </c>
      <c r="C98" s="12"/>
      <c r="D98" s="7">
        <v>191.1</v>
      </c>
      <c r="E98" s="3"/>
      <c r="F98" s="8">
        <f t="shared" si="20"/>
        <v>3.2232332949778134E-4</v>
      </c>
      <c r="G98" s="3"/>
      <c r="H98" s="7">
        <v>200</v>
      </c>
      <c r="I98" s="3"/>
      <c r="J98" s="8">
        <f t="shared" si="21"/>
        <v>5.5455581465635559E-4</v>
      </c>
      <c r="K98" s="3"/>
      <c r="L98" s="7">
        <f t="shared" si="22"/>
        <v>-8.9000000000000057</v>
      </c>
      <c r="M98" s="3"/>
      <c r="N98" s="8">
        <f t="shared" si="23"/>
        <v>-4.4500000000000026E-2</v>
      </c>
      <c r="O98" s="12"/>
      <c r="P98" s="7">
        <v>5946.45</v>
      </c>
      <c r="Q98" s="3"/>
      <c r="R98" s="8">
        <f t="shared" si="24"/>
        <v>1.0273341829685073E-3</v>
      </c>
      <c r="S98" s="3"/>
      <c r="T98" s="7">
        <v>3300</v>
      </c>
      <c r="U98" s="3"/>
      <c r="V98" s="8">
        <f t="shared" si="25"/>
        <v>4.2004072867647332E-4</v>
      </c>
      <c r="W98" s="3"/>
      <c r="X98" s="7">
        <f t="shared" si="26"/>
        <v>2646.45</v>
      </c>
      <c r="Y98" s="3"/>
      <c r="Z98" s="8">
        <f t="shared" si="27"/>
        <v>0.80195454545454536</v>
      </c>
    </row>
    <row r="99" spans="1:26" s="69" customFormat="1" ht="15" customHeight="1" outlineLevel="1" collapsed="1" x14ac:dyDescent="0.3">
      <c r="A99" s="25"/>
      <c r="B99" s="14" t="str">
        <f>CONCATENATE("     ","Insurance                                         ")</f>
        <v xml:space="preserve">     Insurance                                         </v>
      </c>
      <c r="C99" s="14"/>
      <c r="D99" s="2">
        <f>SUM(OSRRefD22_12x_0)</f>
        <v>5494.57</v>
      </c>
      <c r="E99" s="2"/>
      <c r="F99" s="6">
        <f t="shared" si="20"/>
        <v>9.2675462928237789E-3</v>
      </c>
      <c r="G99" s="2"/>
      <c r="H99" s="2">
        <f>SUM(OSRRefH22_12x_0)</f>
        <v>5375</v>
      </c>
      <c r="I99" s="2"/>
      <c r="J99" s="6">
        <f t="shared" si="21"/>
        <v>1.4903687518889557E-2</v>
      </c>
      <c r="K99" s="2"/>
      <c r="L99" s="2">
        <f t="shared" si="22"/>
        <v>119.56999999999971</v>
      </c>
      <c r="M99" s="2"/>
      <c r="N99" s="6">
        <f t="shared" si="23"/>
        <v>2.2245581395348782E-2</v>
      </c>
      <c r="O99" s="14"/>
      <c r="P99" s="2">
        <f>SUM(OSRRefP22_12x_0)</f>
        <v>49451.13</v>
      </c>
      <c r="Q99" s="2"/>
      <c r="R99" s="6">
        <f t="shared" si="24"/>
        <v>8.5433891204701028E-3</v>
      </c>
      <c r="S99" s="2"/>
      <c r="T99" s="2">
        <f>SUM(OSRRefT22_12x_0)</f>
        <v>48375</v>
      </c>
      <c r="U99" s="2"/>
      <c r="V99" s="6">
        <f t="shared" si="25"/>
        <v>6.1574152271892113E-3</v>
      </c>
      <c r="W99" s="2"/>
      <c r="X99" s="2">
        <f t="shared" si="26"/>
        <v>1076.1299999999974</v>
      </c>
      <c r="Y99" s="2"/>
      <c r="Z99" s="6">
        <f t="shared" si="27"/>
        <v>2.2245581395348782E-2</v>
      </c>
    </row>
    <row r="100" spans="1:26" s="70" customFormat="1" ht="15" hidden="1" customHeight="1" outlineLevel="2" x14ac:dyDescent="0.3">
      <c r="A100" s="26"/>
      <c r="B100" s="12" t="str">
        <f>CONCATENATE("          ","6314"," - ","LIABILITY INSURANCE")</f>
        <v xml:space="preserve">          6314 - LIABILITY INSURANCE</v>
      </c>
      <c r="C100" s="12"/>
      <c r="D100" s="7">
        <v>5494.57</v>
      </c>
      <c r="E100" s="3"/>
      <c r="F100" s="8">
        <f t="shared" si="20"/>
        <v>9.2675462928237789E-3</v>
      </c>
      <c r="G100" s="3"/>
      <c r="H100" s="7">
        <v>5375</v>
      </c>
      <c r="I100" s="3"/>
      <c r="J100" s="8">
        <f t="shared" si="21"/>
        <v>1.4903687518889557E-2</v>
      </c>
      <c r="K100" s="3"/>
      <c r="L100" s="7">
        <f t="shared" si="22"/>
        <v>119.56999999999971</v>
      </c>
      <c r="M100" s="3"/>
      <c r="N100" s="8">
        <f t="shared" si="23"/>
        <v>2.2245581395348782E-2</v>
      </c>
      <c r="O100" s="12"/>
      <c r="P100" s="7">
        <v>49451.13</v>
      </c>
      <c r="Q100" s="3"/>
      <c r="R100" s="8">
        <f t="shared" si="24"/>
        <v>8.5433891204701028E-3</v>
      </c>
      <c r="S100" s="3"/>
      <c r="T100" s="7">
        <v>48375</v>
      </c>
      <c r="U100" s="3"/>
      <c r="V100" s="8">
        <f t="shared" si="25"/>
        <v>6.1574152271892113E-3</v>
      </c>
      <c r="W100" s="3"/>
      <c r="X100" s="7">
        <f t="shared" si="26"/>
        <v>1076.1299999999974</v>
      </c>
      <c r="Y100" s="3"/>
      <c r="Z100" s="8">
        <f t="shared" si="27"/>
        <v>2.2245581395348782E-2</v>
      </c>
    </row>
    <row r="101" spans="1:26" s="69" customFormat="1" ht="15" customHeight="1" outlineLevel="1" collapsed="1" x14ac:dyDescent="0.3">
      <c r="A101" s="25"/>
      <c r="B101" s="14" t="str">
        <f>CONCATENATE("     ","Inventory Adjustment                              ")</f>
        <v xml:space="preserve">     Inventory Adjustment                              </v>
      </c>
      <c r="C101" s="14"/>
      <c r="D101" s="2">
        <f>SUM(OSRRefD22_13x_0)</f>
        <v>5100</v>
      </c>
      <c r="E101" s="2"/>
      <c r="F101" s="6">
        <f t="shared" si="20"/>
        <v>8.6020354811024852E-3</v>
      </c>
      <c r="G101" s="2"/>
      <c r="H101" s="2">
        <f>SUM(OSRRefH22_13x_0)</f>
        <v>5100</v>
      </c>
      <c r="I101" s="2"/>
      <c r="J101" s="6">
        <f t="shared" si="21"/>
        <v>1.4141173273737068E-2</v>
      </c>
      <c r="K101" s="2"/>
      <c r="L101" s="2">
        <f t="shared" si="22"/>
        <v>0</v>
      </c>
      <c r="M101" s="2"/>
      <c r="N101" s="6">
        <f t="shared" si="23"/>
        <v>0</v>
      </c>
      <c r="O101" s="14"/>
      <c r="P101" s="2">
        <f>SUM(OSRRefP22_13x_0)</f>
        <v>49900</v>
      </c>
      <c r="Q101" s="2"/>
      <c r="R101" s="6">
        <f t="shared" si="24"/>
        <v>8.6209378251105306E-3</v>
      </c>
      <c r="S101" s="2"/>
      <c r="T101" s="2">
        <f>SUM(OSRRefT22_13x_0)</f>
        <v>49900</v>
      </c>
      <c r="U101" s="2"/>
      <c r="V101" s="6">
        <f t="shared" si="25"/>
        <v>6.3515249578654596E-3</v>
      </c>
      <c r="W101" s="2"/>
      <c r="X101" s="2">
        <f t="shared" si="26"/>
        <v>0</v>
      </c>
      <c r="Y101" s="2"/>
      <c r="Z101" s="6">
        <f t="shared" si="27"/>
        <v>0</v>
      </c>
    </row>
    <row r="102" spans="1:26" s="70" customFormat="1" ht="15" hidden="1" customHeight="1" outlineLevel="2" x14ac:dyDescent="0.3">
      <c r="A102" s="26"/>
      <c r="B102" s="12" t="str">
        <f>CONCATENATE("          ","6408"," - ","INVENTORY ADJUSTMENT")</f>
        <v xml:space="preserve">          6408 - INVENTORY ADJUSTMENT</v>
      </c>
      <c r="C102" s="12"/>
      <c r="D102" s="7">
        <v>5100</v>
      </c>
      <c r="E102" s="3"/>
      <c r="F102" s="8">
        <f t="shared" si="20"/>
        <v>8.6020354811024852E-3</v>
      </c>
      <c r="G102" s="3"/>
      <c r="H102" s="7">
        <v>5100</v>
      </c>
      <c r="I102" s="3"/>
      <c r="J102" s="8">
        <f t="shared" si="21"/>
        <v>1.4141173273737068E-2</v>
      </c>
      <c r="K102" s="3"/>
      <c r="L102" s="7">
        <f t="shared" si="22"/>
        <v>0</v>
      </c>
      <c r="M102" s="3"/>
      <c r="N102" s="8">
        <f t="shared" si="23"/>
        <v>0</v>
      </c>
      <c r="O102" s="12"/>
      <c r="P102" s="7">
        <v>49900</v>
      </c>
      <c r="Q102" s="3"/>
      <c r="R102" s="8">
        <f t="shared" si="24"/>
        <v>8.6209378251105306E-3</v>
      </c>
      <c r="S102" s="3"/>
      <c r="T102" s="7">
        <v>49900</v>
      </c>
      <c r="U102" s="3"/>
      <c r="V102" s="8">
        <f t="shared" si="25"/>
        <v>6.3515249578654596E-3</v>
      </c>
      <c r="W102" s="3"/>
      <c r="X102" s="7">
        <f t="shared" si="26"/>
        <v>0</v>
      </c>
      <c r="Y102" s="3"/>
      <c r="Z102" s="8">
        <f t="shared" si="27"/>
        <v>0</v>
      </c>
    </row>
    <row r="103" spans="1:26" s="69" customFormat="1" ht="15" customHeight="1" outlineLevel="1" collapsed="1" x14ac:dyDescent="0.3">
      <c r="A103" s="25"/>
      <c r="B103" s="14" t="str">
        <f>CONCATENATE("     ","Professional Services                             ")</f>
        <v xml:space="preserve">     Professional Services                             </v>
      </c>
      <c r="C103" s="14"/>
      <c r="D103" s="2">
        <f>SUM(OSRRefD22_14x_0)</f>
        <v>1050</v>
      </c>
      <c r="E103" s="2"/>
      <c r="F103" s="6">
        <f t="shared" si="20"/>
        <v>1.7710073049328643E-3</v>
      </c>
      <c r="G103" s="2"/>
      <c r="H103" s="2">
        <f>SUM(OSRRefH22_14x_0)</f>
        <v>0</v>
      </c>
      <c r="I103" s="2"/>
      <c r="J103" s="6">
        <f t="shared" si="21"/>
        <v>0</v>
      </c>
      <c r="K103" s="2"/>
      <c r="L103" s="2">
        <f t="shared" si="22"/>
        <v>1050</v>
      </c>
      <c r="M103" s="2"/>
      <c r="N103" s="6">
        <f t="shared" si="23"/>
        <v>0</v>
      </c>
      <c r="O103" s="14"/>
      <c r="P103" s="2">
        <f>SUM(OSRRefP22_14x_0)</f>
        <v>9626.5300000000007</v>
      </c>
      <c r="Q103" s="2"/>
      <c r="R103" s="6">
        <f t="shared" si="24"/>
        <v>1.6631205731775808E-3</v>
      </c>
      <c r="S103" s="2"/>
      <c r="T103" s="2">
        <f>SUM(OSRRefT22_14x_0)</f>
        <v>1500</v>
      </c>
      <c r="U103" s="2"/>
      <c r="V103" s="6">
        <f t="shared" si="25"/>
        <v>1.909276039438515E-4</v>
      </c>
      <c r="W103" s="2"/>
      <c r="X103" s="2">
        <f t="shared" si="26"/>
        <v>8126.5300000000007</v>
      </c>
      <c r="Y103" s="2"/>
      <c r="Z103" s="6">
        <f t="shared" si="27"/>
        <v>5.4176866666666674</v>
      </c>
    </row>
    <row r="104" spans="1:26" s="70" customFormat="1" ht="15" hidden="1" customHeight="1" outlineLevel="2" x14ac:dyDescent="0.3">
      <c r="A104" s="26"/>
      <c r="B104" s="12" t="str">
        <f>CONCATENATE("          ","6336"," - ","PROFESSIONAL SERVICES")</f>
        <v xml:space="preserve">          6336 - PROFESSIONAL SERVICES</v>
      </c>
      <c r="C104" s="12"/>
      <c r="D104" s="7">
        <v>1050</v>
      </c>
      <c r="E104" s="3"/>
      <c r="F104" s="8">
        <f t="shared" si="20"/>
        <v>1.7710073049328643E-3</v>
      </c>
      <c r="G104" s="3"/>
      <c r="H104" s="7">
        <v>0</v>
      </c>
      <c r="I104" s="3"/>
      <c r="J104" s="8">
        <f t="shared" si="21"/>
        <v>0</v>
      </c>
      <c r="K104" s="3"/>
      <c r="L104" s="7">
        <f t="shared" si="22"/>
        <v>1050</v>
      </c>
      <c r="M104" s="3"/>
      <c r="N104" s="8">
        <f t="shared" si="23"/>
        <v>0</v>
      </c>
      <c r="O104" s="12"/>
      <c r="P104" s="7">
        <v>9626.5300000000007</v>
      </c>
      <c r="Q104" s="3"/>
      <c r="R104" s="8">
        <f t="shared" si="24"/>
        <v>1.6631205731775808E-3</v>
      </c>
      <c r="S104" s="3"/>
      <c r="T104" s="7">
        <v>1500</v>
      </c>
      <c r="U104" s="3"/>
      <c r="V104" s="8">
        <f t="shared" si="25"/>
        <v>1.909276039438515E-4</v>
      </c>
      <c r="W104" s="3"/>
      <c r="X104" s="7">
        <f t="shared" si="26"/>
        <v>8126.5300000000007</v>
      </c>
      <c r="Y104" s="3"/>
      <c r="Z104" s="8">
        <f t="shared" si="27"/>
        <v>5.4176866666666674</v>
      </c>
    </row>
    <row r="105" spans="1:26" s="69" customFormat="1" ht="15" customHeight="1" outlineLevel="1" collapsed="1" x14ac:dyDescent="0.3">
      <c r="A105" s="25"/>
      <c r="B105" s="14" t="str">
        <f>CONCATENATE("     ","Rent                                              ")</f>
        <v xml:space="preserve">     Rent                                              </v>
      </c>
      <c r="C105" s="14"/>
      <c r="D105" s="2">
        <f>SUM(OSRRefD22_15x_0)</f>
        <v>6100</v>
      </c>
      <c r="E105" s="2"/>
      <c r="F105" s="6">
        <f t="shared" si="20"/>
        <v>1.028870910484807E-2</v>
      </c>
      <c r="G105" s="2"/>
      <c r="H105" s="2">
        <f>SUM(OSRRefH22_15x_0)</f>
        <v>6100</v>
      </c>
      <c r="I105" s="2"/>
      <c r="J105" s="6">
        <f t="shared" si="21"/>
        <v>1.6913952347018847E-2</v>
      </c>
      <c r="K105" s="2"/>
      <c r="L105" s="2">
        <f t="shared" si="22"/>
        <v>0</v>
      </c>
      <c r="M105" s="2"/>
      <c r="N105" s="6">
        <f t="shared" si="23"/>
        <v>0</v>
      </c>
      <c r="O105" s="14"/>
      <c r="P105" s="2">
        <f>SUM(OSRRefP22_15x_0)</f>
        <v>54900</v>
      </c>
      <c r="Q105" s="2"/>
      <c r="R105" s="6">
        <f t="shared" si="24"/>
        <v>9.4847592504723084E-3</v>
      </c>
      <c r="S105" s="2"/>
      <c r="T105" s="2">
        <f>SUM(OSRRefT22_15x_0)</f>
        <v>54900</v>
      </c>
      <c r="U105" s="2"/>
      <c r="V105" s="6">
        <f t="shared" si="25"/>
        <v>6.9879503043449647E-3</v>
      </c>
      <c r="W105" s="2"/>
      <c r="X105" s="2">
        <f t="shared" si="26"/>
        <v>0</v>
      </c>
      <c r="Y105" s="2"/>
      <c r="Z105" s="6">
        <f t="shared" si="27"/>
        <v>0</v>
      </c>
    </row>
    <row r="106" spans="1:26" s="70" customFormat="1" ht="15" hidden="1" customHeight="1" outlineLevel="2" x14ac:dyDescent="0.3">
      <c r="A106" s="26"/>
      <c r="B106" s="12" t="str">
        <f>CONCATENATE("          ","6273"," - ","RENT")</f>
        <v xml:space="preserve">          6273 - RENT</v>
      </c>
      <c r="C106" s="12"/>
      <c r="D106" s="7">
        <v>6100</v>
      </c>
      <c r="E106" s="3"/>
      <c r="F106" s="8">
        <f t="shared" si="20"/>
        <v>1.028870910484807E-2</v>
      </c>
      <c r="G106" s="3"/>
      <c r="H106" s="7">
        <v>6100</v>
      </c>
      <c r="I106" s="3"/>
      <c r="J106" s="8">
        <f t="shared" si="21"/>
        <v>1.6913952347018847E-2</v>
      </c>
      <c r="K106" s="3"/>
      <c r="L106" s="7">
        <f t="shared" si="22"/>
        <v>0</v>
      </c>
      <c r="M106" s="3"/>
      <c r="N106" s="8">
        <f t="shared" si="23"/>
        <v>0</v>
      </c>
      <c r="O106" s="12"/>
      <c r="P106" s="7">
        <v>54900</v>
      </c>
      <c r="Q106" s="3"/>
      <c r="R106" s="8">
        <f t="shared" si="24"/>
        <v>9.4847592504723084E-3</v>
      </c>
      <c r="S106" s="3"/>
      <c r="T106" s="7">
        <v>54900</v>
      </c>
      <c r="U106" s="3"/>
      <c r="V106" s="8">
        <f t="shared" si="25"/>
        <v>6.9879503043449647E-3</v>
      </c>
      <c r="W106" s="3"/>
      <c r="X106" s="7">
        <f t="shared" si="26"/>
        <v>0</v>
      </c>
      <c r="Y106" s="3"/>
      <c r="Z106" s="8">
        <f t="shared" si="27"/>
        <v>0</v>
      </c>
    </row>
    <row r="107" spans="1:26" s="69" customFormat="1" ht="15" customHeight="1" outlineLevel="1" collapsed="1" x14ac:dyDescent="0.3">
      <c r="A107" s="25"/>
      <c r="B107" s="14" t="str">
        <f>CONCATENATE("     ","Repair and Maintenance                            ")</f>
        <v xml:space="preserve">     Repair and Maintenance                            </v>
      </c>
      <c r="C107" s="14"/>
      <c r="D107" s="2">
        <f>SUM(OSRRefD22_16x_0)</f>
        <v>14924.68</v>
      </c>
      <c r="E107" s="2"/>
      <c r="F107" s="6">
        <f t="shared" si="20"/>
        <v>2.5173064098843262E-2</v>
      </c>
      <c r="G107" s="2"/>
      <c r="H107" s="2">
        <f>SUM(OSRRefH22_16x_0)</f>
        <v>10745</v>
      </c>
      <c r="I107" s="2"/>
      <c r="J107" s="6">
        <f t="shared" si="21"/>
        <v>2.9793511142412705E-2</v>
      </c>
      <c r="K107" s="2"/>
      <c r="L107" s="2">
        <f t="shared" si="22"/>
        <v>4179.68</v>
      </c>
      <c r="M107" s="2"/>
      <c r="N107" s="6">
        <f t="shared" si="23"/>
        <v>0.38898836668217779</v>
      </c>
      <c r="O107" s="14"/>
      <c r="P107" s="2">
        <f>SUM(OSRRefP22_16x_0)</f>
        <v>130362.68000000001</v>
      </c>
      <c r="Q107" s="2"/>
      <c r="R107" s="6">
        <f t="shared" si="24"/>
        <v>2.2522015210316236E-2</v>
      </c>
      <c r="S107" s="2"/>
      <c r="T107" s="2">
        <f>SUM(OSRRefT22_16x_0)</f>
        <v>147525</v>
      </c>
      <c r="U107" s="2"/>
      <c r="V107" s="6">
        <f t="shared" si="25"/>
        <v>1.8777729847877796E-2</v>
      </c>
      <c r="W107" s="2"/>
      <c r="X107" s="2">
        <f t="shared" si="26"/>
        <v>-17162.319999999992</v>
      </c>
      <c r="Y107" s="2"/>
      <c r="Z107" s="6">
        <f t="shared" si="27"/>
        <v>-0.11633499406880185</v>
      </c>
    </row>
    <row r="108" spans="1:26" s="70" customFormat="1" ht="15" hidden="1" customHeight="1" outlineLevel="2" x14ac:dyDescent="0.3">
      <c r="A108" s="26"/>
      <c r="B108" s="12" t="str">
        <f>CONCATENATE("          ","6371"," - ","COMPUTER SOFTWARE MAINTENANCE")</f>
        <v xml:space="preserve">          6371 - COMPUTER SOFTWARE MAINTENANCE</v>
      </c>
      <c r="C108" s="12"/>
      <c r="D108" s="7"/>
      <c r="E108" s="3"/>
      <c r="F108" s="8">
        <f t="shared" si="20"/>
        <v>0</v>
      </c>
      <c r="G108" s="3"/>
      <c r="H108" s="7">
        <v>1000</v>
      </c>
      <c r="I108" s="3"/>
      <c r="J108" s="8">
        <f t="shared" si="21"/>
        <v>2.7727790732817782E-3</v>
      </c>
      <c r="K108" s="3"/>
      <c r="L108" s="7">
        <f t="shared" si="22"/>
        <v>-1000</v>
      </c>
      <c r="M108" s="3"/>
      <c r="N108" s="8">
        <f t="shared" si="23"/>
        <v>-1</v>
      </c>
      <c r="O108" s="12"/>
      <c r="P108" s="7">
        <v>62511</v>
      </c>
      <c r="Q108" s="3"/>
      <c r="R108" s="8">
        <f t="shared" si="24"/>
        <v>1.0799668224158005E-2</v>
      </c>
      <c r="S108" s="3"/>
      <c r="T108" s="7">
        <v>48100</v>
      </c>
      <c r="U108" s="3"/>
      <c r="V108" s="8">
        <f t="shared" si="25"/>
        <v>6.1224118331328382E-3</v>
      </c>
      <c r="W108" s="3"/>
      <c r="X108" s="7">
        <f t="shared" si="26"/>
        <v>14411</v>
      </c>
      <c r="Y108" s="3"/>
      <c r="Z108" s="8">
        <f t="shared" si="27"/>
        <v>0.2996049896049896</v>
      </c>
    </row>
    <row r="109" spans="1:26" s="70" customFormat="1" ht="15" hidden="1" customHeight="1" outlineLevel="2" x14ac:dyDescent="0.3">
      <c r="A109" s="26"/>
      <c r="B109" s="12" t="str">
        <f>CONCATENATE("          ","6372"," - ","COMPUTER HARDWARE MAINTENANCE")</f>
        <v xml:space="preserve">          6372 - COMPUTER HARDWARE MAINTENANCE</v>
      </c>
      <c r="C109" s="12"/>
      <c r="D109" s="7"/>
      <c r="E109" s="3"/>
      <c r="F109" s="8">
        <f t="shared" si="20"/>
        <v>0</v>
      </c>
      <c r="G109" s="3"/>
      <c r="H109" s="7">
        <v>3750</v>
      </c>
      <c r="I109" s="3"/>
      <c r="J109" s="8">
        <f t="shared" si="21"/>
        <v>1.0397921524806668E-2</v>
      </c>
      <c r="K109" s="3"/>
      <c r="L109" s="7">
        <f t="shared" si="22"/>
        <v>-3750</v>
      </c>
      <c r="M109" s="3"/>
      <c r="N109" s="8">
        <f t="shared" si="23"/>
        <v>-1</v>
      </c>
      <c r="O109" s="12"/>
      <c r="P109" s="7"/>
      <c r="Q109" s="3"/>
      <c r="R109" s="8">
        <f t="shared" si="24"/>
        <v>0</v>
      </c>
      <c r="S109" s="3"/>
      <c r="T109" s="7">
        <v>30370</v>
      </c>
      <c r="U109" s="3"/>
      <c r="V109" s="8">
        <f t="shared" si="25"/>
        <v>3.8656475545165133E-3</v>
      </c>
      <c r="W109" s="3"/>
      <c r="X109" s="7">
        <f t="shared" si="26"/>
        <v>-30370</v>
      </c>
      <c r="Y109" s="3"/>
      <c r="Z109" s="8">
        <f t="shared" si="27"/>
        <v>-1</v>
      </c>
    </row>
    <row r="110" spans="1:26" s="70" customFormat="1" ht="15" hidden="1" customHeight="1" outlineLevel="2" x14ac:dyDescent="0.3">
      <c r="A110" s="26"/>
      <c r="B110" s="12" t="str">
        <f>CONCATENATE("          ","6373"," - ","MAINTENANCE CONTRACTS")</f>
        <v xml:space="preserve">          6373 - MAINTENANCE CONTRACTS</v>
      </c>
      <c r="C110" s="12"/>
      <c r="D110" s="7">
        <v>3672.02</v>
      </c>
      <c r="E110" s="3"/>
      <c r="F110" s="8">
        <f t="shared" si="20"/>
        <v>6.1934992798662637E-3</v>
      </c>
      <c r="G110" s="3"/>
      <c r="H110" s="7">
        <v>5955</v>
      </c>
      <c r="I110" s="3"/>
      <c r="J110" s="8">
        <f t="shared" si="21"/>
        <v>1.651189938139299E-2</v>
      </c>
      <c r="K110" s="3"/>
      <c r="L110" s="7">
        <f t="shared" si="22"/>
        <v>-2282.98</v>
      </c>
      <c r="M110" s="3"/>
      <c r="N110" s="8">
        <f t="shared" si="23"/>
        <v>-0.38337195633921073</v>
      </c>
      <c r="O110" s="12"/>
      <c r="P110" s="7">
        <v>21571.52</v>
      </c>
      <c r="Q110" s="3"/>
      <c r="R110" s="8">
        <f t="shared" si="24"/>
        <v>3.7267882307240145E-3</v>
      </c>
      <c r="S110" s="3"/>
      <c r="T110" s="7">
        <v>68195</v>
      </c>
      <c r="U110" s="3"/>
      <c r="V110" s="8">
        <f t="shared" si="25"/>
        <v>8.680205300633969E-3</v>
      </c>
      <c r="W110" s="3"/>
      <c r="X110" s="7">
        <f t="shared" si="26"/>
        <v>-46623.479999999996</v>
      </c>
      <c r="Y110" s="3"/>
      <c r="Z110" s="8">
        <f t="shared" si="27"/>
        <v>-0.68367886208666317</v>
      </c>
    </row>
    <row r="111" spans="1:26" s="70" customFormat="1" ht="15" hidden="1" customHeight="1" outlineLevel="2" x14ac:dyDescent="0.3">
      <c r="A111" s="26"/>
      <c r="B111" s="12" t="str">
        <f>CONCATENATE("          ","6375"," - ","OUTSIDE REPAIRS &amp; MAINTENANCE")</f>
        <v xml:space="preserve">          6375 - OUTSIDE REPAIRS &amp; MAINTENANCE</v>
      </c>
      <c r="C111" s="12"/>
      <c r="D111" s="7">
        <v>11252.66</v>
      </c>
      <c r="E111" s="3"/>
      <c r="F111" s="8">
        <f t="shared" si="20"/>
        <v>1.8979564818976995E-2</v>
      </c>
      <c r="G111" s="3"/>
      <c r="H111" s="7">
        <v>40</v>
      </c>
      <c r="I111" s="3"/>
      <c r="J111" s="8">
        <f t="shared" si="21"/>
        <v>1.1091116293127113E-4</v>
      </c>
      <c r="K111" s="3"/>
      <c r="L111" s="7">
        <f t="shared" si="22"/>
        <v>11212.66</v>
      </c>
      <c r="M111" s="3"/>
      <c r="N111" s="8">
        <f t="shared" si="23"/>
        <v>280.31650000000002</v>
      </c>
      <c r="O111" s="12"/>
      <c r="P111" s="7">
        <v>46280.160000000003</v>
      </c>
      <c r="Q111" s="3"/>
      <c r="R111" s="8">
        <f t="shared" si="24"/>
        <v>7.9955587554342167E-3</v>
      </c>
      <c r="S111" s="3"/>
      <c r="T111" s="7">
        <v>860</v>
      </c>
      <c r="U111" s="3"/>
      <c r="V111" s="8">
        <f t="shared" si="25"/>
        <v>1.0946515959447487E-4</v>
      </c>
      <c r="W111" s="3"/>
      <c r="X111" s="7">
        <f t="shared" si="26"/>
        <v>45420.160000000003</v>
      </c>
      <c r="Y111" s="3"/>
      <c r="Z111" s="8">
        <f t="shared" si="27"/>
        <v>52.814139534883722</v>
      </c>
    </row>
    <row r="112" spans="1:26" s="69" customFormat="1" ht="15" customHeight="1" outlineLevel="1" collapsed="1" x14ac:dyDescent="0.3">
      <c r="A112" s="25"/>
      <c r="B112" s="14" t="str">
        <f>CONCATENATE("     ","Royalty &amp; Commissions                             ")</f>
        <v xml:space="preserve">     Royalty &amp; Commissions                             </v>
      </c>
      <c r="C112" s="14"/>
      <c r="D112" s="2">
        <f>SUM(OSRRefD22_17x_0)</f>
        <v>2502.14</v>
      </c>
      <c r="E112" s="2"/>
      <c r="F112" s="6">
        <f t="shared" si="20"/>
        <v>4.2202935409187785E-3</v>
      </c>
      <c r="G112" s="2"/>
      <c r="H112" s="2">
        <f>SUM(OSRRefH22_17x_0)</f>
        <v>2685</v>
      </c>
      <c r="I112" s="2"/>
      <c r="J112" s="6">
        <f t="shared" si="21"/>
        <v>7.444911811761574E-3</v>
      </c>
      <c r="K112" s="2"/>
      <c r="L112" s="2">
        <f t="shared" si="22"/>
        <v>-182.86000000000013</v>
      </c>
      <c r="M112" s="2"/>
      <c r="N112" s="6">
        <f t="shared" si="23"/>
        <v>-6.8104283054003775E-2</v>
      </c>
      <c r="O112" s="14"/>
      <c r="P112" s="2">
        <f>SUM(OSRRefP22_17x_0)</f>
        <v>52735.930000000008</v>
      </c>
      <c r="Q112" s="2"/>
      <c r="R112" s="6">
        <f t="shared" si="24"/>
        <v>9.1108852440757761E-3</v>
      </c>
      <c r="S112" s="2"/>
      <c r="T112" s="2">
        <f>SUM(OSRRefT22_17x_0)</f>
        <v>72329</v>
      </c>
      <c r="U112" s="2"/>
      <c r="V112" s="6">
        <f t="shared" si="25"/>
        <v>9.2064017771032233E-3</v>
      </c>
      <c r="W112" s="2"/>
      <c r="X112" s="2">
        <f t="shared" si="26"/>
        <v>-19593.069999999992</v>
      </c>
      <c r="Y112" s="2"/>
      <c r="Z112" s="6">
        <f t="shared" si="27"/>
        <v>-0.27088816380704822</v>
      </c>
    </row>
    <row r="113" spans="1:26" s="70" customFormat="1" ht="15" hidden="1" customHeight="1" outlineLevel="2" x14ac:dyDescent="0.3">
      <c r="A113" s="26"/>
      <c r="B113" s="12" t="str">
        <f>CONCATENATE("          ","6252"," - ","ROYALTY DUE CSTV")</f>
        <v xml:space="preserve">          6252 - ROYALTY DUE CSTV</v>
      </c>
      <c r="C113" s="12"/>
      <c r="D113" s="7"/>
      <c r="E113" s="3"/>
      <c r="F113" s="8">
        <f t="shared" si="20"/>
        <v>0</v>
      </c>
      <c r="G113" s="3"/>
      <c r="H113" s="7">
        <v>1085</v>
      </c>
      <c r="I113" s="3"/>
      <c r="J113" s="8">
        <f t="shared" si="21"/>
        <v>3.0084652945107293E-3</v>
      </c>
      <c r="K113" s="3"/>
      <c r="L113" s="7">
        <f t="shared" si="22"/>
        <v>-1085</v>
      </c>
      <c r="M113" s="3"/>
      <c r="N113" s="8">
        <f t="shared" si="23"/>
        <v>-1</v>
      </c>
      <c r="O113" s="12"/>
      <c r="P113" s="7"/>
      <c r="Q113" s="3"/>
      <c r="R113" s="8">
        <f t="shared" si="24"/>
        <v>0</v>
      </c>
      <c r="S113" s="3"/>
      <c r="T113" s="7">
        <v>12582</v>
      </c>
      <c r="U113" s="3"/>
      <c r="V113" s="8">
        <f t="shared" si="25"/>
        <v>1.6015007418810263E-3</v>
      </c>
      <c r="W113" s="3"/>
      <c r="X113" s="7">
        <f t="shared" si="26"/>
        <v>-12582</v>
      </c>
      <c r="Y113" s="3"/>
      <c r="Z113" s="8">
        <f t="shared" si="27"/>
        <v>-1</v>
      </c>
    </row>
    <row r="114" spans="1:26" s="70" customFormat="1" ht="15" hidden="1" customHeight="1" outlineLevel="2" x14ac:dyDescent="0.3">
      <c r="A114" s="26"/>
      <c r="B114" s="12" t="str">
        <f>CONCATENATE("          ","6253"," - ","ROYALTY DUE ATHLETICS-LRG")</f>
        <v xml:space="preserve">          6253 - ROYALTY DUE ATHLETICS-LRG</v>
      </c>
      <c r="C114" s="12"/>
      <c r="D114" s="7"/>
      <c r="E114" s="3"/>
      <c r="F114" s="8">
        <f t="shared" si="20"/>
        <v>0</v>
      </c>
      <c r="G114" s="3"/>
      <c r="H114" s="7">
        <v>0</v>
      </c>
      <c r="I114" s="3"/>
      <c r="J114" s="8">
        <f t="shared" si="21"/>
        <v>0</v>
      </c>
      <c r="K114" s="3"/>
      <c r="L114" s="7">
        <f t="shared" si="22"/>
        <v>0</v>
      </c>
      <c r="M114" s="3"/>
      <c r="N114" s="8">
        <f t="shared" si="23"/>
        <v>0</v>
      </c>
      <c r="O114" s="12"/>
      <c r="P114" s="7">
        <v>39221.160000000003</v>
      </c>
      <c r="Q114" s="3"/>
      <c r="R114" s="8">
        <f t="shared" si="24"/>
        <v>6.7760156671084603E-3</v>
      </c>
      <c r="S114" s="3"/>
      <c r="T114" s="7">
        <v>23947</v>
      </c>
      <c r="U114" s="3"/>
      <c r="V114" s="8">
        <f t="shared" si="25"/>
        <v>3.0480955544289414E-3</v>
      </c>
      <c r="W114" s="3"/>
      <c r="X114" s="7">
        <f t="shared" si="26"/>
        <v>15274.160000000003</v>
      </c>
      <c r="Y114" s="3"/>
      <c r="Z114" s="8">
        <f t="shared" si="27"/>
        <v>0.63783187873220037</v>
      </c>
    </row>
    <row r="115" spans="1:26" s="70" customFormat="1" ht="15" hidden="1" customHeight="1" outlineLevel="2" x14ac:dyDescent="0.3">
      <c r="A115" s="26"/>
      <c r="B115" s="12" t="str">
        <f>CONCATENATE("          ","6254"," - ","ROYALTY &amp; COMMISSIONS")</f>
        <v xml:space="preserve">          6254 - ROYALTY &amp; COMMISSIONS</v>
      </c>
      <c r="C115" s="12"/>
      <c r="D115" s="7"/>
      <c r="E115" s="3"/>
      <c r="F115" s="8">
        <f t="shared" si="20"/>
        <v>0</v>
      </c>
      <c r="G115" s="3"/>
      <c r="H115" s="7">
        <v>1000</v>
      </c>
      <c r="I115" s="3"/>
      <c r="J115" s="8">
        <f t="shared" si="21"/>
        <v>2.7727790732817782E-3</v>
      </c>
      <c r="K115" s="3"/>
      <c r="L115" s="7">
        <f t="shared" si="22"/>
        <v>-1000</v>
      </c>
      <c r="M115" s="3"/>
      <c r="N115" s="8">
        <f t="shared" si="23"/>
        <v>-1</v>
      </c>
      <c r="O115" s="12"/>
      <c r="P115" s="7">
        <v>3509.15</v>
      </c>
      <c r="Q115" s="3"/>
      <c r="R115" s="8">
        <f t="shared" si="24"/>
        <v>6.0625579096165575E-4</v>
      </c>
      <c r="S115" s="3"/>
      <c r="T115" s="7">
        <v>2500</v>
      </c>
      <c r="U115" s="3"/>
      <c r="V115" s="8">
        <f t="shared" si="25"/>
        <v>3.1821267323975248E-4</v>
      </c>
      <c r="W115" s="3"/>
      <c r="X115" s="7">
        <f t="shared" si="26"/>
        <v>1009.1500000000001</v>
      </c>
      <c r="Y115" s="3"/>
      <c r="Z115" s="8">
        <f t="shared" si="27"/>
        <v>0.40366000000000002</v>
      </c>
    </row>
    <row r="116" spans="1:26" s="70" customFormat="1" ht="15" hidden="1" customHeight="1" outlineLevel="2" x14ac:dyDescent="0.3">
      <c r="A116" s="26"/>
      <c r="B116" s="12" t="str">
        <f>CONCATENATE("          ","6259"," - ","ROYALTY &amp; COMMISSIONS")</f>
        <v xml:space="preserve">          6259 - ROYALTY &amp; COMMISSIONS</v>
      </c>
      <c r="C116" s="12"/>
      <c r="D116" s="7">
        <v>2502.14</v>
      </c>
      <c r="E116" s="3"/>
      <c r="F116" s="8">
        <f t="shared" ref="F116:F142" si="28">IF(D$12=0,0,D116/D$12)</f>
        <v>4.2202935409187785E-3</v>
      </c>
      <c r="G116" s="3"/>
      <c r="H116" s="7">
        <v>600</v>
      </c>
      <c r="I116" s="3"/>
      <c r="J116" s="8">
        <f t="shared" ref="J116:J142" si="29">IF(H$12=0,0,H116/H$12)</f>
        <v>1.6636674439690668E-3</v>
      </c>
      <c r="K116" s="3"/>
      <c r="L116" s="7">
        <f t="shared" ref="L116:L142" si="30">+D116-H116</f>
        <v>1902.1399999999999</v>
      </c>
      <c r="M116" s="3"/>
      <c r="N116" s="8">
        <f t="shared" ref="N116:N142" si="31">IF(H116=0,0,L116/H116)</f>
        <v>3.170233333333333</v>
      </c>
      <c r="O116" s="12"/>
      <c r="P116" s="7">
        <v>10005.620000000001</v>
      </c>
      <c r="Q116" s="3"/>
      <c r="R116" s="8">
        <f t="shared" ref="R116:R142" si="32">IF(P$12=0,0,P116/P$12)</f>
        <v>1.72861378600566E-3</v>
      </c>
      <c r="S116" s="3"/>
      <c r="T116" s="7">
        <v>33300</v>
      </c>
      <c r="U116" s="3"/>
      <c r="V116" s="8">
        <f t="shared" ref="V116:V142" si="33">IF(T$12=0,0,T116/T$12)</f>
        <v>4.2385928075535035E-3</v>
      </c>
      <c r="W116" s="3"/>
      <c r="X116" s="7">
        <f t="shared" ref="X116:X142" si="34">+P116-T116</f>
        <v>-23294.379999999997</v>
      </c>
      <c r="Y116" s="3"/>
      <c r="Z116" s="8">
        <f t="shared" ref="Z116:Z142" si="35">IF(T116=0,0,X116/T116)</f>
        <v>-0.69953093093093088</v>
      </c>
    </row>
    <row r="117" spans="1:26" s="69" customFormat="1" ht="15" customHeight="1" outlineLevel="1" collapsed="1" x14ac:dyDescent="0.3">
      <c r="A117" s="25"/>
      <c r="B117" s="14" t="str">
        <f>CONCATENATE("     ","Services                                          ")</f>
        <v xml:space="preserve">     Services                                          </v>
      </c>
      <c r="C117" s="14"/>
      <c r="D117" s="2">
        <f>SUM(OSRRefD22_18x_0)</f>
        <v>4639.4000000000005</v>
      </c>
      <c r="E117" s="2"/>
      <c r="F117" s="6">
        <f t="shared" si="28"/>
        <v>7.8251536100052681E-3</v>
      </c>
      <c r="G117" s="2"/>
      <c r="H117" s="2">
        <f>SUM(OSRRefH22_18x_0)</f>
        <v>4420</v>
      </c>
      <c r="I117" s="2"/>
      <c r="J117" s="6">
        <f t="shared" si="29"/>
        <v>1.2255683503905459E-2</v>
      </c>
      <c r="K117" s="2"/>
      <c r="L117" s="2">
        <f t="shared" si="30"/>
        <v>219.40000000000055</v>
      </c>
      <c r="M117" s="2"/>
      <c r="N117" s="6">
        <f t="shared" si="31"/>
        <v>4.9638009049773876E-2</v>
      </c>
      <c r="O117" s="14"/>
      <c r="P117" s="2">
        <f>SUM(OSRRefP22_18x_0)</f>
        <v>51893.630000000005</v>
      </c>
      <c r="Q117" s="2"/>
      <c r="R117" s="6">
        <f t="shared" si="32"/>
        <v>8.9653658867593321E-3</v>
      </c>
      <c r="S117" s="2"/>
      <c r="T117" s="2">
        <f>SUM(OSRRefT22_18x_0)</f>
        <v>39420</v>
      </c>
      <c r="U117" s="2"/>
      <c r="V117" s="6">
        <f t="shared" si="33"/>
        <v>5.0175774316444178E-3</v>
      </c>
      <c r="W117" s="2"/>
      <c r="X117" s="2">
        <f t="shared" si="34"/>
        <v>12473.630000000005</v>
      </c>
      <c r="Y117" s="2"/>
      <c r="Z117" s="6">
        <f t="shared" si="35"/>
        <v>0.31642897006595649</v>
      </c>
    </row>
    <row r="118" spans="1:26" s="70" customFormat="1" ht="15" hidden="1" customHeight="1" outlineLevel="2" x14ac:dyDescent="0.3">
      <c r="A118" s="26"/>
      <c r="B118" s="12" t="str">
        <f>CONCATENATE("          ","6282"," - ","JANITORIAL/EXTERMINATOR EXPENS")</f>
        <v xml:space="preserve">          6282 - JANITORIAL/EXTERMINATOR EXPENS</v>
      </c>
      <c r="C118" s="12"/>
      <c r="D118" s="7">
        <v>209.65</v>
      </c>
      <c r="E118" s="3"/>
      <c r="F118" s="8">
        <f t="shared" si="28"/>
        <v>3.5361112521826196E-4</v>
      </c>
      <c r="G118" s="3"/>
      <c r="H118" s="7">
        <v>4300</v>
      </c>
      <c r="I118" s="3"/>
      <c r="J118" s="8">
        <f t="shared" si="29"/>
        <v>1.1922950015111646E-2</v>
      </c>
      <c r="K118" s="3"/>
      <c r="L118" s="7">
        <f t="shared" si="30"/>
        <v>-4090.35</v>
      </c>
      <c r="M118" s="3"/>
      <c r="N118" s="8">
        <f t="shared" si="31"/>
        <v>-0.95124418604651162</v>
      </c>
      <c r="O118" s="12"/>
      <c r="P118" s="7">
        <v>2753.63</v>
      </c>
      <c r="Q118" s="3"/>
      <c r="R118" s="8">
        <f t="shared" si="32"/>
        <v>4.757289183037898E-4</v>
      </c>
      <c r="S118" s="3"/>
      <c r="T118" s="7">
        <v>38700</v>
      </c>
      <c r="U118" s="3"/>
      <c r="V118" s="8">
        <f t="shared" si="33"/>
        <v>4.9259321817513683E-3</v>
      </c>
      <c r="W118" s="3"/>
      <c r="X118" s="7">
        <f t="shared" si="34"/>
        <v>-35946.370000000003</v>
      </c>
      <c r="Y118" s="3"/>
      <c r="Z118" s="8">
        <f t="shared" si="35"/>
        <v>-0.92884677002583982</v>
      </c>
    </row>
    <row r="119" spans="1:26" s="70" customFormat="1" ht="15" hidden="1" customHeight="1" outlineLevel="2" x14ac:dyDescent="0.3">
      <c r="A119" s="26"/>
      <c r="B119" s="12" t="str">
        <f>CONCATENATE("          ","6284"," - ","TRASH REMOVAL EXPENSE")</f>
        <v xml:space="preserve">          6284 - TRASH REMOVAL EXPENSE</v>
      </c>
      <c r="C119" s="12"/>
      <c r="D119" s="7">
        <v>149.69999999999999</v>
      </c>
      <c r="E119" s="3"/>
      <c r="F119" s="8">
        <f t="shared" si="28"/>
        <v>2.5249504147471406E-4</v>
      </c>
      <c r="G119" s="3"/>
      <c r="H119" s="7">
        <v>120</v>
      </c>
      <c r="I119" s="3"/>
      <c r="J119" s="8">
        <f t="shared" si="29"/>
        <v>3.3273348879381335E-4</v>
      </c>
      <c r="K119" s="3"/>
      <c r="L119" s="7">
        <f t="shared" si="30"/>
        <v>29.699999999999989</v>
      </c>
      <c r="M119" s="3"/>
      <c r="N119" s="8">
        <f t="shared" si="31"/>
        <v>0.24749999999999991</v>
      </c>
      <c r="O119" s="12"/>
      <c r="P119" s="7">
        <v>1340.17</v>
      </c>
      <c r="Q119" s="3"/>
      <c r="R119" s="8">
        <f t="shared" si="32"/>
        <v>2.3153351192541845E-4</v>
      </c>
      <c r="S119" s="3"/>
      <c r="T119" s="7">
        <v>720</v>
      </c>
      <c r="U119" s="3"/>
      <c r="V119" s="8">
        <f t="shared" si="33"/>
        <v>9.1645249893048726E-5</v>
      </c>
      <c r="W119" s="3"/>
      <c r="X119" s="7">
        <f t="shared" si="34"/>
        <v>620.17000000000007</v>
      </c>
      <c r="Y119" s="3"/>
      <c r="Z119" s="8">
        <f t="shared" si="35"/>
        <v>0.86134722222222238</v>
      </c>
    </row>
    <row r="120" spans="1:26" s="70" customFormat="1" ht="15" hidden="1" customHeight="1" outlineLevel="2" x14ac:dyDescent="0.3">
      <c r="A120" s="26"/>
      <c r="B120" s="12" t="str">
        <f>CONCATENATE("          ","6285"," - ","JANITORIAL SERVICES")</f>
        <v xml:space="preserve">          6285 - JANITORIAL SERVICES</v>
      </c>
      <c r="C120" s="12"/>
      <c r="D120" s="7">
        <v>4280.05</v>
      </c>
      <c r="E120" s="3"/>
      <c r="F120" s="8">
        <f t="shared" si="28"/>
        <v>7.2190474433122924E-3</v>
      </c>
      <c r="G120" s="3"/>
      <c r="H120" s="7"/>
      <c r="I120" s="3"/>
      <c r="J120" s="8">
        <f t="shared" si="29"/>
        <v>0</v>
      </c>
      <c r="K120" s="3"/>
      <c r="L120" s="7">
        <f t="shared" si="30"/>
        <v>4280.05</v>
      </c>
      <c r="M120" s="3"/>
      <c r="N120" s="8">
        <f t="shared" si="31"/>
        <v>0</v>
      </c>
      <c r="O120" s="12"/>
      <c r="P120" s="7">
        <v>47799.83</v>
      </c>
      <c r="Q120" s="3"/>
      <c r="R120" s="8">
        <f t="shared" si="32"/>
        <v>8.258103456530122E-3</v>
      </c>
      <c r="S120" s="3"/>
      <c r="T120" s="7"/>
      <c r="U120" s="3"/>
      <c r="V120" s="8">
        <f t="shared" si="33"/>
        <v>0</v>
      </c>
      <c r="W120" s="3"/>
      <c r="X120" s="7">
        <f t="shared" si="34"/>
        <v>47799.83</v>
      </c>
      <c r="Y120" s="3"/>
      <c r="Z120" s="8">
        <f t="shared" si="35"/>
        <v>0</v>
      </c>
    </row>
    <row r="121" spans="1:26" s="69" customFormat="1" ht="15" customHeight="1" outlineLevel="1" collapsed="1" x14ac:dyDescent="0.3">
      <c r="A121" s="25"/>
      <c r="B121" s="14" t="str">
        <f>CONCATENATE("     ","Subscriptions &amp; Dues                              ")</f>
        <v xml:space="preserve">     Subscriptions &amp; Dues                              </v>
      </c>
      <c r="C121" s="14"/>
      <c r="D121" s="2">
        <f>SUM(OSRRefD22_19x_0)</f>
        <v>606.92999999999995</v>
      </c>
      <c r="E121" s="2"/>
      <c r="F121" s="6">
        <f t="shared" si="28"/>
        <v>1.023692822459908E-3</v>
      </c>
      <c r="G121" s="2"/>
      <c r="H121" s="2">
        <f>SUM(OSRRefH22_19x_0)</f>
        <v>481</v>
      </c>
      <c r="I121" s="2"/>
      <c r="J121" s="6">
        <f t="shared" si="29"/>
        <v>1.3337067342485353E-3</v>
      </c>
      <c r="K121" s="2"/>
      <c r="L121" s="2">
        <f t="shared" si="30"/>
        <v>125.92999999999995</v>
      </c>
      <c r="M121" s="2"/>
      <c r="N121" s="6">
        <f t="shared" si="31"/>
        <v>0.26180873180873171</v>
      </c>
      <c r="O121" s="14"/>
      <c r="P121" s="2">
        <f>SUM(OSRRefP22_19x_0)</f>
        <v>2477.65</v>
      </c>
      <c r="Q121" s="2"/>
      <c r="R121" s="6">
        <f t="shared" si="32"/>
        <v>4.2804943090952118E-4</v>
      </c>
      <c r="S121" s="2"/>
      <c r="T121" s="2">
        <f>SUM(OSRRefT22_19x_0)</f>
        <v>10944</v>
      </c>
      <c r="U121" s="2"/>
      <c r="V121" s="6">
        <f t="shared" si="33"/>
        <v>1.3930077983743405E-3</v>
      </c>
      <c r="W121" s="2"/>
      <c r="X121" s="2">
        <f t="shared" si="34"/>
        <v>-8466.35</v>
      </c>
      <c r="Y121" s="2"/>
      <c r="Z121" s="6">
        <f t="shared" si="35"/>
        <v>-0.7736065423976608</v>
      </c>
    </row>
    <row r="122" spans="1:26" s="70" customFormat="1" ht="15" hidden="1" customHeight="1" outlineLevel="2" x14ac:dyDescent="0.3">
      <c r="A122" s="26"/>
      <c r="B122" s="12" t="str">
        <f>CONCATENATE("          ","6258"," - ","MEMBERSHIP DUES")</f>
        <v xml:space="preserve">          6258 - MEMBERSHIP DUES</v>
      </c>
      <c r="C122" s="12"/>
      <c r="D122" s="7">
        <v>606.92999999999995</v>
      </c>
      <c r="E122" s="3"/>
      <c r="F122" s="8">
        <f t="shared" si="28"/>
        <v>1.023692822459908E-3</v>
      </c>
      <c r="G122" s="3"/>
      <c r="H122" s="7">
        <v>300</v>
      </c>
      <c r="I122" s="3"/>
      <c r="J122" s="8">
        <f t="shared" si="29"/>
        <v>8.3183372198453339E-4</v>
      </c>
      <c r="K122" s="3"/>
      <c r="L122" s="7">
        <f t="shared" si="30"/>
        <v>306.92999999999995</v>
      </c>
      <c r="M122" s="3"/>
      <c r="N122" s="8">
        <f t="shared" si="31"/>
        <v>1.0230999999999999</v>
      </c>
      <c r="O122" s="12"/>
      <c r="P122" s="7">
        <v>2477.65</v>
      </c>
      <c r="Q122" s="3"/>
      <c r="R122" s="8">
        <f t="shared" si="32"/>
        <v>4.2804943090952118E-4</v>
      </c>
      <c r="S122" s="3"/>
      <c r="T122" s="7">
        <v>8095</v>
      </c>
      <c r="U122" s="3"/>
      <c r="V122" s="8">
        <f t="shared" si="33"/>
        <v>1.0303726359503185E-3</v>
      </c>
      <c r="W122" s="3"/>
      <c r="X122" s="7">
        <f t="shared" si="34"/>
        <v>-5617.35</v>
      </c>
      <c r="Y122" s="3"/>
      <c r="Z122" s="8">
        <f t="shared" si="35"/>
        <v>-0.69392835083384807</v>
      </c>
    </row>
    <row r="123" spans="1:26" s="70" customFormat="1" ht="15" hidden="1" customHeight="1" outlineLevel="2" x14ac:dyDescent="0.3">
      <c r="A123" s="26"/>
      <c r="B123" s="12" t="str">
        <f>CONCATENATE("          ","6275"," - ","SUBSCRIPTIONS")</f>
        <v xml:space="preserve">          6275 - SUBSCRIPTIONS</v>
      </c>
      <c r="C123" s="12"/>
      <c r="D123" s="7"/>
      <c r="E123" s="3"/>
      <c r="F123" s="8">
        <f t="shared" si="28"/>
        <v>0</v>
      </c>
      <c r="G123" s="3"/>
      <c r="H123" s="7">
        <v>181</v>
      </c>
      <c r="I123" s="3"/>
      <c r="J123" s="8">
        <f t="shared" si="29"/>
        <v>5.0187301226400189E-4</v>
      </c>
      <c r="K123" s="3"/>
      <c r="L123" s="7">
        <f t="shared" si="30"/>
        <v>-181</v>
      </c>
      <c r="M123" s="3"/>
      <c r="N123" s="8">
        <f t="shared" si="31"/>
        <v>-1</v>
      </c>
      <c r="O123" s="12"/>
      <c r="P123" s="7"/>
      <c r="Q123" s="3"/>
      <c r="R123" s="8">
        <f t="shared" si="32"/>
        <v>0</v>
      </c>
      <c r="S123" s="3"/>
      <c r="T123" s="7">
        <v>2849</v>
      </c>
      <c r="U123" s="3"/>
      <c r="V123" s="8">
        <f t="shared" si="33"/>
        <v>3.6263516242402197E-4</v>
      </c>
      <c r="W123" s="3"/>
      <c r="X123" s="7">
        <f t="shared" si="34"/>
        <v>-2849</v>
      </c>
      <c r="Y123" s="3"/>
      <c r="Z123" s="8">
        <f t="shared" si="35"/>
        <v>-1</v>
      </c>
    </row>
    <row r="124" spans="1:26" s="69" customFormat="1" ht="15" customHeight="1" outlineLevel="1" collapsed="1" x14ac:dyDescent="0.3">
      <c r="A124" s="25"/>
      <c r="B124" s="14" t="str">
        <f>CONCATENATE("     ","Supplies                                          ")</f>
        <v xml:space="preserve">     Supplies                                          </v>
      </c>
      <c r="C124" s="14"/>
      <c r="D124" s="2">
        <f>SUM(OSRRefD22_20x_0)</f>
        <v>9875.9000000000015</v>
      </c>
      <c r="E124" s="2"/>
      <c r="F124" s="6">
        <f t="shared" si="28"/>
        <v>1.6657420040749028E-2</v>
      </c>
      <c r="G124" s="2"/>
      <c r="H124" s="2">
        <f>SUM(OSRRefH22_20x_0)</f>
        <v>7730</v>
      </c>
      <c r="I124" s="2"/>
      <c r="J124" s="6">
        <f t="shared" si="29"/>
        <v>2.1433582236468143E-2</v>
      </c>
      <c r="K124" s="2"/>
      <c r="L124" s="2">
        <f t="shared" si="30"/>
        <v>2145.9000000000015</v>
      </c>
      <c r="M124" s="2"/>
      <c r="N124" s="6">
        <f t="shared" si="31"/>
        <v>0.27760672703751638</v>
      </c>
      <c r="O124" s="14"/>
      <c r="P124" s="2">
        <f>SUM(OSRRefP22_20x_0)</f>
        <v>86527.739999999991</v>
      </c>
      <c r="Q124" s="2"/>
      <c r="R124" s="6">
        <f t="shared" si="32"/>
        <v>1.4948903140026641E-2</v>
      </c>
      <c r="S124" s="2"/>
      <c r="T124" s="2">
        <f>SUM(OSRRefT22_20x_0)</f>
        <v>99450</v>
      </c>
      <c r="U124" s="2"/>
      <c r="V124" s="6">
        <f t="shared" si="33"/>
        <v>1.2658500141477354E-2</v>
      </c>
      <c r="W124" s="2"/>
      <c r="X124" s="2">
        <f t="shared" si="34"/>
        <v>-12922.260000000009</v>
      </c>
      <c r="Y124" s="2"/>
      <c r="Z124" s="6">
        <f t="shared" si="35"/>
        <v>-0.12993725490196087</v>
      </c>
    </row>
    <row r="125" spans="1:26" s="70" customFormat="1" ht="15" hidden="1" customHeight="1" outlineLevel="2" x14ac:dyDescent="0.3">
      <c r="A125" s="26"/>
      <c r="B125" s="12" t="str">
        <f>CONCATENATE("          ","6234"," - ","EXPENDABLE SUPPLIES &amp; EQUIPMEN")</f>
        <v xml:space="preserve">          6234 - EXPENDABLE SUPPLIES &amp; EQUIPMEN</v>
      </c>
      <c r="C125" s="12"/>
      <c r="D125" s="7"/>
      <c r="E125" s="3"/>
      <c r="F125" s="8">
        <f t="shared" si="28"/>
        <v>0</v>
      </c>
      <c r="G125" s="3"/>
      <c r="H125" s="7">
        <v>300</v>
      </c>
      <c r="I125" s="3"/>
      <c r="J125" s="8">
        <f t="shared" si="29"/>
        <v>8.3183372198453339E-4</v>
      </c>
      <c r="K125" s="3"/>
      <c r="L125" s="7">
        <f t="shared" si="30"/>
        <v>-300</v>
      </c>
      <c r="M125" s="3"/>
      <c r="N125" s="8">
        <f t="shared" si="31"/>
        <v>-1</v>
      </c>
      <c r="O125" s="12"/>
      <c r="P125" s="7">
        <v>5289.57</v>
      </c>
      <c r="Q125" s="3"/>
      <c r="R125" s="8">
        <f t="shared" si="32"/>
        <v>9.1384877939017857E-4</v>
      </c>
      <c r="S125" s="3"/>
      <c r="T125" s="7">
        <v>2100</v>
      </c>
      <c r="U125" s="3"/>
      <c r="V125" s="8">
        <f t="shared" si="33"/>
        <v>2.6729864552139211E-4</v>
      </c>
      <c r="W125" s="3"/>
      <c r="X125" s="7">
        <f t="shared" si="34"/>
        <v>3189.5699999999997</v>
      </c>
      <c r="Y125" s="3"/>
      <c r="Z125" s="8">
        <f t="shared" si="35"/>
        <v>1.5188428571428569</v>
      </c>
    </row>
    <row r="126" spans="1:26" s="70" customFormat="1" ht="15" hidden="1" customHeight="1" outlineLevel="2" x14ac:dyDescent="0.3">
      <c r="A126" s="26"/>
      <c r="B126" s="12" t="str">
        <f>CONCATENATE("          ","6235"," - ","COVID-19 EXPENSES")</f>
        <v xml:space="preserve">          6235 - COVID-19 EXPENSES</v>
      </c>
      <c r="C126" s="12"/>
      <c r="D126" s="7"/>
      <c r="E126" s="3"/>
      <c r="F126" s="8">
        <f t="shared" si="28"/>
        <v>0</v>
      </c>
      <c r="G126" s="3"/>
      <c r="H126" s="7">
        <v>125</v>
      </c>
      <c r="I126" s="3"/>
      <c r="J126" s="8">
        <f t="shared" si="29"/>
        <v>3.4659738416022227E-4</v>
      </c>
      <c r="K126" s="3"/>
      <c r="L126" s="7">
        <f t="shared" si="30"/>
        <v>-125</v>
      </c>
      <c r="M126" s="3"/>
      <c r="N126" s="8">
        <f t="shared" si="31"/>
        <v>-1</v>
      </c>
      <c r="O126" s="12"/>
      <c r="P126" s="7">
        <v>3430.32</v>
      </c>
      <c r="Q126" s="3"/>
      <c r="R126" s="8">
        <f t="shared" si="32"/>
        <v>5.9263678236940191E-4</v>
      </c>
      <c r="S126" s="3"/>
      <c r="T126" s="7">
        <v>1125</v>
      </c>
      <c r="U126" s="3"/>
      <c r="V126" s="8">
        <f t="shared" si="33"/>
        <v>1.4319570295788864E-4</v>
      </c>
      <c r="W126" s="3"/>
      <c r="X126" s="7">
        <f t="shared" si="34"/>
        <v>2305.3200000000002</v>
      </c>
      <c r="Y126" s="3"/>
      <c r="Z126" s="8">
        <f t="shared" si="35"/>
        <v>2.0491733333333335</v>
      </c>
    </row>
    <row r="127" spans="1:26" s="70" customFormat="1" ht="15" hidden="1" customHeight="1" outlineLevel="2" x14ac:dyDescent="0.3">
      <c r="A127" s="26"/>
      <c r="B127" s="12" t="str">
        <f>CONCATENATE("          ","6237"," - ","JANITORIAL SUPPLIES")</f>
        <v xml:space="preserve">          6237 - JANITORIAL SUPPLIES</v>
      </c>
      <c r="C127" s="12"/>
      <c r="D127" s="7">
        <v>257.99</v>
      </c>
      <c r="E127" s="3"/>
      <c r="F127" s="8">
        <f t="shared" si="28"/>
        <v>4.3514492819012355E-4</v>
      </c>
      <c r="G127" s="3"/>
      <c r="H127" s="7">
        <v>10</v>
      </c>
      <c r="I127" s="3"/>
      <c r="J127" s="8">
        <f t="shared" si="29"/>
        <v>2.7727790732817783E-5</v>
      </c>
      <c r="K127" s="3"/>
      <c r="L127" s="7">
        <f t="shared" si="30"/>
        <v>247.99</v>
      </c>
      <c r="M127" s="3"/>
      <c r="N127" s="8">
        <f t="shared" si="31"/>
        <v>24.798999999999999</v>
      </c>
      <c r="O127" s="12"/>
      <c r="P127" s="7">
        <v>4789.16</v>
      </c>
      <c r="Q127" s="3"/>
      <c r="R127" s="8">
        <f t="shared" si="32"/>
        <v>8.2739580349712124E-4</v>
      </c>
      <c r="S127" s="3"/>
      <c r="T127" s="7">
        <v>170</v>
      </c>
      <c r="U127" s="3"/>
      <c r="V127" s="8">
        <f t="shared" si="33"/>
        <v>2.1638461780303169E-5</v>
      </c>
      <c r="W127" s="3"/>
      <c r="X127" s="7">
        <f t="shared" si="34"/>
        <v>4619.16</v>
      </c>
      <c r="Y127" s="3"/>
      <c r="Z127" s="8">
        <f t="shared" si="35"/>
        <v>27.171529411764705</v>
      </c>
    </row>
    <row r="128" spans="1:26" s="70" customFormat="1" ht="15" hidden="1" customHeight="1" outlineLevel="2" x14ac:dyDescent="0.3">
      <c r="A128" s="26"/>
      <c r="B128" s="12" t="str">
        <f>CONCATENATE("          ","6241"," - ","OFFICE EXPENSE")</f>
        <v xml:space="preserve">          6241 - OFFICE EXPENSE</v>
      </c>
      <c r="C128" s="12"/>
      <c r="D128" s="7">
        <v>1845.19</v>
      </c>
      <c r="E128" s="3"/>
      <c r="F128" s="8">
        <f t="shared" si="28"/>
        <v>3.1122333037991163E-3</v>
      </c>
      <c r="G128" s="3"/>
      <c r="H128" s="7">
        <v>470</v>
      </c>
      <c r="I128" s="3"/>
      <c r="J128" s="8">
        <f t="shared" si="29"/>
        <v>1.3032061644424357E-3</v>
      </c>
      <c r="K128" s="3"/>
      <c r="L128" s="7">
        <f t="shared" si="30"/>
        <v>1375.19</v>
      </c>
      <c r="M128" s="3"/>
      <c r="N128" s="8">
        <f t="shared" si="31"/>
        <v>2.9259361702127662</v>
      </c>
      <c r="O128" s="12"/>
      <c r="P128" s="7">
        <v>14718.04</v>
      </c>
      <c r="Q128" s="3"/>
      <c r="R128" s="8">
        <f t="shared" si="32"/>
        <v>2.5427516582663288E-3</v>
      </c>
      <c r="S128" s="3"/>
      <c r="T128" s="7">
        <v>5480</v>
      </c>
      <c r="U128" s="3"/>
      <c r="V128" s="8">
        <f t="shared" si="33"/>
        <v>6.9752217974153752E-4</v>
      </c>
      <c r="W128" s="3"/>
      <c r="X128" s="7">
        <f t="shared" si="34"/>
        <v>9238.0400000000009</v>
      </c>
      <c r="Y128" s="3"/>
      <c r="Z128" s="8">
        <f t="shared" si="35"/>
        <v>1.6857737226277374</v>
      </c>
    </row>
    <row r="129" spans="1:26" s="70" customFormat="1" ht="15" hidden="1" customHeight="1" outlineLevel="2" x14ac:dyDescent="0.3">
      <c r="A129" s="26"/>
      <c r="B129" s="12" t="str">
        <f>CONCATENATE("          ","6243"," - ","PAPER SUPPLIES")</f>
        <v xml:space="preserve">          6243 - PAPER SUPPLIES</v>
      </c>
      <c r="C129" s="12"/>
      <c r="D129" s="7">
        <v>1213.21</v>
      </c>
      <c r="E129" s="3"/>
      <c r="F129" s="8">
        <f t="shared" si="28"/>
        <v>2.0462893070643815E-3</v>
      </c>
      <c r="G129" s="3"/>
      <c r="H129" s="7">
        <v>150</v>
      </c>
      <c r="I129" s="3"/>
      <c r="J129" s="8">
        <f t="shared" si="29"/>
        <v>4.1591686099226669E-4</v>
      </c>
      <c r="K129" s="3"/>
      <c r="L129" s="7">
        <f t="shared" si="30"/>
        <v>1063.21</v>
      </c>
      <c r="M129" s="3"/>
      <c r="N129" s="8">
        <f t="shared" si="31"/>
        <v>7.0880666666666672</v>
      </c>
      <c r="O129" s="12"/>
      <c r="P129" s="7">
        <v>6835.14</v>
      </c>
      <c r="Q129" s="3"/>
      <c r="R129" s="8">
        <f t="shared" si="32"/>
        <v>1.1808680754694589E-3</v>
      </c>
      <c r="S129" s="3"/>
      <c r="T129" s="7">
        <v>30350</v>
      </c>
      <c r="U129" s="3"/>
      <c r="V129" s="8">
        <f t="shared" si="33"/>
        <v>3.8631018531305955E-3</v>
      </c>
      <c r="W129" s="3"/>
      <c r="X129" s="7">
        <f t="shared" si="34"/>
        <v>-23514.86</v>
      </c>
      <c r="Y129" s="3"/>
      <c r="Z129" s="8">
        <f t="shared" si="35"/>
        <v>-0.77478945634266894</v>
      </c>
    </row>
    <row r="130" spans="1:26" s="70" customFormat="1" ht="15" hidden="1" customHeight="1" outlineLevel="2" x14ac:dyDescent="0.3">
      <c r="A130" s="26"/>
      <c r="B130" s="12" t="str">
        <f>CONCATENATE("          ","6245"," - ","PRINTING")</f>
        <v xml:space="preserve">          6245 - PRINTING</v>
      </c>
      <c r="C130" s="12"/>
      <c r="D130" s="7">
        <v>3682</v>
      </c>
      <c r="E130" s="3"/>
      <c r="F130" s="8">
        <f t="shared" si="28"/>
        <v>6.2103322826312446E-3</v>
      </c>
      <c r="G130" s="3"/>
      <c r="H130" s="7">
        <v>500</v>
      </c>
      <c r="I130" s="3"/>
      <c r="J130" s="8">
        <f t="shared" si="29"/>
        <v>1.3863895366408891E-3</v>
      </c>
      <c r="K130" s="3"/>
      <c r="L130" s="7">
        <f t="shared" si="30"/>
        <v>3182</v>
      </c>
      <c r="M130" s="3"/>
      <c r="N130" s="8">
        <f t="shared" si="31"/>
        <v>6.3639999999999999</v>
      </c>
      <c r="O130" s="12"/>
      <c r="P130" s="7">
        <v>6986.52</v>
      </c>
      <c r="Q130" s="3"/>
      <c r="R130" s="8">
        <f t="shared" si="32"/>
        <v>1.207021132943712E-3</v>
      </c>
      <c r="S130" s="3"/>
      <c r="T130" s="7">
        <v>7995</v>
      </c>
      <c r="U130" s="3"/>
      <c r="V130" s="8">
        <f t="shared" si="33"/>
        <v>1.0176441290207284E-3</v>
      </c>
      <c r="W130" s="3"/>
      <c r="X130" s="7">
        <f t="shared" si="34"/>
        <v>-1008.4799999999996</v>
      </c>
      <c r="Y130" s="3"/>
      <c r="Z130" s="8">
        <f t="shared" si="35"/>
        <v>-0.12613883677298307</v>
      </c>
    </row>
    <row r="131" spans="1:26" s="70" customFormat="1" ht="15" hidden="1" customHeight="1" outlineLevel="2" x14ac:dyDescent="0.3">
      <c r="A131" s="26"/>
      <c r="B131" s="12" t="str">
        <f>CONCATENATE("          ","6247"," - ","STORE SUPPLIES")</f>
        <v xml:space="preserve">          6247 - STORE SUPPLIES</v>
      </c>
      <c r="C131" s="12"/>
      <c r="D131" s="7">
        <v>2877.51</v>
      </c>
      <c r="E131" s="3"/>
      <c r="F131" s="8">
        <f t="shared" si="28"/>
        <v>4.853420219064159E-3</v>
      </c>
      <c r="G131" s="3"/>
      <c r="H131" s="7">
        <v>6175</v>
      </c>
      <c r="I131" s="3"/>
      <c r="J131" s="8">
        <f t="shared" si="29"/>
        <v>1.712191077751498E-2</v>
      </c>
      <c r="K131" s="3"/>
      <c r="L131" s="7">
        <f t="shared" si="30"/>
        <v>-3297.49</v>
      </c>
      <c r="M131" s="3"/>
      <c r="N131" s="8">
        <f t="shared" si="31"/>
        <v>-0.53400647773279353</v>
      </c>
      <c r="O131" s="12"/>
      <c r="P131" s="7">
        <v>44478.99</v>
      </c>
      <c r="Q131" s="3"/>
      <c r="R131" s="8">
        <f t="shared" si="32"/>
        <v>7.6843809080904416E-3</v>
      </c>
      <c r="S131" s="3"/>
      <c r="T131" s="7">
        <v>52230</v>
      </c>
      <c r="U131" s="3"/>
      <c r="V131" s="8">
        <f t="shared" si="33"/>
        <v>6.6480991693249093E-3</v>
      </c>
      <c r="W131" s="3"/>
      <c r="X131" s="7">
        <f t="shared" si="34"/>
        <v>-7751.010000000002</v>
      </c>
      <c r="Y131" s="3"/>
      <c r="Z131" s="8">
        <f t="shared" si="35"/>
        <v>-0.14840149339460085</v>
      </c>
    </row>
    <row r="132" spans="1:26" s="69" customFormat="1" ht="15" customHeight="1" outlineLevel="1" collapsed="1" x14ac:dyDescent="0.3">
      <c r="A132" s="25"/>
      <c r="B132" s="14" t="str">
        <f>CONCATENATE("     ","Telephone/Data Lines                              ")</f>
        <v xml:space="preserve">     Telephone/Data Lines                              </v>
      </c>
      <c r="C132" s="14"/>
      <c r="D132" s="2">
        <f>SUM(OSRRefD22_21x_0)</f>
        <v>1663.69</v>
      </c>
      <c r="E132" s="2"/>
      <c r="F132" s="6">
        <f t="shared" si="28"/>
        <v>2.8061020410892925E-3</v>
      </c>
      <c r="G132" s="2"/>
      <c r="H132" s="2">
        <f>SUM(OSRRefH22_21x_0)</f>
        <v>1735</v>
      </c>
      <c r="I132" s="2"/>
      <c r="J132" s="6">
        <f t="shared" si="29"/>
        <v>4.8107716921438849E-3</v>
      </c>
      <c r="K132" s="2"/>
      <c r="L132" s="2">
        <f t="shared" si="30"/>
        <v>-71.309999999999945</v>
      </c>
      <c r="M132" s="2"/>
      <c r="N132" s="6">
        <f t="shared" si="31"/>
        <v>-4.110086455331409E-2</v>
      </c>
      <c r="O132" s="14"/>
      <c r="P132" s="2">
        <f>SUM(OSRRefP22_21x_0)</f>
        <v>16294.42</v>
      </c>
      <c r="Q132" s="2"/>
      <c r="R132" s="6">
        <f t="shared" si="32"/>
        <v>2.8150938219686883E-3</v>
      </c>
      <c r="S132" s="2"/>
      <c r="T132" s="2">
        <f>SUM(OSRRefT22_21x_0)</f>
        <v>16215</v>
      </c>
      <c r="U132" s="2"/>
      <c r="V132" s="6">
        <f t="shared" si="33"/>
        <v>2.0639273986330347E-3</v>
      </c>
      <c r="W132" s="2"/>
      <c r="X132" s="2">
        <f t="shared" si="34"/>
        <v>79.420000000000073</v>
      </c>
      <c r="Y132" s="2"/>
      <c r="Z132" s="6">
        <f t="shared" si="35"/>
        <v>4.8979340117175502E-3</v>
      </c>
    </row>
    <row r="133" spans="1:26" s="70" customFormat="1" ht="15" hidden="1" customHeight="1" outlineLevel="2" x14ac:dyDescent="0.3">
      <c r="A133" s="26"/>
      <c r="B133" s="12" t="str">
        <f>CONCATENATE("          ","6303"," - ","DATA PHONE LINES")</f>
        <v xml:space="preserve">          6303 - DATA PHONE LINES</v>
      </c>
      <c r="C133" s="12"/>
      <c r="D133" s="7"/>
      <c r="E133" s="3"/>
      <c r="F133" s="8">
        <f t="shared" si="28"/>
        <v>0</v>
      </c>
      <c r="G133" s="3"/>
      <c r="H133" s="7">
        <v>0</v>
      </c>
      <c r="I133" s="3"/>
      <c r="J133" s="8">
        <f t="shared" si="29"/>
        <v>0</v>
      </c>
      <c r="K133" s="3"/>
      <c r="L133" s="7">
        <f t="shared" si="30"/>
        <v>0</v>
      </c>
      <c r="M133" s="3"/>
      <c r="N133" s="8">
        <f t="shared" si="31"/>
        <v>0</v>
      </c>
      <c r="O133" s="12"/>
      <c r="P133" s="7">
        <v>295</v>
      </c>
      <c r="Q133" s="3"/>
      <c r="R133" s="8">
        <f t="shared" si="32"/>
        <v>5.0965464096344821E-5</v>
      </c>
      <c r="S133" s="3"/>
      <c r="T133" s="7">
        <v>0</v>
      </c>
      <c r="U133" s="3"/>
      <c r="V133" s="8">
        <f t="shared" si="33"/>
        <v>0</v>
      </c>
      <c r="W133" s="3"/>
      <c r="X133" s="7">
        <f t="shared" si="34"/>
        <v>295</v>
      </c>
      <c r="Y133" s="3"/>
      <c r="Z133" s="8">
        <f t="shared" si="35"/>
        <v>0</v>
      </c>
    </row>
    <row r="134" spans="1:26" s="70" customFormat="1" ht="15" hidden="1" customHeight="1" outlineLevel="2" x14ac:dyDescent="0.3">
      <c r="A134" s="26"/>
      <c r="B134" s="12" t="str">
        <f>CONCATENATE("          ","6309"," - ","TELEPHONE")</f>
        <v xml:space="preserve">          6309 - TELEPHONE</v>
      </c>
      <c r="C134" s="12"/>
      <c r="D134" s="7">
        <v>1663.69</v>
      </c>
      <c r="E134" s="3"/>
      <c r="F134" s="8">
        <f t="shared" si="28"/>
        <v>2.8061020410892925E-3</v>
      </c>
      <c r="G134" s="3"/>
      <c r="H134" s="7">
        <v>1735</v>
      </c>
      <c r="I134" s="3"/>
      <c r="J134" s="8">
        <f t="shared" si="29"/>
        <v>4.8107716921438849E-3</v>
      </c>
      <c r="K134" s="3"/>
      <c r="L134" s="7">
        <f t="shared" si="30"/>
        <v>-71.309999999999945</v>
      </c>
      <c r="M134" s="3"/>
      <c r="N134" s="8">
        <f t="shared" si="31"/>
        <v>-4.110086455331409E-2</v>
      </c>
      <c r="O134" s="12"/>
      <c r="P134" s="7">
        <v>15999.42</v>
      </c>
      <c r="Q134" s="3"/>
      <c r="R134" s="8">
        <f t="shared" si="32"/>
        <v>2.7641283578723431E-3</v>
      </c>
      <c r="S134" s="3"/>
      <c r="T134" s="7">
        <v>16215</v>
      </c>
      <c r="U134" s="3"/>
      <c r="V134" s="8">
        <f t="shared" si="33"/>
        <v>2.0639273986330347E-3</v>
      </c>
      <c r="W134" s="3"/>
      <c r="X134" s="7">
        <f t="shared" si="34"/>
        <v>-215.57999999999993</v>
      </c>
      <c r="Y134" s="3"/>
      <c r="Z134" s="8">
        <f t="shared" si="35"/>
        <v>-1.3295097132284916E-2</v>
      </c>
    </row>
    <row r="135" spans="1:26" s="69" customFormat="1" ht="15" customHeight="1" outlineLevel="1" collapsed="1" x14ac:dyDescent="0.3">
      <c r="A135" s="25"/>
      <c r="B135" s="14" t="str">
        <f>CONCATENATE("     ","Training                                          ")</f>
        <v xml:space="preserve">     Training                                          </v>
      </c>
      <c r="C135" s="14"/>
      <c r="D135" s="2">
        <f>SUM(OSRRefD22_22x_0)</f>
        <v>199</v>
      </c>
      <c r="E135" s="2"/>
      <c r="F135" s="6">
        <f t="shared" si="28"/>
        <v>3.3564805112537143E-4</v>
      </c>
      <c r="G135" s="2"/>
      <c r="H135" s="2">
        <f>SUM(OSRRefH22_22x_0)</f>
        <v>0</v>
      </c>
      <c r="I135" s="2"/>
      <c r="J135" s="6">
        <f t="shared" si="29"/>
        <v>0</v>
      </c>
      <c r="K135" s="2"/>
      <c r="L135" s="2">
        <f t="shared" si="30"/>
        <v>199</v>
      </c>
      <c r="M135" s="2"/>
      <c r="N135" s="6">
        <f t="shared" si="31"/>
        <v>0</v>
      </c>
      <c r="O135" s="14"/>
      <c r="P135" s="2">
        <f>SUM(OSRRefP22_22x_0)</f>
        <v>1094</v>
      </c>
      <c r="Q135" s="2"/>
      <c r="R135" s="6">
        <f t="shared" si="32"/>
        <v>1.8900412786915672E-4</v>
      </c>
      <c r="S135" s="2"/>
      <c r="T135" s="2">
        <f>SUM(OSRRefT22_22x_0)</f>
        <v>2000</v>
      </c>
      <c r="U135" s="2"/>
      <c r="V135" s="6">
        <f t="shared" si="33"/>
        <v>2.5457013859180201E-4</v>
      </c>
      <c r="W135" s="2"/>
      <c r="X135" s="2">
        <f t="shared" si="34"/>
        <v>-906</v>
      </c>
      <c r="Y135" s="2"/>
      <c r="Z135" s="6">
        <f t="shared" si="35"/>
        <v>-0.45300000000000001</v>
      </c>
    </row>
    <row r="136" spans="1:26" s="70" customFormat="1" ht="15" hidden="1" customHeight="1" outlineLevel="2" x14ac:dyDescent="0.3">
      <c r="A136" s="26"/>
      <c r="B136" s="12" t="str">
        <f>CONCATENATE("          ","6376"," - ","TRAINING")</f>
        <v xml:space="preserve">          6376 - TRAINING</v>
      </c>
      <c r="C136" s="12"/>
      <c r="D136" s="7">
        <v>199</v>
      </c>
      <c r="E136" s="3"/>
      <c r="F136" s="8">
        <f t="shared" si="28"/>
        <v>3.3564805112537143E-4</v>
      </c>
      <c r="G136" s="3"/>
      <c r="H136" s="7">
        <v>0</v>
      </c>
      <c r="I136" s="3"/>
      <c r="J136" s="8">
        <f t="shared" si="29"/>
        <v>0</v>
      </c>
      <c r="K136" s="3"/>
      <c r="L136" s="7">
        <f t="shared" si="30"/>
        <v>199</v>
      </c>
      <c r="M136" s="3"/>
      <c r="N136" s="8">
        <f t="shared" si="31"/>
        <v>0</v>
      </c>
      <c r="O136" s="12"/>
      <c r="P136" s="7">
        <v>1094</v>
      </c>
      <c r="Q136" s="3"/>
      <c r="R136" s="8">
        <f t="shared" si="32"/>
        <v>1.8900412786915672E-4</v>
      </c>
      <c r="S136" s="3"/>
      <c r="T136" s="7">
        <v>2000</v>
      </c>
      <c r="U136" s="3"/>
      <c r="V136" s="8">
        <f t="shared" si="33"/>
        <v>2.5457013859180201E-4</v>
      </c>
      <c r="W136" s="3"/>
      <c r="X136" s="7">
        <f t="shared" si="34"/>
        <v>-906</v>
      </c>
      <c r="Y136" s="3"/>
      <c r="Z136" s="8">
        <f t="shared" si="35"/>
        <v>-0.45300000000000001</v>
      </c>
    </row>
    <row r="137" spans="1:26" s="69" customFormat="1" ht="15" customHeight="1" outlineLevel="1" collapsed="1" x14ac:dyDescent="0.3">
      <c r="A137" s="25"/>
      <c r="B137" s="14" t="str">
        <f>CONCATENATE("     ","Travel                                            ")</f>
        <v xml:space="preserve">     Travel                                            </v>
      </c>
      <c r="C137" s="14"/>
      <c r="D137" s="2">
        <f>SUM(OSRRefD22_23x_0)</f>
        <v>46.81</v>
      </c>
      <c r="E137" s="2"/>
      <c r="F137" s="6">
        <f t="shared" si="28"/>
        <v>7.8953192327530842E-5</v>
      </c>
      <c r="G137" s="2"/>
      <c r="H137" s="2">
        <f>SUM(OSRRefH22_23x_0)</f>
        <v>175</v>
      </c>
      <c r="I137" s="2"/>
      <c r="J137" s="6">
        <f t="shared" si="29"/>
        <v>4.8523633782431117E-4</v>
      </c>
      <c r="K137" s="2"/>
      <c r="L137" s="2">
        <f t="shared" si="30"/>
        <v>-128.19</v>
      </c>
      <c r="M137" s="2"/>
      <c r="N137" s="6">
        <f t="shared" si="31"/>
        <v>-0.73251428571428567</v>
      </c>
      <c r="O137" s="14"/>
      <c r="P137" s="2">
        <f>SUM(OSRRefP22_23x_0)</f>
        <v>1135.57</v>
      </c>
      <c r="Q137" s="2"/>
      <c r="R137" s="6">
        <f t="shared" si="32"/>
        <v>1.9618593919961452E-4</v>
      </c>
      <c r="S137" s="2"/>
      <c r="T137" s="2">
        <f>SUM(OSRRefT22_23x_0)</f>
        <v>1825</v>
      </c>
      <c r="U137" s="2"/>
      <c r="V137" s="6">
        <f t="shared" si="33"/>
        <v>2.3229525146501934E-4</v>
      </c>
      <c r="W137" s="2"/>
      <c r="X137" s="2">
        <f t="shared" si="34"/>
        <v>-689.43000000000006</v>
      </c>
      <c r="Y137" s="2"/>
      <c r="Z137" s="6">
        <f t="shared" si="35"/>
        <v>-0.37776986301369869</v>
      </c>
    </row>
    <row r="138" spans="1:26" s="70" customFormat="1" ht="15" hidden="1" customHeight="1" outlineLevel="2" x14ac:dyDescent="0.3">
      <c r="A138" s="26"/>
      <c r="B138" s="12" t="str">
        <f>CONCATENATE("          ","6292"," - ","TRAVEL/CONFERENCE")</f>
        <v xml:space="preserve">          6292 - TRAVEL/CONFERENCE</v>
      </c>
      <c r="C138" s="12"/>
      <c r="D138" s="7"/>
      <c r="E138" s="3"/>
      <c r="F138" s="8">
        <f t="shared" si="28"/>
        <v>0</v>
      </c>
      <c r="G138" s="3"/>
      <c r="H138" s="7">
        <v>125</v>
      </c>
      <c r="I138" s="3"/>
      <c r="J138" s="8">
        <f t="shared" si="29"/>
        <v>3.4659738416022227E-4</v>
      </c>
      <c r="K138" s="3"/>
      <c r="L138" s="7">
        <f t="shared" si="30"/>
        <v>-125</v>
      </c>
      <c r="M138" s="3"/>
      <c r="N138" s="8">
        <f t="shared" si="31"/>
        <v>-1</v>
      </c>
      <c r="O138" s="12"/>
      <c r="P138" s="7">
        <v>495</v>
      </c>
      <c r="Q138" s="3"/>
      <c r="R138" s="8">
        <f t="shared" si="32"/>
        <v>8.5518321110815892E-5</v>
      </c>
      <c r="S138" s="3"/>
      <c r="T138" s="7">
        <v>1125</v>
      </c>
      <c r="U138" s="3"/>
      <c r="V138" s="8">
        <f t="shared" si="33"/>
        <v>1.4319570295788864E-4</v>
      </c>
      <c r="W138" s="3"/>
      <c r="X138" s="7">
        <f t="shared" si="34"/>
        <v>-630</v>
      </c>
      <c r="Y138" s="3"/>
      <c r="Z138" s="8">
        <f t="shared" si="35"/>
        <v>-0.56000000000000005</v>
      </c>
    </row>
    <row r="139" spans="1:26" s="70" customFormat="1" ht="15" hidden="1" customHeight="1" outlineLevel="2" x14ac:dyDescent="0.3">
      <c r="A139" s="26"/>
      <c r="B139" s="12" t="str">
        <f>CONCATENATE("          ","6294"," - ","TRAVEL OPERATIONAL")</f>
        <v xml:space="preserve">          6294 - TRAVEL OPERATIONAL</v>
      </c>
      <c r="C139" s="12"/>
      <c r="D139" s="7">
        <v>46.81</v>
      </c>
      <c r="E139" s="3"/>
      <c r="F139" s="8">
        <f t="shared" si="28"/>
        <v>7.8953192327530842E-5</v>
      </c>
      <c r="G139" s="3"/>
      <c r="H139" s="7">
        <v>25</v>
      </c>
      <c r="I139" s="3"/>
      <c r="J139" s="8">
        <f t="shared" si="29"/>
        <v>6.9319476832044449E-5</v>
      </c>
      <c r="K139" s="3"/>
      <c r="L139" s="7">
        <f t="shared" si="30"/>
        <v>21.810000000000002</v>
      </c>
      <c r="M139" s="3"/>
      <c r="N139" s="8">
        <f t="shared" si="31"/>
        <v>0.87240000000000006</v>
      </c>
      <c r="O139" s="12"/>
      <c r="P139" s="7">
        <v>403.48</v>
      </c>
      <c r="Q139" s="3"/>
      <c r="R139" s="8">
        <f t="shared" si="32"/>
        <v>6.9706933740993935E-5</v>
      </c>
      <c r="S139" s="3"/>
      <c r="T139" s="7">
        <v>225</v>
      </c>
      <c r="U139" s="3"/>
      <c r="V139" s="8">
        <f t="shared" si="33"/>
        <v>2.8639140591577725E-5</v>
      </c>
      <c r="W139" s="3"/>
      <c r="X139" s="7">
        <f t="shared" si="34"/>
        <v>178.48000000000002</v>
      </c>
      <c r="Y139" s="3"/>
      <c r="Z139" s="8">
        <f t="shared" si="35"/>
        <v>0.79324444444444453</v>
      </c>
    </row>
    <row r="140" spans="1:26" s="70" customFormat="1" ht="15" hidden="1" customHeight="1" outlineLevel="2" x14ac:dyDescent="0.3">
      <c r="A140" s="26"/>
      <c r="B140" s="12" t="str">
        <f>CONCATENATE("          ","6298"," - ","VEHICLE MILEAGE")</f>
        <v xml:space="preserve">          6298 - VEHICLE MILEAGE</v>
      </c>
      <c r="C140" s="12"/>
      <c r="D140" s="7"/>
      <c r="E140" s="3"/>
      <c r="F140" s="8">
        <f t="shared" si="28"/>
        <v>0</v>
      </c>
      <c r="G140" s="3"/>
      <c r="H140" s="7">
        <v>25</v>
      </c>
      <c r="I140" s="3"/>
      <c r="J140" s="8">
        <f t="shared" si="29"/>
        <v>6.9319476832044449E-5</v>
      </c>
      <c r="K140" s="3"/>
      <c r="L140" s="7">
        <f t="shared" si="30"/>
        <v>-25</v>
      </c>
      <c r="M140" s="3"/>
      <c r="N140" s="8">
        <f t="shared" si="31"/>
        <v>-1</v>
      </c>
      <c r="O140" s="12"/>
      <c r="P140" s="7">
        <v>237.09</v>
      </c>
      <c r="Q140" s="3"/>
      <c r="R140" s="8">
        <f t="shared" si="32"/>
        <v>4.0960684347804724E-5</v>
      </c>
      <c r="S140" s="3"/>
      <c r="T140" s="7">
        <v>475</v>
      </c>
      <c r="U140" s="3"/>
      <c r="V140" s="8">
        <f t="shared" si="33"/>
        <v>6.0460407915552973E-5</v>
      </c>
      <c r="W140" s="3"/>
      <c r="X140" s="7">
        <f t="shared" si="34"/>
        <v>-237.91</v>
      </c>
      <c r="Y140" s="3"/>
      <c r="Z140" s="8">
        <f t="shared" si="35"/>
        <v>-0.50086315789473679</v>
      </c>
    </row>
    <row r="141" spans="1:26" s="69" customFormat="1" ht="15" customHeight="1" outlineLevel="1" collapsed="1" x14ac:dyDescent="0.3">
      <c r="A141" s="25"/>
      <c r="B141" s="14" t="str">
        <f>CONCATENATE("     ","Utilities                                         ")</f>
        <v xml:space="preserve">     Utilities                                         </v>
      </c>
      <c r="C141" s="14"/>
      <c r="D141" s="2">
        <f>SUM(OSRRefD22_24x_0)</f>
        <v>6137.83</v>
      </c>
      <c r="E141" s="2"/>
      <c r="F141" s="6">
        <f t="shared" si="28"/>
        <v>1.0352515968034364E-2</v>
      </c>
      <c r="G141" s="2"/>
      <c r="H141" s="2">
        <f>SUM(OSRRefH22_24x_0)</f>
        <v>6120</v>
      </c>
      <c r="I141" s="2"/>
      <c r="J141" s="6">
        <f t="shared" si="29"/>
        <v>1.6969407928484483E-2</v>
      </c>
      <c r="K141" s="2"/>
      <c r="L141" s="2">
        <f t="shared" si="30"/>
        <v>17.829999999999927</v>
      </c>
      <c r="M141" s="2"/>
      <c r="N141" s="6">
        <f t="shared" si="31"/>
        <v>2.9133986928104455E-3</v>
      </c>
      <c r="O141" s="14"/>
      <c r="P141" s="2">
        <f>SUM(OSRRefP22_24x_0)</f>
        <v>49032.9</v>
      </c>
      <c r="Q141" s="2"/>
      <c r="R141" s="6">
        <f t="shared" si="32"/>
        <v>8.4711339135242914E-3</v>
      </c>
      <c r="S141" s="2"/>
      <c r="T141" s="2">
        <f>SUM(OSRRefT22_24x_0)</f>
        <v>57760</v>
      </c>
      <c r="U141" s="2"/>
      <c r="V141" s="6">
        <f t="shared" si="33"/>
        <v>7.351985602531242E-3</v>
      </c>
      <c r="W141" s="2"/>
      <c r="X141" s="2">
        <f t="shared" si="34"/>
        <v>-8727.0999999999985</v>
      </c>
      <c r="Y141" s="2"/>
      <c r="Z141" s="6">
        <f t="shared" si="35"/>
        <v>-0.15109245152354567</v>
      </c>
    </row>
    <row r="142" spans="1:26" s="70" customFormat="1" ht="15" hidden="1" customHeight="1" outlineLevel="2" x14ac:dyDescent="0.3">
      <c r="A142" s="26"/>
      <c r="B142" s="12" t="str">
        <f>CONCATENATE("          ","6274"," - ","UTILITIES")</f>
        <v xml:space="preserve">          6274 - UTILITIES</v>
      </c>
      <c r="C142" s="12"/>
      <c r="D142" s="7">
        <v>6137.83</v>
      </c>
      <c r="E142" s="3"/>
      <c r="F142" s="8">
        <f t="shared" si="28"/>
        <v>1.0352515968034364E-2</v>
      </c>
      <c r="G142" s="3"/>
      <c r="H142" s="7">
        <v>6120</v>
      </c>
      <c r="I142" s="3"/>
      <c r="J142" s="8">
        <f t="shared" si="29"/>
        <v>1.6969407928484483E-2</v>
      </c>
      <c r="K142" s="3"/>
      <c r="L142" s="7">
        <f t="shared" si="30"/>
        <v>17.829999999999927</v>
      </c>
      <c r="M142" s="3"/>
      <c r="N142" s="8">
        <f t="shared" si="31"/>
        <v>2.9133986928104455E-3</v>
      </c>
      <c r="O142" s="12"/>
      <c r="P142" s="7">
        <v>49032.9</v>
      </c>
      <c r="Q142" s="3"/>
      <c r="R142" s="8">
        <f t="shared" si="32"/>
        <v>8.4711339135242914E-3</v>
      </c>
      <c r="S142" s="3"/>
      <c r="T142" s="7">
        <v>57760</v>
      </c>
      <c r="U142" s="3"/>
      <c r="V142" s="8">
        <f t="shared" si="33"/>
        <v>7.351985602531242E-3</v>
      </c>
      <c r="W142" s="3"/>
      <c r="X142" s="7">
        <f t="shared" si="34"/>
        <v>-8727.0999999999985</v>
      </c>
      <c r="Y142" s="3"/>
      <c r="Z142" s="8">
        <f t="shared" si="35"/>
        <v>-0.15109245152354567</v>
      </c>
    </row>
    <row r="143" spans="1:26" s="65" customFormat="1" ht="15" customHeight="1" x14ac:dyDescent="0.3">
      <c r="A143" s="35"/>
      <c r="B143" s="35"/>
      <c r="C143" s="35"/>
      <c r="D143" s="2"/>
      <c r="E143" s="2"/>
      <c r="F143" s="6"/>
      <c r="G143" s="2"/>
      <c r="H143" s="2"/>
      <c r="I143" s="2"/>
      <c r="J143" s="6"/>
      <c r="K143" s="2"/>
      <c r="L143" s="2"/>
      <c r="M143" s="2"/>
      <c r="N143" s="6"/>
      <c r="O143" s="35"/>
      <c r="P143" s="2"/>
      <c r="Q143" s="2"/>
      <c r="R143" s="6"/>
      <c r="S143" s="2"/>
      <c r="T143" s="2"/>
      <c r="U143" s="2"/>
      <c r="V143" s="6"/>
      <c r="W143" s="2"/>
      <c r="X143" s="2"/>
      <c r="Y143" s="2"/>
      <c r="Z143" s="6"/>
    </row>
    <row r="144" spans="1:26" s="63" customFormat="1" ht="15" customHeight="1" collapsed="1" x14ac:dyDescent="0.3">
      <c r="A144" s="11"/>
      <c r="B144" s="28" t="s">
        <v>291</v>
      </c>
      <c r="C144" s="11"/>
      <c r="D144" s="5">
        <f>SUM(OSRRefD25x_0)</f>
        <v>182868.54</v>
      </c>
      <c r="E144" s="5"/>
      <c r="F144" s="13">
        <f t="shared" ref="F144:F149" si="36">IF(D$12=0,0,D144/D$12)</f>
        <v>0.30843954303086452</v>
      </c>
      <c r="G144" s="5"/>
      <c r="H144" s="5">
        <f>SUM(OSRRefH25x_0)</f>
        <v>62092</v>
      </c>
      <c r="I144" s="5"/>
      <c r="J144" s="13">
        <f t="shared" ref="J144:J149" si="37">IF(H$12=0,0,H144/H$12)</f>
        <v>0.17216739821821217</v>
      </c>
      <c r="K144" s="5"/>
      <c r="L144" s="5">
        <f t="shared" ref="L144:L149" si="38">+D144-H144</f>
        <v>120776.54000000001</v>
      </c>
      <c r="M144" s="5"/>
      <c r="N144" s="13">
        <f t="shared" ref="N144:N149" si="39">IF(H144=0,0,L144/H144)</f>
        <v>1.945122399020808</v>
      </c>
      <c r="O144" s="11"/>
      <c r="P144" s="5">
        <f>SUM(OSRRefP25x_0)</f>
        <v>910907.34000000008</v>
      </c>
      <c r="Q144" s="5"/>
      <c r="R144" s="13">
        <f t="shared" ref="R144:R149" si="40">IF(P$12=0,0,P144/P$12)</f>
        <v>0.1573722553622609</v>
      </c>
      <c r="S144" s="5"/>
      <c r="T144" s="5">
        <f>SUM(OSRRefT25x_0)</f>
        <v>704672.23</v>
      </c>
      <c r="U144" s="5"/>
      <c r="V144" s="13">
        <f t="shared" ref="V144:V149" si="41">IF(T$12=0,0,T144/T$12)</f>
        <v>8.969425362644709E-2</v>
      </c>
      <c r="W144" s="5"/>
      <c r="X144" s="5">
        <f t="shared" ref="X144:X149" si="42">+P144-T144</f>
        <v>206235.1100000001</v>
      </c>
      <c r="Y144" s="5"/>
      <c r="Z144" s="13">
        <f t="shared" ref="Z144:Z149" si="43">IF(T144=0,0,X144/T144)</f>
        <v>0.29266813877424985</v>
      </c>
    </row>
    <row r="145" spans="1:26" s="70" customFormat="1" ht="15" hidden="1" customHeight="1" outlineLevel="1" x14ac:dyDescent="0.3">
      <c r="A145" s="42"/>
      <c r="B145" s="12" t="str">
        <f>CONCATENATE("          ","9150"," - ","MISC. INCOME")</f>
        <v xml:space="preserve">          9150 - MISC. INCOME</v>
      </c>
      <c r="C145" s="12"/>
      <c r="D145" s="3">
        <f>--7296.65</f>
        <v>7296.65</v>
      </c>
      <c r="E145" s="3"/>
      <c r="F145" s="20">
        <f t="shared" si="36"/>
        <v>1.2307067096703223E-2</v>
      </c>
      <c r="G145" s="3"/>
      <c r="H145" s="3">
        <v>3759</v>
      </c>
      <c r="I145" s="3"/>
      <c r="J145" s="20">
        <f t="shared" si="37"/>
        <v>1.0422876536466204E-2</v>
      </c>
      <c r="K145" s="3"/>
      <c r="L145" s="3">
        <f t="shared" si="38"/>
        <v>3537.6499999999996</v>
      </c>
      <c r="M145" s="3"/>
      <c r="N145" s="20">
        <f t="shared" si="39"/>
        <v>0.94111465815376416</v>
      </c>
      <c r="O145" s="12"/>
      <c r="P145" s="3">
        <f>--327930.42</f>
        <v>327930.42</v>
      </c>
      <c r="Q145" s="3"/>
      <c r="R145" s="20">
        <f t="shared" si="40"/>
        <v>5.6654664564777212E-2</v>
      </c>
      <c r="S145" s="3"/>
      <c r="T145" s="3">
        <v>131144</v>
      </c>
      <c r="U145" s="3"/>
      <c r="V145" s="20">
        <f t="shared" si="41"/>
        <v>1.6692673127741642E-2</v>
      </c>
      <c r="W145" s="3"/>
      <c r="X145" s="3">
        <f t="shared" si="42"/>
        <v>196786.41999999998</v>
      </c>
      <c r="Y145" s="3"/>
      <c r="Z145" s="20">
        <f t="shared" si="43"/>
        <v>1.5005369669981088</v>
      </c>
    </row>
    <row r="146" spans="1:26" s="70" customFormat="1" ht="15" hidden="1" customHeight="1" outlineLevel="1" x14ac:dyDescent="0.3">
      <c r="A146" s="42"/>
      <c r="B146" s="12" t="str">
        <f>CONCATENATE("          ","9151"," - ","MISC. INCOME")</f>
        <v xml:space="preserve">          9151 - MISC. INCOME</v>
      </c>
      <c r="C146" s="12"/>
      <c r="D146" s="3">
        <f>0</f>
        <v>0</v>
      </c>
      <c r="E146" s="3"/>
      <c r="F146" s="20">
        <f t="shared" si="36"/>
        <v>0</v>
      </c>
      <c r="G146" s="3"/>
      <c r="H146" s="3"/>
      <c r="I146" s="3"/>
      <c r="J146" s="20">
        <f t="shared" si="37"/>
        <v>0</v>
      </c>
      <c r="K146" s="3"/>
      <c r="L146" s="3">
        <f t="shared" si="38"/>
        <v>0</v>
      </c>
      <c r="M146" s="3"/>
      <c r="N146" s="20">
        <f t="shared" si="39"/>
        <v>0</v>
      </c>
      <c r="O146" s="12"/>
      <c r="P146" s="3">
        <f>--323761.7</f>
        <v>323761.7</v>
      </c>
      <c r="Q146" s="3"/>
      <c r="R146" s="20">
        <f t="shared" si="40"/>
        <v>5.5934458634310388E-2</v>
      </c>
      <c r="S146" s="3"/>
      <c r="T146" s="3">
        <v>456862.23</v>
      </c>
      <c r="U146" s="3"/>
      <c r="V146" s="20">
        <f t="shared" si="41"/>
        <v>5.8151740604229861E-2</v>
      </c>
      <c r="W146" s="3"/>
      <c r="X146" s="3">
        <f t="shared" si="42"/>
        <v>-133100.52999999997</v>
      </c>
      <c r="Y146" s="3"/>
      <c r="Z146" s="20">
        <f t="shared" si="43"/>
        <v>-0.29133625250658163</v>
      </c>
    </row>
    <row r="147" spans="1:26" s="70" customFormat="1" ht="15" hidden="1" customHeight="1" outlineLevel="1" x14ac:dyDescent="0.3">
      <c r="A147" s="42"/>
      <c r="B147" s="12" t="str">
        <f>CONCATENATE("          ","9152"," - ","MISC. INCOME")</f>
        <v xml:space="preserve">          9152 - MISC. INCOME</v>
      </c>
      <c r="C147" s="12"/>
      <c r="D147" s="3">
        <f>--516.89</f>
        <v>516.89</v>
      </c>
      <c r="E147" s="3"/>
      <c r="F147" s="20">
        <f t="shared" si="36"/>
        <v>8.7182472937785552E-4</v>
      </c>
      <c r="G147" s="3"/>
      <c r="H147" s="3"/>
      <c r="I147" s="3"/>
      <c r="J147" s="20">
        <f t="shared" si="37"/>
        <v>0</v>
      </c>
      <c r="K147" s="3"/>
      <c r="L147" s="3">
        <f t="shared" si="38"/>
        <v>516.89</v>
      </c>
      <c r="M147" s="3"/>
      <c r="N147" s="20">
        <f t="shared" si="39"/>
        <v>0</v>
      </c>
      <c r="O147" s="12"/>
      <c r="P147" s="3">
        <f>--4384.52</f>
        <v>4384.5200000000004</v>
      </c>
      <c r="Q147" s="3"/>
      <c r="R147" s="20">
        <f t="shared" si="40"/>
        <v>7.5748846318544351E-4</v>
      </c>
      <c r="S147" s="3"/>
      <c r="T147" s="3"/>
      <c r="U147" s="3"/>
      <c r="V147" s="20">
        <f t="shared" si="41"/>
        <v>0</v>
      </c>
      <c r="W147" s="3"/>
      <c r="X147" s="3">
        <f t="shared" si="42"/>
        <v>4384.5200000000004</v>
      </c>
      <c r="Y147" s="3"/>
      <c r="Z147" s="20">
        <f t="shared" si="43"/>
        <v>0</v>
      </c>
    </row>
    <row r="148" spans="1:26" s="70" customFormat="1" ht="15" hidden="1" customHeight="1" outlineLevel="1" x14ac:dyDescent="0.3">
      <c r="A148" s="42"/>
      <c r="B148" s="12" t="str">
        <f>CONCATENATE("          ","9160"," - ","MISC. INCOME")</f>
        <v xml:space="preserve">          9160 - MISC. INCOME</v>
      </c>
      <c r="C148" s="12"/>
      <c r="D148" s="3">
        <f>0</f>
        <v>0</v>
      </c>
      <c r="E148" s="3"/>
      <c r="F148" s="20">
        <f t="shared" si="36"/>
        <v>0</v>
      </c>
      <c r="G148" s="3"/>
      <c r="H148" s="3">
        <v>58333</v>
      </c>
      <c r="I148" s="3"/>
      <c r="J148" s="20">
        <f t="shared" si="37"/>
        <v>0.16174452168174597</v>
      </c>
      <c r="K148" s="3"/>
      <c r="L148" s="3">
        <f t="shared" si="38"/>
        <v>-58333</v>
      </c>
      <c r="M148" s="3"/>
      <c r="N148" s="20">
        <f t="shared" si="39"/>
        <v>-1</v>
      </c>
      <c r="O148" s="12"/>
      <c r="P148" s="3">
        <f>0</f>
        <v>0</v>
      </c>
      <c r="Q148" s="3"/>
      <c r="R148" s="20">
        <f t="shared" si="40"/>
        <v>0</v>
      </c>
      <c r="S148" s="3"/>
      <c r="T148" s="3">
        <v>116666</v>
      </c>
      <c r="U148" s="3"/>
      <c r="V148" s="20">
        <f t="shared" si="41"/>
        <v>1.4849839894475586E-2</v>
      </c>
      <c r="W148" s="3"/>
      <c r="X148" s="3">
        <f t="shared" si="42"/>
        <v>-116666</v>
      </c>
      <c r="Y148" s="3"/>
      <c r="Z148" s="20">
        <f t="shared" si="43"/>
        <v>-1</v>
      </c>
    </row>
    <row r="149" spans="1:26" s="70" customFormat="1" ht="15" hidden="1" customHeight="1" outlineLevel="1" x14ac:dyDescent="0.3">
      <c r="A149" s="42"/>
      <c r="B149" s="12" t="str">
        <f>CONCATENATE("          ","9163"," - ","MISC. INCOME")</f>
        <v xml:space="preserve">          9163 - MISC. INCOME</v>
      </c>
      <c r="C149" s="12"/>
      <c r="D149" s="3">
        <f>--175055</f>
        <v>175055</v>
      </c>
      <c r="E149" s="3"/>
      <c r="F149" s="20">
        <f t="shared" si="36"/>
        <v>0.2952606512047834</v>
      </c>
      <c r="G149" s="3"/>
      <c r="H149" s="3"/>
      <c r="I149" s="3"/>
      <c r="J149" s="20">
        <f t="shared" si="37"/>
        <v>0</v>
      </c>
      <c r="K149" s="3"/>
      <c r="L149" s="3">
        <f t="shared" si="38"/>
        <v>175055</v>
      </c>
      <c r="M149" s="3"/>
      <c r="N149" s="20">
        <f t="shared" si="39"/>
        <v>0</v>
      </c>
      <c r="O149" s="12"/>
      <c r="P149" s="3">
        <f>--254830.7</f>
        <v>254830.7</v>
      </c>
      <c r="Q149" s="3"/>
      <c r="R149" s="20">
        <f t="shared" si="40"/>
        <v>4.4025643699987863E-2</v>
      </c>
      <c r="S149" s="3"/>
      <c r="T149" s="3"/>
      <c r="U149" s="3"/>
      <c r="V149" s="20">
        <f t="shared" si="41"/>
        <v>0</v>
      </c>
      <c r="W149" s="3"/>
      <c r="X149" s="3">
        <f t="shared" si="42"/>
        <v>254830.7</v>
      </c>
      <c r="Y149" s="3"/>
      <c r="Z149" s="20">
        <f t="shared" si="43"/>
        <v>0</v>
      </c>
    </row>
    <row r="150" spans="1:26" ht="15" customHeight="1" x14ac:dyDescent="0.3">
      <c r="A150" s="10"/>
      <c r="B150" s="11"/>
      <c r="C150" s="11"/>
      <c r="D150" s="4"/>
      <c r="E150" s="4"/>
      <c r="F150" s="9"/>
      <c r="G150" s="4"/>
      <c r="H150" s="4"/>
      <c r="I150" s="4"/>
      <c r="J150" s="9"/>
      <c r="K150" s="4"/>
      <c r="L150" s="4"/>
      <c r="M150" s="4"/>
      <c r="N150" s="9"/>
      <c r="O150" s="11"/>
      <c r="P150" s="4"/>
      <c r="Q150" s="4"/>
      <c r="R150" s="9"/>
      <c r="S150" s="4"/>
      <c r="T150" s="4"/>
      <c r="U150" s="4"/>
      <c r="V150" s="9"/>
      <c r="W150" s="4"/>
      <c r="X150" s="4"/>
      <c r="Y150" s="4"/>
      <c r="Z150" s="9"/>
    </row>
    <row r="151" spans="1:26" s="63" customFormat="1" ht="15" customHeight="1" x14ac:dyDescent="0.3">
      <c r="A151" s="11"/>
      <c r="B151" s="27" t="s">
        <v>292</v>
      </c>
      <c r="C151" s="27"/>
      <c r="D151" s="21">
        <f>+D50-D52+D144</f>
        <v>200120.94999999992</v>
      </c>
      <c r="E151" s="15"/>
      <c r="F151" s="23">
        <f>IF(D$12=0,0,D151/D$12)</f>
        <v>0.33753872792390893</v>
      </c>
      <c r="G151" s="15"/>
      <c r="H151" s="21">
        <f>+H50-H52+H144</f>
        <v>-13103.619177755085</v>
      </c>
      <c r="I151" s="15"/>
      <c r="J151" s="23">
        <f>IF(H$12=0,0,H151/H$12)</f>
        <v>-3.6333441040333078E-2</v>
      </c>
      <c r="K151" s="16"/>
      <c r="L151" s="21">
        <f>+D151-H151</f>
        <v>213224.56917775501</v>
      </c>
      <c r="M151" s="16"/>
      <c r="N151" s="23">
        <f>IF(H151=0,0,L151/H151)</f>
        <v>-16.272189101750492</v>
      </c>
      <c r="O151" s="28"/>
      <c r="P151" s="21">
        <f>+P50-P52+P144</f>
        <v>525539.15999999992</v>
      </c>
      <c r="Q151" s="15"/>
      <c r="R151" s="23">
        <f>IF(P$12=0,0,P151/P$12)</f>
        <v>9.0794397254926149E-2</v>
      </c>
      <c r="S151" s="15"/>
      <c r="T151" s="21">
        <f>+T50-T52+T144</f>
        <v>636000.27330160793</v>
      </c>
      <c r="U151" s="15"/>
      <c r="V151" s="23">
        <f>IF(T$12=0,0,T151/T$12)</f>
        <v>8.0953338859407142E-2</v>
      </c>
      <c r="W151" s="16"/>
      <c r="X151" s="21">
        <f>+P151-T151</f>
        <v>-110461.11330160801</v>
      </c>
      <c r="Y151" s="16"/>
      <c r="Z151" s="23">
        <f>IF(T151=0,0,X151/T151)</f>
        <v>-0.17368092112316511</v>
      </c>
    </row>
    <row r="152" spans="1:26" ht="15" customHeight="1" x14ac:dyDescent="0.3">
      <c r="A152" s="10"/>
      <c r="B152" s="11"/>
      <c r="C152" s="10"/>
      <c r="D152" s="4"/>
      <c r="E152" s="4"/>
      <c r="F152" s="9"/>
      <c r="G152" s="4"/>
      <c r="H152" s="4"/>
      <c r="I152" s="4"/>
      <c r="J152" s="9"/>
      <c r="K152" s="4"/>
      <c r="L152" s="4"/>
      <c r="M152" s="4"/>
      <c r="N152" s="9"/>
      <c r="P152" s="4"/>
      <c r="Q152" s="4"/>
      <c r="R152" s="9"/>
      <c r="S152" s="4"/>
      <c r="T152" s="4"/>
      <c r="U152" s="4"/>
      <c r="V152" s="9"/>
      <c r="W152" s="4"/>
      <c r="X152" s="4"/>
      <c r="Y152" s="4"/>
      <c r="Z152" s="9"/>
    </row>
    <row r="153" spans="1:26" s="63" customFormat="1" ht="15" customHeight="1" x14ac:dyDescent="0.3">
      <c r="A153" s="49"/>
      <c r="B153" s="11" t="s">
        <v>293</v>
      </c>
      <c r="C153" s="11"/>
      <c r="D153" s="5">
        <v>42313.75</v>
      </c>
      <c r="E153" s="5"/>
      <c r="F153" s="13">
        <f>IF(D$12=0,0,D153/D$12)</f>
        <v>7.1369486046764755E-2</v>
      </c>
      <c r="G153" s="5"/>
      <c r="H153" s="5">
        <v>40427</v>
      </c>
      <c r="I153" s="5"/>
      <c r="J153" s="13">
        <f>IF(H$12=0,0,H153/H$12)</f>
        <v>0.11209513959556244</v>
      </c>
      <c r="K153" s="5"/>
      <c r="L153" s="5">
        <f>+D153-H153</f>
        <v>1886.75</v>
      </c>
      <c r="M153" s="5"/>
      <c r="N153" s="13">
        <f>IF(H153=0,0,L153/H153)</f>
        <v>4.6670541964528654E-2</v>
      </c>
      <c r="O153" s="11"/>
      <c r="P153" s="5">
        <v>690811.45</v>
      </c>
      <c r="Q153" s="5"/>
      <c r="R153" s="13">
        <f>IF(P$12=0,0,P153/P$12)</f>
        <v>0.11934754627904713</v>
      </c>
      <c r="S153" s="5"/>
      <c r="T153" s="5">
        <v>956763</v>
      </c>
      <c r="U153" s="5"/>
      <c r="V153" s="13">
        <f>IF(T$12=0,0,T153/T$12)</f>
        <v>0.12178164475475413</v>
      </c>
      <c r="W153" s="5"/>
      <c r="X153" s="5">
        <f>+P153-T153</f>
        <v>-265951.55000000005</v>
      </c>
      <c r="Y153" s="5"/>
      <c r="Z153" s="13">
        <f>IF(T153=0,0,X153/T153)</f>
        <v>-0.27797014516656687</v>
      </c>
    </row>
    <row r="154" spans="1:26" ht="15" customHeight="1" x14ac:dyDescent="0.3">
      <c r="A154" s="10"/>
      <c r="B154" s="11"/>
      <c r="C154" s="11"/>
      <c r="D154" s="4"/>
      <c r="E154" s="4"/>
      <c r="F154" s="9"/>
      <c r="G154" s="4"/>
      <c r="H154" s="4"/>
      <c r="I154" s="4"/>
      <c r="J154" s="9"/>
      <c r="K154" s="4"/>
      <c r="L154" s="4"/>
      <c r="M154" s="4"/>
      <c r="N154" s="9"/>
      <c r="O154" s="11"/>
      <c r="P154" s="4"/>
      <c r="Q154" s="4"/>
      <c r="R154" s="9"/>
      <c r="S154" s="4"/>
      <c r="T154" s="4"/>
      <c r="U154" s="4"/>
      <c r="V154" s="9"/>
      <c r="W154" s="4"/>
      <c r="X154" s="4"/>
      <c r="Y154" s="4"/>
      <c r="Z154" s="9"/>
    </row>
    <row r="155" spans="1:26" s="63" customFormat="1" ht="15" customHeight="1" x14ac:dyDescent="0.3">
      <c r="A155" s="11"/>
      <c r="B155" s="27" t="s">
        <v>294</v>
      </c>
      <c r="C155" s="27"/>
      <c r="D155" s="34">
        <f>+D151-D153</f>
        <v>157807.19999999992</v>
      </c>
      <c r="E155" s="15"/>
      <c r="F155" s="29">
        <f>IF(D$12=0,0,D155/D$12)</f>
        <v>0.26616924187714419</v>
      </c>
      <c r="G155" s="15"/>
      <c r="H155" s="34">
        <f>+H151-H153</f>
        <v>-53530.619177755085</v>
      </c>
      <c r="I155" s="15"/>
      <c r="J155" s="29">
        <f>IF(H$12=0,0,H155/H$12)</f>
        <v>-0.14842858063589554</v>
      </c>
      <c r="K155" s="16"/>
      <c r="L155" s="34">
        <f>D155-H155</f>
        <v>211337.81917775501</v>
      </c>
      <c r="M155" s="16"/>
      <c r="N155" s="29">
        <f>IF(H155=0,0,L155/H155)</f>
        <v>-3.9479800985671671</v>
      </c>
      <c r="O155" s="28"/>
      <c r="P155" s="34">
        <f>+P151-P153</f>
        <v>-165272.29000000004</v>
      </c>
      <c r="Q155" s="15"/>
      <c r="R155" s="29">
        <f>IF(P$12=0,0,P155/P$12)</f>
        <v>-2.8553149024120986E-2</v>
      </c>
      <c r="S155" s="15"/>
      <c r="T155" s="34">
        <f>+T151-T153</f>
        <v>-320762.72669839207</v>
      </c>
      <c r="U155" s="15"/>
      <c r="V155" s="29">
        <f>IF(T$12=0,0,T155/T$12)</f>
        <v>-4.0828305895346986E-2</v>
      </c>
      <c r="W155" s="16"/>
      <c r="X155" s="34">
        <f>P155-T155</f>
        <v>155490.43669839203</v>
      </c>
      <c r="Y155" s="16"/>
      <c r="Z155" s="29">
        <f>IF(T155=0,0,X155/T155)</f>
        <v>-0.48475219767225991</v>
      </c>
    </row>
    <row r="156" spans="1:26" ht="15" customHeight="1" x14ac:dyDescent="0.3">
      <c r="A156" s="10"/>
      <c r="B156" s="10"/>
      <c r="C156" s="10"/>
      <c r="D156" s="4"/>
      <c r="E156" s="4"/>
      <c r="F156" s="9"/>
      <c r="G156" s="4"/>
      <c r="H156" s="4"/>
      <c r="I156" s="4"/>
      <c r="J156" s="9"/>
      <c r="K156" s="4"/>
      <c r="L156" s="4"/>
      <c r="M156" s="4"/>
      <c r="N156" s="9"/>
      <c r="P156" s="4"/>
      <c r="Q156" s="4"/>
      <c r="R156" s="9"/>
      <c r="S156" s="4"/>
      <c r="T156" s="4"/>
      <c r="U156" s="4"/>
      <c r="V156" s="9"/>
      <c r="W156" s="4"/>
      <c r="X156" s="4"/>
      <c r="Y156" s="4"/>
      <c r="Z156" s="9"/>
    </row>
    <row r="157" spans="1:26" ht="15" customHeight="1" x14ac:dyDescent="0.3">
      <c r="A157" s="10"/>
      <c r="B157" s="10"/>
      <c r="C157" s="10"/>
      <c r="D157" s="4"/>
      <c r="E157" s="4"/>
      <c r="F157" s="9"/>
      <c r="G157" s="4"/>
      <c r="H157" s="4"/>
      <c r="I157" s="4"/>
      <c r="J157" s="9"/>
      <c r="K157" s="4"/>
      <c r="L157" s="4"/>
      <c r="M157" s="4"/>
      <c r="N157" s="9"/>
      <c r="P157" s="4"/>
      <c r="Q157" s="4"/>
      <c r="R157" s="9"/>
      <c r="S157" s="4"/>
      <c r="T157" s="4"/>
      <c r="U157" s="4"/>
      <c r="V157" s="9"/>
      <c r="W157" s="4"/>
      <c r="X157" s="4"/>
      <c r="Y157" s="4"/>
      <c r="Z157" s="9"/>
    </row>
    <row r="158" spans="1:26" s="63" customFormat="1" ht="15" customHeight="1" x14ac:dyDescent="0.3">
      <c r="A158" s="11"/>
      <c r="B158" s="27" t="s">
        <v>297</v>
      </c>
      <c r="C158" s="27"/>
      <c r="D158" s="32">
        <f>SUM(D155:D157)</f>
        <v>157807.19999999992</v>
      </c>
      <c r="E158" s="15"/>
      <c r="F158" s="31">
        <f>IF(D$12=0,0,D158/D$12)</f>
        <v>0.26616924187714419</v>
      </c>
      <c r="G158" s="15"/>
      <c r="H158" s="32">
        <f>SUM(H155:H157)</f>
        <v>-53530.619177755085</v>
      </c>
      <c r="I158" s="15"/>
      <c r="J158" s="31">
        <f>IF(H$12=0,0,H158/H$12)</f>
        <v>-0.14842858063589554</v>
      </c>
      <c r="K158" s="16"/>
      <c r="L158" s="32">
        <f>+D158-H158</f>
        <v>211337.81917775501</v>
      </c>
      <c r="M158" s="16"/>
      <c r="N158" s="31">
        <f>IF(H158=0,0,L158/H158)</f>
        <v>-3.9479800985671671</v>
      </c>
      <c r="O158" s="28"/>
      <c r="P158" s="32">
        <f>SUM(P155:P157)</f>
        <v>-165272.29000000004</v>
      </c>
      <c r="Q158" s="15"/>
      <c r="R158" s="31">
        <f>IF(P$12=0,0,P158/P$12)</f>
        <v>-2.8553149024120986E-2</v>
      </c>
      <c r="S158" s="15"/>
      <c r="T158" s="32">
        <f>SUM(T155:T157)</f>
        <v>-320762.72669839207</v>
      </c>
      <c r="U158" s="15"/>
      <c r="V158" s="31">
        <f>IF(T$12=0,0,T158/T$12)</f>
        <v>-4.0828305895346986E-2</v>
      </c>
      <c r="W158" s="16"/>
      <c r="X158" s="32">
        <f>+P158-T158</f>
        <v>155490.43669839203</v>
      </c>
      <c r="Y158" s="16"/>
      <c r="Z158" s="31">
        <f>IF(T158=0,0,X158/T158)</f>
        <v>-0.48475219767225991</v>
      </c>
    </row>
    <row r="159" spans="1:26" ht="15" customHeight="1" x14ac:dyDescent="0.3">
      <c r="A159" s="10"/>
      <c r="C159" s="10"/>
      <c r="D159" s="19"/>
      <c r="E159" s="19"/>
      <c r="G159" s="19"/>
      <c r="H159" s="19"/>
      <c r="I159" s="19"/>
      <c r="J159" s="40"/>
      <c r="K159" s="19"/>
      <c r="L159" s="19"/>
      <c r="M159" s="19"/>
      <c r="P159" s="19"/>
      <c r="Q159" s="19"/>
      <c r="R159" s="40"/>
      <c r="S159" s="19"/>
      <c r="T159" s="19"/>
      <c r="U159" s="19"/>
      <c r="V159" s="40"/>
      <c r="W159" s="19"/>
      <c r="X159" s="19"/>
    </row>
    <row r="160" spans="1:26" ht="15" customHeight="1" x14ac:dyDescent="0.3">
      <c r="A160" s="10"/>
      <c r="B160" s="51">
        <v>44663.0476227662</v>
      </c>
      <c r="D160" s="19"/>
      <c r="E160" s="19"/>
      <c r="G160" s="19"/>
      <c r="H160" s="19"/>
      <c r="I160" s="19"/>
      <c r="J160" s="40"/>
      <c r="K160" s="19"/>
      <c r="L160" s="19"/>
      <c r="M160" s="19"/>
      <c r="P160" s="19"/>
      <c r="Q160" s="19"/>
      <c r="R160" s="40"/>
      <c r="S160" s="19"/>
      <c r="T160" s="19"/>
      <c r="U160" s="19"/>
      <c r="V160" s="40"/>
      <c r="W160" s="19"/>
      <c r="X160" s="19"/>
    </row>
    <row r="161" spans="1:24" ht="15" customHeight="1" x14ac:dyDescent="0.3">
      <c r="A161" s="10"/>
      <c r="B161" s="58" t="s">
        <v>298</v>
      </c>
      <c r="D161" s="19"/>
      <c r="E161" s="19"/>
      <c r="G161" s="19"/>
      <c r="H161" s="19"/>
      <c r="I161" s="19"/>
      <c r="J161" s="40"/>
      <c r="K161" s="19"/>
      <c r="L161" s="19"/>
      <c r="M161" s="19"/>
      <c r="P161" s="19"/>
      <c r="Q161" s="19"/>
      <c r="R161" s="40"/>
      <c r="S161" s="19"/>
      <c r="T161" s="19"/>
      <c r="U161" s="19"/>
      <c r="V161" s="40"/>
      <c r="W161" s="19"/>
      <c r="X161" s="19"/>
    </row>
    <row r="162" spans="1:24" ht="15" customHeight="1" x14ac:dyDescent="0.3">
      <c r="A162" s="10"/>
      <c r="B162" s="50"/>
      <c r="D162" s="19"/>
      <c r="E162" s="19"/>
      <c r="G162" s="19"/>
      <c r="H162" s="19"/>
      <c r="I162" s="19"/>
      <c r="J162" s="40"/>
      <c r="K162" s="19"/>
      <c r="L162" s="19"/>
      <c r="M162" s="19"/>
      <c r="P162" s="19"/>
      <c r="Q162" s="19"/>
      <c r="R162" s="40"/>
      <c r="S162" s="19"/>
      <c r="T162" s="19"/>
      <c r="U162" s="19"/>
      <c r="V162" s="40"/>
      <c r="W162" s="19"/>
      <c r="X162" s="19"/>
    </row>
    <row r="163" spans="1:24" ht="15" customHeight="1" x14ac:dyDescent="0.3">
      <c r="D163" s="19"/>
      <c r="E163" s="19"/>
      <c r="G163" s="19"/>
      <c r="H163" s="19"/>
      <c r="I163" s="19"/>
      <c r="J163" s="40"/>
      <c r="K163" s="19"/>
      <c r="L163" s="19"/>
      <c r="M163" s="19"/>
      <c r="P163" s="19"/>
      <c r="Q163" s="19"/>
      <c r="R163" s="40"/>
      <c r="S163" s="19"/>
      <c r="T163" s="19"/>
      <c r="U163" s="19"/>
      <c r="V163" s="40"/>
      <c r="W163" s="19"/>
      <c r="X163" s="19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90C34D-E021-525A-292C-307A4C69E1BC}">
  <sheetPr>
    <tabColor rgb="FF00B0F0"/>
    <outlinePr summaryBelow="0" summaryRight="0"/>
  </sheetPr>
  <dimension ref="A2:Z41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6" customWidth="1"/>
    <col min="2" max="2" width="33.44140625" style="66" customWidth="1"/>
    <col min="3" max="3" width="1.88671875" style="66" customWidth="1"/>
    <col min="4" max="4" width="15" style="66" customWidth="1"/>
    <col min="5" max="5" width="1.88671875" style="66" customWidth="1" outlineLevel="1"/>
    <col min="6" max="6" width="15" style="67" customWidth="1" outlineLevel="1"/>
    <col min="7" max="7" width="1.88671875" style="66" customWidth="1" outlineLevel="1"/>
    <col min="8" max="8" width="15" style="66" customWidth="1" outlineLevel="1"/>
    <col min="9" max="9" width="1.88671875" style="66" customWidth="1" outlineLevel="1"/>
    <col min="10" max="10" width="15" style="68" customWidth="1" outlineLevel="1"/>
    <col min="11" max="11" width="1.88671875" style="66" customWidth="1" outlineLevel="1"/>
    <col min="12" max="12" width="15" style="66" customWidth="1" outlineLevel="1"/>
    <col min="13" max="13" width="1.88671875" style="66" customWidth="1" outlineLevel="1"/>
    <col min="14" max="14" width="15" style="67" customWidth="1" outlineLevel="1"/>
    <col min="15" max="15" width="1.88671875" style="64" customWidth="1"/>
    <col min="16" max="16" width="15" style="66" customWidth="1"/>
    <col min="17" max="17" width="1.88671875" style="66" customWidth="1" outlineLevel="1"/>
    <col min="18" max="18" width="15" style="68" customWidth="1" outlineLevel="1"/>
    <col min="19" max="19" width="1.88671875" style="66" customWidth="1" outlineLevel="1"/>
    <col min="20" max="20" width="15" style="66" customWidth="1" outlineLevel="1"/>
    <col min="21" max="21" width="1.88671875" style="66" customWidth="1" outlineLevel="1"/>
    <col min="22" max="22" width="15" style="68" customWidth="1" outlineLevel="1"/>
    <col min="23" max="23" width="1.88671875" style="66" customWidth="1" outlineLevel="1"/>
    <col min="24" max="24" width="15" style="66" customWidth="1" outlineLevel="1"/>
    <col min="25" max="25" width="1.88671875" style="66" customWidth="1" outlineLevel="1"/>
    <col min="26" max="26" width="15" style="68" customWidth="1" outlineLevel="1"/>
  </cols>
  <sheetData>
    <row r="2" spans="1:26" ht="15" customHeight="1" x14ac:dyDescent="0.3">
      <c r="D2" s="54" t="s">
        <v>276</v>
      </c>
    </row>
    <row r="3" spans="1:26" ht="15" customHeight="1" x14ac:dyDescent="0.3">
      <c r="D3" s="54" t="s">
        <v>277</v>
      </c>
      <c r="E3" s="18"/>
      <c r="F3" s="44"/>
      <c r="G3" s="18"/>
      <c r="H3" s="18"/>
      <c r="I3" s="18"/>
      <c r="J3" s="38"/>
      <c r="K3" s="18"/>
      <c r="L3" s="18"/>
      <c r="M3" s="18"/>
      <c r="N3" s="44"/>
      <c r="O3" s="53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ht="15" customHeight="1" x14ac:dyDescent="0.3">
      <c r="D4" s="54" t="e">
        <f ca="1">CONCATENATE("Period ",RIGHT(_xll.ONESTOP.REPORTPLAYER.OSRFUNCTIONS.OSRGET("Period","PeriodId"),2),", ",_xll.ONESTOP.REPORTPLAYER.OSRFUNCTIONS.OSRGET("Period","Year"))</f>
        <v>#NAME?</v>
      </c>
      <c r="E4" s="18"/>
      <c r="F4" s="44"/>
      <c r="G4" s="18"/>
      <c r="H4" s="18"/>
      <c r="I4" s="18"/>
      <c r="J4" s="38"/>
      <c r="K4" s="18"/>
      <c r="L4" s="18"/>
      <c r="M4" s="18"/>
      <c r="N4" s="44"/>
      <c r="O4" s="53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ht="15" customHeight="1" x14ac:dyDescent="0.3">
      <c r="A5" s="24"/>
      <c r="D5" s="61" t="e">
        <f ca="1">_xll.ONESTOP.REPORTPLAYER.OSRFUNCTIONS.OSRGET("Period","PeriodEnd")</f>
        <v>#NAME?</v>
      </c>
      <c r="E5" s="18"/>
      <c r="F5" s="44"/>
      <c r="G5" s="18"/>
      <c r="H5" s="18"/>
      <c r="I5" s="18"/>
      <c r="J5" s="38"/>
      <c r="K5" s="18"/>
      <c r="L5" s="18"/>
      <c r="M5" s="18"/>
      <c r="N5" s="44"/>
      <c r="O5" s="53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ht="15" customHeight="1" x14ac:dyDescent="0.3">
      <c r="A6" s="24"/>
      <c r="B6" s="47"/>
      <c r="C6" s="47"/>
      <c r="D6" s="24" t="s">
        <v>278</v>
      </c>
      <c r="E6" s="18"/>
      <c r="F6" s="44"/>
      <c r="G6" s="18"/>
      <c r="H6" s="18"/>
      <c r="I6" s="18"/>
      <c r="J6" s="38"/>
      <c r="K6" s="18"/>
      <c r="L6" s="18"/>
      <c r="M6" s="18"/>
      <c r="N6" s="44"/>
      <c r="O6" s="59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ht="15" customHeight="1" x14ac:dyDescent="0.3">
      <c r="B7" s="52"/>
    </row>
    <row r="8" spans="1:26" ht="15" customHeight="1" x14ac:dyDescent="0.3">
      <c r="B8" s="52"/>
    </row>
    <row r="9" spans="1:26" ht="15" customHeight="1" x14ac:dyDescent="0.3">
      <c r="B9" s="10"/>
      <c r="C9" s="10"/>
      <c r="D9" s="17" t="s">
        <v>279</v>
      </c>
      <c r="E9" s="17"/>
      <c r="F9" s="36"/>
      <c r="G9" s="17"/>
      <c r="H9" s="17"/>
      <c r="I9" s="17"/>
      <c r="J9" s="43"/>
      <c r="K9" s="17"/>
      <c r="L9" s="17"/>
      <c r="M9" s="17"/>
      <c r="N9" s="36"/>
      <c r="P9" s="17" t="s">
        <v>280</v>
      </c>
      <c r="Q9" s="17"/>
      <c r="R9" s="36"/>
      <c r="S9" s="17"/>
      <c r="T9" s="17"/>
      <c r="U9" s="17"/>
      <c r="V9" s="43"/>
      <c r="W9" s="17"/>
      <c r="X9" s="17"/>
      <c r="Y9" s="17"/>
      <c r="Z9" s="36"/>
    </row>
    <row r="10" spans="1:26" ht="15" customHeight="1" x14ac:dyDescent="0.3">
      <c r="A10" s="11"/>
      <c r="B10" s="57"/>
      <c r="C10" s="11"/>
      <c r="D10" s="41" t="s">
        <v>281</v>
      </c>
      <c r="E10" s="33"/>
      <c r="F10" s="37" t="s">
        <v>282</v>
      </c>
      <c r="G10" s="33"/>
      <c r="H10" s="48" t="s">
        <v>283</v>
      </c>
      <c r="I10" s="33"/>
      <c r="J10" s="45" t="s">
        <v>284</v>
      </c>
      <c r="K10" s="11"/>
      <c r="L10" s="41" t="s">
        <v>285</v>
      </c>
      <c r="M10" s="11"/>
      <c r="N10" s="37" t="s">
        <v>286</v>
      </c>
      <c r="O10" s="11"/>
      <c r="P10" s="56" t="s">
        <v>281</v>
      </c>
      <c r="Q10" s="33"/>
      <c r="R10" s="37" t="s">
        <v>282</v>
      </c>
      <c r="S10" s="33"/>
      <c r="T10" s="48" t="s">
        <v>283</v>
      </c>
      <c r="U10" s="33"/>
      <c r="V10" s="45" t="s">
        <v>284</v>
      </c>
      <c r="W10" s="11"/>
      <c r="X10" s="41" t="s">
        <v>285</v>
      </c>
      <c r="Y10" s="11"/>
      <c r="Z10" s="37" t="s">
        <v>286</v>
      </c>
    </row>
    <row r="11" spans="1:26" ht="16.5" customHeight="1" x14ac:dyDescent="0.3">
      <c r="A11" s="10"/>
      <c r="B11" s="55"/>
      <c r="C11" s="10"/>
      <c r="D11" s="10"/>
      <c r="E11" s="10"/>
      <c r="F11" s="9"/>
      <c r="G11" s="10"/>
      <c r="H11" s="10"/>
      <c r="I11" s="10"/>
      <c r="J11" s="46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6"/>
      <c r="W11" s="10"/>
      <c r="X11" s="10"/>
      <c r="Y11" s="10"/>
      <c r="Z11" s="9"/>
    </row>
    <row r="12" spans="1:26" s="63" customFormat="1" ht="15" customHeight="1" collapsed="1" x14ac:dyDescent="0.3">
      <c r="A12" s="11"/>
      <c r="B12" s="28" t="s">
        <v>287</v>
      </c>
      <c r="C12" s="11"/>
      <c r="D12" s="5" t="e">
        <f ca="1">SUM(_xll.ONESTOP.REPORTPLAYER.OSRFUNCTIONS.OSRREF(D13))</f>
        <v>#NAME?</v>
      </c>
      <c r="E12" s="5"/>
      <c r="F12" s="13"/>
      <c r="G12" s="5"/>
      <c r="H12" s="5" t="e">
        <f ca="1">SUM(_xll.ONESTOP.REPORTPLAYER.OSRFUNCTIONS.OSRREF(H13))</f>
        <v>#NAME?</v>
      </c>
      <c r="I12" s="5"/>
      <c r="J12" s="13"/>
      <c r="K12" s="5"/>
      <c r="L12" s="5" t="e">
        <f ca="1">+D12-H12</f>
        <v>#NAME?</v>
      </c>
      <c r="M12" s="5"/>
      <c r="N12" s="13" t="e">
        <f ca="1">IF(H12=0,0,L12/H12)</f>
        <v>#NAME?</v>
      </c>
      <c r="O12" s="11"/>
      <c r="P12" s="5" t="e">
        <f ca="1">SUM(_xll.ONESTOP.REPORTPLAYER.OSRFUNCTIONS.OSRREF(P13))</f>
        <v>#NAME?</v>
      </c>
      <c r="Q12" s="5"/>
      <c r="R12" s="13"/>
      <c r="S12" s="5"/>
      <c r="T12" s="5" t="e">
        <f ca="1">SUM(_xll.ONESTOP.REPORTPLAYER.OSRFUNCTIONS.OSRREF(T13))</f>
        <v>#NAME?</v>
      </c>
      <c r="U12" s="5"/>
      <c r="V12" s="13"/>
      <c r="W12" s="5"/>
      <c r="X12" s="5" t="e">
        <f ca="1">+P12-T12</f>
        <v>#NAME?</v>
      </c>
      <c r="Y12" s="5"/>
      <c r="Z12" s="13" t="e">
        <f ca="1">IF(T12=0,0,X12/T12)</f>
        <v>#NAME?</v>
      </c>
    </row>
    <row r="13" spans="1:26" s="70" customFormat="1" ht="15" hidden="1" customHeight="1" outlineLevel="1" x14ac:dyDescent="0.3">
      <c r="A13" s="42"/>
      <c r="B13" s="12" t="e">
        <f ca="1">CONCATENATE("          ",_xll.ONESTOP.REPORTPLAYER.OSRFUNCTIONS.OSRGET("d_Account","Code")," - ",_xll.ONESTOP.REPORTPLAYER.OSRFUNCTIONS.OSRGET("d_Account","Description"))</f>
        <v>#NAME?</v>
      </c>
      <c r="C13" s="12"/>
      <c r="D13" s="3" t="e">
        <f ca="1">-_xll.ONESTOP.REPORTPLAYER.OSRFUNCTIONS.OSRGET("GL_F_Trans","Value1")</f>
        <v>#NAME?</v>
      </c>
      <c r="E13" s="3"/>
      <c r="F13" s="20"/>
      <c r="G13" s="3"/>
      <c r="H13" s="3" t="e">
        <f ca="1">_xll.ONESTOP.REPORTPLAYER.OSRFUNCTIONS.OSRGET("GL_F_Trans","Value1")</f>
        <v>#NAME?</v>
      </c>
      <c r="I13" s="3"/>
      <c r="J13" s="20"/>
      <c r="K13" s="3"/>
      <c r="L13" s="3" t="e">
        <f ca="1">+D13-H13</f>
        <v>#NAME?</v>
      </c>
      <c r="M13" s="3"/>
      <c r="N13" s="20" t="e">
        <f ca="1">IF(H13=0,0,L13/H13)</f>
        <v>#NAME?</v>
      </c>
      <c r="O13" s="12"/>
      <c r="P13" s="3" t="e">
        <f ca="1">-_xll.ONESTOP.REPORTPLAYER.OSRFUNCTIONS.OSRGET("GL_F_Trans","Value1")</f>
        <v>#NAME?</v>
      </c>
      <c r="Q13" s="3"/>
      <c r="R13" s="20"/>
      <c r="S13" s="3"/>
      <c r="T13" s="3" t="e">
        <f ca="1">_xll.ONESTOP.REPORTPLAYER.OSRFUNCTIONS.OSRGET("GL_F_Trans","Value1")</f>
        <v>#NAME?</v>
      </c>
      <c r="U13" s="3"/>
      <c r="V13" s="20"/>
      <c r="W13" s="3"/>
      <c r="X13" s="3" t="e">
        <f ca="1">+P13-T13</f>
        <v>#NAME?</v>
      </c>
      <c r="Y13" s="3"/>
      <c r="Z13" s="20" t="e">
        <f ca="1">IF(T13=0,0,X13/T13)</f>
        <v>#NAME?</v>
      </c>
    </row>
    <row r="14" spans="1:26" ht="15" customHeight="1" x14ac:dyDescent="0.3">
      <c r="A14" s="10"/>
      <c r="B14" s="11"/>
      <c r="C14" s="10"/>
      <c r="D14" s="4"/>
      <c r="E14" s="4"/>
      <c r="F14" s="9"/>
      <c r="G14" s="4"/>
      <c r="H14" s="4"/>
      <c r="I14" s="4"/>
      <c r="J14" s="9"/>
      <c r="K14" s="4"/>
      <c r="L14" s="4"/>
      <c r="M14" s="4"/>
      <c r="N14" s="9"/>
      <c r="P14" s="4"/>
      <c r="Q14" s="4"/>
      <c r="R14" s="9"/>
      <c r="S14" s="4"/>
      <c r="T14" s="4"/>
      <c r="U14" s="4"/>
      <c r="V14" s="9"/>
      <c r="W14" s="4"/>
      <c r="X14" s="4"/>
      <c r="Y14" s="4"/>
      <c r="Z14" s="9"/>
    </row>
    <row r="15" spans="1:26" s="63" customFormat="1" ht="15" customHeight="1" collapsed="1" x14ac:dyDescent="0.3">
      <c r="A15" s="11"/>
      <c r="B15" s="28" t="s">
        <v>288</v>
      </c>
      <c r="C15" s="11"/>
      <c r="D15" s="5" t="e">
        <f ca="1">SUM(_xll.ONESTOP.REPORTPLAYER.OSRFUNCTIONS.OSRREF(D16))</f>
        <v>#NAME?</v>
      </c>
      <c r="E15" s="5"/>
      <c r="F15" s="13" t="e">
        <f ca="1">IF(D$12=0,0,D15/D$12)</f>
        <v>#NAME?</v>
      </c>
      <c r="G15" s="5"/>
      <c r="H15" s="5" t="e">
        <f ca="1">SUM(_xll.ONESTOP.REPORTPLAYER.OSRFUNCTIONS.OSRREF(H16))</f>
        <v>#NAME?</v>
      </c>
      <c r="I15" s="5"/>
      <c r="J15" s="13" t="e">
        <f ca="1">IF(H$12=0,0,H15/H$12)</f>
        <v>#NAME?</v>
      </c>
      <c r="K15" s="5"/>
      <c r="L15" s="5" t="e">
        <f ca="1">+D15-H15</f>
        <v>#NAME?</v>
      </c>
      <c r="M15" s="5"/>
      <c r="N15" s="13" t="e">
        <f ca="1">IF(H15=0,0,L15/H15)</f>
        <v>#NAME?</v>
      </c>
      <c r="O15" s="11"/>
      <c r="P15" s="5" t="e">
        <f ca="1">SUM(_xll.ONESTOP.REPORTPLAYER.OSRFUNCTIONS.OSRREF(P16))</f>
        <v>#NAME?</v>
      </c>
      <c r="Q15" s="5"/>
      <c r="R15" s="13" t="e">
        <f ca="1">IF(P$12=0,0,P15/P$12)</f>
        <v>#NAME?</v>
      </c>
      <c r="S15" s="5"/>
      <c r="T15" s="5" t="e">
        <f ca="1">SUM(_xll.ONESTOP.REPORTPLAYER.OSRFUNCTIONS.OSRREF(T16))</f>
        <v>#NAME?</v>
      </c>
      <c r="U15" s="5"/>
      <c r="V15" s="13" t="e">
        <f ca="1">IF(T$12=0,0,T15/T$12)</f>
        <v>#NAME?</v>
      </c>
      <c r="W15" s="5"/>
      <c r="X15" s="5" t="e">
        <f ca="1">+P15-T15</f>
        <v>#NAME?</v>
      </c>
      <c r="Y15" s="5"/>
      <c r="Z15" s="13" t="e">
        <f ca="1">IF(T15=0,0,X15/T15)</f>
        <v>#NAME?</v>
      </c>
    </row>
    <row r="16" spans="1:26" s="70" customFormat="1" ht="15" hidden="1" customHeight="1" outlineLevel="1" x14ac:dyDescent="0.3">
      <c r="A16" s="42"/>
      <c r="B16" s="12" t="e">
        <f ca="1">CONCATENATE("          ",_xll.ONESTOP.REPORTPLAYER.OSRFUNCTIONS.OSRGET("d_Account","Code")," - ",_xll.ONESTOP.REPORTPLAYER.OSRFUNCTIONS.OSRGET("d_Account","Description"))</f>
        <v>#NAME?</v>
      </c>
      <c r="C16" s="12"/>
      <c r="D16" s="3" t="e">
        <f ca="1">_xll.ONESTOP.REPORTPLAYER.OSRFUNCTIONS.OSRGET("GL_F_Trans","Value1")</f>
        <v>#NAME?</v>
      </c>
      <c r="E16" s="3"/>
      <c r="F16" s="20" t="e">
        <f ca="1">IF(D$12=0,0,D16/D$12)</f>
        <v>#NAME?</v>
      </c>
      <c r="G16" s="3"/>
      <c r="H16" s="3" t="e">
        <f ca="1">_xll.ONESTOP.REPORTPLAYER.OSRFUNCTIONS.OSRGET("GL_F_Trans","Value1")</f>
        <v>#NAME?</v>
      </c>
      <c r="I16" s="3"/>
      <c r="J16" s="20" t="e">
        <f ca="1">IF(H$12=0,0,H16/H$12)</f>
        <v>#NAME?</v>
      </c>
      <c r="K16" s="3"/>
      <c r="L16" s="3" t="e">
        <f ca="1">+D16-H16</f>
        <v>#NAME?</v>
      </c>
      <c r="M16" s="3"/>
      <c r="N16" s="20" t="e">
        <f ca="1">IF(H16=0,0,L16/H16)</f>
        <v>#NAME?</v>
      </c>
      <c r="O16" s="12"/>
      <c r="P16" s="3" t="e">
        <f ca="1">_xll.ONESTOP.REPORTPLAYER.OSRFUNCTIONS.OSRGET("GL_F_Trans","Value1")</f>
        <v>#NAME?</v>
      </c>
      <c r="Q16" s="3"/>
      <c r="R16" s="20" t="e">
        <f ca="1">IF(P$12=0,0,P16/P$12)</f>
        <v>#NAME?</v>
      </c>
      <c r="S16" s="3"/>
      <c r="T16" s="3" t="e">
        <f ca="1">_xll.ONESTOP.REPORTPLAYER.OSRFUNCTIONS.OSRGET("GL_F_Trans","Value1")</f>
        <v>#NAME?</v>
      </c>
      <c r="U16" s="3"/>
      <c r="V16" s="20" t="e">
        <f ca="1">IF(T$12=0,0,T16/T$12)</f>
        <v>#NAME?</v>
      </c>
      <c r="W16" s="3"/>
      <c r="X16" s="3" t="e">
        <f ca="1">+P16-T16</f>
        <v>#NAME?</v>
      </c>
      <c r="Y16" s="3"/>
      <c r="Z16" s="20" t="e">
        <f ca="1">IF(T16=0,0,X16/T16)</f>
        <v>#NAME?</v>
      </c>
    </row>
    <row r="17" spans="1:26" ht="15" customHeight="1" x14ac:dyDescent="0.3">
      <c r="A17" s="10"/>
      <c r="B17" s="11"/>
      <c r="C17" s="11"/>
      <c r="D17" s="4"/>
      <c r="E17" s="4"/>
      <c r="F17" s="9"/>
      <c r="G17" s="4"/>
      <c r="H17" s="4"/>
      <c r="I17" s="4"/>
      <c r="J17" s="9"/>
      <c r="K17" s="4"/>
      <c r="L17" s="4"/>
      <c r="M17" s="4"/>
      <c r="N17" s="9"/>
      <c r="O17" s="11"/>
      <c r="P17" s="4"/>
      <c r="Q17" s="4"/>
      <c r="R17" s="9"/>
      <c r="S17" s="4"/>
      <c r="T17" s="4"/>
      <c r="U17" s="4"/>
      <c r="V17" s="9"/>
      <c r="W17" s="4"/>
      <c r="X17" s="4"/>
      <c r="Y17" s="4"/>
      <c r="Z17" s="9"/>
    </row>
    <row r="18" spans="1:26" s="63" customFormat="1" ht="15" customHeight="1" x14ac:dyDescent="0.3">
      <c r="A18" s="11"/>
      <c r="B18" s="27" t="s">
        <v>289</v>
      </c>
      <c r="C18" s="27"/>
      <c r="D18" s="21" t="e">
        <f ca="1">D12-D15</f>
        <v>#NAME?</v>
      </c>
      <c r="E18" s="15"/>
      <c r="F18" s="23" t="e">
        <f ca="1">IF(D$12=0,0,D18/D$12)</f>
        <v>#NAME?</v>
      </c>
      <c r="G18" s="15"/>
      <c r="H18" s="21" t="e">
        <f ca="1">H12-H15</f>
        <v>#NAME?</v>
      </c>
      <c r="I18" s="15"/>
      <c r="J18" s="23" t="e">
        <f ca="1">IF(H$12=0,0,H18/H$12)</f>
        <v>#NAME?</v>
      </c>
      <c r="K18" s="16"/>
      <c r="L18" s="21" t="e">
        <f ca="1">+D18-H18</f>
        <v>#NAME?</v>
      </c>
      <c r="M18" s="16"/>
      <c r="N18" s="23" t="e">
        <f ca="1">IF(H18=0,0,L18/H18)</f>
        <v>#NAME?</v>
      </c>
      <c r="O18" s="28"/>
      <c r="P18" s="21" t="e">
        <f ca="1">P12-P15</f>
        <v>#NAME?</v>
      </c>
      <c r="Q18" s="15"/>
      <c r="R18" s="23" t="e">
        <f ca="1">IF(P$12=0,0,P18/P$12)</f>
        <v>#NAME?</v>
      </c>
      <c r="S18" s="15"/>
      <c r="T18" s="21" t="e">
        <f ca="1">T12-T15</f>
        <v>#NAME?</v>
      </c>
      <c r="U18" s="15"/>
      <c r="V18" s="23" t="e">
        <f ca="1">IF(T$12=0,0,T18/T$12)</f>
        <v>#NAME?</v>
      </c>
      <c r="W18" s="16"/>
      <c r="X18" s="21" t="e">
        <f ca="1">+P18-T18</f>
        <v>#NAME?</v>
      </c>
      <c r="Y18" s="16"/>
      <c r="Z18" s="23" t="e">
        <f ca="1">IF(T18=0,0,X18/T18)</f>
        <v>#NAME?</v>
      </c>
    </row>
    <row r="19" spans="1:26" ht="15" customHeight="1" x14ac:dyDescent="0.3">
      <c r="A19" s="10"/>
      <c r="B19" s="11"/>
      <c r="C19" s="10"/>
      <c r="D19" s="2"/>
      <c r="E19" s="2"/>
      <c r="F19" s="6"/>
      <c r="G19" s="2"/>
      <c r="H19" s="2"/>
      <c r="I19" s="2"/>
      <c r="J19" s="6"/>
      <c r="K19" s="2"/>
      <c r="L19" s="2"/>
      <c r="M19" s="2"/>
      <c r="N19" s="6"/>
      <c r="O19" s="35"/>
      <c r="P19" s="2"/>
      <c r="Q19" s="2"/>
      <c r="R19" s="6"/>
      <c r="S19" s="2"/>
      <c r="T19" s="2"/>
      <c r="U19" s="2"/>
      <c r="V19" s="6"/>
      <c r="W19" s="2"/>
      <c r="X19" s="2"/>
      <c r="Y19" s="2"/>
      <c r="Z19" s="6"/>
    </row>
    <row r="20" spans="1:26" s="63" customFormat="1" ht="15" customHeight="1" x14ac:dyDescent="0.3">
      <c r="A20" s="11"/>
      <c r="B20" s="28" t="s">
        <v>290</v>
      </c>
      <c r="C20" s="11"/>
      <c r="D20" s="22" t="e">
        <f ca="1">SUM(_xll.ONESTOP.REPORTPLAYER.OSRFUNCTIONS.OSRREF(D22))</f>
        <v>#NAME?</v>
      </c>
      <c r="E20" s="22"/>
      <c r="F20" s="30" t="e">
        <f ca="1">IF(D$12=0,0,D20/D$12)</f>
        <v>#NAME?</v>
      </c>
      <c r="G20" s="22"/>
      <c r="H20" s="22" t="e">
        <f ca="1">SUM(_xll.ONESTOP.REPORTPLAYER.OSRFUNCTIONS.OSRREF(H22))</f>
        <v>#NAME?</v>
      </c>
      <c r="I20" s="22"/>
      <c r="J20" s="30" t="e">
        <f ca="1">IF(H$12=0,0,H20/H$12)</f>
        <v>#NAME?</v>
      </c>
      <c r="K20" s="5"/>
      <c r="L20" s="22" t="e">
        <f ca="1">+D20-H20</f>
        <v>#NAME?</v>
      </c>
      <c r="M20" s="5"/>
      <c r="N20" s="30" t="e">
        <f ca="1">IF(H20=0,0,L20/H20)</f>
        <v>#NAME?</v>
      </c>
      <c r="O20" s="11"/>
      <c r="P20" s="22" t="e">
        <f ca="1">SUM(_xll.ONESTOP.REPORTPLAYER.OSRFUNCTIONS.OSRREF(P22))</f>
        <v>#NAME?</v>
      </c>
      <c r="Q20" s="22"/>
      <c r="R20" s="30" t="e">
        <f ca="1">IF(P$12=0,0,P20/P$12)</f>
        <v>#NAME?</v>
      </c>
      <c r="S20" s="22"/>
      <c r="T20" s="22" t="e">
        <f ca="1">SUM(_xll.ONESTOP.REPORTPLAYER.OSRFUNCTIONS.OSRREF(T22))</f>
        <v>#NAME?</v>
      </c>
      <c r="U20" s="22"/>
      <c r="V20" s="30" t="e">
        <f ca="1">IF(T$12=0,0,T20/T$12)</f>
        <v>#NAME?</v>
      </c>
      <c r="W20" s="5"/>
      <c r="X20" s="22" t="e">
        <f ca="1">+P20-T20</f>
        <v>#NAME?</v>
      </c>
      <c r="Y20" s="5"/>
      <c r="Z20" s="30" t="e">
        <f ca="1">IF(T20=0,0,X20/T20)</f>
        <v>#NAME?</v>
      </c>
    </row>
    <row r="21" spans="1:26" s="69" customFormat="1" ht="15" customHeight="1" outlineLevel="1" collapsed="1" x14ac:dyDescent="0.3">
      <c r="A21" s="25"/>
      <c r="B21" s="14" t="e">
        <f ca="1">CONCATENATE("     ",_xll.ONESTOP.REPORTPLAYER.OSRFUNCTIONS.OSRGET("d_Account","AccountCategory"))</f>
        <v>#NAME?</v>
      </c>
      <c r="C21" s="14"/>
      <c r="D21" s="2" t="e">
        <f ca="1">SUM(_xll.ONESTOP.REPORTPLAYER.OSRFUNCTIONS.OSRREF(D22))</f>
        <v>#NAME?</v>
      </c>
      <c r="E21" s="2"/>
      <c r="F21" s="6" t="e">
        <f ca="1">IF(D$12=0,0,D21/D$12)</f>
        <v>#NAME?</v>
      </c>
      <c r="G21" s="2"/>
      <c r="H21" s="2" t="e">
        <f ca="1">SUM(_xll.ONESTOP.REPORTPLAYER.OSRFUNCTIONS.OSRREF(H22))</f>
        <v>#NAME?</v>
      </c>
      <c r="I21" s="2"/>
      <c r="J21" s="6" t="e">
        <f ca="1">IF(H$12=0,0,H21/H$12)</f>
        <v>#NAME?</v>
      </c>
      <c r="K21" s="2"/>
      <c r="L21" s="2" t="e">
        <f ca="1">+D21-H21</f>
        <v>#NAME?</v>
      </c>
      <c r="M21" s="2"/>
      <c r="N21" s="6" t="e">
        <f ca="1">IF(H21=0,0,L21/H21)</f>
        <v>#NAME?</v>
      </c>
      <c r="O21" s="14"/>
      <c r="P21" s="2" t="e">
        <f ca="1">SUM(_xll.ONESTOP.REPORTPLAYER.OSRFUNCTIONS.OSRREF(P22))</f>
        <v>#NAME?</v>
      </c>
      <c r="Q21" s="2"/>
      <c r="R21" s="6" t="e">
        <f ca="1">IF(P$12=0,0,P21/P$12)</f>
        <v>#NAME?</v>
      </c>
      <c r="S21" s="2"/>
      <c r="T21" s="2" t="e">
        <f ca="1">SUM(_xll.ONESTOP.REPORTPLAYER.OSRFUNCTIONS.OSRREF(T22))</f>
        <v>#NAME?</v>
      </c>
      <c r="U21" s="2"/>
      <c r="V21" s="6" t="e">
        <f ca="1">IF(T$12=0,0,T21/T$12)</f>
        <v>#NAME?</v>
      </c>
      <c r="W21" s="2"/>
      <c r="X21" s="2" t="e">
        <f ca="1">+P21-T21</f>
        <v>#NAME?</v>
      </c>
      <c r="Y21" s="2"/>
      <c r="Z21" s="6" t="e">
        <f ca="1">IF(T21=0,0,X21/T21)</f>
        <v>#NAME?</v>
      </c>
    </row>
    <row r="22" spans="1:26" s="70" customFormat="1" ht="15" hidden="1" customHeight="1" outlineLevel="2" x14ac:dyDescent="0.3">
      <c r="A22" s="26"/>
      <c r="B22" s="12" t="e">
        <f ca="1">CONCATENATE("          ",_xll.ONESTOP.REPORTPLAYER.OSRFUNCTIONS.OSRGET("d_Account","Code")," - ",_xll.ONESTOP.REPORTPLAYER.OSRFUNCTIONS.OSRGET("d_Account","Description"))</f>
        <v>#NAME?</v>
      </c>
      <c r="C22" s="12"/>
      <c r="D22" s="7" t="e">
        <f ca="1">_xll.ONESTOP.REPORTPLAYER.OSRFUNCTIONS.OSRGET("GL_F_Trans","Value1")</f>
        <v>#NAME?</v>
      </c>
      <c r="E22" s="3"/>
      <c r="F22" s="8" t="e">
        <f ca="1">IF(D$12=0,0,D22/D$12)</f>
        <v>#NAME?</v>
      </c>
      <c r="G22" s="3"/>
      <c r="H22" s="7" t="e">
        <f ca="1">_xll.ONESTOP.REPORTPLAYER.OSRFUNCTIONS.OSRGET("GL_F_Trans","Value1")</f>
        <v>#NAME?</v>
      </c>
      <c r="I22" s="3"/>
      <c r="J22" s="8" t="e">
        <f ca="1">IF(H$12=0,0,H22/H$12)</f>
        <v>#NAME?</v>
      </c>
      <c r="K22" s="3"/>
      <c r="L22" s="7" t="e">
        <f ca="1">+D22-H22</f>
        <v>#NAME?</v>
      </c>
      <c r="M22" s="3"/>
      <c r="N22" s="8" t="e">
        <f ca="1">IF(H22=0,0,L22/H22)</f>
        <v>#NAME?</v>
      </c>
      <c r="O22" s="12"/>
      <c r="P22" s="7" t="e">
        <f ca="1">_xll.ONESTOP.REPORTPLAYER.OSRFUNCTIONS.OSRGET("GL_F_Trans","Value1")</f>
        <v>#NAME?</v>
      </c>
      <c r="Q22" s="3"/>
      <c r="R22" s="8" t="e">
        <f ca="1">IF(P$12=0,0,P22/P$12)</f>
        <v>#NAME?</v>
      </c>
      <c r="S22" s="3"/>
      <c r="T22" s="7" t="e">
        <f ca="1">_xll.ONESTOP.REPORTPLAYER.OSRFUNCTIONS.OSRGET("GL_F_Trans","Value1")</f>
        <v>#NAME?</v>
      </c>
      <c r="U22" s="3"/>
      <c r="V22" s="8" t="e">
        <f ca="1">IF(T$12=0,0,T22/T$12)</f>
        <v>#NAME?</v>
      </c>
      <c r="W22" s="3"/>
      <c r="X22" s="7" t="e">
        <f ca="1">+P22-T22</f>
        <v>#NAME?</v>
      </c>
      <c r="Y22" s="3"/>
      <c r="Z22" s="8" t="e">
        <f ca="1">IF(T22=0,0,X22/T22)</f>
        <v>#NAME?</v>
      </c>
    </row>
    <row r="23" spans="1:26" s="65" customFormat="1" ht="15" customHeight="1" x14ac:dyDescent="0.3">
      <c r="A23" s="35"/>
      <c r="B23" s="35"/>
      <c r="C23" s="35"/>
      <c r="D23" s="2"/>
      <c r="E23" s="2"/>
      <c r="F23" s="6"/>
      <c r="G23" s="2"/>
      <c r="H23" s="2"/>
      <c r="I23" s="2"/>
      <c r="J23" s="6"/>
      <c r="K23" s="2"/>
      <c r="L23" s="2"/>
      <c r="M23" s="2"/>
      <c r="N23" s="6"/>
      <c r="O23" s="35"/>
      <c r="P23" s="2"/>
      <c r="Q23" s="2"/>
      <c r="R23" s="6"/>
      <c r="S23" s="2"/>
      <c r="T23" s="2"/>
      <c r="U23" s="2"/>
      <c r="V23" s="6"/>
      <c r="W23" s="2"/>
      <c r="X23" s="2"/>
      <c r="Y23" s="2"/>
      <c r="Z23" s="6"/>
    </row>
    <row r="24" spans="1:26" s="63" customFormat="1" ht="15" customHeight="1" collapsed="1" x14ac:dyDescent="0.3">
      <c r="A24" s="11"/>
      <c r="B24" s="28" t="s">
        <v>291</v>
      </c>
      <c r="C24" s="11"/>
      <c r="D24" s="5" t="e">
        <f ca="1">SUM(_xll.ONESTOP.REPORTPLAYER.OSRFUNCTIONS.OSRREF(D25))</f>
        <v>#NAME?</v>
      </c>
      <c r="E24" s="5"/>
      <c r="F24" s="13" t="e">
        <f ca="1">IF(D$12=0,0,D24/D$12)</f>
        <v>#NAME?</v>
      </c>
      <c r="G24" s="5"/>
      <c r="H24" s="5" t="e">
        <f ca="1">SUM(_xll.ONESTOP.REPORTPLAYER.OSRFUNCTIONS.OSRREF(H25))</f>
        <v>#NAME?</v>
      </c>
      <c r="I24" s="5"/>
      <c r="J24" s="13" t="e">
        <f ca="1">IF(H$12=0,0,H24/H$12)</f>
        <v>#NAME?</v>
      </c>
      <c r="K24" s="5"/>
      <c r="L24" s="5" t="e">
        <f ca="1">+D24-H24</f>
        <v>#NAME?</v>
      </c>
      <c r="M24" s="5"/>
      <c r="N24" s="13" t="e">
        <f ca="1">IF(H24=0,0,L24/H24)</f>
        <v>#NAME?</v>
      </c>
      <c r="O24" s="11"/>
      <c r="P24" s="5" t="e">
        <f ca="1">SUM(_xll.ONESTOP.REPORTPLAYER.OSRFUNCTIONS.OSRREF(P25))</f>
        <v>#NAME?</v>
      </c>
      <c r="Q24" s="5"/>
      <c r="R24" s="13" t="e">
        <f ca="1">IF(P$12=0,0,P24/P$12)</f>
        <v>#NAME?</v>
      </c>
      <c r="S24" s="5"/>
      <c r="T24" s="5" t="e">
        <f ca="1">SUM(_xll.ONESTOP.REPORTPLAYER.OSRFUNCTIONS.OSRREF(T25))</f>
        <v>#NAME?</v>
      </c>
      <c r="U24" s="5"/>
      <c r="V24" s="13" t="e">
        <f ca="1">IF(T$12=0,0,T24/T$12)</f>
        <v>#NAME?</v>
      </c>
      <c r="W24" s="5"/>
      <c r="X24" s="5" t="e">
        <f ca="1">+P24-T24</f>
        <v>#NAME?</v>
      </c>
      <c r="Y24" s="5"/>
      <c r="Z24" s="13" t="e">
        <f ca="1">IF(T24=0,0,X24/T24)</f>
        <v>#NAME?</v>
      </c>
    </row>
    <row r="25" spans="1:26" s="70" customFormat="1" ht="15" hidden="1" customHeight="1" outlineLevel="1" x14ac:dyDescent="0.3">
      <c r="A25" s="42"/>
      <c r="B25" s="12" t="e">
        <f ca="1">CONCATENATE("          ",_xll.ONESTOP.REPORTPLAYER.OSRFUNCTIONS.OSRGET("d_Account","Code")," - ",_xll.ONESTOP.REPORTPLAYER.OSRFUNCTIONS.OSRGET("d_Account","Description"))</f>
        <v>#NAME?</v>
      </c>
      <c r="C25" s="12"/>
      <c r="D25" s="3" t="e">
        <f ca="1">-_xll.ONESTOP.REPORTPLAYER.OSRFUNCTIONS.OSRGET("GL_F_Trans","Value1")</f>
        <v>#NAME?</v>
      </c>
      <c r="E25" s="3"/>
      <c r="F25" s="20" t="e">
        <f ca="1">IF(D$12=0,0,D25/D$12)</f>
        <v>#NAME?</v>
      </c>
      <c r="G25" s="3"/>
      <c r="H25" s="3" t="e">
        <f ca="1">_xll.ONESTOP.REPORTPLAYER.OSRFUNCTIONS.OSRGET("GL_F_Trans","Value1")</f>
        <v>#NAME?</v>
      </c>
      <c r="I25" s="3"/>
      <c r="J25" s="20" t="e">
        <f ca="1">IF(H$12=0,0,H25/H$12)</f>
        <v>#NAME?</v>
      </c>
      <c r="K25" s="3"/>
      <c r="L25" s="3" t="e">
        <f ca="1">+D25-H25</f>
        <v>#NAME?</v>
      </c>
      <c r="M25" s="3"/>
      <c r="N25" s="20" t="e">
        <f ca="1">IF(H25=0,0,L25/H25)</f>
        <v>#NAME?</v>
      </c>
      <c r="O25" s="12"/>
      <c r="P25" s="3" t="e">
        <f ca="1">-_xll.ONESTOP.REPORTPLAYER.OSRFUNCTIONS.OSRGET("GL_F_Trans","Value1")</f>
        <v>#NAME?</v>
      </c>
      <c r="Q25" s="3"/>
      <c r="R25" s="20" t="e">
        <f ca="1">IF(P$12=0,0,P25/P$12)</f>
        <v>#NAME?</v>
      </c>
      <c r="S25" s="3"/>
      <c r="T25" s="3" t="e">
        <f ca="1">_xll.ONESTOP.REPORTPLAYER.OSRFUNCTIONS.OSRGET("GL_F_Trans","Value1")</f>
        <v>#NAME?</v>
      </c>
      <c r="U25" s="3"/>
      <c r="V25" s="20" t="e">
        <f ca="1">IF(T$12=0,0,T25/T$12)</f>
        <v>#NAME?</v>
      </c>
      <c r="W25" s="3"/>
      <c r="X25" s="3" t="e">
        <f ca="1">+P25-T25</f>
        <v>#NAME?</v>
      </c>
      <c r="Y25" s="3"/>
      <c r="Z25" s="20" t="e">
        <f ca="1">IF(T25=0,0,X25/T25)</f>
        <v>#NAME?</v>
      </c>
    </row>
    <row r="26" spans="1:26" ht="15" customHeight="1" x14ac:dyDescent="0.3">
      <c r="A26" s="10"/>
      <c r="B26" s="11"/>
      <c r="C26" s="11"/>
      <c r="D26" s="4"/>
      <c r="E26" s="4"/>
      <c r="F26" s="9"/>
      <c r="G26" s="4"/>
      <c r="H26" s="4"/>
      <c r="I26" s="4"/>
      <c r="J26" s="9"/>
      <c r="K26" s="4"/>
      <c r="L26" s="4"/>
      <c r="M26" s="4"/>
      <c r="N26" s="9"/>
      <c r="O26" s="11"/>
      <c r="P26" s="4"/>
      <c r="Q26" s="4"/>
      <c r="R26" s="9"/>
      <c r="S26" s="4"/>
      <c r="T26" s="4"/>
      <c r="U26" s="4"/>
      <c r="V26" s="9"/>
      <c r="W26" s="4"/>
      <c r="X26" s="4"/>
      <c r="Y26" s="4"/>
      <c r="Z26" s="9"/>
    </row>
    <row r="27" spans="1:26" s="63" customFormat="1" ht="15" customHeight="1" x14ac:dyDescent="0.3">
      <c r="A27" s="11"/>
      <c r="B27" s="27" t="s">
        <v>292</v>
      </c>
      <c r="C27" s="27"/>
      <c r="D27" s="21" t="e">
        <f ca="1">+D18-D20+D24</f>
        <v>#NAME?</v>
      </c>
      <c r="E27" s="15"/>
      <c r="F27" s="23" t="e">
        <f ca="1">IF(D$12=0,0,D27/D$12)</f>
        <v>#NAME?</v>
      </c>
      <c r="G27" s="15"/>
      <c r="H27" s="21" t="e">
        <f ca="1">+H18-H20+H24</f>
        <v>#NAME?</v>
      </c>
      <c r="I27" s="15"/>
      <c r="J27" s="23" t="e">
        <f ca="1">IF(H$12=0,0,H27/H$12)</f>
        <v>#NAME?</v>
      </c>
      <c r="K27" s="16"/>
      <c r="L27" s="21" t="e">
        <f ca="1">+D27-H27</f>
        <v>#NAME?</v>
      </c>
      <c r="M27" s="16"/>
      <c r="N27" s="23" t="e">
        <f ca="1">IF(H27=0,0,L27/H27)</f>
        <v>#NAME?</v>
      </c>
      <c r="O27" s="28"/>
      <c r="P27" s="21" t="e">
        <f ca="1">+P18-P20+P24</f>
        <v>#NAME?</v>
      </c>
      <c r="Q27" s="15"/>
      <c r="R27" s="23" t="e">
        <f ca="1">IF(P$12=0,0,P27/P$12)</f>
        <v>#NAME?</v>
      </c>
      <c r="S27" s="15"/>
      <c r="T27" s="21" t="e">
        <f ca="1">+T18-T20+T24</f>
        <v>#NAME?</v>
      </c>
      <c r="U27" s="15"/>
      <c r="V27" s="23" t="e">
        <f ca="1">IF(T$12=0,0,T27/T$12)</f>
        <v>#NAME?</v>
      </c>
      <c r="W27" s="16"/>
      <c r="X27" s="21" t="e">
        <f ca="1">+P27-T27</f>
        <v>#NAME?</v>
      </c>
      <c r="Y27" s="16"/>
      <c r="Z27" s="23" t="e">
        <f ca="1">IF(T27=0,0,X27/T27)</f>
        <v>#NAME?</v>
      </c>
    </row>
    <row r="28" spans="1:26" ht="15" customHeight="1" x14ac:dyDescent="0.3">
      <c r="A28" s="10"/>
      <c r="B28" s="11"/>
      <c r="C28" s="10"/>
      <c r="D28" s="4"/>
      <c r="E28" s="4"/>
      <c r="F28" s="9"/>
      <c r="G28" s="4"/>
      <c r="H28" s="4"/>
      <c r="I28" s="4"/>
      <c r="J28" s="9"/>
      <c r="K28" s="4"/>
      <c r="L28" s="4"/>
      <c r="M28" s="4"/>
      <c r="N28" s="9"/>
      <c r="P28" s="4"/>
      <c r="Q28" s="4"/>
      <c r="R28" s="9"/>
      <c r="S28" s="4"/>
      <c r="T28" s="4"/>
      <c r="U28" s="4"/>
      <c r="V28" s="9"/>
      <c r="W28" s="4"/>
      <c r="X28" s="4"/>
      <c r="Y28" s="4"/>
      <c r="Z28" s="9"/>
    </row>
    <row r="29" spans="1:26" s="63" customFormat="1" ht="15" customHeight="1" x14ac:dyDescent="0.3">
      <c r="A29" s="49"/>
      <c r="B29" s="11" t="s">
        <v>293</v>
      </c>
      <c r="C29" s="11"/>
      <c r="D29" s="5" t="e">
        <f ca="1">_xll.ONESTOP.REPORTPLAYER.OSRFUNCTIONS.OSRGET("GL_F_Trans","Value1")</f>
        <v>#NAME?</v>
      </c>
      <c r="E29" s="5"/>
      <c r="F29" s="13" t="e">
        <f ca="1">IF(D$12=0,0,D29/D$12)</f>
        <v>#NAME?</v>
      </c>
      <c r="G29" s="5"/>
      <c r="H29" s="5" t="e">
        <f ca="1">_xll.ONESTOP.REPORTPLAYER.OSRFUNCTIONS.OSRGET("GL_F_Trans","Value1")</f>
        <v>#NAME?</v>
      </c>
      <c r="I29" s="5"/>
      <c r="J29" s="13" t="e">
        <f ca="1">IF(H$12=0,0,H29/H$12)</f>
        <v>#NAME?</v>
      </c>
      <c r="K29" s="5"/>
      <c r="L29" s="5" t="e">
        <f ca="1">+D29-H29</f>
        <v>#NAME?</v>
      </c>
      <c r="M29" s="5"/>
      <c r="N29" s="13" t="e">
        <f ca="1">IF(H29=0,0,L29/H29)</f>
        <v>#NAME?</v>
      </c>
      <c r="O29" s="11"/>
      <c r="P29" s="5" t="e">
        <f ca="1">_xll.ONESTOP.REPORTPLAYER.OSRFUNCTIONS.OSRGET("GL_F_Trans","Value1")</f>
        <v>#NAME?</v>
      </c>
      <c r="Q29" s="5"/>
      <c r="R29" s="13" t="e">
        <f ca="1">IF(P$12=0,0,P29/P$12)</f>
        <v>#NAME?</v>
      </c>
      <c r="S29" s="5"/>
      <c r="T29" s="5" t="e">
        <f ca="1">_xll.ONESTOP.REPORTPLAYER.OSRFUNCTIONS.OSRGET("GL_F_Trans","Value1")</f>
        <v>#NAME?</v>
      </c>
      <c r="U29" s="5"/>
      <c r="V29" s="13" t="e">
        <f ca="1">IF(T$12=0,0,T29/T$12)</f>
        <v>#NAME?</v>
      </c>
      <c r="W29" s="5"/>
      <c r="X29" s="5" t="e">
        <f ca="1">+P29-T29</f>
        <v>#NAME?</v>
      </c>
      <c r="Y29" s="5"/>
      <c r="Z29" s="13" t="e">
        <f ca="1">IF(T29=0,0,X29/T29)</f>
        <v>#NAME?</v>
      </c>
    </row>
    <row r="30" spans="1:26" ht="15" customHeight="1" x14ac:dyDescent="0.3">
      <c r="A30" s="10"/>
      <c r="B30" s="11"/>
      <c r="C30" s="11"/>
      <c r="D30" s="4"/>
      <c r="E30" s="4"/>
      <c r="F30" s="9"/>
      <c r="G30" s="4"/>
      <c r="H30" s="4"/>
      <c r="I30" s="4"/>
      <c r="J30" s="9"/>
      <c r="K30" s="4"/>
      <c r="L30" s="4"/>
      <c r="M30" s="4"/>
      <c r="N30" s="9"/>
      <c r="O30" s="11"/>
      <c r="P30" s="4"/>
      <c r="Q30" s="4"/>
      <c r="R30" s="9"/>
      <c r="S30" s="4"/>
      <c r="T30" s="4"/>
      <c r="U30" s="4"/>
      <c r="V30" s="9"/>
      <c r="W30" s="4"/>
      <c r="X30" s="4"/>
      <c r="Y30" s="4"/>
      <c r="Z30" s="9"/>
    </row>
    <row r="31" spans="1:26" s="63" customFormat="1" ht="15" customHeight="1" x14ac:dyDescent="0.3">
      <c r="A31" s="11"/>
      <c r="B31" s="27" t="s">
        <v>294</v>
      </c>
      <c r="C31" s="27"/>
      <c r="D31" s="34" t="e">
        <f ca="1">+D27-D29</f>
        <v>#NAME?</v>
      </c>
      <c r="E31" s="15"/>
      <c r="F31" s="29" t="e">
        <f ca="1">IF(D$12=0,0,D31/D$12)</f>
        <v>#NAME?</v>
      </c>
      <c r="G31" s="15"/>
      <c r="H31" s="34" t="e">
        <f ca="1">+H27-H29</f>
        <v>#NAME?</v>
      </c>
      <c r="I31" s="15"/>
      <c r="J31" s="29" t="e">
        <f ca="1">IF(H$12=0,0,H31/H$12)</f>
        <v>#NAME?</v>
      </c>
      <c r="K31" s="16"/>
      <c r="L31" s="34" t="e">
        <f ca="1">D31-H31</f>
        <v>#NAME?</v>
      </c>
      <c r="M31" s="16"/>
      <c r="N31" s="29" t="e">
        <f ca="1">IF(H31=0,0,L31/H31)</f>
        <v>#NAME?</v>
      </c>
      <c r="O31" s="28"/>
      <c r="P31" s="34" t="e">
        <f ca="1">+P27-P29</f>
        <v>#NAME?</v>
      </c>
      <c r="Q31" s="15"/>
      <c r="R31" s="29" t="e">
        <f ca="1">IF(P$12=0,0,P31/P$12)</f>
        <v>#NAME?</v>
      </c>
      <c r="S31" s="15"/>
      <c r="T31" s="34" t="e">
        <f ca="1">+T27-T29</f>
        <v>#NAME?</v>
      </c>
      <c r="U31" s="15"/>
      <c r="V31" s="29" t="e">
        <f ca="1">IF(T$12=0,0,T31/T$12)</f>
        <v>#NAME?</v>
      </c>
      <c r="W31" s="16"/>
      <c r="X31" s="34" t="e">
        <f ca="1">P31-T31</f>
        <v>#NAME?</v>
      </c>
      <c r="Y31" s="16"/>
      <c r="Z31" s="29" t="e">
        <f ca="1">IF(T31=0,0,X31/T31)</f>
        <v>#NAME?</v>
      </c>
    </row>
    <row r="32" spans="1:26" ht="15" customHeight="1" x14ac:dyDescent="0.3">
      <c r="A32" s="10"/>
      <c r="B32" s="10"/>
      <c r="C32" s="10"/>
      <c r="D32" s="4"/>
      <c r="E32" s="4"/>
      <c r="F32" s="9"/>
      <c r="G32" s="4"/>
      <c r="H32" s="4"/>
      <c r="I32" s="4"/>
      <c r="J32" s="9"/>
      <c r="K32" s="4"/>
      <c r="L32" s="4"/>
      <c r="M32" s="4"/>
      <c r="N32" s="9"/>
      <c r="P32" s="4"/>
      <c r="Q32" s="4"/>
      <c r="R32" s="9"/>
      <c r="S32" s="4"/>
      <c r="T32" s="4"/>
      <c r="U32" s="4"/>
      <c r="V32" s="9"/>
      <c r="W32" s="4"/>
      <c r="X32" s="4"/>
      <c r="Y32" s="4"/>
      <c r="Z32" s="9"/>
    </row>
    <row r="33" spans="1:26" s="63" customFormat="1" ht="15" customHeight="1" x14ac:dyDescent="0.3">
      <c r="A33" s="49"/>
      <c r="B33" s="11" t="s">
        <v>295</v>
      </c>
      <c r="C33" s="11"/>
      <c r="D33" s="5" t="e">
        <f ca="1">-_xll.ONESTOP.REPORTPLAYER.OSRFUNCTIONS.OSRGET("GL_F_Trans","Value1")</f>
        <v>#NAME?</v>
      </c>
      <c r="E33" s="5"/>
      <c r="F33" s="13" t="e">
        <f ca="1">IF(D$12=0,0,D33/D$12)</f>
        <v>#NAME?</v>
      </c>
      <c r="G33" s="5"/>
      <c r="H33" s="5" t="e">
        <f ca="1">-_xll.ONESTOP.REPORTPLAYER.OSRFUNCTIONS.OSRGET("GL_F_Trans","Value1")</f>
        <v>#NAME?</v>
      </c>
      <c r="I33" s="5"/>
      <c r="J33" s="13" t="e">
        <f ca="1">IF(H$12=0,0,H33/H$12)</f>
        <v>#NAME?</v>
      </c>
      <c r="K33" s="5"/>
      <c r="L33" s="5" t="e">
        <f ca="1">+D33-H33</f>
        <v>#NAME?</v>
      </c>
      <c r="M33" s="5"/>
      <c r="N33" s="13" t="e">
        <f ca="1">IF(H33=0,0,L33/H33)</f>
        <v>#NAME?</v>
      </c>
      <c r="O33" s="11"/>
      <c r="P33" s="5" t="e">
        <f ca="1">-_xll.ONESTOP.REPORTPLAYER.OSRFUNCTIONS.OSRGET("GL_F_Trans","Value1")</f>
        <v>#NAME?</v>
      </c>
      <c r="Q33" s="5"/>
      <c r="R33" s="13" t="e">
        <f ca="1">IF(P$12=0,0,P33/P$12)</f>
        <v>#NAME?</v>
      </c>
      <c r="S33" s="5"/>
      <c r="T33" s="5" t="e">
        <f ca="1">-_xll.ONESTOP.REPORTPLAYER.OSRFUNCTIONS.OSRGET("GL_F_Trans","Value1")</f>
        <v>#NAME?</v>
      </c>
      <c r="U33" s="5"/>
      <c r="V33" s="13" t="e">
        <f ca="1">IF(T$12=0,0,T33/T$12)</f>
        <v>#NAME?</v>
      </c>
      <c r="W33" s="5"/>
      <c r="X33" s="5" t="e">
        <f ca="1">+P33-T33</f>
        <v>#NAME?</v>
      </c>
      <c r="Y33" s="5"/>
      <c r="Z33" s="13" t="e">
        <f ca="1">IF(T33=0,0,X33/T33)</f>
        <v>#NAME?</v>
      </c>
    </row>
    <row r="34" spans="1:26" s="63" customFormat="1" ht="15" customHeight="1" x14ac:dyDescent="0.3">
      <c r="A34" s="49"/>
      <c r="B34" s="11" t="s">
        <v>296</v>
      </c>
      <c r="C34" s="11"/>
      <c r="D34" s="5" t="e">
        <f ca="1">-_xll.ONESTOP.REPORTPLAYER.OSRFUNCTIONS.OSRGET("GL_F_Trans","Value1")</f>
        <v>#NAME?</v>
      </c>
      <c r="E34" s="5"/>
      <c r="F34" s="13" t="e">
        <f ca="1">IF(D$12=0,0,D34/D$12)</f>
        <v>#NAME?</v>
      </c>
      <c r="G34" s="5"/>
      <c r="H34" s="5" t="e">
        <f ca="1">-_xll.ONESTOP.REPORTPLAYER.OSRFUNCTIONS.OSRGET("GL_F_Trans","Value1")</f>
        <v>#NAME?</v>
      </c>
      <c r="I34" s="5"/>
      <c r="J34" s="13" t="e">
        <f ca="1">IF(H$12=0,0,H34/H$12)</f>
        <v>#NAME?</v>
      </c>
      <c r="K34" s="5"/>
      <c r="L34" s="5" t="e">
        <f ca="1">+D34-H34</f>
        <v>#NAME?</v>
      </c>
      <c r="M34" s="5"/>
      <c r="N34" s="13" t="e">
        <f ca="1">IF(H34=0,0,L34/H34)</f>
        <v>#NAME?</v>
      </c>
      <c r="O34" s="11"/>
      <c r="P34" s="5" t="e">
        <f ca="1">-_xll.ONESTOP.REPORTPLAYER.OSRFUNCTIONS.OSRGET("GL_F_Trans","Value1")</f>
        <v>#NAME?</v>
      </c>
      <c r="Q34" s="5"/>
      <c r="R34" s="13" t="e">
        <f ca="1">IF(P$12=0,0,P34/P$12)</f>
        <v>#NAME?</v>
      </c>
      <c r="S34" s="5"/>
      <c r="T34" s="5" t="e">
        <f ca="1">-_xll.ONESTOP.REPORTPLAYER.OSRFUNCTIONS.OSRGET("GL_F_Trans","Value1")</f>
        <v>#NAME?</v>
      </c>
      <c r="U34" s="5"/>
      <c r="V34" s="13" t="e">
        <f ca="1">IF(T$12=0,0,T34/T$12)</f>
        <v>#NAME?</v>
      </c>
      <c r="W34" s="5"/>
      <c r="X34" s="5" t="e">
        <f ca="1">+P34-T34</f>
        <v>#NAME?</v>
      </c>
      <c r="Y34" s="5"/>
      <c r="Z34" s="13" t="e">
        <f ca="1">IF(T34=0,0,X34/T34)</f>
        <v>#NAME?</v>
      </c>
    </row>
    <row r="35" spans="1:26" ht="15" customHeight="1" x14ac:dyDescent="0.3">
      <c r="A35" s="10"/>
      <c r="B35" s="10"/>
      <c r="C35" s="10"/>
      <c r="D35" s="4"/>
      <c r="E35" s="4"/>
      <c r="F35" s="9"/>
      <c r="G35" s="4"/>
      <c r="H35" s="4"/>
      <c r="I35" s="4"/>
      <c r="J35" s="9"/>
      <c r="K35" s="4"/>
      <c r="L35" s="4"/>
      <c r="M35" s="4"/>
      <c r="N35" s="9"/>
      <c r="P35" s="4"/>
      <c r="Q35" s="4"/>
      <c r="R35" s="9"/>
      <c r="S35" s="4"/>
      <c r="T35" s="4"/>
      <c r="U35" s="4"/>
      <c r="V35" s="9"/>
      <c r="W35" s="4"/>
      <c r="X35" s="4"/>
      <c r="Y35" s="4"/>
      <c r="Z35" s="9"/>
    </row>
    <row r="36" spans="1:26" s="63" customFormat="1" ht="15" customHeight="1" x14ac:dyDescent="0.3">
      <c r="A36" s="11"/>
      <c r="B36" s="27" t="s">
        <v>297</v>
      </c>
      <c r="C36" s="27"/>
      <c r="D36" s="32" t="e">
        <f ca="1">SUM(D31:D35)</f>
        <v>#NAME?</v>
      </c>
      <c r="E36" s="15"/>
      <c r="F36" s="31" t="e">
        <f ca="1">IF(D$12=0,0,D36/D$12)</f>
        <v>#NAME?</v>
      </c>
      <c r="G36" s="15"/>
      <c r="H36" s="32" t="e">
        <f ca="1">SUM(H31:H35)</f>
        <v>#NAME?</v>
      </c>
      <c r="I36" s="15"/>
      <c r="J36" s="31" t="e">
        <f ca="1">IF(H$12=0,0,H36/H$12)</f>
        <v>#NAME?</v>
      </c>
      <c r="K36" s="16"/>
      <c r="L36" s="32" t="e">
        <f ca="1">+D36-H36</f>
        <v>#NAME?</v>
      </c>
      <c r="M36" s="16"/>
      <c r="N36" s="31" t="e">
        <f ca="1">IF(H36=0,0,L36/H36)</f>
        <v>#NAME?</v>
      </c>
      <c r="O36" s="28"/>
      <c r="P36" s="32" t="e">
        <f ca="1">SUM(P31:P35)</f>
        <v>#NAME?</v>
      </c>
      <c r="Q36" s="15"/>
      <c r="R36" s="31" t="e">
        <f ca="1">IF(P$12=0,0,P36/P$12)</f>
        <v>#NAME?</v>
      </c>
      <c r="S36" s="15"/>
      <c r="T36" s="32" t="e">
        <f ca="1">SUM(T31:T35)</f>
        <v>#NAME?</v>
      </c>
      <c r="U36" s="15"/>
      <c r="V36" s="31" t="e">
        <f ca="1">IF(T$12=0,0,T36/T$12)</f>
        <v>#NAME?</v>
      </c>
      <c r="W36" s="16"/>
      <c r="X36" s="32" t="e">
        <f ca="1">+P36-T36</f>
        <v>#NAME?</v>
      </c>
      <c r="Y36" s="16"/>
      <c r="Z36" s="31" t="e">
        <f ca="1">IF(T36=0,0,X36/T36)</f>
        <v>#NAME?</v>
      </c>
    </row>
    <row r="37" spans="1:26" ht="15" customHeight="1" x14ac:dyDescent="0.3">
      <c r="A37" s="10"/>
      <c r="C37" s="10"/>
      <c r="D37" s="19"/>
      <c r="E37" s="19"/>
      <c r="G37" s="19"/>
      <c r="H37" s="19"/>
      <c r="I37" s="19"/>
      <c r="J37" s="40"/>
      <c r="K37" s="19"/>
      <c r="L37" s="19"/>
      <c r="M37" s="19"/>
      <c r="P37" s="19"/>
      <c r="Q37" s="19"/>
      <c r="R37" s="40"/>
      <c r="S37" s="19"/>
      <c r="T37" s="19"/>
      <c r="U37" s="19"/>
      <c r="V37" s="40"/>
      <c r="W37" s="19"/>
      <c r="X37" s="19"/>
    </row>
    <row r="38" spans="1:26" ht="15" customHeight="1" x14ac:dyDescent="0.3">
      <c r="A38" s="10"/>
      <c r="B38" s="51" t="e">
        <f ca="1">_xll.ONESTOP.REPORTPLAYER.OSRFUNCTIONS.OSRGET("CurrentDate","Date")</f>
        <v>#NAME?</v>
      </c>
      <c r="D38" s="19"/>
      <c r="E38" s="19"/>
      <c r="G38" s="19"/>
      <c r="H38" s="19"/>
      <c r="I38" s="19"/>
      <c r="J38" s="40"/>
      <c r="K38" s="19"/>
      <c r="L38" s="19"/>
      <c r="M38" s="19"/>
      <c r="P38" s="19"/>
      <c r="Q38" s="19"/>
      <c r="R38" s="40"/>
      <c r="S38" s="19"/>
      <c r="T38" s="19"/>
      <c r="U38" s="19"/>
      <c r="V38" s="40"/>
      <c r="W38" s="19"/>
      <c r="X38" s="19"/>
    </row>
    <row r="39" spans="1:26" ht="15" customHeight="1" x14ac:dyDescent="0.3">
      <c r="A39" s="10"/>
      <c r="B39" s="58" t="e">
        <f ca="1">_xll.ONESTOP.REPORTPLAYER.OSRFUNCTIONS.OSRGET("User","UserId")</f>
        <v>#NAME?</v>
      </c>
      <c r="D39" s="19"/>
      <c r="E39" s="19"/>
      <c r="G39" s="19"/>
      <c r="H39" s="19"/>
      <c r="I39" s="19"/>
      <c r="J39" s="40"/>
      <c r="K39" s="19"/>
      <c r="L39" s="19"/>
      <c r="M39" s="19"/>
      <c r="P39" s="19"/>
      <c r="Q39" s="19"/>
      <c r="R39" s="40"/>
      <c r="S39" s="19"/>
      <c r="T39" s="19"/>
      <c r="U39" s="19"/>
      <c r="V39" s="40"/>
      <c r="W39" s="19"/>
      <c r="X39" s="19"/>
    </row>
    <row r="40" spans="1:26" ht="15" customHeight="1" x14ac:dyDescent="0.3">
      <c r="A40" s="10"/>
      <c r="B40" s="50"/>
      <c r="D40" s="19"/>
      <c r="E40" s="19"/>
      <c r="G40" s="19"/>
      <c r="H40" s="19"/>
      <c r="I40" s="19"/>
      <c r="J40" s="40"/>
      <c r="K40" s="19"/>
      <c r="L40" s="19"/>
      <c r="M40" s="19"/>
      <c r="P40" s="19"/>
      <c r="Q40" s="19"/>
      <c r="R40" s="40"/>
      <c r="S40" s="19"/>
      <c r="T40" s="19"/>
      <c r="U40" s="19"/>
      <c r="V40" s="40"/>
      <c r="W40" s="19"/>
      <c r="X40" s="19"/>
    </row>
    <row r="41" spans="1:26" ht="15" customHeight="1" x14ac:dyDescent="0.3">
      <c r="D41" s="19"/>
      <c r="E41" s="19"/>
      <c r="G41" s="19"/>
      <c r="H41" s="19"/>
      <c r="I41" s="19"/>
      <c r="J41" s="40"/>
      <c r="K41" s="19"/>
      <c r="L41" s="19"/>
      <c r="M41" s="19"/>
      <c r="P41" s="19"/>
      <c r="Q41" s="19"/>
      <c r="R41" s="40"/>
      <c r="S41" s="19"/>
      <c r="T41" s="19"/>
      <c r="U41" s="19"/>
      <c r="V41" s="40"/>
      <c r="W41" s="19"/>
      <c r="X41" s="19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2FF405-8021-D81F-B3BB-A49800857814}">
  <sheetPr>
    <tabColor theme="5" tint="0.39997558519241921"/>
    <outlinePr summaryBelow="0" summaryRight="0"/>
  </sheetPr>
  <dimension ref="A2:Z171"/>
  <sheetViews>
    <sheetView showGridLines="0" defaultGridColor="0" colorId="8"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6" customWidth="1"/>
    <col min="2" max="2" width="33.44140625" style="66" customWidth="1"/>
    <col min="3" max="3" width="1.88671875" style="66" customWidth="1"/>
    <col min="4" max="4" width="15" style="66" customWidth="1"/>
    <col min="5" max="5" width="1.88671875" style="66" customWidth="1" outlineLevel="1"/>
    <col min="6" max="6" width="15" style="67" customWidth="1" outlineLevel="1"/>
    <col min="7" max="7" width="1.88671875" style="66" customWidth="1" outlineLevel="1"/>
    <col min="8" max="8" width="15" style="66" customWidth="1" outlineLevel="1"/>
    <col min="9" max="9" width="1.88671875" style="66" customWidth="1" outlineLevel="1"/>
    <col min="10" max="10" width="15" style="68" customWidth="1" outlineLevel="1"/>
    <col min="11" max="11" width="1.88671875" style="66" customWidth="1" outlineLevel="1"/>
    <col min="12" max="12" width="15" style="66" customWidth="1" outlineLevel="1"/>
    <col min="13" max="13" width="1.88671875" style="66" customWidth="1" outlineLevel="1"/>
    <col min="14" max="14" width="15" style="67" customWidth="1" outlineLevel="1"/>
    <col min="15" max="15" width="1.88671875" style="64" customWidth="1"/>
    <col min="16" max="16" width="15" style="66" customWidth="1"/>
    <col min="17" max="17" width="1.88671875" style="66" customWidth="1" outlineLevel="1"/>
    <col min="18" max="18" width="15" style="68" customWidth="1" outlineLevel="1"/>
    <col min="19" max="19" width="1.88671875" style="66" customWidth="1" outlineLevel="1"/>
    <col min="20" max="20" width="15" style="66" customWidth="1" outlineLevel="1"/>
    <col min="21" max="21" width="1.88671875" style="66" customWidth="1" outlineLevel="1"/>
    <col min="22" max="22" width="15" style="68" customWidth="1" outlineLevel="1"/>
    <col min="23" max="23" width="1.88671875" style="66" customWidth="1" outlineLevel="1"/>
    <col min="24" max="24" width="15" style="66" customWidth="1" outlineLevel="1"/>
    <col min="25" max="25" width="1.88671875" style="66" customWidth="1" outlineLevel="1"/>
    <col min="26" max="26" width="15" style="68" customWidth="1" outlineLevel="1"/>
  </cols>
  <sheetData>
    <row r="2" spans="1:26" ht="15" customHeight="1" x14ac:dyDescent="0.3">
      <c r="D2" s="54" t="s">
        <v>276</v>
      </c>
    </row>
    <row r="3" spans="1:26" ht="15" customHeight="1" x14ac:dyDescent="0.3">
      <c r="D3" s="54" t="s">
        <v>277</v>
      </c>
      <c r="E3" s="18"/>
      <c r="F3" s="44"/>
      <c r="G3" s="18"/>
      <c r="H3" s="18"/>
      <c r="I3" s="18"/>
      <c r="J3" s="38"/>
      <c r="K3" s="18"/>
      <c r="L3" s="18"/>
      <c r="M3" s="18"/>
      <c r="N3" s="44"/>
      <c r="O3" s="53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ht="15" customHeight="1" x14ac:dyDescent="0.3">
      <c r="D4" s="54" t="str">
        <f>CONCATENATE("Period ",RIGHT(202209,2),", ",2022)</f>
        <v>Period 09, 2022</v>
      </c>
      <c r="E4" s="18"/>
      <c r="F4" s="44"/>
      <c r="G4" s="18"/>
      <c r="H4" s="18"/>
      <c r="I4" s="18"/>
      <c r="J4" s="38"/>
      <c r="K4" s="18"/>
      <c r="L4" s="18"/>
      <c r="M4" s="18"/>
      <c r="N4" s="44"/>
      <c r="O4" s="53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ht="15" customHeight="1" x14ac:dyDescent="0.3">
      <c r="A5" s="24"/>
      <c r="D5" s="60">
        <v>44646</v>
      </c>
      <c r="E5" s="18"/>
      <c r="F5" s="44"/>
      <c r="G5" s="18"/>
      <c r="H5" s="18"/>
      <c r="I5" s="18"/>
      <c r="J5" s="38"/>
      <c r="K5" s="18"/>
      <c r="L5" s="18"/>
      <c r="M5" s="18"/>
      <c r="N5" s="44"/>
      <c r="O5" s="53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ht="15" customHeight="1" x14ac:dyDescent="0.3">
      <c r="A6" s="24"/>
      <c r="B6" s="47"/>
      <c r="C6" s="47"/>
      <c r="D6" s="24" t="s">
        <v>303</v>
      </c>
      <c r="E6" s="18"/>
      <c r="F6" s="44"/>
      <c r="G6" s="18"/>
      <c r="H6" s="18"/>
      <c r="I6" s="18"/>
      <c r="J6" s="38"/>
      <c r="K6" s="18"/>
      <c r="L6" s="18"/>
      <c r="M6" s="18"/>
      <c r="N6" s="44"/>
      <c r="O6" s="59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ht="15" customHeight="1" x14ac:dyDescent="0.3">
      <c r="B7" s="52"/>
    </row>
    <row r="8" spans="1:26" ht="15" customHeight="1" x14ac:dyDescent="0.3">
      <c r="B8" s="52"/>
    </row>
    <row r="9" spans="1:26" ht="15" customHeight="1" x14ac:dyDescent="0.3">
      <c r="B9" s="10"/>
      <c r="C9" s="10"/>
      <c r="D9" s="17" t="s">
        <v>279</v>
      </c>
      <c r="E9" s="17"/>
      <c r="F9" s="36"/>
      <c r="G9" s="17"/>
      <c r="H9" s="17"/>
      <c r="I9" s="17"/>
      <c r="J9" s="43"/>
      <c r="K9" s="17"/>
      <c r="L9" s="17"/>
      <c r="M9" s="17"/>
      <c r="N9" s="36"/>
      <c r="P9" s="17" t="s">
        <v>280</v>
      </c>
      <c r="Q9" s="17"/>
      <c r="R9" s="36"/>
      <c r="S9" s="17"/>
      <c r="T9" s="17"/>
      <c r="U9" s="17"/>
      <c r="V9" s="43"/>
      <c r="W9" s="17"/>
      <c r="X9" s="17"/>
      <c r="Y9" s="17"/>
      <c r="Z9" s="36"/>
    </row>
    <row r="10" spans="1:26" ht="15" customHeight="1" x14ac:dyDescent="0.3">
      <c r="A10" s="11"/>
      <c r="B10" s="57"/>
      <c r="C10" s="11"/>
      <c r="D10" s="41" t="s">
        <v>281</v>
      </c>
      <c r="E10" s="33"/>
      <c r="F10" s="37" t="s">
        <v>282</v>
      </c>
      <c r="G10" s="33"/>
      <c r="H10" s="48" t="s">
        <v>283</v>
      </c>
      <c r="I10" s="33"/>
      <c r="J10" s="45" t="s">
        <v>284</v>
      </c>
      <c r="K10" s="11"/>
      <c r="L10" s="41" t="s">
        <v>285</v>
      </c>
      <c r="M10" s="11"/>
      <c r="N10" s="37" t="s">
        <v>286</v>
      </c>
      <c r="O10" s="11"/>
      <c r="P10" s="56" t="s">
        <v>281</v>
      </c>
      <c r="Q10" s="33"/>
      <c r="R10" s="37" t="s">
        <v>282</v>
      </c>
      <c r="S10" s="33"/>
      <c r="T10" s="48" t="s">
        <v>283</v>
      </c>
      <c r="U10" s="33"/>
      <c r="V10" s="45" t="s">
        <v>284</v>
      </c>
      <c r="W10" s="11"/>
      <c r="X10" s="41" t="s">
        <v>285</v>
      </c>
      <c r="Y10" s="11"/>
      <c r="Z10" s="37" t="s">
        <v>286</v>
      </c>
    </row>
    <row r="11" spans="1:26" ht="16.5" customHeight="1" x14ac:dyDescent="0.3">
      <c r="A11" s="10"/>
      <c r="B11" s="55"/>
      <c r="C11" s="10"/>
      <c r="D11" s="10"/>
      <c r="E11" s="10"/>
      <c r="F11" s="9"/>
      <c r="G11" s="10"/>
      <c r="H11" s="10"/>
      <c r="I11" s="10"/>
      <c r="J11" s="46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6"/>
      <c r="W11" s="10"/>
      <c r="X11" s="10"/>
      <c r="Y11" s="10"/>
      <c r="Z11" s="9"/>
    </row>
    <row r="12" spans="1:26" s="63" customFormat="1" ht="15" customHeight="1" collapsed="1" x14ac:dyDescent="0.3">
      <c r="A12" s="11"/>
      <c r="B12" s="28" t="s">
        <v>287</v>
      </c>
      <c r="C12" s="11"/>
      <c r="D12" s="5">
        <f>SUM(OSRRefD13x_0)</f>
        <v>1049578.45</v>
      </c>
      <c r="E12" s="5"/>
      <c r="F12" s="13"/>
      <c r="G12" s="5"/>
      <c r="H12" s="5">
        <f>SUM(OSRRefH13x_0)</f>
        <v>469219</v>
      </c>
      <c r="I12" s="5"/>
      <c r="J12" s="13"/>
      <c r="K12" s="5"/>
      <c r="L12" s="5">
        <f t="shared" ref="L12:L19" si="0">+D12-H12</f>
        <v>580359.44999999995</v>
      </c>
      <c r="M12" s="5"/>
      <c r="N12" s="13">
        <f t="shared" ref="N12:N19" si="1">IF(H12=0,0,L12/H12)</f>
        <v>1.2368626377022243</v>
      </c>
      <c r="O12" s="11"/>
      <c r="P12" s="5">
        <f>SUM(OSRRefP13x_0)</f>
        <v>7538705.2200000007</v>
      </c>
      <c r="Q12" s="5"/>
      <c r="R12" s="13"/>
      <c r="S12" s="5"/>
      <c r="T12" s="5">
        <f>SUM(OSRRefT13x_0)</f>
        <v>9442044</v>
      </c>
      <c r="U12" s="5"/>
      <c r="V12" s="13"/>
      <c r="W12" s="5"/>
      <c r="X12" s="5">
        <f t="shared" ref="X12:X19" si="2">+P12-T12</f>
        <v>-1903338.7799999993</v>
      </c>
      <c r="Y12" s="5"/>
      <c r="Z12" s="13">
        <f t="shared" ref="Z12:Z19" si="3">IF(T12=0,0,X12/T12)</f>
        <v>-0.20158122330292036</v>
      </c>
    </row>
    <row r="13" spans="1:26" s="70" customFormat="1" ht="15" hidden="1" customHeight="1" outlineLevel="1" x14ac:dyDescent="0.3">
      <c r="A13" s="42"/>
      <c r="B13" s="12" t="str">
        <f>CONCATENATE("          ","4000"," - ","TAXABLE SALES")</f>
        <v xml:space="preserve">          4000 - TAXABLE SALES</v>
      </c>
      <c r="C13" s="12"/>
      <c r="D13" s="3">
        <f>--956973.18</f>
        <v>956973.18</v>
      </c>
      <c r="E13" s="3"/>
      <c r="F13" s="20"/>
      <c r="G13" s="3"/>
      <c r="H13" s="3">
        <v>400504</v>
      </c>
      <c r="I13" s="3"/>
      <c r="J13" s="20"/>
      <c r="K13" s="3"/>
      <c r="L13" s="3">
        <f t="shared" si="0"/>
        <v>556469.18000000005</v>
      </c>
      <c r="M13" s="3"/>
      <c r="N13" s="20">
        <f t="shared" si="1"/>
        <v>1.3894222779298087</v>
      </c>
      <c r="O13" s="12"/>
      <c r="P13" s="3">
        <f>--6420091.27</f>
        <v>6420091.2699999996</v>
      </c>
      <c r="Q13" s="3"/>
      <c r="R13" s="20"/>
      <c r="S13" s="3"/>
      <c r="T13" s="3">
        <v>9041631</v>
      </c>
      <c r="U13" s="3"/>
      <c r="V13" s="20"/>
      <c r="W13" s="3"/>
      <c r="X13" s="3">
        <f t="shared" si="2"/>
        <v>-2621539.7300000004</v>
      </c>
      <c r="Y13" s="3"/>
      <c r="Z13" s="20">
        <f t="shared" si="3"/>
        <v>-0.2899410217028322</v>
      </c>
    </row>
    <row r="14" spans="1:26" s="70" customFormat="1" ht="15" hidden="1" customHeight="1" outlineLevel="1" x14ac:dyDescent="0.3">
      <c r="A14" s="42"/>
      <c r="B14" s="12" t="str">
        <f>CONCATENATE("          ","4100"," - ","NON-TAXABLE SALES")</f>
        <v xml:space="preserve">          4100 - NON-TAXABLE SALES</v>
      </c>
      <c r="C14" s="12"/>
      <c r="D14" s="3">
        <f>--177551.92</f>
        <v>177551.92</v>
      </c>
      <c r="E14" s="3"/>
      <c r="F14" s="20"/>
      <c r="G14" s="3"/>
      <c r="H14" s="3">
        <v>68715</v>
      </c>
      <c r="I14" s="3"/>
      <c r="J14" s="20"/>
      <c r="K14" s="3"/>
      <c r="L14" s="3">
        <f t="shared" si="0"/>
        <v>108836.92000000001</v>
      </c>
      <c r="M14" s="3"/>
      <c r="N14" s="20">
        <f t="shared" si="1"/>
        <v>1.5838888161245728</v>
      </c>
      <c r="O14" s="12"/>
      <c r="P14" s="3">
        <f>--1674959.45</f>
        <v>1674959.45</v>
      </c>
      <c r="Q14" s="3"/>
      <c r="R14" s="20"/>
      <c r="S14" s="3"/>
      <c r="T14" s="3">
        <v>400413</v>
      </c>
      <c r="U14" s="3"/>
      <c r="V14" s="20"/>
      <c r="W14" s="3"/>
      <c r="X14" s="3">
        <f t="shared" si="2"/>
        <v>1274546.45</v>
      </c>
      <c r="Y14" s="3"/>
      <c r="Z14" s="20">
        <f t="shared" si="3"/>
        <v>3.1830795953178344</v>
      </c>
    </row>
    <row r="15" spans="1:26" s="70" customFormat="1" ht="15" hidden="1" customHeight="1" outlineLevel="1" x14ac:dyDescent="0.3">
      <c r="A15" s="42"/>
      <c r="B15" s="12" t="str">
        <f>CONCATENATE("          ","4141"," - ","NON-TAXABLE SALES-LOGO GIFTS")</f>
        <v xml:space="preserve">          4141 - NON-TAXABLE SALES-LOGO GIFTS</v>
      </c>
      <c r="C15" s="12"/>
      <c r="D15" s="3">
        <f>0</f>
        <v>0</v>
      </c>
      <c r="E15" s="3"/>
      <c r="F15" s="20"/>
      <c r="G15" s="3"/>
      <c r="H15" s="3"/>
      <c r="I15" s="3"/>
      <c r="J15" s="20"/>
      <c r="K15" s="3"/>
      <c r="L15" s="3">
        <f t="shared" si="0"/>
        <v>0</v>
      </c>
      <c r="M15" s="3"/>
      <c r="N15" s="20">
        <f t="shared" si="1"/>
        <v>0</v>
      </c>
      <c r="O15" s="12"/>
      <c r="P15" s="3">
        <f>0</f>
        <v>0</v>
      </c>
      <c r="Q15" s="3"/>
      <c r="R15" s="20"/>
      <c r="S15" s="3"/>
      <c r="T15" s="3"/>
      <c r="U15" s="3"/>
      <c r="V15" s="20"/>
      <c r="W15" s="3"/>
      <c r="X15" s="3">
        <f t="shared" si="2"/>
        <v>0</v>
      </c>
      <c r="Y15" s="3"/>
      <c r="Z15" s="20">
        <f t="shared" si="3"/>
        <v>0</v>
      </c>
    </row>
    <row r="16" spans="1:26" s="70" customFormat="1" ht="15" hidden="1" customHeight="1" outlineLevel="1" x14ac:dyDescent="0.3">
      <c r="A16" s="42"/>
      <c r="B16" s="12" t="str">
        <f>CONCATENATE("          ","4146"," - ","NON-TAXABLE SALES-COIN OP MACH")</f>
        <v xml:space="preserve">          4146 - NON-TAXABLE SALES-COIN OP MACH</v>
      </c>
      <c r="C16" s="12"/>
      <c r="D16" s="3">
        <f>0</f>
        <v>0</v>
      </c>
      <c r="E16" s="3"/>
      <c r="F16" s="20"/>
      <c r="G16" s="3"/>
      <c r="H16" s="3"/>
      <c r="I16" s="3"/>
      <c r="J16" s="20"/>
      <c r="K16" s="3"/>
      <c r="L16" s="3">
        <f t="shared" si="0"/>
        <v>0</v>
      </c>
      <c r="M16" s="3"/>
      <c r="N16" s="20">
        <f t="shared" si="1"/>
        <v>0</v>
      </c>
      <c r="O16" s="12"/>
      <c r="P16" s="3">
        <f>0</f>
        <v>0</v>
      </c>
      <c r="Q16" s="3"/>
      <c r="R16" s="20"/>
      <c r="S16" s="3"/>
      <c r="T16" s="3"/>
      <c r="U16" s="3"/>
      <c r="V16" s="20"/>
      <c r="W16" s="3"/>
      <c r="X16" s="3">
        <f t="shared" si="2"/>
        <v>0</v>
      </c>
      <c r="Y16" s="3"/>
      <c r="Z16" s="20">
        <f t="shared" si="3"/>
        <v>0</v>
      </c>
    </row>
    <row r="17" spans="1:26" s="70" customFormat="1" ht="15" hidden="1" customHeight="1" outlineLevel="1" x14ac:dyDescent="0.3">
      <c r="A17" s="42"/>
      <c r="B17" s="12" t="str">
        <f>CONCATENATE("          ","4200"," - ","TAXABLE RETURNS")</f>
        <v xml:space="preserve">          4200 - TAXABLE RETURNS</v>
      </c>
      <c r="C17" s="12"/>
      <c r="D17" s="3">
        <f>-75345.79</f>
        <v>-75345.789999999994</v>
      </c>
      <c r="E17" s="3"/>
      <c r="F17" s="20"/>
      <c r="G17" s="3"/>
      <c r="H17" s="3"/>
      <c r="I17" s="3"/>
      <c r="J17" s="20"/>
      <c r="K17" s="3"/>
      <c r="L17" s="3">
        <f t="shared" si="0"/>
        <v>-75345.789999999994</v>
      </c>
      <c r="M17" s="3"/>
      <c r="N17" s="20">
        <f t="shared" si="1"/>
        <v>0</v>
      </c>
      <c r="O17" s="12"/>
      <c r="P17" s="3">
        <f>-430918.22</f>
        <v>-430918.22</v>
      </c>
      <c r="Q17" s="3"/>
      <c r="R17" s="20"/>
      <c r="S17" s="3"/>
      <c r="T17" s="3"/>
      <c r="U17" s="3"/>
      <c r="V17" s="20"/>
      <c r="W17" s="3"/>
      <c r="X17" s="3">
        <f t="shared" si="2"/>
        <v>-430918.22</v>
      </c>
      <c r="Y17" s="3"/>
      <c r="Z17" s="20">
        <f t="shared" si="3"/>
        <v>0</v>
      </c>
    </row>
    <row r="18" spans="1:26" s="70" customFormat="1" ht="15" hidden="1" customHeight="1" outlineLevel="1" x14ac:dyDescent="0.3">
      <c r="A18" s="42"/>
      <c r="B18" s="12" t="str">
        <f>CONCATENATE("          ","4300"," - ","NON-TAX RETURNS")</f>
        <v xml:space="preserve">          4300 - NON-TAX RETURNS</v>
      </c>
      <c r="C18" s="12"/>
      <c r="D18" s="3">
        <f>0</f>
        <v>0</v>
      </c>
      <c r="E18" s="3"/>
      <c r="F18" s="20"/>
      <c r="G18" s="3"/>
      <c r="H18" s="3"/>
      <c r="I18" s="3"/>
      <c r="J18" s="20"/>
      <c r="K18" s="3"/>
      <c r="L18" s="3">
        <f t="shared" si="0"/>
        <v>0</v>
      </c>
      <c r="M18" s="3"/>
      <c r="N18" s="20">
        <f t="shared" si="1"/>
        <v>0</v>
      </c>
      <c r="O18" s="12"/>
      <c r="P18" s="3">
        <f>-32361.72</f>
        <v>-32361.72</v>
      </c>
      <c r="Q18" s="3"/>
      <c r="R18" s="20"/>
      <c r="S18" s="3"/>
      <c r="T18" s="3"/>
      <c r="U18" s="3"/>
      <c r="V18" s="20"/>
      <c r="W18" s="3"/>
      <c r="X18" s="3">
        <f t="shared" si="2"/>
        <v>-32361.72</v>
      </c>
      <c r="Y18" s="3"/>
      <c r="Z18" s="20">
        <f t="shared" si="3"/>
        <v>0</v>
      </c>
    </row>
    <row r="19" spans="1:26" s="70" customFormat="1" ht="15" hidden="1" customHeight="1" outlineLevel="1" x14ac:dyDescent="0.3">
      <c r="A19" s="42"/>
      <c r="B19" s="12" t="str">
        <f>CONCATENATE("          ","4500"," - ","SALES DISCOUNT")</f>
        <v xml:space="preserve">          4500 - SALES DISCOUNT</v>
      </c>
      <c r="C19" s="12"/>
      <c r="D19" s="3">
        <f>-9600.86</f>
        <v>-9600.86</v>
      </c>
      <c r="E19" s="3"/>
      <c r="F19" s="20"/>
      <c r="G19" s="3"/>
      <c r="H19" s="3"/>
      <c r="I19" s="3"/>
      <c r="J19" s="20"/>
      <c r="K19" s="3"/>
      <c r="L19" s="3">
        <f t="shared" si="0"/>
        <v>-9600.86</v>
      </c>
      <c r="M19" s="3"/>
      <c r="N19" s="20">
        <f t="shared" si="1"/>
        <v>0</v>
      </c>
      <c r="O19" s="12"/>
      <c r="P19" s="3">
        <f>-93065.56</f>
        <v>-93065.56</v>
      </c>
      <c r="Q19" s="3"/>
      <c r="R19" s="20"/>
      <c r="S19" s="3"/>
      <c r="T19" s="3"/>
      <c r="U19" s="3"/>
      <c r="V19" s="20"/>
      <c r="W19" s="3"/>
      <c r="X19" s="3">
        <f t="shared" si="2"/>
        <v>-93065.56</v>
      </c>
      <c r="Y19" s="3"/>
      <c r="Z19" s="20">
        <f t="shared" si="3"/>
        <v>0</v>
      </c>
    </row>
    <row r="20" spans="1:26" ht="15" customHeight="1" x14ac:dyDescent="0.3">
      <c r="A20" s="10"/>
      <c r="B20" s="11"/>
      <c r="C20" s="10"/>
      <c r="D20" s="4"/>
      <c r="E20" s="4"/>
      <c r="F20" s="9"/>
      <c r="G20" s="4"/>
      <c r="H20" s="4"/>
      <c r="I20" s="4"/>
      <c r="J20" s="9"/>
      <c r="K20" s="4"/>
      <c r="L20" s="4"/>
      <c r="M20" s="4"/>
      <c r="N20" s="9"/>
      <c r="P20" s="4"/>
      <c r="Q20" s="4"/>
      <c r="R20" s="9"/>
      <c r="S20" s="4"/>
      <c r="T20" s="4"/>
      <c r="U20" s="4"/>
      <c r="V20" s="9"/>
      <c r="W20" s="4"/>
      <c r="X20" s="4"/>
      <c r="Y20" s="4"/>
      <c r="Z20" s="9"/>
    </row>
    <row r="21" spans="1:26" s="63" customFormat="1" ht="15" customHeight="1" collapsed="1" x14ac:dyDescent="0.3">
      <c r="A21" s="11"/>
      <c r="B21" s="28" t="s">
        <v>288</v>
      </c>
      <c r="C21" s="11"/>
      <c r="D21" s="5">
        <f>SUM(OSRRefD16x_0)</f>
        <v>629996.12</v>
      </c>
      <c r="E21" s="5"/>
      <c r="F21" s="13">
        <f t="shared" ref="F21:F54" si="4">IF(D$12=0,0,D21/D$12)</f>
        <v>0.60023728574076574</v>
      </c>
      <c r="G21" s="5"/>
      <c r="H21" s="5">
        <f>SUM(OSRRefH16x_0)</f>
        <v>255734</v>
      </c>
      <c r="I21" s="5"/>
      <c r="J21" s="13">
        <f t="shared" ref="J21:J54" si="5">IF(H$12=0,0,H21/H$12)</f>
        <v>0.5450205554336035</v>
      </c>
      <c r="K21" s="5"/>
      <c r="L21" s="5">
        <f t="shared" ref="L21:L54" si="6">+D21-H21</f>
        <v>374262.12</v>
      </c>
      <c r="M21" s="5"/>
      <c r="N21" s="13">
        <f t="shared" ref="N21:N54" si="7">IF(H21=0,0,L21/H21)</f>
        <v>1.4634820555733692</v>
      </c>
      <c r="O21" s="11"/>
      <c r="P21" s="5">
        <f>SUM(OSRRefP16x_0)</f>
        <v>4796307.67</v>
      </c>
      <c r="Q21" s="5"/>
      <c r="R21" s="13">
        <f t="shared" ref="R21:R54" si="8">IF(P$12=0,0,P21/P$12)</f>
        <v>0.63622432898364467</v>
      </c>
      <c r="S21" s="5"/>
      <c r="T21" s="5">
        <f>SUM(OSRRefT16x_0)</f>
        <v>6283563</v>
      </c>
      <c r="U21" s="5"/>
      <c r="V21" s="13">
        <f t="shared" ref="V21:V54" si="9">IF(T$12=0,0,T21/T$12)</f>
        <v>0.66548757874883868</v>
      </c>
      <c r="W21" s="5"/>
      <c r="X21" s="5">
        <f t="shared" ref="X21:X54" si="10">+P21-T21</f>
        <v>-1487255.33</v>
      </c>
      <c r="Y21" s="5"/>
      <c r="Z21" s="13">
        <f t="shared" ref="Z21:Z54" si="11">IF(T21=0,0,X21/T21)</f>
        <v>-0.23668980958733127</v>
      </c>
    </row>
    <row r="22" spans="1:26" s="70" customFormat="1" ht="15" hidden="1" customHeight="1" outlineLevel="1" x14ac:dyDescent="0.3">
      <c r="A22" s="42"/>
      <c r="B22" s="12" t="str">
        <f>CONCATENATE("          ","5000"," - ","PURCHASES @ COST")</f>
        <v xml:space="preserve">          5000 - PURCHASES @ COST</v>
      </c>
      <c r="C22" s="12"/>
      <c r="D22" s="3">
        <v>491484.13</v>
      </c>
      <c r="E22" s="3"/>
      <c r="F22" s="20">
        <f t="shared" si="4"/>
        <v>0.46826812231139087</v>
      </c>
      <c r="G22" s="3"/>
      <c r="H22" s="3">
        <v>255734</v>
      </c>
      <c r="I22" s="3"/>
      <c r="J22" s="20">
        <f t="shared" si="5"/>
        <v>0.5450205554336035</v>
      </c>
      <c r="K22" s="3"/>
      <c r="L22" s="3">
        <f t="shared" si="6"/>
        <v>235750.13</v>
      </c>
      <c r="M22" s="3"/>
      <c r="N22" s="20">
        <f t="shared" si="7"/>
        <v>0.92185681215638127</v>
      </c>
      <c r="O22" s="12"/>
      <c r="P22" s="3">
        <v>5077169.03</v>
      </c>
      <c r="Q22" s="3"/>
      <c r="R22" s="20">
        <f t="shared" si="8"/>
        <v>0.67348024386606797</v>
      </c>
      <c r="S22" s="3"/>
      <c r="T22" s="3">
        <v>6283563</v>
      </c>
      <c r="U22" s="3"/>
      <c r="V22" s="20">
        <f t="shared" si="9"/>
        <v>0.66548757874883868</v>
      </c>
      <c r="W22" s="3"/>
      <c r="X22" s="3">
        <f t="shared" si="10"/>
        <v>-1206393.9699999997</v>
      </c>
      <c r="Y22" s="3"/>
      <c r="Z22" s="20">
        <f t="shared" si="11"/>
        <v>-0.19199202267885271</v>
      </c>
    </row>
    <row r="23" spans="1:26" s="70" customFormat="1" ht="15" hidden="1" customHeight="1" outlineLevel="1" x14ac:dyDescent="0.3">
      <c r="A23" s="42"/>
      <c r="B23" s="12" t="str">
        <f>CONCATENATE("          ","5001"," - ","PURCHASES @ COST-NEW TEXT")</f>
        <v xml:space="preserve">          5001 - PURCHASES @ COST-NEW TEXT</v>
      </c>
      <c r="C23" s="12"/>
      <c r="D23" s="3"/>
      <c r="E23" s="3"/>
      <c r="F23" s="20">
        <f t="shared" si="4"/>
        <v>0</v>
      </c>
      <c r="G23" s="3"/>
      <c r="H23" s="3"/>
      <c r="I23" s="3"/>
      <c r="J23" s="20">
        <f t="shared" si="5"/>
        <v>0</v>
      </c>
      <c r="K23" s="3"/>
      <c r="L23" s="3">
        <f t="shared" si="6"/>
        <v>0</v>
      </c>
      <c r="M23" s="3"/>
      <c r="N23" s="20">
        <f t="shared" si="7"/>
        <v>0</v>
      </c>
      <c r="O23" s="12"/>
      <c r="P23" s="3">
        <v>0</v>
      </c>
      <c r="Q23" s="3"/>
      <c r="R23" s="20">
        <f t="shared" si="8"/>
        <v>0</v>
      </c>
      <c r="S23" s="3"/>
      <c r="T23" s="3"/>
      <c r="U23" s="3"/>
      <c r="V23" s="20">
        <f t="shared" si="9"/>
        <v>0</v>
      </c>
      <c r="W23" s="3"/>
      <c r="X23" s="3">
        <f t="shared" si="10"/>
        <v>0</v>
      </c>
      <c r="Y23" s="3"/>
      <c r="Z23" s="20">
        <f t="shared" si="11"/>
        <v>0</v>
      </c>
    </row>
    <row r="24" spans="1:26" s="70" customFormat="1" ht="15" hidden="1" customHeight="1" outlineLevel="1" x14ac:dyDescent="0.3">
      <c r="A24" s="42"/>
      <c r="B24" s="12" t="str">
        <f>CONCATENATE("          ","5002"," - ","PURCHASES @ COST-USED TEXT")</f>
        <v xml:space="preserve">          5002 - PURCHASES @ COST-USED TEXT</v>
      </c>
      <c r="C24" s="12"/>
      <c r="D24" s="3"/>
      <c r="E24" s="3"/>
      <c r="F24" s="20">
        <f t="shared" si="4"/>
        <v>0</v>
      </c>
      <c r="G24" s="3"/>
      <c r="H24" s="3"/>
      <c r="I24" s="3"/>
      <c r="J24" s="20">
        <f t="shared" si="5"/>
        <v>0</v>
      </c>
      <c r="K24" s="3"/>
      <c r="L24" s="3">
        <f t="shared" si="6"/>
        <v>0</v>
      </c>
      <c r="M24" s="3"/>
      <c r="N24" s="20">
        <f t="shared" si="7"/>
        <v>0</v>
      </c>
      <c r="O24" s="12"/>
      <c r="P24" s="3">
        <v>0</v>
      </c>
      <c r="Q24" s="3"/>
      <c r="R24" s="20">
        <f t="shared" si="8"/>
        <v>0</v>
      </c>
      <c r="S24" s="3"/>
      <c r="T24" s="3"/>
      <c r="U24" s="3"/>
      <c r="V24" s="20">
        <f t="shared" si="9"/>
        <v>0</v>
      </c>
      <c r="W24" s="3"/>
      <c r="X24" s="3">
        <f t="shared" si="10"/>
        <v>0</v>
      </c>
      <c r="Y24" s="3"/>
      <c r="Z24" s="20">
        <f t="shared" si="11"/>
        <v>0</v>
      </c>
    </row>
    <row r="25" spans="1:26" s="70" customFormat="1" ht="15" hidden="1" customHeight="1" outlineLevel="1" x14ac:dyDescent="0.3">
      <c r="A25" s="42"/>
      <c r="B25" s="12" t="str">
        <f>CONCATENATE("          ","5004"," - ","PURCHASES @ COST-DIGITAL TEXT")</f>
        <v xml:space="preserve">          5004 - PURCHASES @ COST-DIGITAL TEXT</v>
      </c>
      <c r="C25" s="12"/>
      <c r="D25" s="3"/>
      <c r="E25" s="3"/>
      <c r="F25" s="20">
        <f t="shared" si="4"/>
        <v>0</v>
      </c>
      <c r="G25" s="3"/>
      <c r="H25" s="3"/>
      <c r="I25" s="3"/>
      <c r="J25" s="20">
        <f t="shared" si="5"/>
        <v>0</v>
      </c>
      <c r="K25" s="3"/>
      <c r="L25" s="3">
        <f t="shared" si="6"/>
        <v>0</v>
      </c>
      <c r="M25" s="3"/>
      <c r="N25" s="20">
        <f t="shared" si="7"/>
        <v>0</v>
      </c>
      <c r="O25" s="12"/>
      <c r="P25" s="3">
        <v>0</v>
      </c>
      <c r="Q25" s="3"/>
      <c r="R25" s="20">
        <f t="shared" si="8"/>
        <v>0</v>
      </c>
      <c r="S25" s="3"/>
      <c r="T25" s="3"/>
      <c r="U25" s="3"/>
      <c r="V25" s="20">
        <f t="shared" si="9"/>
        <v>0</v>
      </c>
      <c r="W25" s="3"/>
      <c r="X25" s="3">
        <f t="shared" si="10"/>
        <v>0</v>
      </c>
      <c r="Y25" s="3"/>
      <c r="Z25" s="20">
        <f t="shared" si="11"/>
        <v>0</v>
      </c>
    </row>
    <row r="26" spans="1:26" s="70" customFormat="1" ht="15" hidden="1" customHeight="1" outlineLevel="1" x14ac:dyDescent="0.3">
      <c r="A26" s="42"/>
      <c r="B26" s="12" t="str">
        <f>CONCATENATE("          ","5026"," - ","PURCHASES @ COST-WRITING INSTR")</f>
        <v xml:space="preserve">          5026 - PURCHASES @ COST-WRITING INSTR</v>
      </c>
      <c r="C26" s="12"/>
      <c r="D26" s="3"/>
      <c r="E26" s="3"/>
      <c r="F26" s="20">
        <f t="shared" si="4"/>
        <v>0</v>
      </c>
      <c r="G26" s="3"/>
      <c r="H26" s="3"/>
      <c r="I26" s="3"/>
      <c r="J26" s="20">
        <f t="shared" si="5"/>
        <v>0</v>
      </c>
      <c r="K26" s="3"/>
      <c r="L26" s="3">
        <f t="shared" si="6"/>
        <v>0</v>
      </c>
      <c r="M26" s="3"/>
      <c r="N26" s="20">
        <f t="shared" si="7"/>
        <v>0</v>
      </c>
      <c r="O26" s="12"/>
      <c r="P26" s="3">
        <v>0</v>
      </c>
      <c r="Q26" s="3"/>
      <c r="R26" s="20">
        <f t="shared" si="8"/>
        <v>0</v>
      </c>
      <c r="S26" s="3"/>
      <c r="T26" s="3"/>
      <c r="U26" s="3"/>
      <c r="V26" s="20">
        <f t="shared" si="9"/>
        <v>0</v>
      </c>
      <c r="W26" s="3"/>
      <c r="X26" s="3">
        <f t="shared" si="10"/>
        <v>0</v>
      </c>
      <c r="Y26" s="3"/>
      <c r="Z26" s="20">
        <f t="shared" si="11"/>
        <v>0</v>
      </c>
    </row>
    <row r="27" spans="1:26" s="70" customFormat="1" ht="15" hidden="1" customHeight="1" outlineLevel="1" x14ac:dyDescent="0.3">
      <c r="A27" s="42"/>
      <c r="B27" s="12" t="str">
        <f>CONCATENATE("          ","5027"," - ","PURCHASES @ COST-SCHOOL SUPPLI")</f>
        <v xml:space="preserve">          5027 - PURCHASES @ COST-SCHOOL SUPPLI</v>
      </c>
      <c r="C27" s="12"/>
      <c r="D27" s="3"/>
      <c r="E27" s="3"/>
      <c r="F27" s="20">
        <f t="shared" si="4"/>
        <v>0</v>
      </c>
      <c r="G27" s="3"/>
      <c r="H27" s="3"/>
      <c r="I27" s="3"/>
      <c r="J27" s="20">
        <f t="shared" si="5"/>
        <v>0</v>
      </c>
      <c r="K27" s="3"/>
      <c r="L27" s="3">
        <f t="shared" si="6"/>
        <v>0</v>
      </c>
      <c r="M27" s="3"/>
      <c r="N27" s="20">
        <f t="shared" si="7"/>
        <v>0</v>
      </c>
      <c r="O27" s="12"/>
      <c r="P27" s="3">
        <v>0</v>
      </c>
      <c r="Q27" s="3"/>
      <c r="R27" s="20">
        <f t="shared" si="8"/>
        <v>0</v>
      </c>
      <c r="S27" s="3"/>
      <c r="T27" s="3"/>
      <c r="U27" s="3"/>
      <c r="V27" s="20">
        <f t="shared" si="9"/>
        <v>0</v>
      </c>
      <c r="W27" s="3"/>
      <c r="X27" s="3">
        <f t="shared" si="10"/>
        <v>0</v>
      </c>
      <c r="Y27" s="3"/>
      <c r="Z27" s="20">
        <f t="shared" si="11"/>
        <v>0</v>
      </c>
    </row>
    <row r="28" spans="1:26" s="70" customFormat="1" ht="15" hidden="1" customHeight="1" outlineLevel="1" x14ac:dyDescent="0.3">
      <c r="A28" s="42"/>
      <c r="B28" s="12" t="str">
        <f>CONCATENATE("          ","5028"," - ","PURCHASES @ COST-ART/TECH")</f>
        <v xml:space="preserve">          5028 - PURCHASES @ COST-ART/TECH</v>
      </c>
      <c r="C28" s="12"/>
      <c r="D28" s="3"/>
      <c r="E28" s="3"/>
      <c r="F28" s="20">
        <f t="shared" si="4"/>
        <v>0</v>
      </c>
      <c r="G28" s="3"/>
      <c r="H28" s="3"/>
      <c r="I28" s="3"/>
      <c r="J28" s="20">
        <f t="shared" si="5"/>
        <v>0</v>
      </c>
      <c r="K28" s="3"/>
      <c r="L28" s="3">
        <f t="shared" si="6"/>
        <v>0</v>
      </c>
      <c r="M28" s="3"/>
      <c r="N28" s="20">
        <f t="shared" si="7"/>
        <v>0</v>
      </c>
      <c r="O28" s="12"/>
      <c r="P28" s="3">
        <v>0</v>
      </c>
      <c r="Q28" s="3"/>
      <c r="R28" s="20">
        <f t="shared" si="8"/>
        <v>0</v>
      </c>
      <c r="S28" s="3"/>
      <c r="T28" s="3"/>
      <c r="U28" s="3"/>
      <c r="V28" s="20">
        <f t="shared" si="9"/>
        <v>0</v>
      </c>
      <c r="W28" s="3"/>
      <c r="X28" s="3">
        <f t="shared" si="10"/>
        <v>0</v>
      </c>
      <c r="Y28" s="3"/>
      <c r="Z28" s="20">
        <f t="shared" si="11"/>
        <v>0</v>
      </c>
    </row>
    <row r="29" spans="1:26" s="70" customFormat="1" ht="15" hidden="1" customHeight="1" outlineLevel="1" x14ac:dyDescent="0.3">
      <c r="A29" s="42"/>
      <c r="B29" s="12" t="str">
        <f>CONCATENATE("          ","5031"," - ","PURCHASES @ COST-FOOD")</f>
        <v xml:space="preserve">          5031 - PURCHASES @ COST-FOOD</v>
      </c>
      <c r="C29" s="12"/>
      <c r="D29" s="3"/>
      <c r="E29" s="3"/>
      <c r="F29" s="20">
        <f t="shared" si="4"/>
        <v>0</v>
      </c>
      <c r="G29" s="3"/>
      <c r="H29" s="3"/>
      <c r="I29" s="3"/>
      <c r="J29" s="20">
        <f t="shared" si="5"/>
        <v>0</v>
      </c>
      <c r="K29" s="3"/>
      <c r="L29" s="3">
        <f t="shared" si="6"/>
        <v>0</v>
      </c>
      <c r="M29" s="3"/>
      <c r="N29" s="20">
        <f t="shared" si="7"/>
        <v>0</v>
      </c>
      <c r="O29" s="12"/>
      <c r="P29" s="3">
        <v>0</v>
      </c>
      <c r="Q29" s="3"/>
      <c r="R29" s="20">
        <f t="shared" si="8"/>
        <v>0</v>
      </c>
      <c r="S29" s="3"/>
      <c r="T29" s="3"/>
      <c r="U29" s="3"/>
      <c r="V29" s="20">
        <f t="shared" si="9"/>
        <v>0</v>
      </c>
      <c r="W29" s="3"/>
      <c r="X29" s="3">
        <f t="shared" si="10"/>
        <v>0</v>
      </c>
      <c r="Y29" s="3"/>
      <c r="Z29" s="20">
        <f t="shared" si="11"/>
        <v>0</v>
      </c>
    </row>
    <row r="30" spans="1:26" s="70" customFormat="1" ht="15" hidden="1" customHeight="1" outlineLevel="1" x14ac:dyDescent="0.3">
      <c r="A30" s="42"/>
      <c r="B30" s="12" t="str">
        <f>CONCATENATE("          ","5040"," - ","PURCHASES @ COST-LOGO CLOTHING")</f>
        <v xml:space="preserve">          5040 - PURCHASES @ COST-LOGO CLOTHING</v>
      </c>
      <c r="C30" s="12"/>
      <c r="D30" s="3"/>
      <c r="E30" s="3"/>
      <c r="F30" s="20">
        <f t="shared" si="4"/>
        <v>0</v>
      </c>
      <c r="G30" s="3"/>
      <c r="H30" s="3"/>
      <c r="I30" s="3"/>
      <c r="J30" s="20">
        <f t="shared" si="5"/>
        <v>0</v>
      </c>
      <c r="K30" s="3"/>
      <c r="L30" s="3">
        <f t="shared" si="6"/>
        <v>0</v>
      </c>
      <c r="M30" s="3"/>
      <c r="N30" s="20">
        <f t="shared" si="7"/>
        <v>0</v>
      </c>
      <c r="O30" s="12"/>
      <c r="P30" s="3">
        <v>0</v>
      </c>
      <c r="Q30" s="3"/>
      <c r="R30" s="20">
        <f t="shared" si="8"/>
        <v>0</v>
      </c>
      <c r="S30" s="3"/>
      <c r="T30" s="3"/>
      <c r="U30" s="3"/>
      <c r="V30" s="20">
        <f t="shared" si="9"/>
        <v>0</v>
      </c>
      <c r="W30" s="3"/>
      <c r="X30" s="3">
        <f t="shared" si="10"/>
        <v>0</v>
      </c>
      <c r="Y30" s="3"/>
      <c r="Z30" s="20">
        <f t="shared" si="11"/>
        <v>0</v>
      </c>
    </row>
    <row r="31" spans="1:26" s="70" customFormat="1" ht="15" hidden="1" customHeight="1" outlineLevel="1" x14ac:dyDescent="0.3">
      <c r="A31" s="42"/>
      <c r="B31" s="12" t="str">
        <f>CONCATENATE("          ","5041"," - ","PURCHASES @ COST-LOGO GIFTS")</f>
        <v xml:space="preserve">          5041 - PURCHASES @ COST-LOGO GIFTS</v>
      </c>
      <c r="C31" s="12"/>
      <c r="D31" s="3"/>
      <c r="E31" s="3"/>
      <c r="F31" s="20">
        <f t="shared" si="4"/>
        <v>0</v>
      </c>
      <c r="G31" s="3"/>
      <c r="H31" s="3"/>
      <c r="I31" s="3"/>
      <c r="J31" s="20">
        <f t="shared" si="5"/>
        <v>0</v>
      </c>
      <c r="K31" s="3"/>
      <c r="L31" s="3">
        <f t="shared" si="6"/>
        <v>0</v>
      </c>
      <c r="M31" s="3"/>
      <c r="N31" s="20">
        <f t="shared" si="7"/>
        <v>0</v>
      </c>
      <c r="O31" s="12"/>
      <c r="P31" s="3">
        <v>0</v>
      </c>
      <c r="Q31" s="3"/>
      <c r="R31" s="20">
        <f t="shared" si="8"/>
        <v>0</v>
      </c>
      <c r="S31" s="3"/>
      <c r="T31" s="3"/>
      <c r="U31" s="3"/>
      <c r="V31" s="20">
        <f t="shared" si="9"/>
        <v>0</v>
      </c>
      <c r="W31" s="3"/>
      <c r="X31" s="3">
        <f t="shared" si="10"/>
        <v>0</v>
      </c>
      <c r="Y31" s="3"/>
      <c r="Z31" s="20">
        <f t="shared" si="11"/>
        <v>0</v>
      </c>
    </row>
    <row r="32" spans="1:26" s="70" customFormat="1" ht="15" hidden="1" customHeight="1" outlineLevel="1" x14ac:dyDescent="0.3">
      <c r="A32" s="42"/>
      <c r="B32" s="12" t="str">
        <f>CONCATENATE("          ","5042"," - ","PURCHASES @ COST-EVERYDAY GIFT")</f>
        <v xml:space="preserve">          5042 - PURCHASES @ COST-EVERYDAY GIFT</v>
      </c>
      <c r="C32" s="12"/>
      <c r="D32" s="3"/>
      <c r="E32" s="3"/>
      <c r="F32" s="20">
        <f t="shared" si="4"/>
        <v>0</v>
      </c>
      <c r="G32" s="3"/>
      <c r="H32" s="3"/>
      <c r="I32" s="3"/>
      <c r="J32" s="20">
        <f t="shared" si="5"/>
        <v>0</v>
      </c>
      <c r="K32" s="3"/>
      <c r="L32" s="3">
        <f t="shared" si="6"/>
        <v>0</v>
      </c>
      <c r="M32" s="3"/>
      <c r="N32" s="20">
        <f t="shared" si="7"/>
        <v>0</v>
      </c>
      <c r="O32" s="12"/>
      <c r="P32" s="3">
        <v>0</v>
      </c>
      <c r="Q32" s="3"/>
      <c r="R32" s="20">
        <f t="shared" si="8"/>
        <v>0</v>
      </c>
      <c r="S32" s="3"/>
      <c r="T32" s="3"/>
      <c r="U32" s="3"/>
      <c r="V32" s="20">
        <f t="shared" si="9"/>
        <v>0</v>
      </c>
      <c r="W32" s="3"/>
      <c r="X32" s="3">
        <f t="shared" si="10"/>
        <v>0</v>
      </c>
      <c r="Y32" s="3"/>
      <c r="Z32" s="20">
        <f t="shared" si="11"/>
        <v>0</v>
      </c>
    </row>
    <row r="33" spans="1:26" s="70" customFormat="1" ht="15" hidden="1" customHeight="1" outlineLevel="1" x14ac:dyDescent="0.3">
      <c r="A33" s="42"/>
      <c r="B33" s="12" t="str">
        <f>CONCATENATE("          ","5043"," - ","PURCHASES @ COST-CARDS")</f>
        <v xml:space="preserve">          5043 - PURCHASES @ COST-CARDS</v>
      </c>
      <c r="C33" s="12"/>
      <c r="D33" s="3"/>
      <c r="E33" s="3"/>
      <c r="F33" s="20">
        <f t="shared" si="4"/>
        <v>0</v>
      </c>
      <c r="G33" s="3"/>
      <c r="H33" s="3"/>
      <c r="I33" s="3"/>
      <c r="J33" s="20">
        <f t="shared" si="5"/>
        <v>0</v>
      </c>
      <c r="K33" s="3"/>
      <c r="L33" s="3">
        <f t="shared" si="6"/>
        <v>0</v>
      </c>
      <c r="M33" s="3"/>
      <c r="N33" s="20">
        <f t="shared" si="7"/>
        <v>0</v>
      </c>
      <c r="O33" s="12"/>
      <c r="P33" s="3">
        <v>0</v>
      </c>
      <c r="Q33" s="3"/>
      <c r="R33" s="20">
        <f t="shared" si="8"/>
        <v>0</v>
      </c>
      <c r="S33" s="3"/>
      <c r="T33" s="3"/>
      <c r="U33" s="3"/>
      <c r="V33" s="20">
        <f t="shared" si="9"/>
        <v>0</v>
      </c>
      <c r="W33" s="3"/>
      <c r="X33" s="3">
        <f t="shared" si="10"/>
        <v>0</v>
      </c>
      <c r="Y33" s="3"/>
      <c r="Z33" s="20">
        <f t="shared" si="11"/>
        <v>0</v>
      </c>
    </row>
    <row r="34" spans="1:26" s="70" customFormat="1" ht="15" hidden="1" customHeight="1" outlineLevel="1" x14ac:dyDescent="0.3">
      <c r="A34" s="42"/>
      <c r="B34" s="12" t="str">
        <f>CONCATENATE("          ","5044"," - ","PURCHASES @ COST-ACCESSORIES")</f>
        <v xml:space="preserve">          5044 - PURCHASES @ COST-ACCESSORIES</v>
      </c>
      <c r="C34" s="12"/>
      <c r="D34" s="3"/>
      <c r="E34" s="3"/>
      <c r="F34" s="20">
        <f t="shared" si="4"/>
        <v>0</v>
      </c>
      <c r="G34" s="3"/>
      <c r="H34" s="3"/>
      <c r="I34" s="3"/>
      <c r="J34" s="20">
        <f t="shared" si="5"/>
        <v>0</v>
      </c>
      <c r="K34" s="3"/>
      <c r="L34" s="3">
        <f t="shared" si="6"/>
        <v>0</v>
      </c>
      <c r="M34" s="3"/>
      <c r="N34" s="20">
        <f t="shared" si="7"/>
        <v>0</v>
      </c>
      <c r="O34" s="12"/>
      <c r="P34" s="3">
        <v>0</v>
      </c>
      <c r="Q34" s="3"/>
      <c r="R34" s="20">
        <f t="shared" si="8"/>
        <v>0</v>
      </c>
      <c r="S34" s="3"/>
      <c r="T34" s="3"/>
      <c r="U34" s="3"/>
      <c r="V34" s="20">
        <f t="shared" si="9"/>
        <v>0</v>
      </c>
      <c r="W34" s="3"/>
      <c r="X34" s="3">
        <f t="shared" si="10"/>
        <v>0</v>
      </c>
      <c r="Y34" s="3"/>
      <c r="Z34" s="20">
        <f t="shared" si="11"/>
        <v>0</v>
      </c>
    </row>
    <row r="35" spans="1:26" s="70" customFormat="1" ht="15" hidden="1" customHeight="1" outlineLevel="1" x14ac:dyDescent="0.3">
      <c r="A35" s="42"/>
      <c r="B35" s="12" t="str">
        <f>CONCATENATE("          ","5045"," - ","PURCHASES @ COST-SPECIAL ORDER")</f>
        <v xml:space="preserve">          5045 - PURCHASES @ COST-SPECIAL ORDER</v>
      </c>
      <c r="C35" s="12"/>
      <c r="D35" s="3"/>
      <c r="E35" s="3"/>
      <c r="F35" s="20">
        <f t="shared" si="4"/>
        <v>0</v>
      </c>
      <c r="G35" s="3"/>
      <c r="H35" s="3"/>
      <c r="I35" s="3"/>
      <c r="J35" s="20">
        <f t="shared" si="5"/>
        <v>0</v>
      </c>
      <c r="K35" s="3"/>
      <c r="L35" s="3">
        <f t="shared" si="6"/>
        <v>0</v>
      </c>
      <c r="M35" s="3"/>
      <c r="N35" s="20">
        <f t="shared" si="7"/>
        <v>0</v>
      </c>
      <c r="O35" s="12"/>
      <c r="P35" s="3">
        <v>0</v>
      </c>
      <c r="Q35" s="3"/>
      <c r="R35" s="20">
        <f t="shared" si="8"/>
        <v>0</v>
      </c>
      <c r="S35" s="3"/>
      <c r="T35" s="3"/>
      <c r="U35" s="3"/>
      <c r="V35" s="20">
        <f t="shared" si="9"/>
        <v>0</v>
      </c>
      <c r="W35" s="3"/>
      <c r="X35" s="3">
        <f t="shared" si="10"/>
        <v>0</v>
      </c>
      <c r="Y35" s="3"/>
      <c r="Z35" s="20">
        <f t="shared" si="11"/>
        <v>0</v>
      </c>
    </row>
    <row r="36" spans="1:26" s="70" customFormat="1" ht="15" hidden="1" customHeight="1" outlineLevel="1" x14ac:dyDescent="0.3">
      <c r="A36" s="42"/>
      <c r="B36" s="12" t="str">
        <f>CONCATENATE("          ","5081"," - ","PURCHASES @ COST-ELECTRONICS")</f>
        <v xml:space="preserve">          5081 - PURCHASES @ COST-ELECTRONICS</v>
      </c>
      <c r="C36" s="12"/>
      <c r="D36" s="3"/>
      <c r="E36" s="3"/>
      <c r="F36" s="20">
        <f t="shared" si="4"/>
        <v>0</v>
      </c>
      <c r="G36" s="3"/>
      <c r="H36" s="3"/>
      <c r="I36" s="3"/>
      <c r="J36" s="20">
        <f t="shared" si="5"/>
        <v>0</v>
      </c>
      <c r="K36" s="3"/>
      <c r="L36" s="3">
        <f t="shared" si="6"/>
        <v>0</v>
      </c>
      <c r="M36" s="3"/>
      <c r="N36" s="20">
        <f t="shared" si="7"/>
        <v>0</v>
      </c>
      <c r="O36" s="12"/>
      <c r="P36" s="3">
        <v>0</v>
      </c>
      <c r="Q36" s="3"/>
      <c r="R36" s="20">
        <f t="shared" si="8"/>
        <v>0</v>
      </c>
      <c r="S36" s="3"/>
      <c r="T36" s="3"/>
      <c r="U36" s="3"/>
      <c r="V36" s="20">
        <f t="shared" si="9"/>
        <v>0</v>
      </c>
      <c r="W36" s="3"/>
      <c r="X36" s="3">
        <f t="shared" si="10"/>
        <v>0</v>
      </c>
      <c r="Y36" s="3"/>
      <c r="Z36" s="20">
        <f t="shared" si="11"/>
        <v>0</v>
      </c>
    </row>
    <row r="37" spans="1:26" s="70" customFormat="1" ht="15" hidden="1" customHeight="1" outlineLevel="1" x14ac:dyDescent="0.3">
      <c r="A37" s="42"/>
      <c r="B37" s="12" t="str">
        <f>CONCATENATE("          ","5082"," - ","PURCHASES @ COST-COMPUTER HARD")</f>
        <v xml:space="preserve">          5082 - PURCHASES @ COST-COMPUTER HARD</v>
      </c>
      <c r="C37" s="12"/>
      <c r="D37" s="3">
        <v>-16384.86</v>
      </c>
      <c r="E37" s="3"/>
      <c r="F37" s="20">
        <f t="shared" si="4"/>
        <v>-1.5610895974474326E-2</v>
      </c>
      <c r="G37" s="3"/>
      <c r="H37" s="3"/>
      <c r="I37" s="3"/>
      <c r="J37" s="20">
        <f t="shared" si="5"/>
        <v>0</v>
      </c>
      <c r="K37" s="3"/>
      <c r="L37" s="3">
        <f t="shared" si="6"/>
        <v>-16384.86</v>
      </c>
      <c r="M37" s="3"/>
      <c r="N37" s="20">
        <f t="shared" si="7"/>
        <v>0</v>
      </c>
      <c r="O37" s="12"/>
      <c r="P37" s="3">
        <v>-110193.26</v>
      </c>
      <c r="Q37" s="3"/>
      <c r="R37" s="20">
        <f t="shared" si="8"/>
        <v>-1.4617000769264723E-2</v>
      </c>
      <c r="S37" s="3"/>
      <c r="T37" s="3"/>
      <c r="U37" s="3"/>
      <c r="V37" s="20">
        <f t="shared" si="9"/>
        <v>0</v>
      </c>
      <c r="W37" s="3"/>
      <c r="X37" s="3">
        <f t="shared" si="10"/>
        <v>-110193.26</v>
      </c>
      <c r="Y37" s="3"/>
      <c r="Z37" s="20">
        <f t="shared" si="11"/>
        <v>0</v>
      </c>
    </row>
    <row r="38" spans="1:26" s="70" customFormat="1" ht="15" hidden="1" customHeight="1" outlineLevel="1" x14ac:dyDescent="0.3">
      <c r="A38" s="42"/>
      <c r="B38" s="12" t="str">
        <f>CONCATENATE("          ","5083"," - ","PURCHASES @ COST-COMPUTER EQUI")</f>
        <v xml:space="preserve">          5083 - PURCHASES @ COST-COMPUTER EQUI</v>
      </c>
      <c r="C38" s="12"/>
      <c r="D38" s="3"/>
      <c r="E38" s="3"/>
      <c r="F38" s="20">
        <f t="shared" si="4"/>
        <v>0</v>
      </c>
      <c r="G38" s="3"/>
      <c r="H38" s="3"/>
      <c r="I38" s="3"/>
      <c r="J38" s="20">
        <f t="shared" si="5"/>
        <v>0</v>
      </c>
      <c r="K38" s="3"/>
      <c r="L38" s="3">
        <f t="shared" si="6"/>
        <v>0</v>
      </c>
      <c r="M38" s="3"/>
      <c r="N38" s="20">
        <f t="shared" si="7"/>
        <v>0</v>
      </c>
      <c r="O38" s="12"/>
      <c r="P38" s="3">
        <v>0</v>
      </c>
      <c r="Q38" s="3"/>
      <c r="R38" s="20">
        <f t="shared" si="8"/>
        <v>0</v>
      </c>
      <c r="S38" s="3"/>
      <c r="T38" s="3"/>
      <c r="U38" s="3"/>
      <c r="V38" s="20">
        <f t="shared" si="9"/>
        <v>0</v>
      </c>
      <c r="W38" s="3"/>
      <c r="X38" s="3">
        <f t="shared" si="10"/>
        <v>0</v>
      </c>
      <c r="Y38" s="3"/>
      <c r="Z38" s="20">
        <f t="shared" si="11"/>
        <v>0</v>
      </c>
    </row>
    <row r="39" spans="1:26" s="70" customFormat="1" ht="15" hidden="1" customHeight="1" outlineLevel="1" x14ac:dyDescent="0.3">
      <c r="A39" s="42"/>
      <c r="B39" s="12" t="str">
        <f>CONCATENATE("          ","5085"," - ","PURCHASES @ COST-SOFTWARE")</f>
        <v xml:space="preserve">          5085 - PURCHASES @ COST-SOFTWARE</v>
      </c>
      <c r="C39" s="12"/>
      <c r="D39" s="3"/>
      <c r="E39" s="3"/>
      <c r="F39" s="20">
        <f t="shared" si="4"/>
        <v>0</v>
      </c>
      <c r="G39" s="3"/>
      <c r="H39" s="3"/>
      <c r="I39" s="3"/>
      <c r="J39" s="20">
        <f t="shared" si="5"/>
        <v>0</v>
      </c>
      <c r="K39" s="3"/>
      <c r="L39" s="3">
        <f t="shared" si="6"/>
        <v>0</v>
      </c>
      <c r="M39" s="3"/>
      <c r="N39" s="20">
        <f t="shared" si="7"/>
        <v>0</v>
      </c>
      <c r="O39" s="12"/>
      <c r="P39" s="3">
        <v>0</v>
      </c>
      <c r="Q39" s="3"/>
      <c r="R39" s="20">
        <f t="shared" si="8"/>
        <v>0</v>
      </c>
      <c r="S39" s="3"/>
      <c r="T39" s="3"/>
      <c r="U39" s="3"/>
      <c r="V39" s="20">
        <f t="shared" si="9"/>
        <v>0</v>
      </c>
      <c r="W39" s="3"/>
      <c r="X39" s="3">
        <f t="shared" si="10"/>
        <v>0</v>
      </c>
      <c r="Y39" s="3"/>
      <c r="Z39" s="20">
        <f t="shared" si="11"/>
        <v>0</v>
      </c>
    </row>
    <row r="40" spans="1:26" s="70" customFormat="1" ht="15" hidden="1" customHeight="1" outlineLevel="1" x14ac:dyDescent="0.3">
      <c r="A40" s="42"/>
      <c r="B40" s="12" t="str">
        <f>CONCATENATE("          ","5086"," - ","PURCHASES @ COST-COMPUTER SUPP")</f>
        <v xml:space="preserve">          5086 - PURCHASES @ COST-COMPUTER SUPP</v>
      </c>
      <c r="C40" s="12"/>
      <c r="D40" s="3"/>
      <c r="E40" s="3"/>
      <c r="F40" s="20">
        <f t="shared" si="4"/>
        <v>0</v>
      </c>
      <c r="G40" s="3"/>
      <c r="H40" s="3"/>
      <c r="I40" s="3"/>
      <c r="J40" s="20">
        <f t="shared" si="5"/>
        <v>0</v>
      </c>
      <c r="K40" s="3"/>
      <c r="L40" s="3">
        <f t="shared" si="6"/>
        <v>0</v>
      </c>
      <c r="M40" s="3"/>
      <c r="N40" s="20">
        <f t="shared" si="7"/>
        <v>0</v>
      </c>
      <c r="O40" s="12"/>
      <c r="P40" s="3">
        <v>0</v>
      </c>
      <c r="Q40" s="3"/>
      <c r="R40" s="20">
        <f t="shared" si="8"/>
        <v>0</v>
      </c>
      <c r="S40" s="3"/>
      <c r="T40" s="3"/>
      <c r="U40" s="3"/>
      <c r="V40" s="20">
        <f t="shared" si="9"/>
        <v>0</v>
      </c>
      <c r="W40" s="3"/>
      <c r="X40" s="3">
        <f t="shared" si="10"/>
        <v>0</v>
      </c>
      <c r="Y40" s="3"/>
      <c r="Z40" s="20">
        <f t="shared" si="11"/>
        <v>0</v>
      </c>
    </row>
    <row r="41" spans="1:26" s="70" customFormat="1" ht="15" hidden="1" customHeight="1" outlineLevel="1" x14ac:dyDescent="0.3">
      <c r="A41" s="42"/>
      <c r="B41" s="12" t="str">
        <f>CONCATENATE("          ","5200"," - ","PURCHASES OFFSET")</f>
        <v xml:space="preserve">          5200 - PURCHASES OFFSET</v>
      </c>
      <c r="C41" s="12"/>
      <c r="D41" s="3">
        <v>-516882.53</v>
      </c>
      <c r="E41" s="3"/>
      <c r="F41" s="20">
        <f t="shared" si="4"/>
        <v>-0.49246678988121378</v>
      </c>
      <c r="G41" s="3"/>
      <c r="H41" s="3"/>
      <c r="I41" s="3"/>
      <c r="J41" s="20">
        <f t="shared" si="5"/>
        <v>0</v>
      </c>
      <c r="K41" s="3"/>
      <c r="L41" s="3">
        <f t="shared" si="6"/>
        <v>-516882.53</v>
      </c>
      <c r="M41" s="3"/>
      <c r="N41" s="20">
        <f t="shared" si="7"/>
        <v>0</v>
      </c>
      <c r="O41" s="12"/>
      <c r="P41" s="3">
        <v>-4903335.74</v>
      </c>
      <c r="Q41" s="3"/>
      <c r="R41" s="20">
        <f t="shared" si="8"/>
        <v>-0.65042147118202343</v>
      </c>
      <c r="S41" s="3"/>
      <c r="T41" s="3"/>
      <c r="U41" s="3"/>
      <c r="V41" s="20">
        <f t="shared" si="9"/>
        <v>0</v>
      </c>
      <c r="W41" s="3"/>
      <c r="X41" s="3">
        <f t="shared" si="10"/>
        <v>-4903335.74</v>
      </c>
      <c r="Y41" s="3"/>
      <c r="Z41" s="20">
        <f t="shared" si="11"/>
        <v>0</v>
      </c>
    </row>
    <row r="42" spans="1:26" s="70" customFormat="1" ht="15" hidden="1" customHeight="1" outlineLevel="1" x14ac:dyDescent="0.3">
      <c r="A42" s="42"/>
      <c r="B42" s="12" t="str">
        <f>CONCATENATE("          ","5300"," - ","COG$ OFFSET")</f>
        <v xml:space="preserve">          5300 - COG$ OFFSET</v>
      </c>
      <c r="C42" s="12"/>
      <c r="D42" s="3">
        <v>647373.84</v>
      </c>
      <c r="E42" s="3"/>
      <c r="F42" s="20">
        <f t="shared" si="4"/>
        <v>0.61679414244833242</v>
      </c>
      <c r="G42" s="3"/>
      <c r="H42" s="3"/>
      <c r="I42" s="3"/>
      <c r="J42" s="20">
        <f t="shared" si="5"/>
        <v>0</v>
      </c>
      <c r="K42" s="3"/>
      <c r="L42" s="3">
        <f t="shared" si="6"/>
        <v>647373.84</v>
      </c>
      <c r="M42" s="3"/>
      <c r="N42" s="20">
        <f t="shared" si="7"/>
        <v>0</v>
      </c>
      <c r="O42" s="12"/>
      <c r="P42" s="3">
        <v>4584379.68</v>
      </c>
      <c r="Q42" s="3"/>
      <c r="R42" s="20">
        <f t="shared" si="8"/>
        <v>0.60811234107386936</v>
      </c>
      <c r="S42" s="3"/>
      <c r="T42" s="3"/>
      <c r="U42" s="3"/>
      <c r="V42" s="20">
        <f t="shared" si="9"/>
        <v>0</v>
      </c>
      <c r="W42" s="3"/>
      <c r="X42" s="3">
        <f t="shared" si="10"/>
        <v>4584379.68</v>
      </c>
      <c r="Y42" s="3"/>
      <c r="Z42" s="20">
        <f t="shared" si="11"/>
        <v>0</v>
      </c>
    </row>
    <row r="43" spans="1:26" s="70" customFormat="1" ht="15" hidden="1" customHeight="1" outlineLevel="1" x14ac:dyDescent="0.3">
      <c r="A43" s="42"/>
      <c r="B43" s="12" t="str">
        <f>CONCATENATE("          ","5500"," - ","FREIGHT-IN")</f>
        <v xml:space="preserve">          5500 - FREIGHT-IN</v>
      </c>
      <c r="C43" s="12"/>
      <c r="D43" s="3">
        <v>24405.54</v>
      </c>
      <c r="E43" s="3"/>
      <c r="F43" s="20">
        <f t="shared" si="4"/>
        <v>2.3252706836730502E-2</v>
      </c>
      <c r="G43" s="3"/>
      <c r="H43" s="3"/>
      <c r="I43" s="3"/>
      <c r="J43" s="20">
        <f t="shared" si="5"/>
        <v>0</v>
      </c>
      <c r="K43" s="3"/>
      <c r="L43" s="3">
        <f t="shared" si="6"/>
        <v>24405.54</v>
      </c>
      <c r="M43" s="3"/>
      <c r="N43" s="20">
        <f t="shared" si="7"/>
        <v>0</v>
      </c>
      <c r="O43" s="12"/>
      <c r="P43" s="3">
        <v>148287.96</v>
      </c>
      <c r="Q43" s="3"/>
      <c r="R43" s="20">
        <f t="shared" si="8"/>
        <v>1.9670215994995487E-2</v>
      </c>
      <c r="S43" s="3"/>
      <c r="T43" s="3"/>
      <c r="U43" s="3"/>
      <c r="V43" s="20">
        <f t="shared" si="9"/>
        <v>0</v>
      </c>
      <c r="W43" s="3"/>
      <c r="X43" s="3">
        <f t="shared" si="10"/>
        <v>148287.96</v>
      </c>
      <c r="Y43" s="3"/>
      <c r="Z43" s="20">
        <f t="shared" si="11"/>
        <v>0</v>
      </c>
    </row>
    <row r="44" spans="1:26" s="70" customFormat="1" ht="15" hidden="1" customHeight="1" outlineLevel="1" x14ac:dyDescent="0.3">
      <c r="A44" s="42"/>
      <c r="B44" s="12" t="str">
        <f>CONCATENATE("          ","5501"," - ","FREIGHT-IN-NEW TEXT")</f>
        <v xml:space="preserve">          5501 - FREIGHT-IN-NEW TEXT</v>
      </c>
      <c r="C44" s="12"/>
      <c r="D44" s="3"/>
      <c r="E44" s="3"/>
      <c r="F44" s="20">
        <f t="shared" si="4"/>
        <v>0</v>
      </c>
      <c r="G44" s="3"/>
      <c r="H44" s="3"/>
      <c r="I44" s="3"/>
      <c r="J44" s="20">
        <f t="shared" si="5"/>
        <v>0</v>
      </c>
      <c r="K44" s="3"/>
      <c r="L44" s="3">
        <f t="shared" si="6"/>
        <v>0</v>
      </c>
      <c r="M44" s="3"/>
      <c r="N44" s="20">
        <f t="shared" si="7"/>
        <v>0</v>
      </c>
      <c r="O44" s="12"/>
      <c r="P44" s="3">
        <v>0</v>
      </c>
      <c r="Q44" s="3"/>
      <c r="R44" s="20">
        <f t="shared" si="8"/>
        <v>0</v>
      </c>
      <c r="S44" s="3"/>
      <c r="T44" s="3"/>
      <c r="U44" s="3"/>
      <c r="V44" s="20">
        <f t="shared" si="9"/>
        <v>0</v>
      </c>
      <c r="W44" s="3"/>
      <c r="X44" s="3">
        <f t="shared" si="10"/>
        <v>0</v>
      </c>
      <c r="Y44" s="3"/>
      <c r="Z44" s="20">
        <f t="shared" si="11"/>
        <v>0</v>
      </c>
    </row>
    <row r="45" spans="1:26" s="70" customFormat="1" ht="15" hidden="1" customHeight="1" outlineLevel="1" x14ac:dyDescent="0.3">
      <c r="A45" s="42"/>
      <c r="B45" s="12" t="str">
        <f>CONCATENATE("          ","5502"," - ","FREIGHT-IN-USED TEXT")</f>
        <v xml:space="preserve">          5502 - FREIGHT-IN-USED TEXT</v>
      </c>
      <c r="C45" s="12"/>
      <c r="D45" s="3"/>
      <c r="E45" s="3"/>
      <c r="F45" s="20">
        <f t="shared" si="4"/>
        <v>0</v>
      </c>
      <c r="G45" s="3"/>
      <c r="H45" s="3"/>
      <c r="I45" s="3"/>
      <c r="J45" s="20">
        <f t="shared" si="5"/>
        <v>0</v>
      </c>
      <c r="K45" s="3"/>
      <c r="L45" s="3">
        <f t="shared" si="6"/>
        <v>0</v>
      </c>
      <c r="M45" s="3"/>
      <c r="N45" s="20">
        <f t="shared" si="7"/>
        <v>0</v>
      </c>
      <c r="O45" s="12"/>
      <c r="P45" s="3">
        <v>0</v>
      </c>
      <c r="Q45" s="3"/>
      <c r="R45" s="20">
        <f t="shared" si="8"/>
        <v>0</v>
      </c>
      <c r="S45" s="3"/>
      <c r="T45" s="3"/>
      <c r="U45" s="3"/>
      <c r="V45" s="20">
        <f t="shared" si="9"/>
        <v>0</v>
      </c>
      <c r="W45" s="3"/>
      <c r="X45" s="3">
        <f t="shared" si="10"/>
        <v>0</v>
      </c>
      <c r="Y45" s="3"/>
      <c r="Z45" s="20">
        <f t="shared" si="11"/>
        <v>0</v>
      </c>
    </row>
    <row r="46" spans="1:26" s="70" customFormat="1" ht="15" hidden="1" customHeight="1" outlineLevel="1" x14ac:dyDescent="0.3">
      <c r="A46" s="42"/>
      <c r="B46" s="12" t="str">
        <f>CONCATENATE("          ","5518"," - ","FREIGHT-IN-STUDY GUIDES")</f>
        <v xml:space="preserve">          5518 - FREIGHT-IN-STUDY GUIDES</v>
      </c>
      <c r="C46" s="12"/>
      <c r="D46" s="3"/>
      <c r="E46" s="3"/>
      <c r="F46" s="20">
        <f t="shared" si="4"/>
        <v>0</v>
      </c>
      <c r="G46" s="3"/>
      <c r="H46" s="3"/>
      <c r="I46" s="3"/>
      <c r="J46" s="20">
        <f t="shared" si="5"/>
        <v>0</v>
      </c>
      <c r="K46" s="3"/>
      <c r="L46" s="3">
        <f t="shared" si="6"/>
        <v>0</v>
      </c>
      <c r="M46" s="3"/>
      <c r="N46" s="20">
        <f t="shared" si="7"/>
        <v>0</v>
      </c>
      <c r="O46" s="12"/>
      <c r="P46" s="3">
        <v>0</v>
      </c>
      <c r="Q46" s="3"/>
      <c r="R46" s="20">
        <f t="shared" si="8"/>
        <v>0</v>
      </c>
      <c r="S46" s="3"/>
      <c r="T46" s="3"/>
      <c r="U46" s="3"/>
      <c r="V46" s="20">
        <f t="shared" si="9"/>
        <v>0</v>
      </c>
      <c r="W46" s="3"/>
      <c r="X46" s="3">
        <f t="shared" si="10"/>
        <v>0</v>
      </c>
      <c r="Y46" s="3"/>
      <c r="Z46" s="20">
        <f t="shared" si="11"/>
        <v>0</v>
      </c>
    </row>
    <row r="47" spans="1:26" s="70" customFormat="1" ht="15" hidden="1" customHeight="1" outlineLevel="1" x14ac:dyDescent="0.3">
      <c r="A47" s="42"/>
      <c r="B47" s="12" t="str">
        <f>CONCATENATE("          ","5527"," - ","FREIGHT-IN-SCHOOL SUPPLIES")</f>
        <v xml:space="preserve">          5527 - FREIGHT-IN-SCHOOL SUPPLIES</v>
      </c>
      <c r="C47" s="12"/>
      <c r="D47" s="3"/>
      <c r="E47" s="3"/>
      <c r="F47" s="20">
        <f t="shared" si="4"/>
        <v>0</v>
      </c>
      <c r="G47" s="3"/>
      <c r="H47" s="3"/>
      <c r="I47" s="3"/>
      <c r="J47" s="20">
        <f t="shared" si="5"/>
        <v>0</v>
      </c>
      <c r="K47" s="3"/>
      <c r="L47" s="3">
        <f t="shared" si="6"/>
        <v>0</v>
      </c>
      <c r="M47" s="3"/>
      <c r="N47" s="20">
        <f t="shared" si="7"/>
        <v>0</v>
      </c>
      <c r="O47" s="12"/>
      <c r="P47" s="3">
        <v>0</v>
      </c>
      <c r="Q47" s="3"/>
      <c r="R47" s="20">
        <f t="shared" si="8"/>
        <v>0</v>
      </c>
      <c r="S47" s="3"/>
      <c r="T47" s="3"/>
      <c r="U47" s="3"/>
      <c r="V47" s="20">
        <f t="shared" si="9"/>
        <v>0</v>
      </c>
      <c r="W47" s="3"/>
      <c r="X47" s="3">
        <f t="shared" si="10"/>
        <v>0</v>
      </c>
      <c r="Y47" s="3"/>
      <c r="Z47" s="20">
        <f t="shared" si="11"/>
        <v>0</v>
      </c>
    </row>
    <row r="48" spans="1:26" s="70" customFormat="1" ht="15" hidden="1" customHeight="1" outlineLevel="1" x14ac:dyDescent="0.3">
      <c r="A48" s="42"/>
      <c r="B48" s="12" t="str">
        <f>CONCATENATE("          ","5528"," - ","FREIGHT-IN-ART/TECH")</f>
        <v xml:space="preserve">          5528 - FREIGHT-IN-ART/TECH</v>
      </c>
      <c r="C48" s="12"/>
      <c r="D48" s="3"/>
      <c r="E48" s="3"/>
      <c r="F48" s="20">
        <f t="shared" si="4"/>
        <v>0</v>
      </c>
      <c r="G48" s="3"/>
      <c r="H48" s="3"/>
      <c r="I48" s="3"/>
      <c r="J48" s="20">
        <f t="shared" si="5"/>
        <v>0</v>
      </c>
      <c r="K48" s="3"/>
      <c r="L48" s="3">
        <f t="shared" si="6"/>
        <v>0</v>
      </c>
      <c r="M48" s="3"/>
      <c r="N48" s="20">
        <f t="shared" si="7"/>
        <v>0</v>
      </c>
      <c r="O48" s="12"/>
      <c r="P48" s="3">
        <v>0</v>
      </c>
      <c r="Q48" s="3"/>
      <c r="R48" s="20">
        <f t="shared" si="8"/>
        <v>0</v>
      </c>
      <c r="S48" s="3"/>
      <c r="T48" s="3"/>
      <c r="U48" s="3"/>
      <c r="V48" s="20">
        <f t="shared" si="9"/>
        <v>0</v>
      </c>
      <c r="W48" s="3"/>
      <c r="X48" s="3">
        <f t="shared" si="10"/>
        <v>0</v>
      </c>
      <c r="Y48" s="3"/>
      <c r="Z48" s="20">
        <f t="shared" si="11"/>
        <v>0</v>
      </c>
    </row>
    <row r="49" spans="1:26" s="70" customFormat="1" ht="15" hidden="1" customHeight="1" outlineLevel="1" x14ac:dyDescent="0.3">
      <c r="A49" s="42"/>
      <c r="B49" s="12" t="str">
        <f>CONCATENATE("          ","5540"," - ","FREIGHT-IN-LOGO CLOTHING")</f>
        <v xml:space="preserve">          5540 - FREIGHT-IN-LOGO CLOTHING</v>
      </c>
      <c r="C49" s="12"/>
      <c r="D49" s="3"/>
      <c r="E49" s="3"/>
      <c r="F49" s="20">
        <f t="shared" si="4"/>
        <v>0</v>
      </c>
      <c r="G49" s="3"/>
      <c r="H49" s="3"/>
      <c r="I49" s="3"/>
      <c r="J49" s="20">
        <f t="shared" si="5"/>
        <v>0</v>
      </c>
      <c r="K49" s="3"/>
      <c r="L49" s="3">
        <f t="shared" si="6"/>
        <v>0</v>
      </c>
      <c r="M49" s="3"/>
      <c r="N49" s="20">
        <f t="shared" si="7"/>
        <v>0</v>
      </c>
      <c r="O49" s="12"/>
      <c r="P49" s="3">
        <v>0</v>
      </c>
      <c r="Q49" s="3"/>
      <c r="R49" s="20">
        <f t="shared" si="8"/>
        <v>0</v>
      </c>
      <c r="S49" s="3"/>
      <c r="T49" s="3"/>
      <c r="U49" s="3"/>
      <c r="V49" s="20">
        <f t="shared" si="9"/>
        <v>0</v>
      </c>
      <c r="W49" s="3"/>
      <c r="X49" s="3">
        <f t="shared" si="10"/>
        <v>0</v>
      </c>
      <c r="Y49" s="3"/>
      <c r="Z49" s="20">
        <f t="shared" si="11"/>
        <v>0</v>
      </c>
    </row>
    <row r="50" spans="1:26" s="70" customFormat="1" ht="15" hidden="1" customHeight="1" outlineLevel="1" x14ac:dyDescent="0.3">
      <c r="A50" s="42"/>
      <c r="B50" s="12" t="str">
        <f>CONCATENATE("          ","5541"," - ","FREIGHT-IN-LOGO GIFTS")</f>
        <v xml:space="preserve">          5541 - FREIGHT-IN-LOGO GIFTS</v>
      </c>
      <c r="C50" s="12"/>
      <c r="D50" s="3"/>
      <c r="E50" s="3"/>
      <c r="F50" s="20">
        <f t="shared" si="4"/>
        <v>0</v>
      </c>
      <c r="G50" s="3"/>
      <c r="H50" s="3"/>
      <c r="I50" s="3"/>
      <c r="J50" s="20">
        <f t="shared" si="5"/>
        <v>0</v>
      </c>
      <c r="K50" s="3"/>
      <c r="L50" s="3">
        <f t="shared" si="6"/>
        <v>0</v>
      </c>
      <c r="M50" s="3"/>
      <c r="N50" s="20">
        <f t="shared" si="7"/>
        <v>0</v>
      </c>
      <c r="O50" s="12"/>
      <c r="P50" s="3">
        <v>0</v>
      </c>
      <c r="Q50" s="3"/>
      <c r="R50" s="20">
        <f t="shared" si="8"/>
        <v>0</v>
      </c>
      <c r="S50" s="3"/>
      <c r="T50" s="3"/>
      <c r="U50" s="3"/>
      <c r="V50" s="20">
        <f t="shared" si="9"/>
        <v>0</v>
      </c>
      <c r="W50" s="3"/>
      <c r="X50" s="3">
        <f t="shared" si="10"/>
        <v>0</v>
      </c>
      <c r="Y50" s="3"/>
      <c r="Z50" s="20">
        <f t="shared" si="11"/>
        <v>0</v>
      </c>
    </row>
    <row r="51" spans="1:26" s="70" customFormat="1" ht="15" hidden="1" customHeight="1" outlineLevel="1" x14ac:dyDescent="0.3">
      <c r="A51" s="42"/>
      <c r="B51" s="12" t="str">
        <f>CONCATENATE("          ","5542"," - ","FREIGHT-IN-EVERYDAY GIFTS")</f>
        <v xml:space="preserve">          5542 - FREIGHT-IN-EVERYDAY GIFTS</v>
      </c>
      <c r="C51" s="12"/>
      <c r="D51" s="3"/>
      <c r="E51" s="3"/>
      <c r="F51" s="20">
        <f t="shared" si="4"/>
        <v>0</v>
      </c>
      <c r="G51" s="3"/>
      <c r="H51" s="3"/>
      <c r="I51" s="3"/>
      <c r="J51" s="20">
        <f t="shared" si="5"/>
        <v>0</v>
      </c>
      <c r="K51" s="3"/>
      <c r="L51" s="3">
        <f t="shared" si="6"/>
        <v>0</v>
      </c>
      <c r="M51" s="3"/>
      <c r="N51" s="20">
        <f t="shared" si="7"/>
        <v>0</v>
      </c>
      <c r="O51" s="12"/>
      <c r="P51" s="3">
        <v>0</v>
      </c>
      <c r="Q51" s="3"/>
      <c r="R51" s="20">
        <f t="shared" si="8"/>
        <v>0</v>
      </c>
      <c r="S51" s="3"/>
      <c r="T51" s="3"/>
      <c r="U51" s="3"/>
      <c r="V51" s="20">
        <f t="shared" si="9"/>
        <v>0</v>
      </c>
      <c r="W51" s="3"/>
      <c r="X51" s="3">
        <f t="shared" si="10"/>
        <v>0</v>
      </c>
      <c r="Y51" s="3"/>
      <c r="Z51" s="20">
        <f t="shared" si="11"/>
        <v>0</v>
      </c>
    </row>
    <row r="52" spans="1:26" s="70" customFormat="1" ht="15" hidden="1" customHeight="1" outlineLevel="1" x14ac:dyDescent="0.3">
      <c r="A52" s="42"/>
      <c r="B52" s="12" t="str">
        <f>CONCATENATE("          ","5544"," - ","FREIGHT-IN-ACCESSORIES")</f>
        <v xml:space="preserve">          5544 - FREIGHT-IN-ACCESSORIES</v>
      </c>
      <c r="C52" s="12"/>
      <c r="D52" s="3"/>
      <c r="E52" s="3"/>
      <c r="F52" s="20">
        <f t="shared" si="4"/>
        <v>0</v>
      </c>
      <c r="G52" s="3"/>
      <c r="H52" s="3"/>
      <c r="I52" s="3"/>
      <c r="J52" s="20">
        <f t="shared" si="5"/>
        <v>0</v>
      </c>
      <c r="K52" s="3"/>
      <c r="L52" s="3">
        <f t="shared" si="6"/>
        <v>0</v>
      </c>
      <c r="M52" s="3"/>
      <c r="N52" s="20">
        <f t="shared" si="7"/>
        <v>0</v>
      </c>
      <c r="O52" s="12"/>
      <c r="P52" s="3">
        <v>0</v>
      </c>
      <c r="Q52" s="3"/>
      <c r="R52" s="20">
        <f t="shared" si="8"/>
        <v>0</v>
      </c>
      <c r="S52" s="3"/>
      <c r="T52" s="3"/>
      <c r="U52" s="3"/>
      <c r="V52" s="20">
        <f t="shared" si="9"/>
        <v>0</v>
      </c>
      <c r="W52" s="3"/>
      <c r="X52" s="3">
        <f t="shared" si="10"/>
        <v>0</v>
      </c>
      <c r="Y52" s="3"/>
      <c r="Z52" s="20">
        <f t="shared" si="11"/>
        <v>0</v>
      </c>
    </row>
    <row r="53" spans="1:26" s="70" customFormat="1" ht="15" hidden="1" customHeight="1" outlineLevel="1" x14ac:dyDescent="0.3">
      <c r="A53" s="42"/>
      <c r="B53" s="12" t="str">
        <f>CONCATENATE("          ","5545"," - ","FREIGHT-IN-SPECIAL ORDERS")</f>
        <v xml:space="preserve">          5545 - FREIGHT-IN-SPECIAL ORDERS</v>
      </c>
      <c r="C53" s="12"/>
      <c r="D53" s="3"/>
      <c r="E53" s="3"/>
      <c r="F53" s="20">
        <f t="shared" si="4"/>
        <v>0</v>
      </c>
      <c r="G53" s="3"/>
      <c r="H53" s="3"/>
      <c r="I53" s="3"/>
      <c r="J53" s="20">
        <f t="shared" si="5"/>
        <v>0</v>
      </c>
      <c r="K53" s="3"/>
      <c r="L53" s="3">
        <f t="shared" si="6"/>
        <v>0</v>
      </c>
      <c r="M53" s="3"/>
      <c r="N53" s="20">
        <f t="shared" si="7"/>
        <v>0</v>
      </c>
      <c r="O53" s="12"/>
      <c r="P53" s="3">
        <v>0</v>
      </c>
      <c r="Q53" s="3"/>
      <c r="R53" s="20">
        <f t="shared" si="8"/>
        <v>0</v>
      </c>
      <c r="S53" s="3"/>
      <c r="T53" s="3"/>
      <c r="U53" s="3"/>
      <c r="V53" s="20">
        <f t="shared" si="9"/>
        <v>0</v>
      </c>
      <c r="W53" s="3"/>
      <c r="X53" s="3">
        <f t="shared" si="10"/>
        <v>0</v>
      </c>
      <c r="Y53" s="3"/>
      <c r="Z53" s="20">
        <f t="shared" si="11"/>
        <v>0</v>
      </c>
    </row>
    <row r="54" spans="1:26" s="70" customFormat="1" ht="15" hidden="1" customHeight="1" outlineLevel="1" x14ac:dyDescent="0.3">
      <c r="A54" s="42"/>
      <c r="B54" s="12" t="str">
        <f>CONCATENATE("          ","5583"," - ","FREIGHT-IN-COMPUTER EQUIPMENT")</f>
        <v xml:space="preserve">          5583 - FREIGHT-IN-COMPUTER EQUIPMENT</v>
      </c>
      <c r="C54" s="12"/>
      <c r="D54" s="3"/>
      <c r="E54" s="3"/>
      <c r="F54" s="20">
        <f t="shared" si="4"/>
        <v>0</v>
      </c>
      <c r="G54" s="3"/>
      <c r="H54" s="3"/>
      <c r="I54" s="3"/>
      <c r="J54" s="20">
        <f t="shared" si="5"/>
        <v>0</v>
      </c>
      <c r="K54" s="3"/>
      <c r="L54" s="3">
        <f t="shared" si="6"/>
        <v>0</v>
      </c>
      <c r="M54" s="3"/>
      <c r="N54" s="20">
        <f t="shared" si="7"/>
        <v>0</v>
      </c>
      <c r="O54" s="12"/>
      <c r="P54" s="3">
        <v>0</v>
      </c>
      <c r="Q54" s="3"/>
      <c r="R54" s="20">
        <f t="shared" si="8"/>
        <v>0</v>
      </c>
      <c r="S54" s="3"/>
      <c r="T54" s="3"/>
      <c r="U54" s="3"/>
      <c r="V54" s="20">
        <f t="shared" si="9"/>
        <v>0</v>
      </c>
      <c r="W54" s="3"/>
      <c r="X54" s="3">
        <f t="shared" si="10"/>
        <v>0</v>
      </c>
      <c r="Y54" s="3"/>
      <c r="Z54" s="20">
        <f t="shared" si="11"/>
        <v>0</v>
      </c>
    </row>
    <row r="55" spans="1:26" ht="15" customHeight="1" x14ac:dyDescent="0.3">
      <c r="A55" s="10"/>
      <c r="B55" s="11"/>
      <c r="C55" s="11"/>
      <c r="D55" s="4"/>
      <c r="E55" s="4"/>
      <c r="F55" s="9"/>
      <c r="G55" s="4"/>
      <c r="H55" s="4"/>
      <c r="I55" s="4"/>
      <c r="J55" s="9"/>
      <c r="K55" s="4"/>
      <c r="L55" s="4"/>
      <c r="M55" s="4"/>
      <c r="N55" s="9"/>
      <c r="O55" s="11"/>
      <c r="P55" s="4"/>
      <c r="Q55" s="4"/>
      <c r="R55" s="9"/>
      <c r="S55" s="4"/>
      <c r="T55" s="4"/>
      <c r="U55" s="4"/>
      <c r="V55" s="9"/>
      <c r="W55" s="4"/>
      <c r="X55" s="4"/>
      <c r="Y55" s="4"/>
      <c r="Z55" s="9"/>
    </row>
    <row r="56" spans="1:26" s="63" customFormat="1" ht="15" customHeight="1" x14ac:dyDescent="0.3">
      <c r="A56" s="11"/>
      <c r="B56" s="27" t="s">
        <v>289</v>
      </c>
      <c r="C56" s="27"/>
      <c r="D56" s="21">
        <f>D12-D21</f>
        <v>419582.32999999996</v>
      </c>
      <c r="E56" s="15"/>
      <c r="F56" s="23">
        <f>IF(D$12=0,0,D56/D$12)</f>
        <v>0.39976271425923426</v>
      </c>
      <c r="G56" s="15"/>
      <c r="H56" s="21">
        <f>H12-H21</f>
        <v>213485</v>
      </c>
      <c r="I56" s="15"/>
      <c r="J56" s="23">
        <f>IF(H$12=0,0,H56/H$12)</f>
        <v>0.4549794445663965</v>
      </c>
      <c r="K56" s="16"/>
      <c r="L56" s="21">
        <f>+D56-H56</f>
        <v>206097.32999999996</v>
      </c>
      <c r="M56" s="16"/>
      <c r="N56" s="23">
        <f>IF(H56=0,0,L56/H56)</f>
        <v>0.9653948989390353</v>
      </c>
      <c r="O56" s="28"/>
      <c r="P56" s="21">
        <f>P12-P21</f>
        <v>2742397.5500000007</v>
      </c>
      <c r="Q56" s="15"/>
      <c r="R56" s="23">
        <f>IF(P$12=0,0,P56/P$12)</f>
        <v>0.36377567101635533</v>
      </c>
      <c r="S56" s="15"/>
      <c r="T56" s="21">
        <f>T12-T21</f>
        <v>3158481</v>
      </c>
      <c r="U56" s="15"/>
      <c r="V56" s="23">
        <f>IF(T$12=0,0,T56/T$12)</f>
        <v>0.33451242125116132</v>
      </c>
      <c r="W56" s="16"/>
      <c r="X56" s="21">
        <f>+P56-T56</f>
        <v>-416083.44999999925</v>
      </c>
      <c r="Y56" s="16"/>
      <c r="Z56" s="23">
        <f>IF(T56=0,0,X56/T56)</f>
        <v>-0.13173530250775586</v>
      </c>
    </row>
    <row r="57" spans="1:26" ht="15" customHeight="1" x14ac:dyDescent="0.3">
      <c r="A57" s="10"/>
      <c r="B57" s="11"/>
      <c r="C57" s="10"/>
      <c r="D57" s="2"/>
      <c r="E57" s="2"/>
      <c r="F57" s="6"/>
      <c r="G57" s="2"/>
      <c r="H57" s="2"/>
      <c r="I57" s="2"/>
      <c r="J57" s="6"/>
      <c r="K57" s="2"/>
      <c r="L57" s="2"/>
      <c r="M57" s="2"/>
      <c r="N57" s="6"/>
      <c r="O57" s="35"/>
      <c r="P57" s="2"/>
      <c r="Q57" s="2"/>
      <c r="R57" s="6"/>
      <c r="S57" s="2"/>
      <c r="T57" s="2"/>
      <c r="U57" s="2"/>
      <c r="V57" s="6"/>
      <c r="W57" s="2"/>
      <c r="X57" s="2"/>
      <c r="Y57" s="2"/>
      <c r="Z57" s="6"/>
    </row>
    <row r="58" spans="1:26" s="63" customFormat="1" ht="15" customHeight="1" x14ac:dyDescent="0.3">
      <c r="A58" s="11"/>
      <c r="B58" s="28" t="s">
        <v>290</v>
      </c>
      <c r="C58" s="11"/>
      <c r="D58" s="22" cm="1">
        <f t="array" ref="D58">SUM(OSRRefD22x_0)</f>
        <v>333207.68000000005</v>
      </c>
      <c r="E58" s="22"/>
      <c r="F58" s="30">
        <f t="shared" ref="F58:F89" si="12">IF(D$12=0,0,D58/D$12)</f>
        <v>0.31746810350384008</v>
      </c>
      <c r="G58" s="22"/>
      <c r="H58" s="22" cm="1">
        <f t="array" ref="H58">SUM(OSRRefH22x_0)</f>
        <v>291416.63266662508</v>
      </c>
      <c r="I58" s="22"/>
      <c r="J58" s="30">
        <f t="shared" ref="J58:J89" si="13">IF(H$12=0,0,H58/H$12)</f>
        <v>0.62106741770180895</v>
      </c>
      <c r="K58" s="5"/>
      <c r="L58" s="22">
        <f t="shared" ref="L58:L89" si="14">+D58-H58</f>
        <v>41791.047333374969</v>
      </c>
      <c r="M58" s="5"/>
      <c r="N58" s="30">
        <f t="shared" ref="N58:N89" si="15">IF(H58=0,0,L58/H58)</f>
        <v>0.14340652745508561</v>
      </c>
      <c r="O58" s="11"/>
      <c r="P58" s="22" cm="1">
        <f t="array" ref="P58">SUM(OSRRefP22x_0)</f>
        <v>2986721.13</v>
      </c>
      <c r="Q58" s="22"/>
      <c r="R58" s="30">
        <f t="shared" ref="R58:R89" si="16">IF(P$12=0,0,P58/P$12)</f>
        <v>0.3961848942012352</v>
      </c>
      <c r="S58" s="22"/>
      <c r="T58" s="22" cm="1">
        <f t="array" ref="T58">SUM(OSRRefT22x_0)</f>
        <v>3202727.8383328747</v>
      </c>
      <c r="U58" s="22"/>
      <c r="V58" s="30">
        <f t="shared" ref="V58:V89" si="17">IF(T$12=0,0,T58/T$12)</f>
        <v>0.33919857165809381</v>
      </c>
      <c r="W58" s="5"/>
      <c r="X58" s="22">
        <f t="shared" ref="X58:X89" si="18">+P58-T58</f>
        <v>-216006.70833287481</v>
      </c>
      <c r="Y58" s="5"/>
      <c r="Z58" s="30">
        <f t="shared" ref="Z58:Z89" si="19">IF(T58=0,0,X58/T58)</f>
        <v>-6.7444603237130946E-2</v>
      </c>
    </row>
    <row r="59" spans="1:26" s="69" customFormat="1" ht="15" customHeight="1" outlineLevel="1" collapsed="1" x14ac:dyDescent="0.3">
      <c r="A59" s="25"/>
      <c r="B59" s="14" t="str">
        <f>CONCATENATE("     ","*Benefits                                         ")</f>
        <v xml:space="preserve">     *Benefits                                         </v>
      </c>
      <c r="C59" s="14"/>
      <c r="D59" s="2">
        <f>SUM(OSRRefD22_0x_0)</f>
        <v>45456.06</v>
      </c>
      <c r="E59" s="2"/>
      <c r="F59" s="6">
        <f t="shared" si="12"/>
        <v>4.3308873195710147E-2</v>
      </c>
      <c r="G59" s="2"/>
      <c r="H59" s="2">
        <f>SUM(OSRRefH22_0x_0)</f>
        <v>45714.469157909785</v>
      </c>
      <c r="I59" s="2"/>
      <c r="J59" s="6">
        <f t="shared" si="13"/>
        <v>9.7426722187101938E-2</v>
      </c>
      <c r="K59" s="2"/>
      <c r="L59" s="2">
        <f t="shared" si="14"/>
        <v>-258.40915790978761</v>
      </c>
      <c r="M59" s="2"/>
      <c r="N59" s="6">
        <f t="shared" si="15"/>
        <v>-5.6526776460462547E-3</v>
      </c>
      <c r="O59" s="14"/>
      <c r="P59" s="2">
        <f>SUM(OSRRefP22_0x_0)</f>
        <v>445271.44999999995</v>
      </c>
      <c r="Q59" s="2"/>
      <c r="R59" s="6">
        <f t="shared" si="16"/>
        <v>5.906471164553638E-2</v>
      </c>
      <c r="S59" s="2"/>
      <c r="T59" s="2">
        <f>SUM(OSRRefT22_0x_0)</f>
        <v>458445.48864068853</v>
      </c>
      <c r="U59" s="2"/>
      <c r="V59" s="6">
        <f t="shared" si="17"/>
        <v>4.8553627651034936E-2</v>
      </c>
      <c r="W59" s="2"/>
      <c r="X59" s="2">
        <f t="shared" si="18"/>
        <v>-13174.038640688581</v>
      </c>
      <c r="Y59" s="2"/>
      <c r="Z59" s="6">
        <f t="shared" si="19"/>
        <v>-2.8736325183938875E-2</v>
      </c>
    </row>
    <row r="60" spans="1:26" s="70" customFormat="1" ht="15" hidden="1" customHeight="1" outlineLevel="2" x14ac:dyDescent="0.3">
      <c r="A60" s="26"/>
      <c r="B60" s="12" t="str">
        <f>CONCATENATE("          ","6111"," - ","F.I.C.A.")</f>
        <v xml:space="preserve">          6111 - F.I.C.A.</v>
      </c>
      <c r="C60" s="12"/>
      <c r="D60" s="7">
        <v>7323.68</v>
      </c>
      <c r="E60" s="3"/>
      <c r="F60" s="8">
        <f t="shared" si="12"/>
        <v>6.9777347276899606E-3</v>
      </c>
      <c r="G60" s="3"/>
      <c r="H60" s="7">
        <v>9461.2790966420798</v>
      </c>
      <c r="I60" s="3"/>
      <c r="J60" s="8">
        <f t="shared" si="13"/>
        <v>2.0163887431331809E-2</v>
      </c>
      <c r="K60" s="3"/>
      <c r="L60" s="7">
        <f t="shared" si="14"/>
        <v>-2137.5990966420795</v>
      </c>
      <c r="M60" s="3"/>
      <c r="N60" s="8">
        <f t="shared" si="15"/>
        <v>-0.22593130112827331</v>
      </c>
      <c r="O60" s="12"/>
      <c r="P60" s="7">
        <v>82671.77</v>
      </c>
      <c r="Q60" s="3"/>
      <c r="R60" s="8">
        <f t="shared" si="16"/>
        <v>1.0966308880293372E-2</v>
      </c>
      <c r="S60" s="3"/>
      <c r="T60" s="7">
        <v>95915.415396352604</v>
      </c>
      <c r="U60" s="3"/>
      <c r="V60" s="8">
        <f t="shared" si="17"/>
        <v>1.0158331754898896E-2</v>
      </c>
      <c r="W60" s="3"/>
      <c r="X60" s="7">
        <f t="shared" si="18"/>
        <v>-13243.6453963526</v>
      </c>
      <c r="Y60" s="3"/>
      <c r="Z60" s="8">
        <f t="shared" si="19"/>
        <v>-0.13807629713769887</v>
      </c>
    </row>
    <row r="61" spans="1:26" s="70" customFormat="1" ht="15" hidden="1" customHeight="1" outlineLevel="2" x14ac:dyDescent="0.3">
      <c r="A61" s="26"/>
      <c r="B61" s="12" t="str">
        <f>CONCATENATE("          ","6112"," - ","COMPENSATION INSURANCE")</f>
        <v xml:space="preserve">          6112 - COMPENSATION INSURANCE</v>
      </c>
      <c r="C61" s="12"/>
      <c r="D61" s="7">
        <v>2582.58</v>
      </c>
      <c r="E61" s="3"/>
      <c r="F61" s="8">
        <f t="shared" si="12"/>
        <v>2.460587867443353E-3</v>
      </c>
      <c r="G61" s="3"/>
      <c r="H61" s="7">
        <v>2467.66005288</v>
      </c>
      <c r="I61" s="3"/>
      <c r="J61" s="8">
        <f t="shared" si="13"/>
        <v>5.2590795617398272E-3</v>
      </c>
      <c r="K61" s="3"/>
      <c r="L61" s="7">
        <f t="shared" si="14"/>
        <v>114.91994711999996</v>
      </c>
      <c r="M61" s="3"/>
      <c r="N61" s="8">
        <f t="shared" si="15"/>
        <v>4.6570412721913285E-2</v>
      </c>
      <c r="O61" s="12"/>
      <c r="P61" s="7">
        <v>23622.73</v>
      </c>
      <c r="Q61" s="3"/>
      <c r="R61" s="8">
        <f t="shared" si="16"/>
        <v>3.1335261574268053E-3</v>
      </c>
      <c r="S61" s="3"/>
      <c r="T61" s="7">
        <v>27253.00223283</v>
      </c>
      <c r="U61" s="3"/>
      <c r="V61" s="8">
        <f t="shared" si="17"/>
        <v>2.8863456083057862E-3</v>
      </c>
      <c r="W61" s="3"/>
      <c r="X61" s="7">
        <f t="shared" si="18"/>
        <v>-3630.2722328300006</v>
      </c>
      <c r="Y61" s="3"/>
      <c r="Z61" s="8">
        <f t="shared" si="19"/>
        <v>-0.13320632353880033</v>
      </c>
    </row>
    <row r="62" spans="1:26" s="70" customFormat="1" ht="15" hidden="1" customHeight="1" outlineLevel="2" x14ac:dyDescent="0.3">
      <c r="A62" s="26"/>
      <c r="B62" s="12" t="str">
        <f>CONCATENATE("          ","6113"," - ","GROUP INSURANCE")</f>
        <v xml:space="preserve">          6113 - GROUP INSURANCE</v>
      </c>
      <c r="C62" s="12"/>
      <c r="D62" s="7">
        <v>15795.45</v>
      </c>
      <c r="E62" s="3"/>
      <c r="F62" s="8">
        <f t="shared" si="12"/>
        <v>1.5049327661024292E-2</v>
      </c>
      <c r="G62" s="3"/>
      <c r="H62" s="7">
        <v>16659.4230769231</v>
      </c>
      <c r="I62" s="3"/>
      <c r="J62" s="8">
        <f t="shared" si="13"/>
        <v>3.550457904927784E-2</v>
      </c>
      <c r="K62" s="3"/>
      <c r="L62" s="7">
        <f t="shared" si="14"/>
        <v>-863.97307692309914</v>
      </c>
      <c r="M62" s="3"/>
      <c r="N62" s="8">
        <f t="shared" si="15"/>
        <v>-5.1860924170890915E-2</v>
      </c>
      <c r="O62" s="12"/>
      <c r="P62" s="7">
        <v>158658.12</v>
      </c>
      <c r="Q62" s="3"/>
      <c r="R62" s="8">
        <f t="shared" si="16"/>
        <v>2.1045804998328345E-2</v>
      </c>
      <c r="S62" s="3"/>
      <c r="T62" s="7">
        <v>158541</v>
      </c>
      <c r="U62" s="3"/>
      <c r="V62" s="8">
        <f t="shared" si="17"/>
        <v>1.6790961787511265E-2</v>
      </c>
      <c r="W62" s="3"/>
      <c r="X62" s="7">
        <f t="shared" si="18"/>
        <v>117.11999999999534</v>
      </c>
      <c r="Y62" s="3"/>
      <c r="Z62" s="8">
        <f t="shared" si="19"/>
        <v>7.3873635211078111E-4</v>
      </c>
    </row>
    <row r="63" spans="1:26" s="70" customFormat="1" ht="15" hidden="1" customHeight="1" outlineLevel="2" x14ac:dyDescent="0.3">
      <c r="A63" s="26"/>
      <c r="B63" s="12" t="str">
        <f>CONCATENATE("          ","6114"," - ","STATE UNEMPLOYMENT INSURANCE")</f>
        <v xml:space="preserve">          6114 - STATE UNEMPLOYMENT INSURANCE</v>
      </c>
      <c r="C63" s="12"/>
      <c r="D63" s="7">
        <v>463.04</v>
      </c>
      <c r="E63" s="3"/>
      <c r="F63" s="8">
        <f t="shared" si="12"/>
        <v>4.4116759447566787E-4</v>
      </c>
      <c r="G63" s="3"/>
      <c r="H63" s="7">
        <v>332.18500711846201</v>
      </c>
      <c r="I63" s="3"/>
      <c r="J63" s="8">
        <f t="shared" si="13"/>
        <v>7.0795301792651616E-4</v>
      </c>
      <c r="K63" s="3"/>
      <c r="L63" s="7">
        <f t="shared" si="14"/>
        <v>130.85499288153801</v>
      </c>
      <c r="M63" s="3"/>
      <c r="N63" s="8">
        <f t="shared" si="15"/>
        <v>0.39392203163122658</v>
      </c>
      <c r="O63" s="12"/>
      <c r="P63" s="7">
        <v>4256.18</v>
      </c>
      <c r="Q63" s="3"/>
      <c r="R63" s="8">
        <f t="shared" si="16"/>
        <v>5.6457705611150024E-4</v>
      </c>
      <c r="S63" s="3"/>
      <c r="T63" s="7">
        <v>3668.67337749634</v>
      </c>
      <c r="U63" s="3"/>
      <c r="V63" s="8">
        <f t="shared" si="17"/>
        <v>3.8854652419500904E-4</v>
      </c>
      <c r="W63" s="3"/>
      <c r="X63" s="7">
        <f t="shared" si="18"/>
        <v>587.50662250366031</v>
      </c>
      <c r="Y63" s="3"/>
      <c r="Z63" s="8">
        <f t="shared" si="19"/>
        <v>0.16014143589544622</v>
      </c>
    </row>
    <row r="64" spans="1:26" s="70" customFormat="1" ht="15" hidden="1" customHeight="1" outlineLevel="2" x14ac:dyDescent="0.3">
      <c r="A64" s="26"/>
      <c r="B64" s="12" t="str">
        <f>CONCATENATE("          ","6115"," - ","P.E.R.S.")</f>
        <v xml:space="preserve">          6115 - P.E.R.S.</v>
      </c>
      <c r="C64" s="12"/>
      <c r="D64" s="7">
        <v>5116.87</v>
      </c>
      <c r="E64" s="3"/>
      <c r="F64" s="8">
        <f t="shared" si="12"/>
        <v>4.8751667871991845E-3</v>
      </c>
      <c r="G64" s="3"/>
      <c r="H64" s="7">
        <v>4417.7643771846097</v>
      </c>
      <c r="I64" s="3"/>
      <c r="J64" s="8">
        <f t="shared" si="13"/>
        <v>9.4151438394110415E-3</v>
      </c>
      <c r="K64" s="3"/>
      <c r="L64" s="7">
        <f t="shared" si="14"/>
        <v>699.10562281539023</v>
      </c>
      <c r="M64" s="3"/>
      <c r="N64" s="8">
        <f t="shared" si="15"/>
        <v>0.15824873468261388</v>
      </c>
      <c r="O64" s="12"/>
      <c r="P64" s="7">
        <v>61287.88</v>
      </c>
      <c r="Q64" s="3"/>
      <c r="R64" s="8">
        <f t="shared" si="16"/>
        <v>8.1297621025696494E-3</v>
      </c>
      <c r="S64" s="3"/>
      <c r="T64" s="7">
        <v>44890.796139088401</v>
      </c>
      <c r="U64" s="3"/>
      <c r="V64" s="8">
        <f t="shared" si="17"/>
        <v>4.7543515089622972E-3</v>
      </c>
      <c r="W64" s="3"/>
      <c r="X64" s="7">
        <f t="shared" si="18"/>
        <v>16397.083860911596</v>
      </c>
      <c r="Y64" s="3"/>
      <c r="Z64" s="8">
        <f t="shared" si="19"/>
        <v>0.36526605164469184</v>
      </c>
    </row>
    <row r="65" spans="1:26" s="70" customFormat="1" ht="15" hidden="1" customHeight="1" outlineLevel="2" x14ac:dyDescent="0.3">
      <c r="A65" s="26"/>
      <c r="B65" s="12" t="str">
        <f>CONCATENATE("          ","6116"," - ","EDUCATIONAL BENEFITS")</f>
        <v xml:space="preserve">          6116 - EDUCATIONAL BENEFITS</v>
      </c>
      <c r="C65" s="12"/>
      <c r="D65" s="7"/>
      <c r="E65" s="3"/>
      <c r="F65" s="8">
        <f t="shared" si="12"/>
        <v>0</v>
      </c>
      <c r="G65" s="3"/>
      <c r="H65" s="7">
        <v>0</v>
      </c>
      <c r="I65" s="3"/>
      <c r="J65" s="8">
        <f t="shared" si="13"/>
        <v>0</v>
      </c>
      <c r="K65" s="3"/>
      <c r="L65" s="7">
        <f t="shared" si="14"/>
        <v>0</v>
      </c>
      <c r="M65" s="3"/>
      <c r="N65" s="8">
        <f t="shared" si="15"/>
        <v>0</v>
      </c>
      <c r="O65" s="12"/>
      <c r="P65" s="7"/>
      <c r="Q65" s="3"/>
      <c r="R65" s="8">
        <f t="shared" si="16"/>
        <v>0</v>
      </c>
      <c r="S65" s="3"/>
      <c r="T65" s="7">
        <v>0</v>
      </c>
      <c r="U65" s="3"/>
      <c r="V65" s="8">
        <f t="shared" si="17"/>
        <v>0</v>
      </c>
      <c r="W65" s="3"/>
      <c r="X65" s="7">
        <f t="shared" si="18"/>
        <v>0</v>
      </c>
      <c r="Y65" s="3"/>
      <c r="Z65" s="8">
        <f t="shared" si="19"/>
        <v>0</v>
      </c>
    </row>
    <row r="66" spans="1:26" s="70" customFormat="1" ht="15" hidden="1" customHeight="1" outlineLevel="2" x14ac:dyDescent="0.3">
      <c r="A66" s="26"/>
      <c r="B66" s="12" t="str">
        <f>CONCATENATE("          ","6117"," - ","RETIREMENT STAFF HOURLY")</f>
        <v xml:space="preserve">          6117 - RETIREMENT STAFF HOURLY</v>
      </c>
      <c r="C66" s="12"/>
      <c r="D66" s="7">
        <v>895.07</v>
      </c>
      <c r="E66" s="3"/>
      <c r="F66" s="8">
        <f t="shared" si="12"/>
        <v>8.5278999392565658E-4</v>
      </c>
      <c r="G66" s="3"/>
      <c r="H66" s="7"/>
      <c r="I66" s="3"/>
      <c r="J66" s="8">
        <f t="shared" si="13"/>
        <v>0</v>
      </c>
      <c r="K66" s="3"/>
      <c r="L66" s="7">
        <f t="shared" si="14"/>
        <v>895.07</v>
      </c>
      <c r="M66" s="3"/>
      <c r="N66" s="8">
        <f t="shared" si="15"/>
        <v>0</v>
      </c>
      <c r="O66" s="12"/>
      <c r="P66" s="7">
        <v>6142.32</v>
      </c>
      <c r="Q66" s="3"/>
      <c r="R66" s="8">
        <f t="shared" si="16"/>
        <v>8.1477121345779316E-4</v>
      </c>
      <c r="S66" s="3"/>
      <c r="T66" s="7"/>
      <c r="U66" s="3"/>
      <c r="V66" s="8">
        <f t="shared" si="17"/>
        <v>0</v>
      </c>
      <c r="W66" s="3"/>
      <c r="X66" s="7">
        <f t="shared" si="18"/>
        <v>6142.32</v>
      </c>
      <c r="Y66" s="3"/>
      <c r="Z66" s="8">
        <f t="shared" si="19"/>
        <v>0</v>
      </c>
    </row>
    <row r="67" spans="1:26" s="70" customFormat="1" ht="15" hidden="1" customHeight="1" outlineLevel="2" x14ac:dyDescent="0.3">
      <c r="A67" s="26"/>
      <c r="B67" s="12" t="str">
        <f>CONCATENATE("          ","6118"," - ","VACATION")</f>
        <v xml:space="preserve">          6118 - VACATION</v>
      </c>
      <c r="C67" s="12"/>
      <c r="D67" s="7">
        <v>5478.82</v>
      </c>
      <c r="E67" s="3"/>
      <c r="F67" s="8">
        <f t="shared" si="12"/>
        <v>5.2200195230761451E-3</v>
      </c>
      <c r="G67" s="3"/>
      <c r="H67" s="7">
        <v>3972.4748426692299</v>
      </c>
      <c r="I67" s="3"/>
      <c r="J67" s="8">
        <f t="shared" si="13"/>
        <v>8.4661423400783642E-3</v>
      </c>
      <c r="K67" s="3"/>
      <c r="L67" s="7">
        <f t="shared" si="14"/>
        <v>1506.3451573307698</v>
      </c>
      <c r="M67" s="3"/>
      <c r="N67" s="8">
        <f t="shared" si="15"/>
        <v>0.37919564427464303</v>
      </c>
      <c r="O67" s="12"/>
      <c r="P67" s="7">
        <v>59337.97</v>
      </c>
      <c r="Q67" s="3"/>
      <c r="R67" s="8">
        <f t="shared" si="16"/>
        <v>7.8711089329475056E-3</v>
      </c>
      <c r="S67" s="3"/>
      <c r="T67" s="7">
        <v>40845.110485255798</v>
      </c>
      <c r="U67" s="3"/>
      <c r="V67" s="8">
        <f t="shared" si="17"/>
        <v>4.3258758892942882E-3</v>
      </c>
      <c r="W67" s="3"/>
      <c r="X67" s="7">
        <f t="shared" si="18"/>
        <v>18492.859514744203</v>
      </c>
      <c r="Y67" s="3"/>
      <c r="Z67" s="8">
        <f t="shared" si="19"/>
        <v>0.45275577162215597</v>
      </c>
    </row>
    <row r="68" spans="1:26" s="70" customFormat="1" ht="15" hidden="1" customHeight="1" outlineLevel="2" x14ac:dyDescent="0.3">
      <c r="A68" s="26"/>
      <c r="B68" s="12" t="str">
        <f>CONCATENATE("          ","6119"," - ","SICK LEAVE")</f>
        <v xml:space="preserve">          6119 - SICK LEAVE</v>
      </c>
      <c r="C68" s="12"/>
      <c r="D68" s="7">
        <v>4128.58</v>
      </c>
      <c r="E68" s="3"/>
      <c r="F68" s="8">
        <f t="shared" si="12"/>
        <v>3.9335601831382875E-3</v>
      </c>
      <c r="G68" s="3"/>
      <c r="H68" s="7">
        <v>5778.6827044923002</v>
      </c>
      <c r="I68" s="3"/>
      <c r="J68" s="8">
        <f t="shared" si="13"/>
        <v>1.2315534333631631E-2</v>
      </c>
      <c r="K68" s="3"/>
      <c r="L68" s="7">
        <f t="shared" si="14"/>
        <v>-1650.1027044923003</v>
      </c>
      <c r="M68" s="3"/>
      <c r="N68" s="8">
        <f t="shared" si="15"/>
        <v>-0.28554997546577943</v>
      </c>
      <c r="O68" s="12"/>
      <c r="P68" s="7">
        <v>22232.29</v>
      </c>
      <c r="Q68" s="3"/>
      <c r="R68" s="8">
        <f t="shared" si="16"/>
        <v>2.9490859970248309E-3</v>
      </c>
      <c r="S68" s="3"/>
      <c r="T68" s="7">
        <v>62831.491009665398</v>
      </c>
      <c r="U68" s="3"/>
      <c r="V68" s="8">
        <f t="shared" si="17"/>
        <v>6.6544374300379662E-3</v>
      </c>
      <c r="W68" s="3"/>
      <c r="X68" s="7">
        <f t="shared" si="18"/>
        <v>-40599.201009665398</v>
      </c>
      <c r="Y68" s="3"/>
      <c r="Z68" s="8">
        <f t="shared" si="19"/>
        <v>-0.64616007605835746</v>
      </c>
    </row>
    <row r="69" spans="1:26" s="70" customFormat="1" ht="15" hidden="1" customHeight="1" outlineLevel="2" x14ac:dyDescent="0.3">
      <c r="A69" s="26"/>
      <c r="B69" s="12" t="str">
        <f>CONCATENATE("          ","6156"," - ","EMPLOYEE MEALS")</f>
        <v xml:space="preserve">          6156 - EMPLOYEE MEALS</v>
      </c>
      <c r="C69" s="12"/>
      <c r="D69" s="7">
        <v>3671.97</v>
      </c>
      <c r="E69" s="3"/>
      <c r="F69" s="8">
        <f t="shared" si="12"/>
        <v>3.4985188577375992E-3</v>
      </c>
      <c r="G69" s="3"/>
      <c r="H69" s="7">
        <v>2625</v>
      </c>
      <c r="I69" s="3"/>
      <c r="J69" s="8">
        <f t="shared" si="13"/>
        <v>5.5944026137049012E-3</v>
      </c>
      <c r="K69" s="3"/>
      <c r="L69" s="7">
        <f t="shared" si="14"/>
        <v>1046.9699999999998</v>
      </c>
      <c r="M69" s="3"/>
      <c r="N69" s="8">
        <f t="shared" si="15"/>
        <v>0.39884571428571419</v>
      </c>
      <c r="O69" s="12"/>
      <c r="P69" s="7">
        <v>27062.19</v>
      </c>
      <c r="Q69" s="3"/>
      <c r="R69" s="8">
        <f t="shared" si="16"/>
        <v>3.5897663073765863E-3</v>
      </c>
      <c r="S69" s="3"/>
      <c r="T69" s="7">
        <v>24500</v>
      </c>
      <c r="U69" s="3"/>
      <c r="V69" s="8">
        <f t="shared" si="17"/>
        <v>2.5947771478294318E-3</v>
      </c>
      <c r="W69" s="3"/>
      <c r="X69" s="7">
        <f t="shared" si="18"/>
        <v>2562.1899999999987</v>
      </c>
      <c r="Y69" s="3"/>
      <c r="Z69" s="8">
        <f t="shared" si="19"/>
        <v>0.10457918367346933</v>
      </c>
    </row>
    <row r="70" spans="1:26" s="69" customFormat="1" ht="15" customHeight="1" outlineLevel="1" collapsed="1" x14ac:dyDescent="0.3">
      <c r="A70" s="25"/>
      <c r="B70" s="14" t="str">
        <f>CONCATENATE("     ","*Payroll                                          ")</f>
        <v xml:space="preserve">     *Payroll                                          </v>
      </c>
      <c r="C70" s="14"/>
      <c r="D70" s="2">
        <f>SUM(OSRRefD22_1x_0)</f>
        <v>177397.82</v>
      </c>
      <c r="E70" s="2"/>
      <c r="F70" s="6">
        <f t="shared" si="12"/>
        <v>0.16901816152951693</v>
      </c>
      <c r="G70" s="2"/>
      <c r="H70" s="2">
        <f>SUM(OSRRefH22_1x_0)</f>
        <v>151115.16350871528</v>
      </c>
      <c r="I70" s="2"/>
      <c r="J70" s="6">
        <f t="shared" si="13"/>
        <v>0.32205678693470485</v>
      </c>
      <c r="K70" s="2"/>
      <c r="L70" s="2">
        <f t="shared" si="14"/>
        <v>26282.656491284724</v>
      </c>
      <c r="M70" s="2"/>
      <c r="N70" s="6">
        <f t="shared" si="15"/>
        <v>0.17392468023084209</v>
      </c>
      <c r="O70" s="14"/>
      <c r="P70" s="2">
        <f>SUM(OSRRefP22_1x_0)</f>
        <v>1593236.4499999997</v>
      </c>
      <c r="Q70" s="2"/>
      <c r="R70" s="6">
        <f t="shared" si="16"/>
        <v>0.21134086073205016</v>
      </c>
      <c r="S70" s="2"/>
      <c r="T70" s="2">
        <f>SUM(OSRRefT22_1x_0)</f>
        <v>1676311.3496921859</v>
      </c>
      <c r="U70" s="2"/>
      <c r="V70" s="6">
        <f t="shared" si="17"/>
        <v>0.17753691358483248</v>
      </c>
      <c r="W70" s="2"/>
      <c r="X70" s="2">
        <f t="shared" si="18"/>
        <v>-83074.899692186154</v>
      </c>
      <c r="Y70" s="2"/>
      <c r="Z70" s="6">
        <f t="shared" si="19"/>
        <v>-4.9558156190638962E-2</v>
      </c>
    </row>
    <row r="71" spans="1:26" s="70" customFormat="1" ht="15" hidden="1" customHeight="1" outlineLevel="2" x14ac:dyDescent="0.3">
      <c r="A71" s="26"/>
      <c r="B71" s="12" t="str">
        <f>CONCATENATE("          ","6001"," - ","ADMINISTRATIVE SALARIES")</f>
        <v xml:space="preserve">          6001 - ADMINISTRATIVE SALARIES</v>
      </c>
      <c r="C71" s="12"/>
      <c r="D71" s="7">
        <v>3959.51</v>
      </c>
      <c r="E71" s="3"/>
      <c r="F71" s="8">
        <f t="shared" si="12"/>
        <v>3.7724764642414299E-3</v>
      </c>
      <c r="G71" s="3"/>
      <c r="H71" s="7">
        <v>4139.8076923076896</v>
      </c>
      <c r="I71" s="3"/>
      <c r="J71" s="8">
        <f t="shared" si="13"/>
        <v>8.8227622758406832E-3</v>
      </c>
      <c r="K71" s="3"/>
      <c r="L71" s="7">
        <f t="shared" si="14"/>
        <v>-180.29769230768943</v>
      </c>
      <c r="M71" s="3"/>
      <c r="N71" s="8">
        <f t="shared" si="15"/>
        <v>-4.3552190272680154E-2</v>
      </c>
      <c r="O71" s="12"/>
      <c r="P71" s="7">
        <v>44917.06</v>
      </c>
      <c r="Q71" s="3"/>
      <c r="R71" s="8">
        <f t="shared" si="16"/>
        <v>5.9581929110102535E-3</v>
      </c>
      <c r="S71" s="3"/>
      <c r="T71" s="7">
        <v>40363.125</v>
      </c>
      <c r="U71" s="3"/>
      <c r="V71" s="8">
        <f t="shared" si="17"/>
        <v>4.2748291577544015E-3</v>
      </c>
      <c r="W71" s="3"/>
      <c r="X71" s="7">
        <f t="shared" si="18"/>
        <v>4553.9349999999977</v>
      </c>
      <c r="Y71" s="3"/>
      <c r="Z71" s="8">
        <f t="shared" si="19"/>
        <v>0.11282414332388778</v>
      </c>
    </row>
    <row r="72" spans="1:26" s="70" customFormat="1" ht="15" hidden="1" customHeight="1" outlineLevel="2" x14ac:dyDescent="0.3">
      <c r="A72" s="26"/>
      <c r="B72" s="12" t="str">
        <f>CONCATENATE("          ","6002"," - ","STAFF SALARIES")</f>
        <v xml:space="preserve">          6002 - STAFF SALARIES</v>
      </c>
      <c r="C72" s="12"/>
      <c r="D72" s="7">
        <v>48790.67</v>
      </c>
      <c r="E72" s="3"/>
      <c r="F72" s="8">
        <f t="shared" si="12"/>
        <v>4.6485967771156128E-2</v>
      </c>
      <c r="G72" s="3"/>
      <c r="H72" s="7">
        <v>42300.635173407602</v>
      </c>
      <c r="I72" s="3"/>
      <c r="J72" s="8">
        <f t="shared" si="13"/>
        <v>9.0151155800186275E-2</v>
      </c>
      <c r="K72" s="3"/>
      <c r="L72" s="7">
        <f t="shared" si="14"/>
        <v>6490.0348265923967</v>
      </c>
      <c r="M72" s="3"/>
      <c r="N72" s="8">
        <f t="shared" si="15"/>
        <v>0.15342641546603472</v>
      </c>
      <c r="O72" s="12"/>
      <c r="P72" s="7">
        <v>531865.35</v>
      </c>
      <c r="Q72" s="3"/>
      <c r="R72" s="8">
        <f t="shared" si="16"/>
        <v>7.0551286259207244E-2</v>
      </c>
      <c r="S72" s="3"/>
      <c r="T72" s="7">
        <v>430395.77947918599</v>
      </c>
      <c r="U72" s="3"/>
      <c r="V72" s="8">
        <f t="shared" si="17"/>
        <v>4.5582903392441934E-2</v>
      </c>
      <c r="W72" s="3"/>
      <c r="X72" s="7">
        <f t="shared" si="18"/>
        <v>101469.57052081398</v>
      </c>
      <c r="Y72" s="3"/>
      <c r="Z72" s="8">
        <f t="shared" si="19"/>
        <v>0.23575874894405432</v>
      </c>
    </row>
    <row r="73" spans="1:26" s="70" customFormat="1" ht="15" hidden="1" customHeight="1" outlineLevel="2" x14ac:dyDescent="0.3">
      <c r="A73" s="26"/>
      <c r="B73" s="12" t="str">
        <f>CONCATENATE("          ","6003"," - ","STAFF HOURLY-9 MONTH")</f>
        <v xml:space="preserve">          6003 - STAFF HOURLY-9 MONTH</v>
      </c>
      <c r="C73" s="12"/>
      <c r="D73" s="7"/>
      <c r="E73" s="3"/>
      <c r="F73" s="8">
        <f t="shared" si="12"/>
        <v>0</v>
      </c>
      <c r="G73" s="3"/>
      <c r="H73" s="7">
        <v>0</v>
      </c>
      <c r="I73" s="3"/>
      <c r="J73" s="8">
        <f t="shared" si="13"/>
        <v>0</v>
      </c>
      <c r="K73" s="3"/>
      <c r="L73" s="7">
        <f t="shared" si="14"/>
        <v>0</v>
      </c>
      <c r="M73" s="3"/>
      <c r="N73" s="8">
        <f t="shared" si="15"/>
        <v>0</v>
      </c>
      <c r="O73" s="12"/>
      <c r="P73" s="7"/>
      <c r="Q73" s="3"/>
      <c r="R73" s="8">
        <f t="shared" si="16"/>
        <v>0</v>
      </c>
      <c r="S73" s="3"/>
      <c r="T73" s="7">
        <v>0</v>
      </c>
      <c r="U73" s="3"/>
      <c r="V73" s="8">
        <f t="shared" si="17"/>
        <v>0</v>
      </c>
      <c r="W73" s="3"/>
      <c r="X73" s="7">
        <f t="shared" si="18"/>
        <v>0</v>
      </c>
      <c r="Y73" s="3"/>
      <c r="Z73" s="8">
        <f t="shared" si="19"/>
        <v>0</v>
      </c>
    </row>
    <row r="74" spans="1:26" s="70" customFormat="1" ht="15" hidden="1" customHeight="1" outlineLevel="2" x14ac:dyDescent="0.3">
      <c r="A74" s="26"/>
      <c r="B74" s="12" t="str">
        <f>CONCATENATE("          ","6004"," - ","STAFF HOURLY")</f>
        <v xml:space="preserve">          6004 - STAFF HOURLY</v>
      </c>
      <c r="C74" s="12"/>
      <c r="D74" s="7">
        <v>25018.53</v>
      </c>
      <c r="E74" s="3"/>
      <c r="F74" s="8">
        <f t="shared" si="12"/>
        <v>2.3836741312667005E-2</v>
      </c>
      <c r="G74" s="3"/>
      <c r="H74" s="7">
        <v>39473.713567999999</v>
      </c>
      <c r="I74" s="3"/>
      <c r="J74" s="8">
        <f t="shared" si="13"/>
        <v>8.4126417659983924E-2</v>
      </c>
      <c r="K74" s="3"/>
      <c r="L74" s="7">
        <f t="shared" si="14"/>
        <v>-14455.183568</v>
      </c>
      <c r="M74" s="3"/>
      <c r="N74" s="8">
        <f t="shared" si="15"/>
        <v>-0.36619771137312823</v>
      </c>
      <c r="O74" s="12"/>
      <c r="P74" s="7">
        <v>235321.1</v>
      </c>
      <c r="Q74" s="3"/>
      <c r="R74" s="8">
        <f t="shared" si="16"/>
        <v>3.121505525586793E-2</v>
      </c>
      <c r="S74" s="3"/>
      <c r="T74" s="7">
        <v>371610.345088</v>
      </c>
      <c r="U74" s="3"/>
      <c r="V74" s="8">
        <f t="shared" si="17"/>
        <v>3.9356980870667413E-2</v>
      </c>
      <c r="W74" s="3"/>
      <c r="X74" s="7">
        <f t="shared" si="18"/>
        <v>-136289.245088</v>
      </c>
      <c r="Y74" s="3"/>
      <c r="Z74" s="8">
        <f t="shared" si="19"/>
        <v>-0.3667530974029416</v>
      </c>
    </row>
    <row r="75" spans="1:26" s="70" customFormat="1" ht="15" hidden="1" customHeight="1" outlineLevel="2" x14ac:dyDescent="0.3">
      <c r="A75" s="26"/>
      <c r="B75" s="12" t="str">
        <f>CONCATENATE("          ","6005"," - ","TEMPORARY WAGES-HOURLY")</f>
        <v xml:space="preserve">          6005 - TEMPORARY WAGES-HOURLY</v>
      </c>
      <c r="C75" s="12"/>
      <c r="D75" s="7">
        <v>6556.3</v>
      </c>
      <c r="E75" s="3"/>
      <c r="F75" s="8">
        <f t="shared" si="12"/>
        <v>6.2466031005114489E-3</v>
      </c>
      <c r="G75" s="3"/>
      <c r="H75" s="7">
        <v>1802</v>
      </c>
      <c r="I75" s="3"/>
      <c r="J75" s="8">
        <f t="shared" si="13"/>
        <v>3.8404241942461836E-3</v>
      </c>
      <c r="K75" s="3"/>
      <c r="L75" s="7">
        <f t="shared" si="14"/>
        <v>4754.3</v>
      </c>
      <c r="M75" s="3"/>
      <c r="N75" s="8">
        <f t="shared" si="15"/>
        <v>2.6383462819089902</v>
      </c>
      <c r="O75" s="12"/>
      <c r="P75" s="7">
        <v>84152.19</v>
      </c>
      <c r="Q75" s="3"/>
      <c r="R75" s="8">
        <f t="shared" si="16"/>
        <v>1.1162684777320421E-2</v>
      </c>
      <c r="S75" s="3"/>
      <c r="T75" s="7">
        <v>28982.34</v>
      </c>
      <c r="U75" s="3"/>
      <c r="V75" s="8">
        <f t="shared" si="17"/>
        <v>3.0694985111274636E-3</v>
      </c>
      <c r="W75" s="3"/>
      <c r="X75" s="7">
        <f t="shared" si="18"/>
        <v>55169.850000000006</v>
      </c>
      <c r="Y75" s="3"/>
      <c r="Z75" s="8">
        <f t="shared" si="19"/>
        <v>1.90356782785655</v>
      </c>
    </row>
    <row r="76" spans="1:26" s="70" customFormat="1" ht="15" hidden="1" customHeight="1" outlineLevel="2" x14ac:dyDescent="0.3">
      <c r="A76" s="26"/>
      <c r="B76" s="12" t="str">
        <f>CONCATENATE("          ","6006"," - ","TEMPORARY PART TIME")</f>
        <v xml:space="preserve">          6006 - TEMPORARY PART TIME</v>
      </c>
      <c r="C76" s="12"/>
      <c r="D76" s="7">
        <v>1071.74</v>
      </c>
      <c r="E76" s="3"/>
      <c r="F76" s="8">
        <f t="shared" si="12"/>
        <v>1.0211147151506397E-3</v>
      </c>
      <c r="G76" s="3"/>
      <c r="H76" s="7">
        <v>0</v>
      </c>
      <c r="I76" s="3"/>
      <c r="J76" s="8">
        <f t="shared" si="13"/>
        <v>0</v>
      </c>
      <c r="K76" s="3"/>
      <c r="L76" s="7">
        <f t="shared" si="14"/>
        <v>1071.74</v>
      </c>
      <c r="M76" s="3"/>
      <c r="N76" s="8">
        <f t="shared" si="15"/>
        <v>0</v>
      </c>
      <c r="O76" s="12"/>
      <c r="P76" s="7">
        <v>15352.11</v>
      </c>
      <c r="Q76" s="3"/>
      <c r="R76" s="8">
        <f t="shared" si="16"/>
        <v>2.0364385596708607E-3</v>
      </c>
      <c r="S76" s="3"/>
      <c r="T76" s="7">
        <v>0</v>
      </c>
      <c r="U76" s="3"/>
      <c r="V76" s="8">
        <f t="shared" si="17"/>
        <v>0</v>
      </c>
      <c r="W76" s="3"/>
      <c r="X76" s="7">
        <f t="shared" si="18"/>
        <v>15352.11</v>
      </c>
      <c r="Y76" s="3"/>
      <c r="Z76" s="8">
        <f t="shared" si="19"/>
        <v>0</v>
      </c>
    </row>
    <row r="77" spans="1:26" s="70" customFormat="1" ht="15" hidden="1" customHeight="1" outlineLevel="2" x14ac:dyDescent="0.3">
      <c r="A77" s="26"/>
      <c r="B77" s="12" t="str">
        <f>CONCATENATE("          ","6007"," - ","STUDENT HOURLY")</f>
        <v xml:space="preserve">          6007 - STUDENT HOURLY</v>
      </c>
      <c r="C77" s="12"/>
      <c r="D77" s="7">
        <v>81697.75</v>
      </c>
      <c r="E77" s="3"/>
      <c r="F77" s="8">
        <f t="shared" si="12"/>
        <v>7.7838631309551001E-2</v>
      </c>
      <c r="G77" s="3"/>
      <c r="H77" s="7">
        <v>30466.416000000001</v>
      </c>
      <c r="I77" s="3"/>
      <c r="J77" s="8">
        <f t="shared" si="13"/>
        <v>6.4930056114522225E-2</v>
      </c>
      <c r="K77" s="3"/>
      <c r="L77" s="7">
        <f t="shared" si="14"/>
        <v>51231.334000000003</v>
      </c>
      <c r="M77" s="3"/>
      <c r="N77" s="8">
        <f t="shared" si="15"/>
        <v>1.6815674676010464</v>
      </c>
      <c r="O77" s="12"/>
      <c r="P77" s="7">
        <v>587360.24</v>
      </c>
      <c r="Q77" s="3"/>
      <c r="R77" s="8">
        <f t="shared" si="16"/>
        <v>7.7912615344309738E-2</v>
      </c>
      <c r="S77" s="3"/>
      <c r="T77" s="7">
        <v>337559.13</v>
      </c>
      <c r="U77" s="3"/>
      <c r="V77" s="8">
        <f t="shared" si="17"/>
        <v>3.5750641492456506E-2</v>
      </c>
      <c r="W77" s="3"/>
      <c r="X77" s="7">
        <f t="shared" si="18"/>
        <v>249801.11</v>
      </c>
      <c r="Y77" s="3"/>
      <c r="Z77" s="8">
        <f t="shared" si="19"/>
        <v>0.7400217852202664</v>
      </c>
    </row>
    <row r="78" spans="1:26" s="70" customFormat="1" ht="15" hidden="1" customHeight="1" outlineLevel="2" x14ac:dyDescent="0.3">
      <c r="A78" s="26"/>
      <c r="B78" s="12" t="str">
        <f>CONCATENATE("          ","6008"," - ","STUDENT HOURLY-FICA EXEMPT")</f>
        <v xml:space="preserve">          6008 - STUDENT HOURLY-FICA EXEMPT</v>
      </c>
      <c r="C78" s="12"/>
      <c r="D78" s="7">
        <v>10303.32</v>
      </c>
      <c r="E78" s="3"/>
      <c r="F78" s="8">
        <f t="shared" si="12"/>
        <v>9.8166268562392845E-3</v>
      </c>
      <c r="G78" s="3"/>
      <c r="H78" s="7">
        <v>32932.591074999997</v>
      </c>
      <c r="I78" s="3"/>
      <c r="J78" s="8">
        <f t="shared" si="13"/>
        <v>7.0185970889925592E-2</v>
      </c>
      <c r="K78" s="3"/>
      <c r="L78" s="7">
        <f t="shared" si="14"/>
        <v>-22629.271074999997</v>
      </c>
      <c r="M78" s="3"/>
      <c r="N78" s="8">
        <f t="shared" si="15"/>
        <v>-0.68713910252201438</v>
      </c>
      <c r="O78" s="12"/>
      <c r="P78" s="7">
        <v>94268.4</v>
      </c>
      <c r="Q78" s="3"/>
      <c r="R78" s="8">
        <f t="shared" si="16"/>
        <v>1.2504587624663747E-2</v>
      </c>
      <c r="S78" s="3"/>
      <c r="T78" s="7">
        <v>467400.63012500003</v>
      </c>
      <c r="U78" s="3"/>
      <c r="V78" s="8">
        <f t="shared" si="17"/>
        <v>4.9502060160384768E-2</v>
      </c>
      <c r="W78" s="3"/>
      <c r="X78" s="7">
        <f t="shared" si="18"/>
        <v>-373132.230125</v>
      </c>
      <c r="Y78" s="3"/>
      <c r="Z78" s="8">
        <f t="shared" si="19"/>
        <v>-0.79831349398311846</v>
      </c>
    </row>
    <row r="79" spans="1:26" s="70" customFormat="1" ht="15" hidden="1" customHeight="1" outlineLevel="2" x14ac:dyDescent="0.3">
      <c r="A79" s="26"/>
      <c r="B79" s="12" t="str">
        <f>CONCATENATE("          ","6009"," - ","TEMPORARY-SEASONAL")</f>
        <v xml:space="preserve">          6009 - TEMPORARY-SEASONAL</v>
      </c>
      <c r="C79" s="12"/>
      <c r="D79" s="7"/>
      <c r="E79" s="3"/>
      <c r="F79" s="8">
        <f t="shared" si="12"/>
        <v>0</v>
      </c>
      <c r="G79" s="3"/>
      <c r="H79" s="7">
        <v>0</v>
      </c>
      <c r="I79" s="3"/>
      <c r="J79" s="8">
        <f t="shared" si="13"/>
        <v>0</v>
      </c>
      <c r="K79" s="3"/>
      <c r="L79" s="7">
        <f t="shared" si="14"/>
        <v>0</v>
      </c>
      <c r="M79" s="3"/>
      <c r="N79" s="8">
        <f t="shared" si="15"/>
        <v>0</v>
      </c>
      <c r="O79" s="12"/>
      <c r="P79" s="7"/>
      <c r="Q79" s="3"/>
      <c r="R79" s="8">
        <f t="shared" si="16"/>
        <v>0</v>
      </c>
      <c r="S79" s="3"/>
      <c r="T79" s="7">
        <v>0</v>
      </c>
      <c r="U79" s="3"/>
      <c r="V79" s="8">
        <f t="shared" si="17"/>
        <v>0</v>
      </c>
      <c r="W79" s="3"/>
      <c r="X79" s="7">
        <f t="shared" si="18"/>
        <v>0</v>
      </c>
      <c r="Y79" s="3"/>
      <c r="Z79" s="8">
        <f t="shared" si="19"/>
        <v>0</v>
      </c>
    </row>
    <row r="80" spans="1:26" s="70" customFormat="1" ht="15" hidden="1" customHeight="1" outlineLevel="2" x14ac:dyDescent="0.3">
      <c r="A80" s="26"/>
      <c r="B80" s="12" t="str">
        <f>CONCATENATE("          ","6010"," - ","GRATUITY")</f>
        <v xml:space="preserve">          6010 - GRATUITY</v>
      </c>
      <c r="C80" s="12"/>
      <c r="D80" s="7"/>
      <c r="E80" s="3"/>
      <c r="F80" s="8">
        <f t="shared" si="12"/>
        <v>0</v>
      </c>
      <c r="G80" s="3"/>
      <c r="H80" s="7">
        <v>0</v>
      </c>
      <c r="I80" s="3"/>
      <c r="J80" s="8">
        <f t="shared" si="13"/>
        <v>0</v>
      </c>
      <c r="K80" s="3"/>
      <c r="L80" s="7">
        <f t="shared" si="14"/>
        <v>0</v>
      </c>
      <c r="M80" s="3"/>
      <c r="N80" s="8">
        <f t="shared" si="15"/>
        <v>0</v>
      </c>
      <c r="O80" s="12"/>
      <c r="P80" s="7"/>
      <c r="Q80" s="3"/>
      <c r="R80" s="8">
        <f t="shared" si="16"/>
        <v>0</v>
      </c>
      <c r="S80" s="3"/>
      <c r="T80" s="7">
        <v>0</v>
      </c>
      <c r="U80" s="3"/>
      <c r="V80" s="8">
        <f t="shared" si="17"/>
        <v>0</v>
      </c>
      <c r="W80" s="3"/>
      <c r="X80" s="7">
        <f t="shared" si="18"/>
        <v>0</v>
      </c>
      <c r="Y80" s="3"/>
      <c r="Z80" s="8">
        <f t="shared" si="19"/>
        <v>0</v>
      </c>
    </row>
    <row r="81" spans="1:26" s="69" customFormat="1" ht="15" customHeight="1" outlineLevel="1" collapsed="1" x14ac:dyDescent="0.3">
      <c r="A81" s="25"/>
      <c r="B81" s="14" t="str">
        <f>CONCATENATE("     ","Advertising/Promo                                 ")</f>
        <v xml:space="preserve">     Advertising/Promo                                 </v>
      </c>
      <c r="C81" s="14"/>
      <c r="D81" s="2">
        <f>SUM(OSRRefD22_2x_0)</f>
        <v>2357.73</v>
      </c>
      <c r="E81" s="2"/>
      <c r="F81" s="6">
        <f t="shared" si="12"/>
        <v>2.2463590025119133E-3</v>
      </c>
      <c r="G81" s="2"/>
      <c r="H81" s="2">
        <f>SUM(OSRRefH22_2x_0)</f>
        <v>500</v>
      </c>
      <c r="I81" s="2"/>
      <c r="J81" s="6">
        <f t="shared" si="13"/>
        <v>1.0656004978485526E-3</v>
      </c>
      <c r="K81" s="2"/>
      <c r="L81" s="2">
        <f t="shared" si="14"/>
        <v>1857.73</v>
      </c>
      <c r="M81" s="2"/>
      <c r="N81" s="6">
        <f t="shared" si="15"/>
        <v>3.7154600000000002</v>
      </c>
      <c r="O81" s="14"/>
      <c r="P81" s="2">
        <f>SUM(OSRRefP22_2x_0)</f>
        <v>9178.59</v>
      </c>
      <c r="Q81" s="2"/>
      <c r="R81" s="6">
        <f t="shared" si="16"/>
        <v>1.2175287044848796E-3</v>
      </c>
      <c r="S81" s="2"/>
      <c r="T81" s="2">
        <f>SUM(OSRRefT22_2x_0)</f>
        <v>7900</v>
      </c>
      <c r="U81" s="2"/>
      <c r="V81" s="6">
        <f t="shared" si="17"/>
        <v>8.3668324358581684E-4</v>
      </c>
      <c r="W81" s="2"/>
      <c r="X81" s="2">
        <f t="shared" si="18"/>
        <v>1278.5900000000001</v>
      </c>
      <c r="Y81" s="2"/>
      <c r="Z81" s="6">
        <f t="shared" si="19"/>
        <v>0.16184683544303799</v>
      </c>
    </row>
    <row r="82" spans="1:26" s="70" customFormat="1" ht="15" hidden="1" customHeight="1" outlineLevel="2" x14ac:dyDescent="0.3">
      <c r="A82" s="26"/>
      <c r="B82" s="12" t="str">
        <f>CONCATENATE("          ","6362"," - ","ADVERTISING EXPENSE")</f>
        <v xml:space="preserve">          6362 - ADVERTISING EXPENSE</v>
      </c>
      <c r="C82" s="12"/>
      <c r="D82" s="7">
        <v>2357.73</v>
      </c>
      <c r="E82" s="3"/>
      <c r="F82" s="8">
        <f t="shared" si="12"/>
        <v>2.2463590025119133E-3</v>
      </c>
      <c r="G82" s="3"/>
      <c r="H82" s="7">
        <v>500</v>
      </c>
      <c r="I82" s="3"/>
      <c r="J82" s="8">
        <f t="shared" si="13"/>
        <v>1.0656004978485526E-3</v>
      </c>
      <c r="K82" s="3"/>
      <c r="L82" s="7">
        <f t="shared" si="14"/>
        <v>1857.73</v>
      </c>
      <c r="M82" s="3"/>
      <c r="N82" s="8">
        <f t="shared" si="15"/>
        <v>3.7154600000000002</v>
      </c>
      <c r="O82" s="12"/>
      <c r="P82" s="7">
        <v>9178.59</v>
      </c>
      <c r="Q82" s="3"/>
      <c r="R82" s="8">
        <f t="shared" si="16"/>
        <v>1.2175287044848796E-3</v>
      </c>
      <c r="S82" s="3"/>
      <c r="T82" s="7">
        <v>7900</v>
      </c>
      <c r="U82" s="3"/>
      <c r="V82" s="8">
        <f t="shared" si="17"/>
        <v>8.3668324358581684E-4</v>
      </c>
      <c r="W82" s="3"/>
      <c r="X82" s="7">
        <f t="shared" si="18"/>
        <v>1278.5900000000001</v>
      </c>
      <c r="Y82" s="3"/>
      <c r="Z82" s="8">
        <f t="shared" si="19"/>
        <v>0.16184683544303799</v>
      </c>
    </row>
    <row r="83" spans="1:26" s="69" customFormat="1" ht="15" customHeight="1" outlineLevel="1" collapsed="1" x14ac:dyDescent="0.3">
      <c r="A83" s="25"/>
      <c r="B83" s="14" t="str">
        <f>CONCATENATE("     ","Bad Debts/Over/Short                              ")</f>
        <v xml:space="preserve">     Bad Debts/Over/Short                              </v>
      </c>
      <c r="C83" s="14"/>
      <c r="D83" s="2">
        <f>SUM(OSRRefD22_3x_0)</f>
        <v>-46.63</v>
      </c>
      <c r="E83" s="2"/>
      <c r="F83" s="6">
        <f t="shared" si="12"/>
        <v>-4.4427360336904785E-5</v>
      </c>
      <c r="G83" s="2"/>
      <c r="H83" s="2">
        <f>SUM(OSRRefH22_3x_0)</f>
        <v>235</v>
      </c>
      <c r="I83" s="2"/>
      <c r="J83" s="6">
        <f t="shared" si="13"/>
        <v>5.0083223398881974E-4</v>
      </c>
      <c r="K83" s="2"/>
      <c r="L83" s="2">
        <f t="shared" si="14"/>
        <v>-281.63</v>
      </c>
      <c r="M83" s="2"/>
      <c r="N83" s="6">
        <f t="shared" si="15"/>
        <v>-1.1984255319148935</v>
      </c>
      <c r="O83" s="14"/>
      <c r="P83" s="2">
        <f>SUM(OSRRefP22_3x_0)</f>
        <v>53.05</v>
      </c>
      <c r="Q83" s="2"/>
      <c r="R83" s="6">
        <f t="shared" si="16"/>
        <v>7.0370174256528351E-6</v>
      </c>
      <c r="S83" s="2"/>
      <c r="T83" s="2">
        <f>SUM(OSRRefT22_3x_0)</f>
        <v>2115</v>
      </c>
      <c r="U83" s="2"/>
      <c r="V83" s="6">
        <f t="shared" si="17"/>
        <v>2.2399810888405096E-4</v>
      </c>
      <c r="W83" s="2"/>
      <c r="X83" s="2">
        <f t="shared" si="18"/>
        <v>-2061.9499999999998</v>
      </c>
      <c r="Y83" s="2"/>
      <c r="Z83" s="6">
        <f t="shared" si="19"/>
        <v>-0.97491725768321502</v>
      </c>
    </row>
    <row r="84" spans="1:26" s="70" customFormat="1" ht="15" hidden="1" customHeight="1" outlineLevel="2" x14ac:dyDescent="0.3">
      <c r="A84" s="26"/>
      <c r="B84" s="12" t="str">
        <f>CONCATENATE("          ","6272"," - ","CASH (OVER/SHORT)")</f>
        <v xml:space="preserve">          6272 - CASH (OVER/SHORT)</v>
      </c>
      <c r="C84" s="12"/>
      <c r="D84" s="7">
        <v>-46.63</v>
      </c>
      <c r="E84" s="3"/>
      <c r="F84" s="8">
        <f t="shared" si="12"/>
        <v>-4.4427360336904785E-5</v>
      </c>
      <c r="G84" s="3"/>
      <c r="H84" s="7">
        <v>235</v>
      </c>
      <c r="I84" s="3"/>
      <c r="J84" s="8">
        <f t="shared" si="13"/>
        <v>5.0083223398881974E-4</v>
      </c>
      <c r="K84" s="3"/>
      <c r="L84" s="7">
        <f t="shared" si="14"/>
        <v>-281.63</v>
      </c>
      <c r="M84" s="3"/>
      <c r="N84" s="8">
        <f t="shared" si="15"/>
        <v>-1.1984255319148935</v>
      </c>
      <c r="O84" s="12"/>
      <c r="P84" s="7">
        <v>53.05</v>
      </c>
      <c r="Q84" s="3"/>
      <c r="R84" s="8">
        <f t="shared" si="16"/>
        <v>7.0370174256528351E-6</v>
      </c>
      <c r="S84" s="3"/>
      <c r="T84" s="7">
        <v>2115</v>
      </c>
      <c r="U84" s="3"/>
      <c r="V84" s="8">
        <f t="shared" si="17"/>
        <v>2.2399810888405096E-4</v>
      </c>
      <c r="W84" s="3"/>
      <c r="X84" s="7">
        <f t="shared" si="18"/>
        <v>-2061.9499999999998</v>
      </c>
      <c r="Y84" s="3"/>
      <c r="Z84" s="8">
        <f t="shared" si="19"/>
        <v>-0.97491725768321502</v>
      </c>
    </row>
    <row r="85" spans="1:26" s="69" customFormat="1" ht="15" customHeight="1" outlineLevel="1" collapsed="1" x14ac:dyDescent="0.3">
      <c r="A85" s="25"/>
      <c r="B85" s="14" t="str">
        <f>CONCATENATE("     ","Bank/card Fees                                    ")</f>
        <v xml:space="preserve">     Bank/card Fees                                    </v>
      </c>
      <c r="C85" s="14"/>
      <c r="D85" s="2">
        <f>SUM(OSRRefD22_4x_0)</f>
        <v>16082.6</v>
      </c>
      <c r="E85" s="2"/>
      <c r="F85" s="6">
        <f t="shared" si="12"/>
        <v>1.5322913689777073E-2</v>
      </c>
      <c r="G85" s="2"/>
      <c r="H85" s="2">
        <f>SUM(OSRRefH22_4x_0)</f>
        <v>8002</v>
      </c>
      <c r="I85" s="2"/>
      <c r="J85" s="6">
        <f t="shared" si="13"/>
        <v>1.7053870367568235E-2</v>
      </c>
      <c r="K85" s="2"/>
      <c r="L85" s="2">
        <f t="shared" si="14"/>
        <v>8080.6</v>
      </c>
      <c r="M85" s="2"/>
      <c r="N85" s="6">
        <f t="shared" si="15"/>
        <v>1.0098225443639091</v>
      </c>
      <c r="O85" s="14"/>
      <c r="P85" s="2">
        <f>SUM(OSRRefP22_4x_0)</f>
        <v>111367.42</v>
      </c>
      <c r="Q85" s="2"/>
      <c r="R85" s="6">
        <f t="shared" si="16"/>
        <v>1.4772751652968862E-2</v>
      </c>
      <c r="S85" s="2"/>
      <c r="T85" s="2">
        <f>SUM(OSRRefT22_4x_0)</f>
        <v>153640</v>
      </c>
      <c r="U85" s="2"/>
      <c r="V85" s="6">
        <f t="shared" si="17"/>
        <v>1.6271900448674038E-2</v>
      </c>
      <c r="W85" s="2"/>
      <c r="X85" s="2">
        <f t="shared" si="18"/>
        <v>-42272.58</v>
      </c>
      <c r="Y85" s="2"/>
      <c r="Z85" s="6">
        <f t="shared" si="19"/>
        <v>-0.27514045821400679</v>
      </c>
    </row>
    <row r="86" spans="1:26" s="70" customFormat="1" ht="15" hidden="1" customHeight="1" outlineLevel="2" x14ac:dyDescent="0.3">
      <c r="A86" s="26"/>
      <c r="B86" s="12" t="str">
        <f>CONCATENATE("          ","6381"," - ","BANK/CREDIT CARD FEES")</f>
        <v xml:space="preserve">          6381 - BANK/CREDIT CARD FEES</v>
      </c>
      <c r="C86" s="12"/>
      <c r="D86" s="7">
        <v>16082.6</v>
      </c>
      <c r="E86" s="3"/>
      <c r="F86" s="8">
        <f t="shared" si="12"/>
        <v>1.5322913689777073E-2</v>
      </c>
      <c r="G86" s="3"/>
      <c r="H86" s="7">
        <v>8002</v>
      </c>
      <c r="I86" s="3"/>
      <c r="J86" s="8">
        <f t="shared" si="13"/>
        <v>1.7053870367568235E-2</v>
      </c>
      <c r="K86" s="3"/>
      <c r="L86" s="7">
        <f t="shared" si="14"/>
        <v>8080.6</v>
      </c>
      <c r="M86" s="3"/>
      <c r="N86" s="8">
        <f t="shared" si="15"/>
        <v>1.0098225443639091</v>
      </c>
      <c r="O86" s="12"/>
      <c r="P86" s="7">
        <v>111367.42</v>
      </c>
      <c r="Q86" s="3"/>
      <c r="R86" s="8">
        <f t="shared" si="16"/>
        <v>1.4772751652968862E-2</v>
      </c>
      <c r="S86" s="3"/>
      <c r="T86" s="7">
        <v>153640</v>
      </c>
      <c r="U86" s="3"/>
      <c r="V86" s="8">
        <f t="shared" si="17"/>
        <v>1.6271900448674038E-2</v>
      </c>
      <c r="W86" s="3"/>
      <c r="X86" s="7">
        <f t="shared" si="18"/>
        <v>-42272.58</v>
      </c>
      <c r="Y86" s="3"/>
      <c r="Z86" s="8">
        <f t="shared" si="19"/>
        <v>-0.27514045821400679</v>
      </c>
    </row>
    <row r="87" spans="1:26" s="69" customFormat="1" ht="15" customHeight="1" outlineLevel="1" collapsed="1" x14ac:dyDescent="0.3">
      <c r="A87" s="25"/>
      <c r="B87" s="14" t="str">
        <f>CONCATENATE("     ","Depreciation                                      ")</f>
        <v xml:space="preserve">     Depreciation                                      </v>
      </c>
      <c r="C87" s="14"/>
      <c r="D87" s="2">
        <f>SUM(OSRRefD22_5x_0)</f>
        <v>27820.449999999997</v>
      </c>
      <c r="E87" s="2"/>
      <c r="F87" s="6">
        <f t="shared" si="12"/>
        <v>2.6506308318353905E-2</v>
      </c>
      <c r="G87" s="2"/>
      <c r="H87" s="2">
        <f>SUM(OSRRefH22_5x_0)</f>
        <v>27419</v>
      </c>
      <c r="I87" s="2"/>
      <c r="J87" s="6">
        <f t="shared" si="13"/>
        <v>5.8435400101018928E-2</v>
      </c>
      <c r="K87" s="2"/>
      <c r="L87" s="2">
        <f t="shared" si="14"/>
        <v>401.44999999999709</v>
      </c>
      <c r="M87" s="2"/>
      <c r="N87" s="6">
        <f t="shared" si="15"/>
        <v>1.4641307122797953E-2</v>
      </c>
      <c r="O87" s="14"/>
      <c r="P87" s="2">
        <f>SUM(OSRRefP22_5x_0)</f>
        <v>269960.53000000003</v>
      </c>
      <c r="Q87" s="2"/>
      <c r="R87" s="6">
        <f t="shared" si="16"/>
        <v>3.5809933154542423E-2</v>
      </c>
      <c r="S87" s="2"/>
      <c r="T87" s="2">
        <f>SUM(OSRRefT22_5x_0)</f>
        <v>266348</v>
      </c>
      <c r="U87" s="2"/>
      <c r="V87" s="6">
        <f t="shared" si="17"/>
        <v>2.8208722602860142E-2</v>
      </c>
      <c r="W87" s="2"/>
      <c r="X87" s="2">
        <f t="shared" si="18"/>
        <v>3612.5300000000279</v>
      </c>
      <c r="Y87" s="2"/>
      <c r="Z87" s="6">
        <f t="shared" si="19"/>
        <v>1.3563195518644886E-2</v>
      </c>
    </row>
    <row r="88" spans="1:26" s="70" customFormat="1" ht="15" hidden="1" customHeight="1" outlineLevel="2" x14ac:dyDescent="0.3">
      <c r="A88" s="26"/>
      <c r="B88" s="12" t="str">
        <f>CONCATENATE("          ","6321"," - ","BUILDING DEPRECIATION")</f>
        <v xml:space="preserve">          6321 - BUILDING DEPRECIATION</v>
      </c>
      <c r="C88" s="12"/>
      <c r="D88" s="7">
        <v>13321.71</v>
      </c>
      <c r="E88" s="3"/>
      <c r="F88" s="8">
        <f t="shared" si="12"/>
        <v>1.2692438569027404E-2</v>
      </c>
      <c r="G88" s="3"/>
      <c r="H88" s="7"/>
      <c r="I88" s="3"/>
      <c r="J88" s="8">
        <f t="shared" si="13"/>
        <v>0</v>
      </c>
      <c r="K88" s="3"/>
      <c r="L88" s="7">
        <f t="shared" si="14"/>
        <v>13321.71</v>
      </c>
      <c r="M88" s="3"/>
      <c r="N88" s="8">
        <f t="shared" si="15"/>
        <v>0</v>
      </c>
      <c r="O88" s="12"/>
      <c r="P88" s="7">
        <v>139154.13</v>
      </c>
      <c r="Q88" s="3"/>
      <c r="R88" s="8">
        <f t="shared" si="16"/>
        <v>1.8458624649605279E-2</v>
      </c>
      <c r="S88" s="3"/>
      <c r="T88" s="7"/>
      <c r="U88" s="3"/>
      <c r="V88" s="8">
        <f t="shared" si="17"/>
        <v>0</v>
      </c>
      <c r="W88" s="3"/>
      <c r="X88" s="7">
        <f t="shared" si="18"/>
        <v>139154.13</v>
      </c>
      <c r="Y88" s="3"/>
      <c r="Z88" s="8">
        <f t="shared" si="19"/>
        <v>0</v>
      </c>
    </row>
    <row r="89" spans="1:26" s="70" customFormat="1" ht="15" hidden="1" customHeight="1" outlineLevel="2" x14ac:dyDescent="0.3">
      <c r="A89" s="26"/>
      <c r="B89" s="12" t="str">
        <f>CONCATENATE("          ","6322"," - ","EQUIPMENT DEPRECIATION EXPENSE")</f>
        <v xml:space="preserve">          6322 - EQUIPMENT DEPRECIATION EXPENSE</v>
      </c>
      <c r="C89" s="12"/>
      <c r="D89" s="7">
        <v>14498.74</v>
      </c>
      <c r="E89" s="3"/>
      <c r="F89" s="8">
        <f t="shared" si="12"/>
        <v>1.3813869749326503E-2</v>
      </c>
      <c r="G89" s="3"/>
      <c r="H89" s="7">
        <v>27419</v>
      </c>
      <c r="I89" s="3"/>
      <c r="J89" s="8">
        <f t="shared" si="13"/>
        <v>5.8435400101018928E-2</v>
      </c>
      <c r="K89" s="3"/>
      <c r="L89" s="7">
        <f t="shared" si="14"/>
        <v>-12920.26</v>
      </c>
      <c r="M89" s="3"/>
      <c r="N89" s="8">
        <f t="shared" si="15"/>
        <v>-0.4712155804369233</v>
      </c>
      <c r="O89" s="12"/>
      <c r="P89" s="7">
        <v>130806.39999999999</v>
      </c>
      <c r="Q89" s="3"/>
      <c r="R89" s="8">
        <f t="shared" si="16"/>
        <v>1.7351308504937137E-2</v>
      </c>
      <c r="S89" s="3"/>
      <c r="T89" s="7">
        <v>266348</v>
      </c>
      <c r="U89" s="3"/>
      <c r="V89" s="8">
        <f t="shared" si="17"/>
        <v>2.8208722602860142E-2</v>
      </c>
      <c r="W89" s="3"/>
      <c r="X89" s="7">
        <f t="shared" si="18"/>
        <v>-135541.6</v>
      </c>
      <c r="Y89" s="3"/>
      <c r="Z89" s="8">
        <f t="shared" si="19"/>
        <v>-0.50888912250138918</v>
      </c>
    </row>
    <row r="90" spans="1:26" s="69" customFormat="1" ht="15" customHeight="1" outlineLevel="1" collapsed="1" x14ac:dyDescent="0.3">
      <c r="A90" s="25"/>
      <c r="B90" s="14" t="str">
        <f>CONCATENATE("     ","Discounts and Markdowns                           ")</f>
        <v xml:space="preserve">     Discounts and Markdowns                           </v>
      </c>
      <c r="C90" s="14"/>
      <c r="D90" s="2">
        <f>SUM(OSRRefD22_6x_0)</f>
        <v>-7.72</v>
      </c>
      <c r="E90" s="2"/>
      <c r="F90" s="6">
        <f t="shared" ref="F90:F121" si="20">IF(D$12=0,0,D90/D$12)</f>
        <v>-7.3553339438324027E-6</v>
      </c>
      <c r="G90" s="2"/>
      <c r="H90" s="2">
        <f>SUM(OSRRefH22_6x_0)</f>
        <v>0</v>
      </c>
      <c r="I90" s="2"/>
      <c r="J90" s="6">
        <f t="shared" ref="J90:J121" si="21">IF(H$12=0,0,H90/H$12)</f>
        <v>0</v>
      </c>
      <c r="K90" s="2"/>
      <c r="L90" s="2">
        <f t="shared" ref="L90:L121" si="22">+D90-H90</f>
        <v>-7.72</v>
      </c>
      <c r="M90" s="2"/>
      <c r="N90" s="6">
        <f t="shared" ref="N90:N121" si="23">IF(H90=0,0,L90/H90)</f>
        <v>0</v>
      </c>
      <c r="O90" s="14"/>
      <c r="P90" s="2">
        <f>SUM(OSRRefP22_6x_0)</f>
        <v>2056.83</v>
      </c>
      <c r="Q90" s="2"/>
      <c r="R90" s="6">
        <f t="shared" ref="R90:R121" si="24">IF(P$12=0,0,P90/P$12)</f>
        <v>2.7283597646758759E-4</v>
      </c>
      <c r="S90" s="2"/>
      <c r="T90" s="2">
        <f>SUM(OSRRefT22_6x_0)</f>
        <v>0</v>
      </c>
      <c r="U90" s="2"/>
      <c r="V90" s="6">
        <f t="shared" ref="V90:V121" si="25">IF(T$12=0,0,T90/T$12)</f>
        <v>0</v>
      </c>
      <c r="W90" s="2"/>
      <c r="X90" s="2">
        <f t="shared" ref="X90:X121" si="26">+P90-T90</f>
        <v>2056.83</v>
      </c>
      <c r="Y90" s="2"/>
      <c r="Z90" s="6">
        <f t="shared" ref="Z90:Z121" si="27">IF(T90=0,0,X90/T90)</f>
        <v>0</v>
      </c>
    </row>
    <row r="91" spans="1:26" s="70" customFormat="1" ht="15" hidden="1" customHeight="1" outlineLevel="2" x14ac:dyDescent="0.3">
      <c r="A91" s="26"/>
      <c r="B91" s="12" t="str">
        <f>CONCATENATE("          ","6382"," - ","DISCOUNTS/MARK DOWNS")</f>
        <v xml:space="preserve">          6382 - DISCOUNTS/MARK DOWNS</v>
      </c>
      <c r="C91" s="12"/>
      <c r="D91" s="7"/>
      <c r="E91" s="3"/>
      <c r="F91" s="8">
        <f t="shared" si="20"/>
        <v>0</v>
      </c>
      <c r="G91" s="3"/>
      <c r="H91" s="7"/>
      <c r="I91" s="3"/>
      <c r="J91" s="8">
        <f t="shared" si="21"/>
        <v>0</v>
      </c>
      <c r="K91" s="3"/>
      <c r="L91" s="7">
        <f t="shared" si="22"/>
        <v>0</v>
      </c>
      <c r="M91" s="3"/>
      <c r="N91" s="8">
        <f t="shared" si="23"/>
        <v>0</v>
      </c>
      <c r="O91" s="12"/>
      <c r="P91" s="7">
        <v>2171.35</v>
      </c>
      <c r="Q91" s="3"/>
      <c r="R91" s="8">
        <f t="shared" si="24"/>
        <v>2.8802691399041063E-4</v>
      </c>
      <c r="S91" s="3"/>
      <c r="T91" s="7">
        <v>0</v>
      </c>
      <c r="U91" s="3"/>
      <c r="V91" s="8">
        <f t="shared" si="25"/>
        <v>0</v>
      </c>
      <c r="W91" s="3"/>
      <c r="X91" s="7">
        <f t="shared" si="26"/>
        <v>2171.35</v>
      </c>
      <c r="Y91" s="3"/>
      <c r="Z91" s="8">
        <f t="shared" si="27"/>
        <v>0</v>
      </c>
    </row>
    <row r="92" spans="1:26" s="70" customFormat="1" ht="15" hidden="1" customHeight="1" outlineLevel="2" x14ac:dyDescent="0.3">
      <c r="A92" s="26"/>
      <c r="B92" s="12" t="str">
        <f>CONCATENATE("          ","9175"," - ","EARNED DISCOUNTS")</f>
        <v xml:space="preserve">          9175 - EARNED DISCOUNTS</v>
      </c>
      <c r="C92" s="12"/>
      <c r="D92" s="7">
        <v>-7.72</v>
      </c>
      <c r="E92" s="3"/>
      <c r="F92" s="8">
        <f t="shared" si="20"/>
        <v>-7.3553339438324027E-6</v>
      </c>
      <c r="G92" s="3"/>
      <c r="H92" s="7"/>
      <c r="I92" s="3"/>
      <c r="J92" s="8">
        <f t="shared" si="21"/>
        <v>0</v>
      </c>
      <c r="K92" s="3"/>
      <c r="L92" s="7">
        <f t="shared" si="22"/>
        <v>-7.72</v>
      </c>
      <c r="M92" s="3"/>
      <c r="N92" s="8">
        <f t="shared" si="23"/>
        <v>0</v>
      </c>
      <c r="O92" s="12"/>
      <c r="P92" s="7">
        <v>-114.52</v>
      </c>
      <c r="Q92" s="3"/>
      <c r="R92" s="8">
        <f t="shared" si="24"/>
        <v>-1.5190937522823048E-5</v>
      </c>
      <c r="S92" s="3"/>
      <c r="T92" s="7"/>
      <c r="U92" s="3"/>
      <c r="V92" s="8">
        <f t="shared" si="25"/>
        <v>0</v>
      </c>
      <c r="W92" s="3"/>
      <c r="X92" s="7">
        <f t="shared" si="26"/>
        <v>-114.52</v>
      </c>
      <c r="Y92" s="3"/>
      <c r="Z92" s="8">
        <f t="shared" si="27"/>
        <v>0</v>
      </c>
    </row>
    <row r="93" spans="1:26" s="69" customFormat="1" ht="15" customHeight="1" outlineLevel="1" collapsed="1" x14ac:dyDescent="0.3">
      <c r="A93" s="25"/>
      <c r="B93" s="14" t="str">
        <f>CONCATENATE("     ","Donations                                         ")</f>
        <v xml:space="preserve">     Donations                                         </v>
      </c>
      <c r="C93" s="14"/>
      <c r="D93" s="2">
        <f>SUM(OSRRefD22_7x_0)</f>
        <v>0</v>
      </c>
      <c r="E93" s="2"/>
      <c r="F93" s="6">
        <f t="shared" si="20"/>
        <v>0</v>
      </c>
      <c r="G93" s="2"/>
      <c r="H93" s="2">
        <f>SUM(OSRRefH22_7x_0)</f>
        <v>1250</v>
      </c>
      <c r="I93" s="2"/>
      <c r="J93" s="6">
        <f t="shared" si="21"/>
        <v>2.6640012446213814E-3</v>
      </c>
      <c r="K93" s="2"/>
      <c r="L93" s="2">
        <f t="shared" si="22"/>
        <v>-1250</v>
      </c>
      <c r="M93" s="2"/>
      <c r="N93" s="6">
        <f t="shared" si="23"/>
        <v>-1</v>
      </c>
      <c r="O93" s="14"/>
      <c r="P93" s="2">
        <f>SUM(OSRRefP22_7x_0)</f>
        <v>5818.27</v>
      </c>
      <c r="Q93" s="2"/>
      <c r="R93" s="6">
        <f t="shared" si="24"/>
        <v>7.7178637845717489E-4</v>
      </c>
      <c r="S93" s="2"/>
      <c r="T93" s="2">
        <f>SUM(OSRRefT22_7x_0)</f>
        <v>11250</v>
      </c>
      <c r="U93" s="2"/>
      <c r="V93" s="6">
        <f t="shared" si="25"/>
        <v>1.1914793025747392E-3</v>
      </c>
      <c r="W93" s="2"/>
      <c r="X93" s="2">
        <f t="shared" si="26"/>
        <v>-5431.73</v>
      </c>
      <c r="Y93" s="2"/>
      <c r="Z93" s="6">
        <f t="shared" si="27"/>
        <v>-0.48282044444444439</v>
      </c>
    </row>
    <row r="94" spans="1:26" s="70" customFormat="1" ht="15" hidden="1" customHeight="1" outlineLevel="2" x14ac:dyDescent="0.3">
      <c r="A94" s="26"/>
      <c r="B94" s="12" t="str">
        <f>CONCATENATE("          ","6399"," - ","DONATION-ON CAMPUS")</f>
        <v xml:space="preserve">          6399 - DONATION-ON CAMPUS</v>
      </c>
      <c r="C94" s="12"/>
      <c r="D94" s="7"/>
      <c r="E94" s="3"/>
      <c r="F94" s="8">
        <f t="shared" si="20"/>
        <v>0</v>
      </c>
      <c r="G94" s="3"/>
      <c r="H94" s="7">
        <v>1250</v>
      </c>
      <c r="I94" s="3"/>
      <c r="J94" s="8">
        <f t="shared" si="21"/>
        <v>2.6640012446213814E-3</v>
      </c>
      <c r="K94" s="3"/>
      <c r="L94" s="7">
        <f t="shared" si="22"/>
        <v>-1250</v>
      </c>
      <c r="M94" s="3"/>
      <c r="N94" s="8">
        <f t="shared" si="23"/>
        <v>-1</v>
      </c>
      <c r="O94" s="12"/>
      <c r="P94" s="7">
        <v>5818.27</v>
      </c>
      <c r="Q94" s="3"/>
      <c r="R94" s="8">
        <f t="shared" si="24"/>
        <v>7.7178637845717489E-4</v>
      </c>
      <c r="S94" s="3"/>
      <c r="T94" s="7">
        <v>11250</v>
      </c>
      <c r="U94" s="3"/>
      <c r="V94" s="8">
        <f t="shared" si="25"/>
        <v>1.1914793025747392E-3</v>
      </c>
      <c r="W94" s="3"/>
      <c r="X94" s="7">
        <f t="shared" si="26"/>
        <v>-5431.73</v>
      </c>
      <c r="Y94" s="3"/>
      <c r="Z94" s="8">
        <f t="shared" si="27"/>
        <v>-0.48282044444444439</v>
      </c>
    </row>
    <row r="95" spans="1:26" s="69" customFormat="1" ht="15" customHeight="1" outlineLevel="1" collapsed="1" x14ac:dyDescent="0.3">
      <c r="A95" s="25"/>
      <c r="B95" s="14" t="str">
        <f>CONCATENATE("     ","Employees' Appreciation                           ")</f>
        <v xml:space="preserve">     Employees' Appreciation                           </v>
      </c>
      <c r="C95" s="14"/>
      <c r="D95" s="2">
        <f>SUM(OSRRefD22_8x_0)</f>
        <v>74.69</v>
      </c>
      <c r="E95" s="2"/>
      <c r="F95" s="6">
        <f t="shared" si="20"/>
        <v>7.1161903143114269E-5</v>
      </c>
      <c r="G95" s="2"/>
      <c r="H95" s="2">
        <f>SUM(OSRRefH22_8x_0)</f>
        <v>245</v>
      </c>
      <c r="I95" s="2"/>
      <c r="J95" s="6">
        <f t="shared" si="21"/>
        <v>5.2214424394579075E-4</v>
      </c>
      <c r="K95" s="2"/>
      <c r="L95" s="2">
        <f t="shared" si="22"/>
        <v>-170.31</v>
      </c>
      <c r="M95" s="2"/>
      <c r="N95" s="6">
        <f t="shared" si="23"/>
        <v>-0.69514285714285717</v>
      </c>
      <c r="O95" s="14"/>
      <c r="P95" s="2">
        <f>SUM(OSRRefP22_8x_0)</f>
        <v>4319.88</v>
      </c>
      <c r="Q95" s="2"/>
      <c r="R95" s="6">
        <f t="shared" si="24"/>
        <v>5.7302678297321721E-4</v>
      </c>
      <c r="S95" s="2"/>
      <c r="T95" s="2">
        <f>SUM(OSRRefT22_8x_0)</f>
        <v>2205</v>
      </c>
      <c r="U95" s="2"/>
      <c r="V95" s="6">
        <f t="shared" si="25"/>
        <v>2.3352994330464886E-4</v>
      </c>
      <c r="W95" s="2"/>
      <c r="X95" s="2">
        <f t="shared" si="26"/>
        <v>2114.88</v>
      </c>
      <c r="Y95" s="2"/>
      <c r="Z95" s="6">
        <f t="shared" si="27"/>
        <v>0.95912925170068031</v>
      </c>
    </row>
    <row r="96" spans="1:26" s="70" customFormat="1" ht="15" hidden="1" customHeight="1" outlineLevel="2" x14ac:dyDescent="0.3">
      <c r="A96" s="26"/>
      <c r="B96" s="12" t="str">
        <f>CONCATENATE("          ","6277"," - ","EMPLOYEE APPRECIATION")</f>
        <v xml:space="preserve">          6277 - EMPLOYEE APPRECIATION</v>
      </c>
      <c r="C96" s="12"/>
      <c r="D96" s="7">
        <v>74.69</v>
      </c>
      <c r="E96" s="3"/>
      <c r="F96" s="8">
        <f t="shared" si="20"/>
        <v>7.1161903143114269E-5</v>
      </c>
      <c r="G96" s="3"/>
      <c r="H96" s="7">
        <v>245</v>
      </c>
      <c r="I96" s="3"/>
      <c r="J96" s="8">
        <f t="shared" si="21"/>
        <v>5.2214424394579075E-4</v>
      </c>
      <c r="K96" s="3"/>
      <c r="L96" s="7">
        <f t="shared" si="22"/>
        <v>-170.31</v>
      </c>
      <c r="M96" s="3"/>
      <c r="N96" s="8">
        <f t="shared" si="23"/>
        <v>-0.69514285714285717</v>
      </c>
      <c r="O96" s="12"/>
      <c r="P96" s="7">
        <v>4319.88</v>
      </c>
      <c r="Q96" s="3"/>
      <c r="R96" s="8">
        <f t="shared" si="24"/>
        <v>5.7302678297321721E-4</v>
      </c>
      <c r="S96" s="3"/>
      <c r="T96" s="7">
        <v>2205</v>
      </c>
      <c r="U96" s="3"/>
      <c r="V96" s="8">
        <f t="shared" si="25"/>
        <v>2.3352994330464886E-4</v>
      </c>
      <c r="W96" s="3"/>
      <c r="X96" s="7">
        <f t="shared" si="26"/>
        <v>2114.88</v>
      </c>
      <c r="Y96" s="3"/>
      <c r="Z96" s="8">
        <f t="shared" si="27"/>
        <v>0.95912925170068031</v>
      </c>
    </row>
    <row r="97" spans="1:26" s="69" customFormat="1" ht="15" customHeight="1" outlineLevel="1" collapsed="1" x14ac:dyDescent="0.3">
      <c r="A97" s="25"/>
      <c r="B97" s="14" t="str">
        <f>CONCATENATE("     ","Equipment Rental                                  ")</f>
        <v xml:space="preserve">     Equipment Rental                                  </v>
      </c>
      <c r="C97" s="14"/>
      <c r="D97" s="2">
        <f>SUM(OSRRefD22_9x_0)</f>
        <v>1712.05</v>
      </c>
      <c r="E97" s="2"/>
      <c r="F97" s="6">
        <f t="shared" si="20"/>
        <v>1.6311786889298271E-3</v>
      </c>
      <c r="G97" s="2"/>
      <c r="H97" s="2">
        <f>SUM(OSRRefH22_9x_0)</f>
        <v>1700</v>
      </c>
      <c r="I97" s="2"/>
      <c r="J97" s="6">
        <f t="shared" si="21"/>
        <v>3.623041692685079E-3</v>
      </c>
      <c r="K97" s="2"/>
      <c r="L97" s="2">
        <f t="shared" si="22"/>
        <v>12.049999999999955</v>
      </c>
      <c r="M97" s="2"/>
      <c r="N97" s="6">
        <f t="shared" si="23"/>
        <v>7.08823529411762E-3</v>
      </c>
      <c r="O97" s="14"/>
      <c r="P97" s="2">
        <f>SUM(OSRRefP22_9x_0)</f>
        <v>14410.15</v>
      </c>
      <c r="Q97" s="2"/>
      <c r="R97" s="6">
        <f t="shared" si="24"/>
        <v>1.9114887211361209E-3</v>
      </c>
      <c r="S97" s="2"/>
      <c r="T97" s="2">
        <f>SUM(OSRRefT22_9x_0)</f>
        <v>15100</v>
      </c>
      <c r="U97" s="2"/>
      <c r="V97" s="6">
        <f t="shared" si="25"/>
        <v>1.5992299972336498E-3</v>
      </c>
      <c r="W97" s="2"/>
      <c r="X97" s="2">
        <f t="shared" si="26"/>
        <v>-689.85000000000036</v>
      </c>
      <c r="Y97" s="2"/>
      <c r="Z97" s="6">
        <f t="shared" si="27"/>
        <v>-4.5685430463576183E-2</v>
      </c>
    </row>
    <row r="98" spans="1:26" s="70" customFormat="1" ht="15" hidden="1" customHeight="1" outlineLevel="2" x14ac:dyDescent="0.3">
      <c r="A98" s="26"/>
      <c r="B98" s="12" t="str">
        <f>CONCATENATE("          ","6351"," - ","EQUIPMENT RENTAL")</f>
        <v xml:space="preserve">          6351 - EQUIPMENT RENTAL</v>
      </c>
      <c r="C98" s="12"/>
      <c r="D98" s="7">
        <v>1712.05</v>
      </c>
      <c r="E98" s="3"/>
      <c r="F98" s="8">
        <f t="shared" si="20"/>
        <v>1.6311786889298271E-3</v>
      </c>
      <c r="G98" s="3"/>
      <c r="H98" s="7">
        <v>1700</v>
      </c>
      <c r="I98" s="3"/>
      <c r="J98" s="8">
        <f t="shared" si="21"/>
        <v>3.623041692685079E-3</v>
      </c>
      <c r="K98" s="3"/>
      <c r="L98" s="7">
        <f t="shared" si="22"/>
        <v>12.049999999999955</v>
      </c>
      <c r="M98" s="3"/>
      <c r="N98" s="8">
        <f t="shared" si="23"/>
        <v>7.08823529411762E-3</v>
      </c>
      <c r="O98" s="12"/>
      <c r="P98" s="7">
        <v>14410.15</v>
      </c>
      <c r="Q98" s="3"/>
      <c r="R98" s="8">
        <f t="shared" si="24"/>
        <v>1.9114887211361209E-3</v>
      </c>
      <c r="S98" s="3"/>
      <c r="T98" s="7">
        <v>15100</v>
      </c>
      <c r="U98" s="3"/>
      <c r="V98" s="8">
        <f t="shared" si="25"/>
        <v>1.5992299972336498E-3</v>
      </c>
      <c r="W98" s="3"/>
      <c r="X98" s="7">
        <f t="shared" si="26"/>
        <v>-689.85000000000036</v>
      </c>
      <c r="Y98" s="3"/>
      <c r="Z98" s="8">
        <f t="shared" si="27"/>
        <v>-4.5685430463576183E-2</v>
      </c>
    </row>
    <row r="99" spans="1:26" s="69" customFormat="1" ht="15" customHeight="1" outlineLevel="1" collapsed="1" x14ac:dyDescent="0.3">
      <c r="A99" s="25"/>
      <c r="B99" s="14" t="str">
        <f>CONCATENATE("     ","Freight out/Postage                               ")</f>
        <v xml:space="preserve">     Freight out/Postage                               </v>
      </c>
      <c r="C99" s="14"/>
      <c r="D99" s="2">
        <f>SUM(OSRRefD22_10x_0)</f>
        <v>1779.17</v>
      </c>
      <c r="E99" s="2"/>
      <c r="F99" s="6">
        <f t="shared" si="20"/>
        <v>1.6951281726487431E-3</v>
      </c>
      <c r="G99" s="2"/>
      <c r="H99" s="2">
        <f>SUM(OSRRefH22_10x_0)</f>
        <v>3365</v>
      </c>
      <c r="I99" s="2"/>
      <c r="J99" s="6">
        <f t="shared" si="21"/>
        <v>7.1714913505207586E-3</v>
      </c>
      <c r="K99" s="2"/>
      <c r="L99" s="2">
        <f t="shared" si="22"/>
        <v>-1585.83</v>
      </c>
      <c r="M99" s="2"/>
      <c r="N99" s="6">
        <f t="shared" si="23"/>
        <v>-0.4712719167904903</v>
      </c>
      <c r="O99" s="14"/>
      <c r="P99" s="2">
        <f>SUM(OSRRefP22_10x_0)</f>
        <v>-44606.61</v>
      </c>
      <c r="Q99" s="2"/>
      <c r="R99" s="6">
        <f t="shared" si="24"/>
        <v>-5.9170120993270511E-3</v>
      </c>
      <c r="S99" s="2"/>
      <c r="T99" s="2">
        <f>SUM(OSRRefT22_10x_0)</f>
        <v>-11515</v>
      </c>
      <c r="U99" s="2"/>
      <c r="V99" s="6">
        <f t="shared" si="25"/>
        <v>-1.2195452594798331E-3</v>
      </c>
      <c r="W99" s="2"/>
      <c r="X99" s="2">
        <f t="shared" si="26"/>
        <v>-33091.61</v>
      </c>
      <c r="Y99" s="2"/>
      <c r="Z99" s="6">
        <f t="shared" si="27"/>
        <v>2.8737828918801562</v>
      </c>
    </row>
    <row r="100" spans="1:26" s="70" customFormat="1" ht="15" hidden="1" customHeight="1" outlineLevel="2" x14ac:dyDescent="0.3">
      <c r="A100" s="26"/>
      <c r="B100" s="12" t="str">
        <f>CONCATENATE("          ","6305"," - ","FREIGHT OUT")</f>
        <v xml:space="preserve">          6305 - FREIGHT OUT</v>
      </c>
      <c r="C100" s="12"/>
      <c r="D100" s="7">
        <v>10386.42</v>
      </c>
      <c r="E100" s="3"/>
      <c r="F100" s="8">
        <f t="shared" si="20"/>
        <v>9.8958015001165481E-3</v>
      </c>
      <c r="G100" s="3"/>
      <c r="H100" s="7">
        <v>9265</v>
      </c>
      <c r="I100" s="3"/>
      <c r="J100" s="8">
        <f t="shared" si="21"/>
        <v>1.9745577225133679E-2</v>
      </c>
      <c r="K100" s="3"/>
      <c r="L100" s="7">
        <f t="shared" si="22"/>
        <v>1121.42</v>
      </c>
      <c r="M100" s="3"/>
      <c r="N100" s="8">
        <f t="shared" si="23"/>
        <v>0.12103831624392877</v>
      </c>
      <c r="O100" s="12"/>
      <c r="P100" s="7">
        <v>112239.99</v>
      </c>
      <c r="Q100" s="3"/>
      <c r="R100" s="8">
        <f t="shared" si="24"/>
        <v>1.4888496993121584E-2</v>
      </c>
      <c r="S100" s="3"/>
      <c r="T100" s="7">
        <v>148585</v>
      </c>
      <c r="U100" s="3"/>
      <c r="V100" s="8">
        <f t="shared" si="25"/>
        <v>1.5736529082050456E-2</v>
      </c>
      <c r="W100" s="3"/>
      <c r="X100" s="7">
        <f t="shared" si="26"/>
        <v>-36345.009999999995</v>
      </c>
      <c r="Y100" s="3"/>
      <c r="Z100" s="8">
        <f t="shared" si="27"/>
        <v>-0.24460753104283739</v>
      </c>
    </row>
    <row r="101" spans="1:26" s="70" customFormat="1" ht="15" hidden="1" customHeight="1" outlineLevel="2" x14ac:dyDescent="0.3">
      <c r="A101" s="26"/>
      <c r="B101" s="12" t="str">
        <f>CONCATENATE("          ","6307"," - ","POSTAGE")</f>
        <v xml:space="preserve">          6307 - POSTAGE</v>
      </c>
      <c r="C101" s="12"/>
      <c r="D101" s="7">
        <v>-8607.25</v>
      </c>
      <c r="E101" s="3"/>
      <c r="F101" s="8">
        <f t="shared" si="20"/>
        <v>-8.2006733274678049E-3</v>
      </c>
      <c r="G101" s="3"/>
      <c r="H101" s="7">
        <v>-5900</v>
      </c>
      <c r="I101" s="3"/>
      <c r="J101" s="8">
        <f t="shared" si="21"/>
        <v>-1.2574085874612921E-2</v>
      </c>
      <c r="K101" s="3"/>
      <c r="L101" s="7">
        <f t="shared" si="22"/>
        <v>-2707.25</v>
      </c>
      <c r="M101" s="3"/>
      <c r="N101" s="8">
        <f t="shared" si="23"/>
        <v>0.45885593220338983</v>
      </c>
      <c r="O101" s="12"/>
      <c r="P101" s="7">
        <v>-156846.6</v>
      </c>
      <c r="Q101" s="3"/>
      <c r="R101" s="8">
        <f t="shared" si="24"/>
        <v>-2.0805509092448635E-2</v>
      </c>
      <c r="S101" s="3"/>
      <c r="T101" s="7">
        <v>-160100</v>
      </c>
      <c r="U101" s="3"/>
      <c r="V101" s="8">
        <f t="shared" si="25"/>
        <v>-1.6956074341530288E-2</v>
      </c>
      <c r="W101" s="3"/>
      <c r="X101" s="7">
        <f t="shared" si="26"/>
        <v>3253.3999999999942</v>
      </c>
      <c r="Y101" s="3"/>
      <c r="Z101" s="8">
        <f t="shared" si="27"/>
        <v>-2.0321049344159865E-2</v>
      </c>
    </row>
    <row r="102" spans="1:26" s="69" customFormat="1" ht="15" customHeight="1" outlineLevel="1" collapsed="1" x14ac:dyDescent="0.3">
      <c r="A102" s="25"/>
      <c r="B102" s="14" t="str">
        <f>CONCATENATE("     ","General                                           ")</f>
        <v xml:space="preserve">     General                                           </v>
      </c>
      <c r="C102" s="14"/>
      <c r="D102" s="2">
        <f>SUM(OSRRefD22_11x_0)</f>
        <v>191.1</v>
      </c>
      <c r="E102" s="2"/>
      <c r="F102" s="6">
        <f t="shared" si="20"/>
        <v>1.8207309801377878E-4</v>
      </c>
      <c r="G102" s="2"/>
      <c r="H102" s="2">
        <f>SUM(OSRRefH22_11x_0)</f>
        <v>230</v>
      </c>
      <c r="I102" s="2"/>
      <c r="J102" s="6">
        <f t="shared" si="21"/>
        <v>4.9017622901033418E-4</v>
      </c>
      <c r="K102" s="2"/>
      <c r="L102" s="2">
        <f t="shared" si="22"/>
        <v>-38.900000000000006</v>
      </c>
      <c r="M102" s="2"/>
      <c r="N102" s="6">
        <f t="shared" si="23"/>
        <v>-0.16913043478260872</v>
      </c>
      <c r="O102" s="14"/>
      <c r="P102" s="2">
        <f>SUM(OSRRefP22_11x_0)</f>
        <v>5946.45</v>
      </c>
      <c r="Q102" s="2"/>
      <c r="R102" s="6">
        <f t="shared" si="24"/>
        <v>7.8878929822381351E-4</v>
      </c>
      <c r="S102" s="2"/>
      <c r="T102" s="2">
        <f>SUM(OSRRefT22_11x_0)</f>
        <v>4820</v>
      </c>
      <c r="U102" s="2"/>
      <c r="V102" s="6">
        <f t="shared" si="25"/>
        <v>5.1048268785868823E-4</v>
      </c>
      <c r="W102" s="2"/>
      <c r="X102" s="2">
        <f t="shared" si="26"/>
        <v>1126.4499999999998</v>
      </c>
      <c r="Y102" s="2"/>
      <c r="Z102" s="6">
        <f t="shared" si="27"/>
        <v>0.23370331950207465</v>
      </c>
    </row>
    <row r="103" spans="1:26" s="70" customFormat="1" ht="15" hidden="1" customHeight="1" outlineLevel="2" x14ac:dyDescent="0.3">
      <c r="A103" s="26"/>
      <c r="B103" s="12" t="str">
        <f>CONCATENATE("          ","6276"," - ","PROPERTY TAX")</f>
        <v xml:space="preserve">          6276 - PROPERTY TAX</v>
      </c>
      <c r="C103" s="12"/>
      <c r="D103" s="7"/>
      <c r="E103" s="3"/>
      <c r="F103" s="8">
        <f t="shared" si="20"/>
        <v>0</v>
      </c>
      <c r="G103" s="3"/>
      <c r="H103" s="7"/>
      <c r="I103" s="3"/>
      <c r="J103" s="8">
        <f t="shared" si="21"/>
        <v>0</v>
      </c>
      <c r="K103" s="3"/>
      <c r="L103" s="7">
        <f t="shared" si="22"/>
        <v>0</v>
      </c>
      <c r="M103" s="3"/>
      <c r="N103" s="8">
        <f t="shared" si="23"/>
        <v>0</v>
      </c>
      <c r="O103" s="12"/>
      <c r="P103" s="7"/>
      <c r="Q103" s="3"/>
      <c r="R103" s="8">
        <f t="shared" si="24"/>
        <v>0</v>
      </c>
      <c r="S103" s="3"/>
      <c r="T103" s="7">
        <v>1250</v>
      </c>
      <c r="U103" s="3"/>
      <c r="V103" s="8">
        <f t="shared" si="25"/>
        <v>1.3238658917497101E-4</v>
      </c>
      <c r="W103" s="3"/>
      <c r="X103" s="7">
        <f t="shared" si="26"/>
        <v>-1250</v>
      </c>
      <c r="Y103" s="3"/>
      <c r="Z103" s="8">
        <f t="shared" si="27"/>
        <v>-1</v>
      </c>
    </row>
    <row r="104" spans="1:26" s="70" customFormat="1" ht="15" hidden="1" customHeight="1" outlineLevel="2" x14ac:dyDescent="0.3">
      <c r="A104" s="26"/>
      <c r="B104" s="12" t="str">
        <f>CONCATENATE("          ","6279"," - ","GENERAL EXPENSE")</f>
        <v xml:space="preserve">          6279 - GENERAL EXPENSE</v>
      </c>
      <c r="C104" s="12"/>
      <c r="D104" s="7">
        <v>191.1</v>
      </c>
      <c r="E104" s="3"/>
      <c r="F104" s="8">
        <f t="shared" si="20"/>
        <v>1.8207309801377878E-4</v>
      </c>
      <c r="G104" s="3"/>
      <c r="H104" s="7">
        <v>230</v>
      </c>
      <c r="I104" s="3"/>
      <c r="J104" s="8">
        <f t="shared" si="21"/>
        <v>4.9017622901033418E-4</v>
      </c>
      <c r="K104" s="3"/>
      <c r="L104" s="7">
        <f t="shared" si="22"/>
        <v>-38.900000000000006</v>
      </c>
      <c r="M104" s="3"/>
      <c r="N104" s="8">
        <f t="shared" si="23"/>
        <v>-0.16913043478260872</v>
      </c>
      <c r="O104" s="12"/>
      <c r="P104" s="7">
        <v>5946.45</v>
      </c>
      <c r="Q104" s="3"/>
      <c r="R104" s="8">
        <f t="shared" si="24"/>
        <v>7.8878929822381351E-4</v>
      </c>
      <c r="S104" s="3"/>
      <c r="T104" s="7">
        <v>3570</v>
      </c>
      <c r="U104" s="3"/>
      <c r="V104" s="8">
        <f t="shared" si="25"/>
        <v>3.780960986837172E-4</v>
      </c>
      <c r="W104" s="3"/>
      <c r="X104" s="7">
        <f t="shared" si="26"/>
        <v>2376.4499999999998</v>
      </c>
      <c r="Y104" s="3"/>
      <c r="Z104" s="8">
        <f t="shared" si="27"/>
        <v>0.66567226890756293</v>
      </c>
    </row>
    <row r="105" spans="1:26" s="69" customFormat="1" ht="15" customHeight="1" outlineLevel="1" collapsed="1" x14ac:dyDescent="0.3">
      <c r="A105" s="25"/>
      <c r="B105" s="14" t="str">
        <f>CONCATENATE("     ","Insurance                                         ")</f>
        <v xml:space="preserve">     Insurance                                         </v>
      </c>
      <c r="C105" s="14"/>
      <c r="D105" s="2">
        <f>SUM(OSRRefD22_12x_0)</f>
        <v>5494.57</v>
      </c>
      <c r="E105" s="2"/>
      <c r="F105" s="6">
        <f t="shared" si="20"/>
        <v>5.2350255476377207E-3</v>
      </c>
      <c r="G105" s="2"/>
      <c r="H105" s="2">
        <f>SUM(OSRRefH22_12x_0)</f>
        <v>5375</v>
      </c>
      <c r="I105" s="2"/>
      <c r="J105" s="6">
        <f t="shared" si="21"/>
        <v>1.1455205351871941E-2</v>
      </c>
      <c r="K105" s="2"/>
      <c r="L105" s="2">
        <f t="shared" si="22"/>
        <v>119.56999999999971</v>
      </c>
      <c r="M105" s="2"/>
      <c r="N105" s="6">
        <f t="shared" si="23"/>
        <v>2.2245581395348782E-2</v>
      </c>
      <c r="O105" s="14"/>
      <c r="P105" s="2">
        <f>SUM(OSRRefP22_12x_0)</f>
        <v>49451.13</v>
      </c>
      <c r="Q105" s="2"/>
      <c r="R105" s="6">
        <f t="shared" si="24"/>
        <v>6.5596317347450276E-3</v>
      </c>
      <c r="S105" s="2"/>
      <c r="T105" s="2">
        <f>SUM(OSRRefT22_12x_0)</f>
        <v>48375</v>
      </c>
      <c r="U105" s="2"/>
      <c r="V105" s="6">
        <f t="shared" si="25"/>
        <v>5.1233610010713781E-3</v>
      </c>
      <c r="W105" s="2"/>
      <c r="X105" s="2">
        <f t="shared" si="26"/>
        <v>1076.1299999999974</v>
      </c>
      <c r="Y105" s="2"/>
      <c r="Z105" s="6">
        <f t="shared" si="27"/>
        <v>2.2245581395348782E-2</v>
      </c>
    </row>
    <row r="106" spans="1:26" s="70" customFormat="1" ht="15" hidden="1" customHeight="1" outlineLevel="2" x14ac:dyDescent="0.3">
      <c r="A106" s="26"/>
      <c r="B106" s="12" t="str">
        <f>CONCATENATE("          ","6314"," - ","LIABILITY INSURANCE")</f>
        <v xml:space="preserve">          6314 - LIABILITY INSURANCE</v>
      </c>
      <c r="C106" s="12"/>
      <c r="D106" s="7">
        <v>5494.57</v>
      </c>
      <c r="E106" s="3"/>
      <c r="F106" s="8">
        <f t="shared" si="20"/>
        <v>5.2350255476377207E-3</v>
      </c>
      <c r="G106" s="3"/>
      <c r="H106" s="7">
        <v>5375</v>
      </c>
      <c r="I106" s="3"/>
      <c r="J106" s="8">
        <f t="shared" si="21"/>
        <v>1.1455205351871941E-2</v>
      </c>
      <c r="K106" s="3"/>
      <c r="L106" s="7">
        <f t="shared" si="22"/>
        <v>119.56999999999971</v>
      </c>
      <c r="M106" s="3"/>
      <c r="N106" s="8">
        <f t="shared" si="23"/>
        <v>2.2245581395348782E-2</v>
      </c>
      <c r="O106" s="12"/>
      <c r="P106" s="7">
        <v>49451.13</v>
      </c>
      <c r="Q106" s="3"/>
      <c r="R106" s="8">
        <f t="shared" si="24"/>
        <v>6.5596317347450276E-3</v>
      </c>
      <c r="S106" s="3"/>
      <c r="T106" s="7">
        <v>48375</v>
      </c>
      <c r="U106" s="3"/>
      <c r="V106" s="8">
        <f t="shared" si="25"/>
        <v>5.1233610010713781E-3</v>
      </c>
      <c r="W106" s="3"/>
      <c r="X106" s="7">
        <f t="shared" si="26"/>
        <v>1076.1299999999974</v>
      </c>
      <c r="Y106" s="3"/>
      <c r="Z106" s="8">
        <f t="shared" si="27"/>
        <v>2.2245581395348782E-2</v>
      </c>
    </row>
    <row r="107" spans="1:26" s="69" customFormat="1" ht="15" customHeight="1" outlineLevel="1" collapsed="1" x14ac:dyDescent="0.3">
      <c r="A107" s="25"/>
      <c r="B107" s="14" t="str">
        <f>CONCATENATE("     ","Inventory Adjustment                              ")</f>
        <v xml:space="preserve">     Inventory Adjustment                              </v>
      </c>
      <c r="C107" s="14"/>
      <c r="D107" s="2">
        <f>SUM(OSRRefD22_13x_0)</f>
        <v>5440</v>
      </c>
      <c r="E107" s="2"/>
      <c r="F107" s="6">
        <f t="shared" si="20"/>
        <v>5.1830332453948538E-3</v>
      </c>
      <c r="G107" s="2"/>
      <c r="H107" s="2">
        <f>SUM(OSRRefH22_13x_0)</f>
        <v>5440</v>
      </c>
      <c r="I107" s="2"/>
      <c r="J107" s="6">
        <f t="shared" si="21"/>
        <v>1.1593733416592252E-2</v>
      </c>
      <c r="K107" s="2"/>
      <c r="L107" s="2">
        <f t="shared" si="22"/>
        <v>0</v>
      </c>
      <c r="M107" s="2"/>
      <c r="N107" s="6">
        <f t="shared" si="23"/>
        <v>0</v>
      </c>
      <c r="O107" s="14"/>
      <c r="P107" s="2">
        <f>SUM(OSRRefP22_13x_0)</f>
        <v>57440</v>
      </c>
      <c r="Q107" s="2"/>
      <c r="R107" s="6">
        <f t="shared" si="24"/>
        <v>7.619345540612609E-3</v>
      </c>
      <c r="S107" s="2"/>
      <c r="T107" s="2">
        <f>SUM(OSRRefT22_13x_0)</f>
        <v>58150</v>
      </c>
      <c r="U107" s="2"/>
      <c r="V107" s="6">
        <f t="shared" si="25"/>
        <v>6.1586241284196513E-3</v>
      </c>
      <c r="W107" s="2"/>
      <c r="X107" s="2">
        <f t="shared" si="26"/>
        <v>-710</v>
      </c>
      <c r="Y107" s="2"/>
      <c r="Z107" s="6">
        <f t="shared" si="27"/>
        <v>-1.2209802235597592E-2</v>
      </c>
    </row>
    <row r="108" spans="1:26" s="70" customFormat="1" ht="15" hidden="1" customHeight="1" outlineLevel="2" x14ac:dyDescent="0.3">
      <c r="A108" s="26"/>
      <c r="B108" s="12" t="str">
        <f>CONCATENATE("          ","6408"," - ","INVENTORY ADJUSTMENT")</f>
        <v xml:space="preserve">          6408 - INVENTORY ADJUSTMENT</v>
      </c>
      <c r="C108" s="12"/>
      <c r="D108" s="7">
        <v>5440</v>
      </c>
      <c r="E108" s="3"/>
      <c r="F108" s="8">
        <f t="shared" si="20"/>
        <v>5.1830332453948538E-3</v>
      </c>
      <c r="G108" s="3"/>
      <c r="H108" s="7">
        <v>5440</v>
      </c>
      <c r="I108" s="3"/>
      <c r="J108" s="8">
        <f t="shared" si="21"/>
        <v>1.1593733416592252E-2</v>
      </c>
      <c r="K108" s="3"/>
      <c r="L108" s="7">
        <f t="shared" si="22"/>
        <v>0</v>
      </c>
      <c r="M108" s="3"/>
      <c r="N108" s="8">
        <f t="shared" si="23"/>
        <v>0</v>
      </c>
      <c r="O108" s="12"/>
      <c r="P108" s="7">
        <v>57440</v>
      </c>
      <c r="Q108" s="3"/>
      <c r="R108" s="8">
        <f t="shared" si="24"/>
        <v>7.619345540612609E-3</v>
      </c>
      <c r="S108" s="3"/>
      <c r="T108" s="7">
        <v>58150</v>
      </c>
      <c r="U108" s="3"/>
      <c r="V108" s="8">
        <f t="shared" si="25"/>
        <v>6.1586241284196513E-3</v>
      </c>
      <c r="W108" s="3"/>
      <c r="X108" s="7">
        <f t="shared" si="26"/>
        <v>-710</v>
      </c>
      <c r="Y108" s="3"/>
      <c r="Z108" s="8">
        <f t="shared" si="27"/>
        <v>-1.2209802235597592E-2</v>
      </c>
    </row>
    <row r="109" spans="1:26" s="69" customFormat="1" ht="15" customHeight="1" outlineLevel="1" collapsed="1" x14ac:dyDescent="0.3">
      <c r="A109" s="25"/>
      <c r="B109" s="14" t="str">
        <f>CONCATENATE("     ","Professional Services                             ")</f>
        <v xml:space="preserve">     Professional Services                             </v>
      </c>
      <c r="C109" s="14"/>
      <c r="D109" s="2">
        <f>SUM(OSRRefD22_14x_0)</f>
        <v>1050</v>
      </c>
      <c r="E109" s="2"/>
      <c r="F109" s="6">
        <f t="shared" si="20"/>
        <v>1.0004016374383449E-3</v>
      </c>
      <c r="G109" s="2"/>
      <c r="H109" s="2">
        <f>SUM(OSRRefH22_14x_0)</f>
        <v>0</v>
      </c>
      <c r="I109" s="2"/>
      <c r="J109" s="6">
        <f t="shared" si="21"/>
        <v>0</v>
      </c>
      <c r="K109" s="2"/>
      <c r="L109" s="2">
        <f t="shared" si="22"/>
        <v>1050</v>
      </c>
      <c r="M109" s="2"/>
      <c r="N109" s="6">
        <f t="shared" si="23"/>
        <v>0</v>
      </c>
      <c r="O109" s="14"/>
      <c r="P109" s="2">
        <f>SUM(OSRRefP22_14x_0)</f>
        <v>9626.5300000000007</v>
      </c>
      <c r="Q109" s="2"/>
      <c r="R109" s="6">
        <f t="shared" si="24"/>
        <v>1.2769473960145107E-3</v>
      </c>
      <c r="S109" s="2"/>
      <c r="T109" s="2">
        <f>SUM(OSRRefT22_14x_0)</f>
        <v>1500</v>
      </c>
      <c r="U109" s="2"/>
      <c r="V109" s="6">
        <f t="shared" si="25"/>
        <v>1.5886390700996521E-4</v>
      </c>
      <c r="W109" s="2"/>
      <c r="X109" s="2">
        <f t="shared" si="26"/>
        <v>8126.5300000000007</v>
      </c>
      <c r="Y109" s="2"/>
      <c r="Z109" s="6">
        <f t="shared" si="27"/>
        <v>5.4176866666666674</v>
      </c>
    </row>
    <row r="110" spans="1:26" s="70" customFormat="1" ht="15" hidden="1" customHeight="1" outlineLevel="2" x14ac:dyDescent="0.3">
      <c r="A110" s="26"/>
      <c r="B110" s="12" t="str">
        <f>CONCATENATE("          ","6336"," - ","PROFESSIONAL SERVICES")</f>
        <v xml:space="preserve">          6336 - PROFESSIONAL SERVICES</v>
      </c>
      <c r="C110" s="12"/>
      <c r="D110" s="7">
        <v>1050</v>
      </c>
      <c r="E110" s="3"/>
      <c r="F110" s="8">
        <f t="shared" si="20"/>
        <v>1.0004016374383449E-3</v>
      </c>
      <c r="G110" s="3"/>
      <c r="H110" s="7">
        <v>0</v>
      </c>
      <c r="I110" s="3"/>
      <c r="J110" s="8">
        <f t="shared" si="21"/>
        <v>0</v>
      </c>
      <c r="K110" s="3"/>
      <c r="L110" s="7">
        <f t="shared" si="22"/>
        <v>1050</v>
      </c>
      <c r="M110" s="3"/>
      <c r="N110" s="8">
        <f t="shared" si="23"/>
        <v>0</v>
      </c>
      <c r="O110" s="12"/>
      <c r="P110" s="7">
        <v>9626.5300000000007</v>
      </c>
      <c r="Q110" s="3"/>
      <c r="R110" s="8">
        <f t="shared" si="24"/>
        <v>1.2769473960145107E-3</v>
      </c>
      <c r="S110" s="3"/>
      <c r="T110" s="7">
        <v>1500</v>
      </c>
      <c r="U110" s="3"/>
      <c r="V110" s="8">
        <f t="shared" si="25"/>
        <v>1.5886390700996521E-4</v>
      </c>
      <c r="W110" s="3"/>
      <c r="X110" s="7">
        <f t="shared" si="26"/>
        <v>8126.5300000000007</v>
      </c>
      <c r="Y110" s="3"/>
      <c r="Z110" s="8">
        <f t="shared" si="27"/>
        <v>5.4176866666666674</v>
      </c>
    </row>
    <row r="111" spans="1:26" s="69" customFormat="1" ht="15" customHeight="1" outlineLevel="1" collapsed="1" x14ac:dyDescent="0.3">
      <c r="A111" s="25"/>
      <c r="B111" s="14" t="str">
        <f>CONCATENATE("     ","Rent                                              ")</f>
        <v xml:space="preserve">     Rent                                              </v>
      </c>
      <c r="C111" s="14"/>
      <c r="D111" s="2">
        <f>SUM(OSRRefD22_15x_0)</f>
        <v>6100</v>
      </c>
      <c r="E111" s="2"/>
      <c r="F111" s="6">
        <f t="shared" si="20"/>
        <v>5.811857131784671E-3</v>
      </c>
      <c r="G111" s="2"/>
      <c r="H111" s="2">
        <f>SUM(OSRRefH22_15x_0)</f>
        <v>6100</v>
      </c>
      <c r="I111" s="2"/>
      <c r="J111" s="6">
        <f t="shared" si="21"/>
        <v>1.3000326073752342E-2</v>
      </c>
      <c r="K111" s="2"/>
      <c r="L111" s="2">
        <f t="shared" si="22"/>
        <v>0</v>
      </c>
      <c r="M111" s="2"/>
      <c r="N111" s="6">
        <f t="shared" si="23"/>
        <v>0</v>
      </c>
      <c r="O111" s="14"/>
      <c r="P111" s="2">
        <f>SUM(OSRRefP22_15x_0)</f>
        <v>54900</v>
      </c>
      <c r="Q111" s="2"/>
      <c r="R111" s="6">
        <f t="shared" si="24"/>
        <v>7.2824176563306446E-3</v>
      </c>
      <c r="S111" s="2"/>
      <c r="T111" s="2">
        <f>SUM(OSRRefT22_15x_0)</f>
        <v>54900</v>
      </c>
      <c r="U111" s="2"/>
      <c r="V111" s="6">
        <f t="shared" si="25"/>
        <v>5.8144189965647266E-3</v>
      </c>
      <c r="W111" s="2"/>
      <c r="X111" s="2">
        <f t="shared" si="26"/>
        <v>0</v>
      </c>
      <c r="Y111" s="2"/>
      <c r="Z111" s="6">
        <f t="shared" si="27"/>
        <v>0</v>
      </c>
    </row>
    <row r="112" spans="1:26" s="70" customFormat="1" ht="15" hidden="1" customHeight="1" outlineLevel="2" x14ac:dyDescent="0.3">
      <c r="A112" s="26"/>
      <c r="B112" s="12" t="str">
        <f>CONCATENATE("          ","6273"," - ","RENT")</f>
        <v xml:space="preserve">          6273 - RENT</v>
      </c>
      <c r="C112" s="12"/>
      <c r="D112" s="7">
        <v>6100</v>
      </c>
      <c r="E112" s="3"/>
      <c r="F112" s="8">
        <f t="shared" si="20"/>
        <v>5.811857131784671E-3</v>
      </c>
      <c r="G112" s="3"/>
      <c r="H112" s="7">
        <v>6100</v>
      </c>
      <c r="I112" s="3"/>
      <c r="J112" s="8">
        <f t="shared" si="21"/>
        <v>1.3000326073752342E-2</v>
      </c>
      <c r="K112" s="3"/>
      <c r="L112" s="7">
        <f t="shared" si="22"/>
        <v>0</v>
      </c>
      <c r="M112" s="3"/>
      <c r="N112" s="8">
        <f t="shared" si="23"/>
        <v>0</v>
      </c>
      <c r="O112" s="12"/>
      <c r="P112" s="7">
        <v>54900</v>
      </c>
      <c r="Q112" s="3"/>
      <c r="R112" s="8">
        <f t="shared" si="24"/>
        <v>7.2824176563306446E-3</v>
      </c>
      <c r="S112" s="3"/>
      <c r="T112" s="7">
        <v>54900</v>
      </c>
      <c r="U112" s="3"/>
      <c r="V112" s="8">
        <f t="shared" si="25"/>
        <v>5.8144189965647266E-3</v>
      </c>
      <c r="W112" s="3"/>
      <c r="X112" s="7">
        <f t="shared" si="26"/>
        <v>0</v>
      </c>
      <c r="Y112" s="3"/>
      <c r="Z112" s="8">
        <f t="shared" si="27"/>
        <v>0</v>
      </c>
    </row>
    <row r="113" spans="1:26" s="69" customFormat="1" ht="15" customHeight="1" outlineLevel="1" collapsed="1" x14ac:dyDescent="0.3">
      <c r="A113" s="25"/>
      <c r="B113" s="14" t="str">
        <f>CONCATENATE("     ","Repair and Maintenance                            ")</f>
        <v xml:space="preserve">     Repair and Maintenance                            </v>
      </c>
      <c r="C113" s="14"/>
      <c r="D113" s="2">
        <f>SUM(OSRRefD22_16x_0)</f>
        <v>16474.68</v>
      </c>
      <c r="E113" s="2"/>
      <c r="F113" s="6">
        <f t="shared" si="20"/>
        <v>1.5696473188831193E-2</v>
      </c>
      <c r="G113" s="2"/>
      <c r="H113" s="2">
        <f>SUM(OSRRefH22_16x_0)</f>
        <v>10745</v>
      </c>
      <c r="I113" s="2"/>
      <c r="J113" s="6">
        <f t="shared" si="21"/>
        <v>2.2899754698765394E-2</v>
      </c>
      <c r="K113" s="2"/>
      <c r="L113" s="2">
        <f t="shared" si="22"/>
        <v>5729.68</v>
      </c>
      <c r="M113" s="2"/>
      <c r="N113" s="6">
        <f t="shared" si="23"/>
        <v>0.53324150767798983</v>
      </c>
      <c r="O113" s="14"/>
      <c r="P113" s="2">
        <f>SUM(OSRRefP22_16x_0)</f>
        <v>131912.68</v>
      </c>
      <c r="Q113" s="2"/>
      <c r="R113" s="6">
        <f t="shared" si="24"/>
        <v>1.7498055189906998E-2</v>
      </c>
      <c r="S113" s="2"/>
      <c r="T113" s="2">
        <f>SUM(OSRRefT22_16x_0)</f>
        <v>147525</v>
      </c>
      <c r="U113" s="2"/>
      <c r="V113" s="6">
        <f t="shared" si="25"/>
        <v>1.5624265254430079E-2</v>
      </c>
      <c r="W113" s="2"/>
      <c r="X113" s="2">
        <f t="shared" si="26"/>
        <v>-15612.320000000007</v>
      </c>
      <c r="Y113" s="2"/>
      <c r="Z113" s="6">
        <f t="shared" si="27"/>
        <v>-0.10582830028808682</v>
      </c>
    </row>
    <row r="114" spans="1:26" s="70" customFormat="1" ht="15" hidden="1" customHeight="1" outlineLevel="2" x14ac:dyDescent="0.3">
      <c r="A114" s="26"/>
      <c r="B114" s="12" t="str">
        <f>CONCATENATE("          ","6371"," - ","COMPUTER SOFTWARE MAINTENANCE")</f>
        <v xml:space="preserve">          6371 - COMPUTER SOFTWARE MAINTENANCE</v>
      </c>
      <c r="C114" s="12"/>
      <c r="D114" s="7">
        <v>1550</v>
      </c>
      <c r="E114" s="3"/>
      <c r="F114" s="8">
        <f t="shared" si="20"/>
        <v>1.4767833695518424E-3</v>
      </c>
      <c r="G114" s="3"/>
      <c r="H114" s="7">
        <v>1000</v>
      </c>
      <c r="I114" s="3"/>
      <c r="J114" s="8">
        <f t="shared" si="21"/>
        <v>2.1312009956971053E-3</v>
      </c>
      <c r="K114" s="3"/>
      <c r="L114" s="7">
        <f t="shared" si="22"/>
        <v>550</v>
      </c>
      <c r="M114" s="3"/>
      <c r="N114" s="8">
        <f t="shared" si="23"/>
        <v>0.55000000000000004</v>
      </c>
      <c r="O114" s="12"/>
      <c r="P114" s="7">
        <v>64061</v>
      </c>
      <c r="Q114" s="3"/>
      <c r="R114" s="8">
        <f t="shared" si="24"/>
        <v>8.4976130688924848E-3</v>
      </c>
      <c r="S114" s="3"/>
      <c r="T114" s="7">
        <v>48100</v>
      </c>
      <c r="U114" s="3"/>
      <c r="V114" s="8">
        <f t="shared" si="25"/>
        <v>5.0942359514528843E-3</v>
      </c>
      <c r="W114" s="3"/>
      <c r="X114" s="7">
        <f t="shared" si="26"/>
        <v>15961</v>
      </c>
      <c r="Y114" s="3"/>
      <c r="Z114" s="8">
        <f t="shared" si="27"/>
        <v>0.33182952182952186</v>
      </c>
    </row>
    <row r="115" spans="1:26" s="70" customFormat="1" ht="15" hidden="1" customHeight="1" outlineLevel="2" x14ac:dyDescent="0.3">
      <c r="A115" s="26"/>
      <c r="B115" s="12" t="str">
        <f>CONCATENATE("          ","6372"," - ","COMPUTER HARDWARE MAINTENANCE")</f>
        <v xml:space="preserve">          6372 - COMPUTER HARDWARE MAINTENANCE</v>
      </c>
      <c r="C115" s="12"/>
      <c r="D115" s="7"/>
      <c r="E115" s="3"/>
      <c r="F115" s="8">
        <f t="shared" si="20"/>
        <v>0</v>
      </c>
      <c r="G115" s="3"/>
      <c r="H115" s="7">
        <v>3750</v>
      </c>
      <c r="I115" s="3"/>
      <c r="J115" s="8">
        <f t="shared" si="21"/>
        <v>7.9920037338641441E-3</v>
      </c>
      <c r="K115" s="3"/>
      <c r="L115" s="7">
        <f t="shared" si="22"/>
        <v>-3750</v>
      </c>
      <c r="M115" s="3"/>
      <c r="N115" s="8">
        <f t="shared" si="23"/>
        <v>-1</v>
      </c>
      <c r="O115" s="12"/>
      <c r="P115" s="7"/>
      <c r="Q115" s="3"/>
      <c r="R115" s="8">
        <f t="shared" si="24"/>
        <v>0</v>
      </c>
      <c r="S115" s="3"/>
      <c r="T115" s="7">
        <v>30370</v>
      </c>
      <c r="U115" s="3"/>
      <c r="V115" s="8">
        <f t="shared" si="25"/>
        <v>3.2164645705950955E-3</v>
      </c>
      <c r="W115" s="3"/>
      <c r="X115" s="7">
        <f t="shared" si="26"/>
        <v>-30370</v>
      </c>
      <c r="Y115" s="3"/>
      <c r="Z115" s="8">
        <f t="shared" si="27"/>
        <v>-1</v>
      </c>
    </row>
    <row r="116" spans="1:26" s="70" customFormat="1" ht="15" hidden="1" customHeight="1" outlineLevel="2" x14ac:dyDescent="0.3">
      <c r="A116" s="26"/>
      <c r="B116" s="12" t="str">
        <f>CONCATENATE("          ","6373"," - ","MAINTENANCE CONTRACTS")</f>
        <v xml:space="preserve">          6373 - MAINTENANCE CONTRACTS</v>
      </c>
      <c r="C116" s="12"/>
      <c r="D116" s="7">
        <v>3672.02</v>
      </c>
      <c r="E116" s="3"/>
      <c r="F116" s="8">
        <f t="shared" si="20"/>
        <v>3.4985664959108109E-3</v>
      </c>
      <c r="G116" s="3"/>
      <c r="H116" s="7">
        <v>5955</v>
      </c>
      <c r="I116" s="3"/>
      <c r="J116" s="8">
        <f t="shared" si="21"/>
        <v>1.2691301929376262E-2</v>
      </c>
      <c r="K116" s="3"/>
      <c r="L116" s="7">
        <f t="shared" si="22"/>
        <v>-2282.98</v>
      </c>
      <c r="M116" s="3"/>
      <c r="N116" s="8">
        <f t="shared" si="23"/>
        <v>-0.38337195633921073</v>
      </c>
      <c r="O116" s="12"/>
      <c r="P116" s="7">
        <v>21571.52</v>
      </c>
      <c r="Q116" s="3"/>
      <c r="R116" s="8">
        <f t="shared" si="24"/>
        <v>2.861435667065385E-3</v>
      </c>
      <c r="S116" s="3"/>
      <c r="T116" s="7">
        <v>68195</v>
      </c>
      <c r="U116" s="3"/>
      <c r="V116" s="8">
        <f t="shared" si="25"/>
        <v>7.222482759029719E-3</v>
      </c>
      <c r="W116" s="3"/>
      <c r="X116" s="7">
        <f t="shared" si="26"/>
        <v>-46623.479999999996</v>
      </c>
      <c r="Y116" s="3"/>
      <c r="Z116" s="8">
        <f t="shared" si="27"/>
        <v>-0.68367886208666317</v>
      </c>
    </row>
    <row r="117" spans="1:26" s="70" customFormat="1" ht="15" hidden="1" customHeight="1" outlineLevel="2" x14ac:dyDescent="0.3">
      <c r="A117" s="26"/>
      <c r="B117" s="12" t="str">
        <f>CONCATENATE("          ","6375"," - ","OUTSIDE REPAIRS &amp; MAINTENANCE")</f>
        <v xml:space="preserve">          6375 - OUTSIDE REPAIRS &amp; MAINTENANCE</v>
      </c>
      <c r="C117" s="12"/>
      <c r="D117" s="7">
        <v>11252.66</v>
      </c>
      <c r="E117" s="3"/>
      <c r="F117" s="8">
        <f t="shared" si="20"/>
        <v>1.0721123323368539E-2</v>
      </c>
      <c r="G117" s="3"/>
      <c r="H117" s="7">
        <v>40</v>
      </c>
      <c r="I117" s="3"/>
      <c r="J117" s="8">
        <f t="shared" si="21"/>
        <v>8.5248039827884203E-5</v>
      </c>
      <c r="K117" s="3"/>
      <c r="L117" s="7">
        <f t="shared" si="22"/>
        <v>11212.66</v>
      </c>
      <c r="M117" s="3"/>
      <c r="N117" s="8">
        <f t="shared" si="23"/>
        <v>280.31650000000002</v>
      </c>
      <c r="O117" s="12"/>
      <c r="P117" s="7">
        <v>46280.160000000003</v>
      </c>
      <c r="Q117" s="3"/>
      <c r="R117" s="8">
        <f t="shared" si="24"/>
        <v>6.1390064539491307E-3</v>
      </c>
      <c r="S117" s="3"/>
      <c r="T117" s="7">
        <v>860</v>
      </c>
      <c r="U117" s="3"/>
      <c r="V117" s="8">
        <f t="shared" si="25"/>
        <v>9.1081973352380051E-5</v>
      </c>
      <c r="W117" s="3"/>
      <c r="X117" s="7">
        <f t="shared" si="26"/>
        <v>45420.160000000003</v>
      </c>
      <c r="Y117" s="3"/>
      <c r="Z117" s="8">
        <f t="shared" si="27"/>
        <v>52.814139534883722</v>
      </c>
    </row>
    <row r="118" spans="1:26" s="69" customFormat="1" ht="15" customHeight="1" outlineLevel="1" collapsed="1" x14ac:dyDescent="0.3">
      <c r="A118" s="25"/>
      <c r="B118" s="14" t="str">
        <f>CONCATENATE("     ","Royalty &amp; Commissions                             ")</f>
        <v xml:space="preserve">     Royalty &amp; Commissions                             </v>
      </c>
      <c r="C118" s="14"/>
      <c r="D118" s="2">
        <f>SUM(OSRRefD22_17x_0)</f>
        <v>2502.14</v>
      </c>
      <c r="E118" s="2"/>
      <c r="F118" s="6">
        <f t="shared" si="20"/>
        <v>2.3839475743809334E-3</v>
      </c>
      <c r="G118" s="2"/>
      <c r="H118" s="2">
        <f>SUM(OSRRefH22_17x_0)</f>
        <v>2685</v>
      </c>
      <c r="I118" s="2"/>
      <c r="J118" s="6">
        <f t="shared" si="21"/>
        <v>5.7222746734467275E-3</v>
      </c>
      <c r="K118" s="2"/>
      <c r="L118" s="2">
        <f t="shared" si="22"/>
        <v>-182.86000000000013</v>
      </c>
      <c r="M118" s="2"/>
      <c r="N118" s="6">
        <f t="shared" si="23"/>
        <v>-6.8104283054003775E-2</v>
      </c>
      <c r="O118" s="14"/>
      <c r="P118" s="2">
        <f>SUM(OSRRefP22_17x_0)</f>
        <v>52735.930000000008</v>
      </c>
      <c r="Q118" s="2"/>
      <c r="R118" s="6">
        <f t="shared" si="24"/>
        <v>6.9953564254101449E-3</v>
      </c>
      <c r="S118" s="2"/>
      <c r="T118" s="2">
        <f>SUM(OSRRefT22_17x_0)</f>
        <v>72329</v>
      </c>
      <c r="U118" s="2"/>
      <c r="V118" s="6">
        <f t="shared" si="25"/>
        <v>7.6603116867491831E-3</v>
      </c>
      <c r="W118" s="2"/>
      <c r="X118" s="2">
        <f t="shared" si="26"/>
        <v>-19593.069999999992</v>
      </c>
      <c r="Y118" s="2"/>
      <c r="Z118" s="6">
        <f t="shared" si="27"/>
        <v>-0.27088816380704822</v>
      </c>
    </row>
    <row r="119" spans="1:26" s="70" customFormat="1" ht="15" hidden="1" customHeight="1" outlineLevel="2" x14ac:dyDescent="0.3">
      <c r="A119" s="26"/>
      <c r="B119" s="12" t="str">
        <f>CONCATENATE("          ","6252"," - ","ROYALTY DUE CSTV")</f>
        <v xml:space="preserve">          6252 - ROYALTY DUE CSTV</v>
      </c>
      <c r="C119" s="12"/>
      <c r="D119" s="7"/>
      <c r="E119" s="3"/>
      <c r="F119" s="8">
        <f t="shared" si="20"/>
        <v>0</v>
      </c>
      <c r="G119" s="3"/>
      <c r="H119" s="7">
        <v>1085</v>
      </c>
      <c r="I119" s="3"/>
      <c r="J119" s="8">
        <f t="shared" si="21"/>
        <v>2.3123530803313593E-3</v>
      </c>
      <c r="K119" s="3"/>
      <c r="L119" s="7">
        <f t="shared" si="22"/>
        <v>-1085</v>
      </c>
      <c r="M119" s="3"/>
      <c r="N119" s="8">
        <f t="shared" si="23"/>
        <v>-1</v>
      </c>
      <c r="O119" s="12"/>
      <c r="P119" s="7"/>
      <c r="Q119" s="3"/>
      <c r="R119" s="8">
        <f t="shared" si="24"/>
        <v>0</v>
      </c>
      <c r="S119" s="3"/>
      <c r="T119" s="7">
        <v>12582</v>
      </c>
      <c r="U119" s="3"/>
      <c r="V119" s="8">
        <f t="shared" si="25"/>
        <v>1.3325504519995882E-3</v>
      </c>
      <c r="W119" s="3"/>
      <c r="X119" s="7">
        <f t="shared" si="26"/>
        <v>-12582</v>
      </c>
      <c r="Y119" s="3"/>
      <c r="Z119" s="8">
        <f t="shared" si="27"/>
        <v>-1</v>
      </c>
    </row>
    <row r="120" spans="1:26" s="70" customFormat="1" ht="15" hidden="1" customHeight="1" outlineLevel="2" x14ac:dyDescent="0.3">
      <c r="A120" s="26"/>
      <c r="B120" s="12" t="str">
        <f>CONCATENATE("          ","6253"," - ","ROYALTY DUE ATHLETICS-LRG")</f>
        <v xml:space="preserve">          6253 - ROYALTY DUE ATHLETICS-LRG</v>
      </c>
      <c r="C120" s="12"/>
      <c r="D120" s="7"/>
      <c r="E120" s="3"/>
      <c r="F120" s="8">
        <f t="shared" si="20"/>
        <v>0</v>
      </c>
      <c r="G120" s="3"/>
      <c r="H120" s="7">
        <v>0</v>
      </c>
      <c r="I120" s="3"/>
      <c r="J120" s="8">
        <f t="shared" si="21"/>
        <v>0</v>
      </c>
      <c r="K120" s="3"/>
      <c r="L120" s="7">
        <f t="shared" si="22"/>
        <v>0</v>
      </c>
      <c r="M120" s="3"/>
      <c r="N120" s="8">
        <f t="shared" si="23"/>
        <v>0</v>
      </c>
      <c r="O120" s="12"/>
      <c r="P120" s="7">
        <v>39221.160000000003</v>
      </c>
      <c r="Q120" s="3"/>
      <c r="R120" s="8">
        <f t="shared" si="24"/>
        <v>5.2026387629466164E-3</v>
      </c>
      <c r="S120" s="3"/>
      <c r="T120" s="7">
        <v>23947</v>
      </c>
      <c r="U120" s="3"/>
      <c r="V120" s="8">
        <f t="shared" si="25"/>
        <v>2.5362093207784249E-3</v>
      </c>
      <c r="W120" s="3"/>
      <c r="X120" s="7">
        <f t="shared" si="26"/>
        <v>15274.160000000003</v>
      </c>
      <c r="Y120" s="3"/>
      <c r="Z120" s="8">
        <f t="shared" si="27"/>
        <v>0.63783187873220037</v>
      </c>
    </row>
    <row r="121" spans="1:26" s="70" customFormat="1" ht="15" hidden="1" customHeight="1" outlineLevel="2" x14ac:dyDescent="0.3">
      <c r="A121" s="26"/>
      <c r="B121" s="12" t="str">
        <f>CONCATENATE("          ","6254"," - ","ROYALTY &amp; COMMISSIONS")</f>
        <v xml:space="preserve">          6254 - ROYALTY &amp; COMMISSIONS</v>
      </c>
      <c r="C121" s="12"/>
      <c r="D121" s="7"/>
      <c r="E121" s="3"/>
      <c r="F121" s="8">
        <f t="shared" si="20"/>
        <v>0</v>
      </c>
      <c r="G121" s="3"/>
      <c r="H121" s="7">
        <v>1000</v>
      </c>
      <c r="I121" s="3"/>
      <c r="J121" s="8">
        <f t="shared" si="21"/>
        <v>2.1312009956971053E-3</v>
      </c>
      <c r="K121" s="3"/>
      <c r="L121" s="7">
        <f t="shared" si="22"/>
        <v>-1000</v>
      </c>
      <c r="M121" s="3"/>
      <c r="N121" s="8">
        <f t="shared" si="23"/>
        <v>-1</v>
      </c>
      <c r="O121" s="12"/>
      <c r="P121" s="7">
        <v>3509.15</v>
      </c>
      <c r="Q121" s="3"/>
      <c r="R121" s="8">
        <f t="shared" si="24"/>
        <v>4.6548444296380111E-4</v>
      </c>
      <c r="S121" s="3"/>
      <c r="T121" s="7">
        <v>2500</v>
      </c>
      <c r="U121" s="3"/>
      <c r="V121" s="8">
        <f t="shared" si="25"/>
        <v>2.6477317834994201E-4</v>
      </c>
      <c r="W121" s="3"/>
      <c r="X121" s="7">
        <f t="shared" si="26"/>
        <v>1009.1500000000001</v>
      </c>
      <c r="Y121" s="3"/>
      <c r="Z121" s="8">
        <f t="shared" si="27"/>
        <v>0.40366000000000002</v>
      </c>
    </row>
    <row r="122" spans="1:26" s="70" customFormat="1" ht="15" hidden="1" customHeight="1" outlineLevel="2" x14ac:dyDescent="0.3">
      <c r="A122" s="26"/>
      <c r="B122" s="12" t="str">
        <f>CONCATENATE("          ","6259"," - ","ROYALTY &amp; COMMISSIONS")</f>
        <v xml:space="preserve">          6259 - ROYALTY &amp; COMMISSIONS</v>
      </c>
      <c r="C122" s="12"/>
      <c r="D122" s="7">
        <v>2502.14</v>
      </c>
      <c r="E122" s="3"/>
      <c r="F122" s="8">
        <f t="shared" ref="F122:F148" si="28">IF(D$12=0,0,D122/D$12)</f>
        <v>2.3839475743809334E-3</v>
      </c>
      <c r="G122" s="3"/>
      <c r="H122" s="7">
        <v>600</v>
      </c>
      <c r="I122" s="3"/>
      <c r="J122" s="8">
        <f t="shared" ref="J122:J148" si="29">IF(H$12=0,0,H122/H$12)</f>
        <v>1.2787205974182632E-3</v>
      </c>
      <c r="K122" s="3"/>
      <c r="L122" s="7">
        <f t="shared" ref="L122:L148" si="30">+D122-H122</f>
        <v>1902.1399999999999</v>
      </c>
      <c r="M122" s="3"/>
      <c r="N122" s="8">
        <f t="shared" ref="N122:N148" si="31">IF(H122=0,0,L122/H122)</f>
        <v>3.170233333333333</v>
      </c>
      <c r="O122" s="12"/>
      <c r="P122" s="7">
        <v>10005.620000000001</v>
      </c>
      <c r="Q122" s="3"/>
      <c r="R122" s="8">
        <f t="shared" ref="R122:R148" si="32">IF(P$12=0,0,P122/P$12)</f>
        <v>1.3272332194997274E-3</v>
      </c>
      <c r="S122" s="3"/>
      <c r="T122" s="7">
        <v>33300</v>
      </c>
      <c r="U122" s="3"/>
      <c r="V122" s="8">
        <f t="shared" ref="V122:V148" si="33">IF(T$12=0,0,T122/T$12)</f>
        <v>3.5267787356212279E-3</v>
      </c>
      <c r="W122" s="3"/>
      <c r="X122" s="7">
        <f t="shared" ref="X122:X148" si="34">+P122-T122</f>
        <v>-23294.379999999997</v>
      </c>
      <c r="Y122" s="3"/>
      <c r="Z122" s="8">
        <f t="shared" ref="Z122:Z148" si="35">IF(T122=0,0,X122/T122)</f>
        <v>-0.69953093093093088</v>
      </c>
    </row>
    <row r="123" spans="1:26" s="69" customFormat="1" ht="15" customHeight="1" outlineLevel="1" collapsed="1" x14ac:dyDescent="0.3">
      <c r="A123" s="25"/>
      <c r="B123" s="14" t="str">
        <f>CONCATENATE("     ","Services                                          ")</f>
        <v xml:space="preserve">     Services                                          </v>
      </c>
      <c r="C123" s="14"/>
      <c r="D123" s="2">
        <f>SUM(OSRRefD22_18x_0)</f>
        <v>4639.4000000000005</v>
      </c>
      <c r="E123" s="2"/>
      <c r="F123" s="6">
        <f t="shared" si="28"/>
        <v>4.4202508159347223E-3</v>
      </c>
      <c r="G123" s="2"/>
      <c r="H123" s="2">
        <f>SUM(OSRRefH22_18x_0)</f>
        <v>4420</v>
      </c>
      <c r="I123" s="2"/>
      <c r="J123" s="6">
        <f t="shared" si="29"/>
        <v>9.4199084009812042E-3</v>
      </c>
      <c r="K123" s="2"/>
      <c r="L123" s="2">
        <f t="shared" si="30"/>
        <v>219.40000000000055</v>
      </c>
      <c r="M123" s="2"/>
      <c r="N123" s="6">
        <f t="shared" si="31"/>
        <v>4.9638009049773876E-2</v>
      </c>
      <c r="O123" s="14"/>
      <c r="P123" s="2">
        <f>SUM(OSRRefP22_18x_0)</f>
        <v>51893.630000000005</v>
      </c>
      <c r="Q123" s="2"/>
      <c r="R123" s="6">
        <f t="shared" si="32"/>
        <v>6.8836263636264054E-3</v>
      </c>
      <c r="S123" s="2"/>
      <c r="T123" s="2">
        <f>SUM(OSRRefT22_18x_0)</f>
        <v>39420</v>
      </c>
      <c r="U123" s="2"/>
      <c r="V123" s="6">
        <f t="shared" si="33"/>
        <v>4.1749434762218861E-3</v>
      </c>
      <c r="W123" s="2"/>
      <c r="X123" s="2">
        <f t="shared" si="34"/>
        <v>12473.630000000005</v>
      </c>
      <c r="Y123" s="2"/>
      <c r="Z123" s="6">
        <f t="shared" si="35"/>
        <v>0.31642897006595649</v>
      </c>
    </row>
    <row r="124" spans="1:26" s="70" customFormat="1" ht="15" hidden="1" customHeight="1" outlineLevel="2" x14ac:dyDescent="0.3">
      <c r="A124" s="26"/>
      <c r="B124" s="12" t="str">
        <f>CONCATENATE("          ","6282"," - ","JANITORIAL/EXTERMINATOR EXPENS")</f>
        <v xml:space="preserve">          6282 - JANITORIAL/EXTERMINATOR EXPENS</v>
      </c>
      <c r="C124" s="12"/>
      <c r="D124" s="7">
        <v>209.65</v>
      </c>
      <c r="E124" s="3"/>
      <c r="F124" s="8">
        <f t="shared" si="28"/>
        <v>1.9974686027518954E-4</v>
      </c>
      <c r="G124" s="3"/>
      <c r="H124" s="7">
        <v>4300</v>
      </c>
      <c r="I124" s="3"/>
      <c r="J124" s="8">
        <f t="shared" si="29"/>
        <v>9.1641642814975516E-3</v>
      </c>
      <c r="K124" s="3"/>
      <c r="L124" s="7">
        <f t="shared" si="30"/>
        <v>-4090.35</v>
      </c>
      <c r="M124" s="3"/>
      <c r="N124" s="8">
        <f t="shared" si="31"/>
        <v>-0.95124418604651162</v>
      </c>
      <c r="O124" s="12"/>
      <c r="P124" s="7">
        <v>2753.63</v>
      </c>
      <c r="Q124" s="3"/>
      <c r="R124" s="8">
        <f t="shared" si="32"/>
        <v>3.6526564173045088E-4</v>
      </c>
      <c r="S124" s="3"/>
      <c r="T124" s="7">
        <v>38700</v>
      </c>
      <c r="U124" s="3"/>
      <c r="V124" s="8">
        <f t="shared" si="33"/>
        <v>4.0986888008571025E-3</v>
      </c>
      <c r="W124" s="3"/>
      <c r="X124" s="7">
        <f t="shared" si="34"/>
        <v>-35946.370000000003</v>
      </c>
      <c r="Y124" s="3"/>
      <c r="Z124" s="8">
        <f t="shared" si="35"/>
        <v>-0.92884677002583982</v>
      </c>
    </row>
    <row r="125" spans="1:26" s="70" customFormat="1" ht="15" hidden="1" customHeight="1" outlineLevel="2" x14ac:dyDescent="0.3">
      <c r="A125" s="26"/>
      <c r="B125" s="12" t="str">
        <f>CONCATENATE("          ","6284"," - ","TRASH REMOVAL EXPENSE")</f>
        <v xml:space="preserve">          6284 - TRASH REMOVAL EXPENSE</v>
      </c>
      <c r="C125" s="12"/>
      <c r="D125" s="7">
        <v>149.69999999999999</v>
      </c>
      <c r="E125" s="3"/>
      <c r="F125" s="8">
        <f t="shared" si="28"/>
        <v>1.4262869059478118E-4</v>
      </c>
      <c r="G125" s="3"/>
      <c r="H125" s="7">
        <v>120</v>
      </c>
      <c r="I125" s="3"/>
      <c r="J125" s="8">
        <f t="shared" si="29"/>
        <v>2.557441194836526E-4</v>
      </c>
      <c r="K125" s="3"/>
      <c r="L125" s="7">
        <f t="shared" si="30"/>
        <v>29.699999999999989</v>
      </c>
      <c r="M125" s="3"/>
      <c r="N125" s="8">
        <f t="shared" si="31"/>
        <v>0.24749999999999991</v>
      </c>
      <c r="O125" s="12"/>
      <c r="P125" s="7">
        <v>1340.17</v>
      </c>
      <c r="Q125" s="3"/>
      <c r="R125" s="8">
        <f t="shared" si="32"/>
        <v>1.7777190656620474E-4</v>
      </c>
      <c r="S125" s="3"/>
      <c r="T125" s="7">
        <v>720</v>
      </c>
      <c r="U125" s="3"/>
      <c r="V125" s="8">
        <f t="shared" si="33"/>
        <v>7.6254675364783309E-5</v>
      </c>
      <c r="W125" s="3"/>
      <c r="X125" s="7">
        <f t="shared" si="34"/>
        <v>620.17000000000007</v>
      </c>
      <c r="Y125" s="3"/>
      <c r="Z125" s="8">
        <f t="shared" si="35"/>
        <v>0.86134722222222238</v>
      </c>
    </row>
    <row r="126" spans="1:26" s="70" customFormat="1" ht="15" hidden="1" customHeight="1" outlineLevel="2" x14ac:dyDescent="0.3">
      <c r="A126" s="26"/>
      <c r="B126" s="12" t="str">
        <f>CONCATENATE("          ","6285"," - ","JANITORIAL SERVICES")</f>
        <v xml:space="preserve">          6285 - JANITORIAL SERVICES</v>
      </c>
      <c r="C126" s="12"/>
      <c r="D126" s="7">
        <v>4280.05</v>
      </c>
      <c r="E126" s="3"/>
      <c r="F126" s="8">
        <f t="shared" si="28"/>
        <v>4.0778752650647513E-3</v>
      </c>
      <c r="G126" s="3"/>
      <c r="H126" s="7"/>
      <c r="I126" s="3"/>
      <c r="J126" s="8">
        <f t="shared" si="29"/>
        <v>0</v>
      </c>
      <c r="K126" s="3"/>
      <c r="L126" s="7">
        <f t="shared" si="30"/>
        <v>4280.05</v>
      </c>
      <c r="M126" s="3"/>
      <c r="N126" s="8">
        <f t="shared" si="31"/>
        <v>0</v>
      </c>
      <c r="O126" s="12"/>
      <c r="P126" s="7">
        <v>47799.83</v>
      </c>
      <c r="Q126" s="3"/>
      <c r="R126" s="8">
        <f t="shared" si="32"/>
        <v>6.3405888153297493E-3</v>
      </c>
      <c r="S126" s="3"/>
      <c r="T126" s="7"/>
      <c r="U126" s="3"/>
      <c r="V126" s="8">
        <f t="shared" si="33"/>
        <v>0</v>
      </c>
      <c r="W126" s="3"/>
      <c r="X126" s="7">
        <f t="shared" si="34"/>
        <v>47799.83</v>
      </c>
      <c r="Y126" s="3"/>
      <c r="Z126" s="8">
        <f t="shared" si="35"/>
        <v>0</v>
      </c>
    </row>
    <row r="127" spans="1:26" s="69" customFormat="1" ht="15" customHeight="1" outlineLevel="1" collapsed="1" x14ac:dyDescent="0.3">
      <c r="A127" s="25"/>
      <c r="B127" s="14" t="str">
        <f>CONCATENATE("     ","Subscriptions &amp; Dues                              ")</f>
        <v xml:space="preserve">     Subscriptions &amp; Dues                              </v>
      </c>
      <c r="C127" s="14"/>
      <c r="D127" s="2">
        <f>SUM(OSRRefD22_19x_0)</f>
        <v>606.92999999999995</v>
      </c>
      <c r="E127" s="2"/>
      <c r="F127" s="6">
        <f t="shared" si="28"/>
        <v>5.7826072934329012E-4</v>
      </c>
      <c r="G127" s="2"/>
      <c r="H127" s="2">
        <f>SUM(OSRRefH22_19x_0)</f>
        <v>481</v>
      </c>
      <c r="I127" s="2"/>
      <c r="J127" s="6">
        <f t="shared" si="29"/>
        <v>1.0251076789303075E-3</v>
      </c>
      <c r="K127" s="2"/>
      <c r="L127" s="2">
        <f t="shared" si="30"/>
        <v>125.92999999999995</v>
      </c>
      <c r="M127" s="2"/>
      <c r="N127" s="6">
        <f t="shared" si="31"/>
        <v>0.26180873180873171</v>
      </c>
      <c r="O127" s="14"/>
      <c r="P127" s="2">
        <f>SUM(OSRRefP22_19x_0)</f>
        <v>2477.65</v>
      </c>
      <c r="Q127" s="2"/>
      <c r="R127" s="6">
        <f t="shared" si="32"/>
        <v>3.286572332642554E-4</v>
      </c>
      <c r="S127" s="2"/>
      <c r="T127" s="2">
        <f>SUM(OSRRefT22_19x_0)</f>
        <v>10944</v>
      </c>
      <c r="U127" s="2"/>
      <c r="V127" s="6">
        <f t="shared" si="33"/>
        <v>1.1590710655447062E-3</v>
      </c>
      <c r="W127" s="2"/>
      <c r="X127" s="2">
        <f t="shared" si="34"/>
        <v>-8466.35</v>
      </c>
      <c r="Y127" s="2"/>
      <c r="Z127" s="6">
        <f t="shared" si="35"/>
        <v>-0.7736065423976608</v>
      </c>
    </row>
    <row r="128" spans="1:26" s="70" customFormat="1" ht="15" hidden="1" customHeight="1" outlineLevel="2" x14ac:dyDescent="0.3">
      <c r="A128" s="26"/>
      <c r="B128" s="12" t="str">
        <f>CONCATENATE("          ","6258"," - ","MEMBERSHIP DUES")</f>
        <v xml:space="preserve">          6258 - MEMBERSHIP DUES</v>
      </c>
      <c r="C128" s="12"/>
      <c r="D128" s="7">
        <v>606.92999999999995</v>
      </c>
      <c r="E128" s="3"/>
      <c r="F128" s="8">
        <f t="shared" si="28"/>
        <v>5.7826072934329012E-4</v>
      </c>
      <c r="G128" s="3"/>
      <c r="H128" s="7">
        <v>300</v>
      </c>
      <c r="I128" s="3"/>
      <c r="J128" s="8">
        <f t="shared" si="29"/>
        <v>6.393602987091316E-4</v>
      </c>
      <c r="K128" s="3"/>
      <c r="L128" s="7">
        <f t="shared" si="30"/>
        <v>306.92999999999995</v>
      </c>
      <c r="M128" s="3"/>
      <c r="N128" s="8">
        <f t="shared" si="31"/>
        <v>1.0230999999999999</v>
      </c>
      <c r="O128" s="12"/>
      <c r="P128" s="7">
        <v>2477.65</v>
      </c>
      <c r="Q128" s="3"/>
      <c r="R128" s="8">
        <f t="shared" si="32"/>
        <v>3.286572332642554E-4</v>
      </c>
      <c r="S128" s="3"/>
      <c r="T128" s="7">
        <v>8095</v>
      </c>
      <c r="U128" s="3"/>
      <c r="V128" s="8">
        <f t="shared" si="33"/>
        <v>8.5733555149711228E-4</v>
      </c>
      <c r="W128" s="3"/>
      <c r="X128" s="7">
        <f t="shared" si="34"/>
        <v>-5617.35</v>
      </c>
      <c r="Y128" s="3"/>
      <c r="Z128" s="8">
        <f t="shared" si="35"/>
        <v>-0.69392835083384807</v>
      </c>
    </row>
    <row r="129" spans="1:26" s="70" customFormat="1" ht="15" hidden="1" customHeight="1" outlineLevel="2" x14ac:dyDescent="0.3">
      <c r="A129" s="26"/>
      <c r="B129" s="12" t="str">
        <f>CONCATENATE("          ","6275"," - ","SUBSCRIPTIONS")</f>
        <v xml:space="preserve">          6275 - SUBSCRIPTIONS</v>
      </c>
      <c r="C129" s="12"/>
      <c r="D129" s="7"/>
      <c r="E129" s="3"/>
      <c r="F129" s="8">
        <f t="shared" si="28"/>
        <v>0</v>
      </c>
      <c r="G129" s="3"/>
      <c r="H129" s="7">
        <v>181</v>
      </c>
      <c r="I129" s="3"/>
      <c r="J129" s="8">
        <f t="shared" si="29"/>
        <v>3.8574738022117603E-4</v>
      </c>
      <c r="K129" s="3"/>
      <c r="L129" s="7">
        <f t="shared" si="30"/>
        <v>-181</v>
      </c>
      <c r="M129" s="3"/>
      <c r="N129" s="8">
        <f t="shared" si="31"/>
        <v>-1</v>
      </c>
      <c r="O129" s="12"/>
      <c r="P129" s="7"/>
      <c r="Q129" s="3"/>
      <c r="R129" s="8">
        <f t="shared" si="32"/>
        <v>0</v>
      </c>
      <c r="S129" s="3"/>
      <c r="T129" s="7">
        <v>2849</v>
      </c>
      <c r="U129" s="3"/>
      <c r="V129" s="8">
        <f t="shared" si="33"/>
        <v>3.0173551404759396E-4</v>
      </c>
      <c r="W129" s="3"/>
      <c r="X129" s="7">
        <f t="shared" si="34"/>
        <v>-2849</v>
      </c>
      <c r="Y129" s="3"/>
      <c r="Z129" s="8">
        <f t="shared" si="35"/>
        <v>-1</v>
      </c>
    </row>
    <row r="130" spans="1:26" s="69" customFormat="1" ht="15" customHeight="1" outlineLevel="1" collapsed="1" x14ac:dyDescent="0.3">
      <c r="A130" s="25"/>
      <c r="B130" s="14" t="str">
        <f>CONCATENATE("     ","Supplies                                          ")</f>
        <v xml:space="preserve">     Supplies                                          </v>
      </c>
      <c r="C130" s="14"/>
      <c r="D130" s="2">
        <f>SUM(OSRRefD22_20x_0)</f>
        <v>9875.9000000000015</v>
      </c>
      <c r="E130" s="2"/>
      <c r="F130" s="6">
        <f t="shared" si="28"/>
        <v>9.4093966963593838E-3</v>
      </c>
      <c r="G130" s="2"/>
      <c r="H130" s="2">
        <f>SUM(OSRRefH22_20x_0)</f>
        <v>8040</v>
      </c>
      <c r="I130" s="2"/>
      <c r="J130" s="6">
        <f t="shared" si="29"/>
        <v>1.7134856005404726E-2</v>
      </c>
      <c r="K130" s="2"/>
      <c r="L130" s="2">
        <f t="shared" si="30"/>
        <v>1835.9000000000015</v>
      </c>
      <c r="M130" s="2"/>
      <c r="N130" s="6">
        <f t="shared" si="31"/>
        <v>0.22834577114427879</v>
      </c>
      <c r="O130" s="14"/>
      <c r="P130" s="2">
        <f>SUM(OSRRefP22_20x_0)</f>
        <v>89909.489999999991</v>
      </c>
      <c r="Q130" s="2"/>
      <c r="R130" s="6">
        <f t="shared" si="32"/>
        <v>1.1926383560067094E-2</v>
      </c>
      <c r="S130" s="2"/>
      <c r="T130" s="2">
        <f>SUM(OSRRefT22_20x_0)</f>
        <v>102240</v>
      </c>
      <c r="U130" s="2"/>
      <c r="V130" s="6">
        <f t="shared" si="33"/>
        <v>1.0828163901799229E-2</v>
      </c>
      <c r="W130" s="2"/>
      <c r="X130" s="2">
        <f t="shared" si="34"/>
        <v>-12330.510000000009</v>
      </c>
      <c r="Y130" s="2"/>
      <c r="Z130" s="6">
        <f t="shared" si="35"/>
        <v>-0.12060357981220667</v>
      </c>
    </row>
    <row r="131" spans="1:26" s="70" customFormat="1" ht="15" hidden="1" customHeight="1" outlineLevel="2" x14ac:dyDescent="0.3">
      <c r="A131" s="26"/>
      <c r="B131" s="12" t="str">
        <f>CONCATENATE("          ","6234"," - ","EXPENDABLE SUPPLIES &amp; EQUIPMEN")</f>
        <v xml:space="preserve">          6234 - EXPENDABLE SUPPLIES &amp; EQUIPMEN</v>
      </c>
      <c r="C131" s="12"/>
      <c r="D131" s="7"/>
      <c r="E131" s="3"/>
      <c r="F131" s="8">
        <f t="shared" si="28"/>
        <v>0</v>
      </c>
      <c r="G131" s="3"/>
      <c r="H131" s="7">
        <v>300</v>
      </c>
      <c r="I131" s="3"/>
      <c r="J131" s="8">
        <f t="shared" si="29"/>
        <v>6.393602987091316E-4</v>
      </c>
      <c r="K131" s="3"/>
      <c r="L131" s="7">
        <f t="shared" si="30"/>
        <v>-300</v>
      </c>
      <c r="M131" s="3"/>
      <c r="N131" s="8">
        <f t="shared" si="31"/>
        <v>-1</v>
      </c>
      <c r="O131" s="12"/>
      <c r="P131" s="7">
        <v>5289.57</v>
      </c>
      <c r="Q131" s="3"/>
      <c r="R131" s="8">
        <f t="shared" si="32"/>
        <v>7.0165497199265727E-4</v>
      </c>
      <c r="S131" s="3"/>
      <c r="T131" s="7">
        <v>2100</v>
      </c>
      <c r="U131" s="3"/>
      <c r="V131" s="8">
        <f t="shared" si="33"/>
        <v>2.224094698139513E-4</v>
      </c>
      <c r="W131" s="3"/>
      <c r="X131" s="7">
        <f t="shared" si="34"/>
        <v>3189.5699999999997</v>
      </c>
      <c r="Y131" s="3"/>
      <c r="Z131" s="8">
        <f t="shared" si="35"/>
        <v>1.5188428571428569</v>
      </c>
    </row>
    <row r="132" spans="1:26" s="70" customFormat="1" ht="15" hidden="1" customHeight="1" outlineLevel="2" x14ac:dyDescent="0.3">
      <c r="A132" s="26"/>
      <c r="B132" s="12" t="str">
        <f>CONCATENATE("          ","6235"," - ","COVID-19 EXPENSES")</f>
        <v xml:space="preserve">          6235 - COVID-19 EXPENSES</v>
      </c>
      <c r="C132" s="12"/>
      <c r="D132" s="7"/>
      <c r="E132" s="3"/>
      <c r="F132" s="8">
        <f t="shared" si="28"/>
        <v>0</v>
      </c>
      <c r="G132" s="3"/>
      <c r="H132" s="7">
        <v>125</v>
      </c>
      <c r="I132" s="3"/>
      <c r="J132" s="8">
        <f t="shared" si="29"/>
        <v>2.6640012446213816E-4</v>
      </c>
      <c r="K132" s="3"/>
      <c r="L132" s="7">
        <f t="shared" si="30"/>
        <v>-125</v>
      </c>
      <c r="M132" s="3"/>
      <c r="N132" s="8">
        <f t="shared" si="31"/>
        <v>-1</v>
      </c>
      <c r="O132" s="12"/>
      <c r="P132" s="7">
        <v>3430.32</v>
      </c>
      <c r="Q132" s="3"/>
      <c r="R132" s="8">
        <f t="shared" si="32"/>
        <v>4.5502774016145968E-4</v>
      </c>
      <c r="S132" s="3"/>
      <c r="T132" s="7">
        <v>1125</v>
      </c>
      <c r="U132" s="3"/>
      <c r="V132" s="8">
        <f t="shared" si="33"/>
        <v>1.1914793025747391E-4</v>
      </c>
      <c r="W132" s="3"/>
      <c r="X132" s="7">
        <f t="shared" si="34"/>
        <v>2305.3200000000002</v>
      </c>
      <c r="Y132" s="3"/>
      <c r="Z132" s="8">
        <f t="shared" si="35"/>
        <v>2.0491733333333335</v>
      </c>
    </row>
    <row r="133" spans="1:26" s="70" customFormat="1" ht="15" hidden="1" customHeight="1" outlineLevel="2" x14ac:dyDescent="0.3">
      <c r="A133" s="26"/>
      <c r="B133" s="12" t="str">
        <f>CONCATENATE("          ","6237"," - ","JANITORIAL SUPPLIES")</f>
        <v xml:space="preserve">          6237 - JANITORIAL SUPPLIES</v>
      </c>
      <c r="C133" s="12"/>
      <c r="D133" s="7">
        <v>257.99</v>
      </c>
      <c r="E133" s="3"/>
      <c r="F133" s="8">
        <f t="shared" si="28"/>
        <v>2.4580344613592248E-4</v>
      </c>
      <c r="G133" s="3"/>
      <c r="H133" s="7">
        <v>10</v>
      </c>
      <c r="I133" s="3"/>
      <c r="J133" s="8">
        <f t="shared" si="29"/>
        <v>2.1312009956971051E-5</v>
      </c>
      <c r="K133" s="3"/>
      <c r="L133" s="7">
        <f t="shared" si="30"/>
        <v>247.99</v>
      </c>
      <c r="M133" s="3"/>
      <c r="N133" s="8">
        <f t="shared" si="31"/>
        <v>24.798999999999999</v>
      </c>
      <c r="O133" s="12"/>
      <c r="P133" s="7">
        <v>4789.16</v>
      </c>
      <c r="Q133" s="3"/>
      <c r="R133" s="8">
        <f t="shared" si="32"/>
        <v>6.3527619932591021E-4</v>
      </c>
      <c r="S133" s="3"/>
      <c r="T133" s="7">
        <v>170</v>
      </c>
      <c r="U133" s="3"/>
      <c r="V133" s="8">
        <f t="shared" si="33"/>
        <v>1.8004576127796057E-5</v>
      </c>
      <c r="W133" s="3"/>
      <c r="X133" s="7">
        <f t="shared" si="34"/>
        <v>4619.16</v>
      </c>
      <c r="Y133" s="3"/>
      <c r="Z133" s="8">
        <f t="shared" si="35"/>
        <v>27.171529411764705</v>
      </c>
    </row>
    <row r="134" spans="1:26" s="70" customFormat="1" ht="15" hidden="1" customHeight="1" outlineLevel="2" x14ac:dyDescent="0.3">
      <c r="A134" s="26"/>
      <c r="B134" s="12" t="str">
        <f>CONCATENATE("          ","6241"," - ","OFFICE EXPENSE")</f>
        <v xml:space="preserve">          6241 - OFFICE EXPENSE</v>
      </c>
      <c r="C134" s="12"/>
      <c r="D134" s="7">
        <v>1845.19</v>
      </c>
      <c r="E134" s="3"/>
      <c r="F134" s="8">
        <f t="shared" si="28"/>
        <v>1.7580296165570094E-3</v>
      </c>
      <c r="G134" s="3"/>
      <c r="H134" s="7">
        <v>580</v>
      </c>
      <c r="I134" s="3"/>
      <c r="J134" s="8">
        <f t="shared" si="29"/>
        <v>1.236096577504321E-3</v>
      </c>
      <c r="K134" s="3"/>
      <c r="L134" s="7">
        <f t="shared" si="30"/>
        <v>1265.19</v>
      </c>
      <c r="M134" s="3"/>
      <c r="N134" s="8">
        <f t="shared" si="31"/>
        <v>2.1813620689655173</v>
      </c>
      <c r="O134" s="12"/>
      <c r="P134" s="7">
        <v>15187.79</v>
      </c>
      <c r="Q134" s="3"/>
      <c r="R134" s="8">
        <f t="shared" si="32"/>
        <v>2.0146417132357376E-3</v>
      </c>
      <c r="S134" s="3"/>
      <c r="T134" s="7">
        <v>6470</v>
      </c>
      <c r="U134" s="3"/>
      <c r="V134" s="8">
        <f t="shared" si="33"/>
        <v>6.8523298556965001E-4</v>
      </c>
      <c r="W134" s="3"/>
      <c r="X134" s="7">
        <f t="shared" si="34"/>
        <v>8717.7900000000009</v>
      </c>
      <c r="Y134" s="3"/>
      <c r="Z134" s="8">
        <f t="shared" si="35"/>
        <v>1.3474173106646059</v>
      </c>
    </row>
    <row r="135" spans="1:26" s="70" customFormat="1" ht="15" hidden="1" customHeight="1" outlineLevel="2" x14ac:dyDescent="0.3">
      <c r="A135" s="26"/>
      <c r="B135" s="12" t="str">
        <f>CONCATENATE("          ","6243"," - ","PAPER SUPPLIES")</f>
        <v xml:space="preserve">          6243 - PAPER SUPPLIES</v>
      </c>
      <c r="C135" s="12"/>
      <c r="D135" s="7">
        <v>1213.21</v>
      </c>
      <c r="E135" s="3"/>
      <c r="F135" s="8">
        <f t="shared" si="28"/>
        <v>1.1559021624348328E-3</v>
      </c>
      <c r="G135" s="3"/>
      <c r="H135" s="7">
        <v>150</v>
      </c>
      <c r="I135" s="3"/>
      <c r="J135" s="8">
        <f t="shared" si="29"/>
        <v>3.196801493545658E-4</v>
      </c>
      <c r="K135" s="3"/>
      <c r="L135" s="7">
        <f t="shared" si="30"/>
        <v>1063.21</v>
      </c>
      <c r="M135" s="3"/>
      <c r="N135" s="8">
        <f t="shared" si="31"/>
        <v>7.0880666666666672</v>
      </c>
      <c r="O135" s="12"/>
      <c r="P135" s="7">
        <v>6835.14</v>
      </c>
      <c r="Q135" s="3"/>
      <c r="R135" s="8">
        <f t="shared" si="32"/>
        <v>9.066729366027658E-4</v>
      </c>
      <c r="S135" s="3"/>
      <c r="T135" s="7">
        <v>30350</v>
      </c>
      <c r="U135" s="3"/>
      <c r="V135" s="8">
        <f t="shared" si="33"/>
        <v>3.214346385168296E-3</v>
      </c>
      <c r="W135" s="3"/>
      <c r="X135" s="7">
        <f t="shared" si="34"/>
        <v>-23514.86</v>
      </c>
      <c r="Y135" s="3"/>
      <c r="Z135" s="8">
        <f t="shared" si="35"/>
        <v>-0.77478945634266894</v>
      </c>
    </row>
    <row r="136" spans="1:26" s="70" customFormat="1" ht="15" hidden="1" customHeight="1" outlineLevel="2" x14ac:dyDescent="0.3">
      <c r="A136" s="26"/>
      <c r="B136" s="12" t="str">
        <f>CONCATENATE("          ","6245"," - ","PRINTING")</f>
        <v xml:space="preserve">          6245 - PRINTING</v>
      </c>
      <c r="C136" s="12"/>
      <c r="D136" s="7">
        <v>3682</v>
      </c>
      <c r="E136" s="3"/>
      <c r="F136" s="8">
        <f t="shared" si="28"/>
        <v>3.5080750752837964E-3</v>
      </c>
      <c r="G136" s="3"/>
      <c r="H136" s="7">
        <v>500</v>
      </c>
      <c r="I136" s="3"/>
      <c r="J136" s="8">
        <f t="shared" si="29"/>
        <v>1.0656004978485526E-3</v>
      </c>
      <c r="K136" s="3"/>
      <c r="L136" s="7">
        <f t="shared" si="30"/>
        <v>3182</v>
      </c>
      <c r="M136" s="3"/>
      <c r="N136" s="8">
        <f t="shared" si="31"/>
        <v>6.3639999999999999</v>
      </c>
      <c r="O136" s="12"/>
      <c r="P136" s="7">
        <v>6986.52</v>
      </c>
      <c r="Q136" s="3"/>
      <c r="R136" s="8">
        <f t="shared" si="32"/>
        <v>9.2675330791087756E-4</v>
      </c>
      <c r="S136" s="3"/>
      <c r="T136" s="7">
        <v>7995</v>
      </c>
      <c r="U136" s="3"/>
      <c r="V136" s="8">
        <f t="shared" si="33"/>
        <v>8.4674462436311456E-4</v>
      </c>
      <c r="W136" s="3"/>
      <c r="X136" s="7">
        <f t="shared" si="34"/>
        <v>-1008.4799999999996</v>
      </c>
      <c r="Y136" s="3"/>
      <c r="Z136" s="8">
        <f t="shared" si="35"/>
        <v>-0.12613883677298307</v>
      </c>
    </row>
    <row r="137" spans="1:26" s="70" customFormat="1" ht="15" hidden="1" customHeight="1" outlineLevel="2" x14ac:dyDescent="0.3">
      <c r="A137" s="26"/>
      <c r="B137" s="12" t="str">
        <f>CONCATENATE("          ","6247"," - ","STORE SUPPLIES")</f>
        <v xml:space="preserve">          6247 - STORE SUPPLIES</v>
      </c>
      <c r="C137" s="12"/>
      <c r="D137" s="7">
        <v>2877.51</v>
      </c>
      <c r="E137" s="3"/>
      <c r="F137" s="8">
        <f t="shared" si="28"/>
        <v>2.7415863959478213E-3</v>
      </c>
      <c r="G137" s="3"/>
      <c r="H137" s="7">
        <v>6375</v>
      </c>
      <c r="I137" s="3"/>
      <c r="J137" s="8">
        <f t="shared" si="29"/>
        <v>1.3586406347569045E-2</v>
      </c>
      <c r="K137" s="3"/>
      <c r="L137" s="7">
        <f t="shared" si="30"/>
        <v>-3497.49</v>
      </c>
      <c r="M137" s="3"/>
      <c r="N137" s="8">
        <f t="shared" si="31"/>
        <v>-0.54862588235294119</v>
      </c>
      <c r="O137" s="12"/>
      <c r="P137" s="7">
        <v>47390.99</v>
      </c>
      <c r="Q137" s="3"/>
      <c r="R137" s="8">
        <f t="shared" si="32"/>
        <v>6.2863566908376864E-3</v>
      </c>
      <c r="S137" s="3"/>
      <c r="T137" s="7">
        <v>54030</v>
      </c>
      <c r="U137" s="3"/>
      <c r="V137" s="8">
        <f t="shared" si="33"/>
        <v>5.7222779304989474E-3</v>
      </c>
      <c r="W137" s="3"/>
      <c r="X137" s="7">
        <f t="shared" si="34"/>
        <v>-6639.010000000002</v>
      </c>
      <c r="Y137" s="3"/>
      <c r="Z137" s="8">
        <f t="shared" si="35"/>
        <v>-0.12287636498241722</v>
      </c>
    </row>
    <row r="138" spans="1:26" s="69" customFormat="1" ht="15" customHeight="1" outlineLevel="1" collapsed="1" x14ac:dyDescent="0.3">
      <c r="A138" s="25"/>
      <c r="B138" s="14" t="str">
        <f>CONCATENATE("     ","Telephone/Data Lines                              ")</f>
        <v xml:space="preserve">     Telephone/Data Lines                              </v>
      </c>
      <c r="C138" s="14"/>
      <c r="D138" s="2">
        <f>SUM(OSRRefD22_21x_0)</f>
        <v>1823.1</v>
      </c>
      <c r="E138" s="2"/>
      <c r="F138" s="6">
        <f t="shared" si="28"/>
        <v>1.7369830716322348E-3</v>
      </c>
      <c r="G138" s="2"/>
      <c r="H138" s="2">
        <f>SUM(OSRRefH22_21x_0)</f>
        <v>2060</v>
      </c>
      <c r="I138" s="2"/>
      <c r="J138" s="6">
        <f t="shared" si="29"/>
        <v>4.3902740511360368E-3</v>
      </c>
      <c r="K138" s="2"/>
      <c r="L138" s="2">
        <f t="shared" si="30"/>
        <v>-236.90000000000009</v>
      </c>
      <c r="M138" s="2"/>
      <c r="N138" s="6">
        <f t="shared" si="31"/>
        <v>-0.11500000000000005</v>
      </c>
      <c r="O138" s="14"/>
      <c r="P138" s="2">
        <f>SUM(OSRRefP22_21x_0)</f>
        <v>18099.16</v>
      </c>
      <c r="Q138" s="2"/>
      <c r="R138" s="6">
        <f t="shared" si="32"/>
        <v>2.4008313724727384E-3</v>
      </c>
      <c r="S138" s="2"/>
      <c r="T138" s="2">
        <f>SUM(OSRRefT22_21x_0)</f>
        <v>19140</v>
      </c>
      <c r="U138" s="2"/>
      <c r="V138" s="6">
        <f t="shared" si="33"/>
        <v>2.0271034534471563E-3</v>
      </c>
      <c r="W138" s="2"/>
      <c r="X138" s="2">
        <f t="shared" si="34"/>
        <v>-1040.8400000000001</v>
      </c>
      <c r="Y138" s="2"/>
      <c r="Z138" s="6">
        <f t="shared" si="35"/>
        <v>-5.4380355276907009E-2</v>
      </c>
    </row>
    <row r="139" spans="1:26" s="70" customFormat="1" ht="15" hidden="1" customHeight="1" outlineLevel="2" x14ac:dyDescent="0.3">
      <c r="A139" s="26"/>
      <c r="B139" s="12" t="str">
        <f>CONCATENATE("          ","6303"," - ","DATA PHONE LINES")</f>
        <v xml:space="preserve">          6303 - DATA PHONE LINES</v>
      </c>
      <c r="C139" s="12"/>
      <c r="D139" s="7"/>
      <c r="E139" s="3"/>
      <c r="F139" s="8">
        <f t="shared" si="28"/>
        <v>0</v>
      </c>
      <c r="G139" s="3"/>
      <c r="H139" s="7">
        <v>0</v>
      </c>
      <c r="I139" s="3"/>
      <c r="J139" s="8">
        <f t="shared" si="29"/>
        <v>0</v>
      </c>
      <c r="K139" s="3"/>
      <c r="L139" s="7">
        <f t="shared" si="30"/>
        <v>0</v>
      </c>
      <c r="M139" s="3"/>
      <c r="N139" s="8">
        <f t="shared" si="31"/>
        <v>0</v>
      </c>
      <c r="O139" s="12"/>
      <c r="P139" s="7">
        <v>295</v>
      </c>
      <c r="Q139" s="3"/>
      <c r="R139" s="8">
        <f t="shared" si="32"/>
        <v>3.9131388135110019E-5</v>
      </c>
      <c r="S139" s="3"/>
      <c r="T139" s="7">
        <v>0</v>
      </c>
      <c r="U139" s="3"/>
      <c r="V139" s="8">
        <f t="shared" si="33"/>
        <v>0</v>
      </c>
      <c r="W139" s="3"/>
      <c r="X139" s="7">
        <f t="shared" si="34"/>
        <v>295</v>
      </c>
      <c r="Y139" s="3"/>
      <c r="Z139" s="8">
        <f t="shared" si="35"/>
        <v>0</v>
      </c>
    </row>
    <row r="140" spans="1:26" s="70" customFormat="1" ht="15" hidden="1" customHeight="1" outlineLevel="2" x14ac:dyDescent="0.3">
      <c r="A140" s="26"/>
      <c r="B140" s="12" t="str">
        <f>CONCATENATE("          ","6309"," - ","TELEPHONE")</f>
        <v xml:space="preserve">          6309 - TELEPHONE</v>
      </c>
      <c r="C140" s="12"/>
      <c r="D140" s="7">
        <v>1823.1</v>
      </c>
      <c r="E140" s="3"/>
      <c r="F140" s="8">
        <f t="shared" si="28"/>
        <v>1.7369830716322348E-3</v>
      </c>
      <c r="G140" s="3"/>
      <c r="H140" s="7">
        <v>2060</v>
      </c>
      <c r="I140" s="3"/>
      <c r="J140" s="8">
        <f t="shared" si="29"/>
        <v>4.3902740511360368E-3</v>
      </c>
      <c r="K140" s="3"/>
      <c r="L140" s="7">
        <f t="shared" si="30"/>
        <v>-236.90000000000009</v>
      </c>
      <c r="M140" s="3"/>
      <c r="N140" s="8">
        <f t="shared" si="31"/>
        <v>-0.11500000000000005</v>
      </c>
      <c r="O140" s="12"/>
      <c r="P140" s="7">
        <v>17804.16</v>
      </c>
      <c r="Q140" s="3"/>
      <c r="R140" s="8">
        <f t="shared" si="32"/>
        <v>2.3616999843376284E-3</v>
      </c>
      <c r="S140" s="3"/>
      <c r="T140" s="7">
        <v>19140</v>
      </c>
      <c r="U140" s="3"/>
      <c r="V140" s="8">
        <f t="shared" si="33"/>
        <v>2.0271034534471563E-3</v>
      </c>
      <c r="W140" s="3"/>
      <c r="X140" s="7">
        <f t="shared" si="34"/>
        <v>-1335.8400000000001</v>
      </c>
      <c r="Y140" s="3"/>
      <c r="Z140" s="8">
        <f t="shared" si="35"/>
        <v>-6.979310344827587E-2</v>
      </c>
    </row>
    <row r="141" spans="1:26" s="69" customFormat="1" ht="15" customHeight="1" outlineLevel="1" collapsed="1" x14ac:dyDescent="0.3">
      <c r="A141" s="25"/>
      <c r="B141" s="14" t="str">
        <f>CONCATENATE("     ","Training                                          ")</f>
        <v xml:space="preserve">     Training                                          </v>
      </c>
      <c r="C141" s="14"/>
      <c r="D141" s="2">
        <f>SUM(OSRRefD22_22x_0)</f>
        <v>199</v>
      </c>
      <c r="E141" s="2"/>
      <c r="F141" s="6">
        <f t="shared" si="28"/>
        <v>1.8959992938117205E-4</v>
      </c>
      <c r="G141" s="2"/>
      <c r="H141" s="2">
        <f>SUM(OSRRefH22_22x_0)</f>
        <v>0</v>
      </c>
      <c r="I141" s="2"/>
      <c r="J141" s="6">
        <f t="shared" si="29"/>
        <v>0</v>
      </c>
      <c r="K141" s="2"/>
      <c r="L141" s="2">
        <f t="shared" si="30"/>
        <v>199</v>
      </c>
      <c r="M141" s="2"/>
      <c r="N141" s="6">
        <f t="shared" si="31"/>
        <v>0</v>
      </c>
      <c r="O141" s="14"/>
      <c r="P141" s="2">
        <f>SUM(OSRRefP22_22x_0)</f>
        <v>1094</v>
      </c>
      <c r="Q141" s="2"/>
      <c r="R141" s="6">
        <f t="shared" si="32"/>
        <v>1.4511775803325547E-4</v>
      </c>
      <c r="S141" s="2"/>
      <c r="T141" s="2">
        <f>SUM(OSRRefT22_22x_0)</f>
        <v>2000</v>
      </c>
      <c r="U141" s="2"/>
      <c r="V141" s="6">
        <f t="shared" si="33"/>
        <v>2.1181854267995361E-4</v>
      </c>
      <c r="W141" s="2"/>
      <c r="X141" s="2">
        <f t="shared" si="34"/>
        <v>-906</v>
      </c>
      <c r="Y141" s="2"/>
      <c r="Z141" s="6">
        <f t="shared" si="35"/>
        <v>-0.45300000000000001</v>
      </c>
    </row>
    <row r="142" spans="1:26" s="70" customFormat="1" ht="15" hidden="1" customHeight="1" outlineLevel="2" x14ac:dyDescent="0.3">
      <c r="A142" s="26"/>
      <c r="B142" s="12" t="str">
        <f>CONCATENATE("          ","6376"," - ","TRAINING")</f>
        <v xml:space="preserve">          6376 - TRAINING</v>
      </c>
      <c r="C142" s="12"/>
      <c r="D142" s="7">
        <v>199</v>
      </c>
      <c r="E142" s="3"/>
      <c r="F142" s="8">
        <f t="shared" si="28"/>
        <v>1.8959992938117205E-4</v>
      </c>
      <c r="G142" s="3"/>
      <c r="H142" s="7">
        <v>0</v>
      </c>
      <c r="I142" s="3"/>
      <c r="J142" s="8">
        <f t="shared" si="29"/>
        <v>0</v>
      </c>
      <c r="K142" s="3"/>
      <c r="L142" s="7">
        <f t="shared" si="30"/>
        <v>199</v>
      </c>
      <c r="M142" s="3"/>
      <c r="N142" s="8">
        <f t="shared" si="31"/>
        <v>0</v>
      </c>
      <c r="O142" s="12"/>
      <c r="P142" s="7">
        <v>1094</v>
      </c>
      <c r="Q142" s="3"/>
      <c r="R142" s="8">
        <f t="shared" si="32"/>
        <v>1.4511775803325547E-4</v>
      </c>
      <c r="S142" s="3"/>
      <c r="T142" s="7">
        <v>2000</v>
      </c>
      <c r="U142" s="3"/>
      <c r="V142" s="8">
        <f t="shared" si="33"/>
        <v>2.1181854267995361E-4</v>
      </c>
      <c r="W142" s="3"/>
      <c r="X142" s="7">
        <f t="shared" si="34"/>
        <v>-906</v>
      </c>
      <c r="Y142" s="3"/>
      <c r="Z142" s="8">
        <f t="shared" si="35"/>
        <v>-0.45300000000000001</v>
      </c>
    </row>
    <row r="143" spans="1:26" s="69" customFormat="1" ht="15" customHeight="1" outlineLevel="1" collapsed="1" x14ac:dyDescent="0.3">
      <c r="A143" s="25"/>
      <c r="B143" s="14" t="str">
        <f>CONCATENATE("     ","Travel                                            ")</f>
        <v xml:space="preserve">     Travel                                            </v>
      </c>
      <c r="C143" s="14"/>
      <c r="D143" s="2">
        <f>SUM(OSRRefD22_23x_0)</f>
        <v>46.81</v>
      </c>
      <c r="E143" s="2"/>
      <c r="F143" s="6">
        <f t="shared" si="28"/>
        <v>4.4598857760465645E-5</v>
      </c>
      <c r="G143" s="2"/>
      <c r="H143" s="2">
        <f>SUM(OSRRefH22_23x_0)</f>
        <v>175</v>
      </c>
      <c r="I143" s="2"/>
      <c r="J143" s="6">
        <f t="shared" si="29"/>
        <v>3.7296017424699339E-4</v>
      </c>
      <c r="K143" s="2"/>
      <c r="L143" s="2">
        <f t="shared" si="30"/>
        <v>-128.19</v>
      </c>
      <c r="M143" s="2"/>
      <c r="N143" s="6">
        <f t="shared" si="31"/>
        <v>-0.73251428571428567</v>
      </c>
      <c r="O143" s="14"/>
      <c r="P143" s="2">
        <f>SUM(OSRRefP22_23x_0)</f>
        <v>1135.57</v>
      </c>
      <c r="Q143" s="2"/>
      <c r="R143" s="6">
        <f t="shared" si="32"/>
        <v>1.5063196754097247E-4</v>
      </c>
      <c r="S143" s="2"/>
      <c r="T143" s="2">
        <f>SUM(OSRRefT22_23x_0)</f>
        <v>1825</v>
      </c>
      <c r="U143" s="2"/>
      <c r="V143" s="6">
        <f t="shared" si="33"/>
        <v>1.9328442019545767E-4</v>
      </c>
      <c r="W143" s="2"/>
      <c r="X143" s="2">
        <f t="shared" si="34"/>
        <v>-689.43000000000006</v>
      </c>
      <c r="Y143" s="2"/>
      <c r="Z143" s="6">
        <f t="shared" si="35"/>
        <v>-0.37776986301369869</v>
      </c>
    </row>
    <row r="144" spans="1:26" s="70" customFormat="1" ht="15" hidden="1" customHeight="1" outlineLevel="2" x14ac:dyDescent="0.3">
      <c r="A144" s="26"/>
      <c r="B144" s="12" t="str">
        <f>CONCATENATE("          ","6292"," - ","TRAVEL/CONFERENCE")</f>
        <v xml:space="preserve">          6292 - TRAVEL/CONFERENCE</v>
      </c>
      <c r="C144" s="12"/>
      <c r="D144" s="7"/>
      <c r="E144" s="3"/>
      <c r="F144" s="8">
        <f t="shared" si="28"/>
        <v>0</v>
      </c>
      <c r="G144" s="3"/>
      <c r="H144" s="7">
        <v>125</v>
      </c>
      <c r="I144" s="3"/>
      <c r="J144" s="8">
        <f t="shared" si="29"/>
        <v>2.6640012446213816E-4</v>
      </c>
      <c r="K144" s="3"/>
      <c r="L144" s="7">
        <f t="shared" si="30"/>
        <v>-125</v>
      </c>
      <c r="M144" s="3"/>
      <c r="N144" s="8">
        <f t="shared" si="31"/>
        <v>-1</v>
      </c>
      <c r="O144" s="12"/>
      <c r="P144" s="7">
        <v>495</v>
      </c>
      <c r="Q144" s="3"/>
      <c r="R144" s="8">
        <f t="shared" si="32"/>
        <v>6.5661142802981226E-5</v>
      </c>
      <c r="S144" s="3"/>
      <c r="T144" s="7">
        <v>1125</v>
      </c>
      <c r="U144" s="3"/>
      <c r="V144" s="8">
        <f t="shared" si="33"/>
        <v>1.1914793025747391E-4</v>
      </c>
      <c r="W144" s="3"/>
      <c r="X144" s="7">
        <f t="shared" si="34"/>
        <v>-630</v>
      </c>
      <c r="Y144" s="3"/>
      <c r="Z144" s="8">
        <f t="shared" si="35"/>
        <v>-0.56000000000000005</v>
      </c>
    </row>
    <row r="145" spans="1:26" s="70" customFormat="1" ht="15" hidden="1" customHeight="1" outlineLevel="2" x14ac:dyDescent="0.3">
      <c r="A145" s="26"/>
      <c r="B145" s="12" t="str">
        <f>CONCATENATE("          ","6294"," - ","TRAVEL OPERATIONAL")</f>
        <v xml:space="preserve">          6294 - TRAVEL OPERATIONAL</v>
      </c>
      <c r="C145" s="12"/>
      <c r="D145" s="7">
        <v>46.81</v>
      </c>
      <c r="E145" s="3"/>
      <c r="F145" s="8">
        <f t="shared" si="28"/>
        <v>4.4598857760465645E-5</v>
      </c>
      <c r="G145" s="3"/>
      <c r="H145" s="7">
        <v>25</v>
      </c>
      <c r="I145" s="3"/>
      <c r="J145" s="8">
        <f t="shared" si="29"/>
        <v>5.3280024892427629E-5</v>
      </c>
      <c r="K145" s="3"/>
      <c r="L145" s="7">
        <f t="shared" si="30"/>
        <v>21.810000000000002</v>
      </c>
      <c r="M145" s="3"/>
      <c r="N145" s="8">
        <f t="shared" si="31"/>
        <v>0.87240000000000006</v>
      </c>
      <c r="O145" s="12"/>
      <c r="P145" s="7">
        <v>403.48</v>
      </c>
      <c r="Q145" s="3"/>
      <c r="R145" s="8">
        <f t="shared" si="32"/>
        <v>5.3521127066963361E-5</v>
      </c>
      <c r="S145" s="3"/>
      <c r="T145" s="7">
        <v>225</v>
      </c>
      <c r="U145" s="3"/>
      <c r="V145" s="8">
        <f t="shared" si="33"/>
        <v>2.3829586051494783E-5</v>
      </c>
      <c r="W145" s="3"/>
      <c r="X145" s="7">
        <f t="shared" si="34"/>
        <v>178.48000000000002</v>
      </c>
      <c r="Y145" s="3"/>
      <c r="Z145" s="8">
        <f t="shared" si="35"/>
        <v>0.79324444444444453</v>
      </c>
    </row>
    <row r="146" spans="1:26" s="70" customFormat="1" ht="15" hidden="1" customHeight="1" outlineLevel="2" x14ac:dyDescent="0.3">
      <c r="A146" s="26"/>
      <c r="B146" s="12" t="str">
        <f>CONCATENATE("          ","6298"," - ","VEHICLE MILEAGE")</f>
        <v xml:space="preserve">          6298 - VEHICLE MILEAGE</v>
      </c>
      <c r="C146" s="12"/>
      <c r="D146" s="7"/>
      <c r="E146" s="3"/>
      <c r="F146" s="8">
        <f t="shared" si="28"/>
        <v>0</v>
      </c>
      <c r="G146" s="3"/>
      <c r="H146" s="7">
        <v>25</v>
      </c>
      <c r="I146" s="3"/>
      <c r="J146" s="8">
        <f t="shared" si="29"/>
        <v>5.3280024892427629E-5</v>
      </c>
      <c r="K146" s="3"/>
      <c r="L146" s="7">
        <f t="shared" si="30"/>
        <v>-25</v>
      </c>
      <c r="M146" s="3"/>
      <c r="N146" s="8">
        <f t="shared" si="31"/>
        <v>-1</v>
      </c>
      <c r="O146" s="12"/>
      <c r="P146" s="7">
        <v>237.09</v>
      </c>
      <c r="Q146" s="3"/>
      <c r="R146" s="8">
        <f t="shared" si="32"/>
        <v>3.1449697671027913E-5</v>
      </c>
      <c r="S146" s="3"/>
      <c r="T146" s="7">
        <v>475</v>
      </c>
      <c r="U146" s="3"/>
      <c r="V146" s="8">
        <f t="shared" si="33"/>
        <v>5.0306903886488988E-5</v>
      </c>
      <c r="W146" s="3"/>
      <c r="X146" s="7">
        <f t="shared" si="34"/>
        <v>-237.91</v>
      </c>
      <c r="Y146" s="3"/>
      <c r="Z146" s="8">
        <f t="shared" si="35"/>
        <v>-0.50086315789473679</v>
      </c>
    </row>
    <row r="147" spans="1:26" s="69" customFormat="1" ht="15" customHeight="1" outlineLevel="1" collapsed="1" x14ac:dyDescent="0.3">
      <c r="A147" s="25"/>
      <c r="B147" s="14" t="str">
        <f>CONCATENATE("     ","Utilities                                         ")</f>
        <v xml:space="preserve">     Utilities                                         </v>
      </c>
      <c r="C147" s="14"/>
      <c r="D147" s="2">
        <f>SUM(OSRRefD22_24x_0)</f>
        <v>6137.83</v>
      </c>
      <c r="E147" s="2"/>
      <c r="F147" s="6">
        <f t="shared" si="28"/>
        <v>5.8479001736363775E-3</v>
      </c>
      <c r="G147" s="2"/>
      <c r="H147" s="2">
        <f>SUM(OSRRefH22_24x_0)</f>
        <v>6120</v>
      </c>
      <c r="I147" s="2"/>
      <c r="J147" s="6">
        <f t="shared" si="29"/>
        <v>1.3042950093666284E-2</v>
      </c>
      <c r="K147" s="2"/>
      <c r="L147" s="2">
        <f t="shared" si="30"/>
        <v>17.829999999999927</v>
      </c>
      <c r="M147" s="2"/>
      <c r="N147" s="6">
        <f t="shared" si="31"/>
        <v>2.9133986928104455E-3</v>
      </c>
      <c r="O147" s="14"/>
      <c r="P147" s="2">
        <f>SUM(OSRRefP22_24x_0)</f>
        <v>49032.9</v>
      </c>
      <c r="Q147" s="2"/>
      <c r="R147" s="6">
        <f t="shared" si="32"/>
        <v>6.5041540382713087E-3</v>
      </c>
      <c r="S147" s="2"/>
      <c r="T147" s="2">
        <f>SUM(OSRRefT22_24x_0)</f>
        <v>57760</v>
      </c>
      <c r="U147" s="2"/>
      <c r="V147" s="6">
        <f t="shared" si="33"/>
        <v>6.1173195125970607E-3</v>
      </c>
      <c r="W147" s="2"/>
      <c r="X147" s="2">
        <f t="shared" si="34"/>
        <v>-8727.0999999999985</v>
      </c>
      <c r="Y147" s="2"/>
      <c r="Z147" s="6">
        <f t="shared" si="35"/>
        <v>-0.15109245152354567</v>
      </c>
    </row>
    <row r="148" spans="1:26" s="70" customFormat="1" ht="15" hidden="1" customHeight="1" outlineLevel="2" x14ac:dyDescent="0.3">
      <c r="A148" s="26"/>
      <c r="B148" s="12" t="str">
        <f>CONCATENATE("          ","6274"," - ","UTILITIES")</f>
        <v xml:space="preserve">          6274 - UTILITIES</v>
      </c>
      <c r="C148" s="12"/>
      <c r="D148" s="7">
        <v>6137.83</v>
      </c>
      <c r="E148" s="3"/>
      <c r="F148" s="8">
        <f t="shared" si="28"/>
        <v>5.8479001736363775E-3</v>
      </c>
      <c r="G148" s="3"/>
      <c r="H148" s="7">
        <v>6120</v>
      </c>
      <c r="I148" s="3"/>
      <c r="J148" s="8">
        <f t="shared" si="29"/>
        <v>1.3042950093666284E-2</v>
      </c>
      <c r="K148" s="3"/>
      <c r="L148" s="7">
        <f t="shared" si="30"/>
        <v>17.829999999999927</v>
      </c>
      <c r="M148" s="3"/>
      <c r="N148" s="8">
        <f t="shared" si="31"/>
        <v>2.9133986928104455E-3</v>
      </c>
      <c r="O148" s="12"/>
      <c r="P148" s="7">
        <v>49032.9</v>
      </c>
      <c r="Q148" s="3"/>
      <c r="R148" s="8">
        <f t="shared" si="32"/>
        <v>6.5041540382713087E-3</v>
      </c>
      <c r="S148" s="3"/>
      <c r="T148" s="7">
        <v>57760</v>
      </c>
      <c r="U148" s="3"/>
      <c r="V148" s="8">
        <f t="shared" si="33"/>
        <v>6.1173195125970607E-3</v>
      </c>
      <c r="W148" s="3"/>
      <c r="X148" s="7">
        <f t="shared" si="34"/>
        <v>-8727.0999999999985</v>
      </c>
      <c r="Y148" s="3"/>
      <c r="Z148" s="8">
        <f t="shared" si="35"/>
        <v>-0.15109245152354567</v>
      </c>
    </row>
    <row r="149" spans="1:26" s="65" customFormat="1" ht="15" customHeight="1" x14ac:dyDescent="0.3">
      <c r="A149" s="35"/>
      <c r="B149" s="35"/>
      <c r="C149" s="35"/>
      <c r="D149" s="2"/>
      <c r="E149" s="2"/>
      <c r="F149" s="6"/>
      <c r="G149" s="2"/>
      <c r="H149" s="2"/>
      <c r="I149" s="2"/>
      <c r="J149" s="6"/>
      <c r="K149" s="2"/>
      <c r="L149" s="2"/>
      <c r="M149" s="2"/>
      <c r="N149" s="6"/>
      <c r="O149" s="35"/>
      <c r="P149" s="2"/>
      <c r="Q149" s="2"/>
      <c r="R149" s="6"/>
      <c r="S149" s="2"/>
      <c r="T149" s="2"/>
      <c r="U149" s="2"/>
      <c r="V149" s="6"/>
      <c r="W149" s="2"/>
      <c r="X149" s="2"/>
      <c r="Y149" s="2"/>
      <c r="Z149" s="6"/>
    </row>
    <row r="150" spans="1:26" s="63" customFormat="1" ht="15" customHeight="1" collapsed="1" x14ac:dyDescent="0.3">
      <c r="A150" s="11"/>
      <c r="B150" s="28" t="s">
        <v>291</v>
      </c>
      <c r="C150" s="11"/>
      <c r="D150" s="5">
        <f>SUM(OSRRefD25x_0)</f>
        <v>181755.47</v>
      </c>
      <c r="E150" s="5"/>
      <c r="F150" s="13">
        <f t="shared" ref="F150:F157" si="36">IF(D$12=0,0,D150/D$12)</f>
        <v>0.1731699712394057</v>
      </c>
      <c r="G150" s="5"/>
      <c r="H150" s="5">
        <f>SUM(OSRRefH25x_0)</f>
        <v>62910</v>
      </c>
      <c r="I150" s="5"/>
      <c r="J150" s="13">
        <f t="shared" ref="J150:J157" si="37">IF(H$12=0,0,H150/H$12)</f>
        <v>0.13407385463930488</v>
      </c>
      <c r="K150" s="5"/>
      <c r="L150" s="5">
        <f t="shared" ref="L150:L157" si="38">+D150-H150</f>
        <v>118845.47</v>
      </c>
      <c r="M150" s="5"/>
      <c r="N150" s="13">
        <f t="shared" ref="N150:N157" si="39">IF(H150=0,0,L150/H150)</f>
        <v>1.889134795739946</v>
      </c>
      <c r="O150" s="11"/>
      <c r="P150" s="5">
        <f>SUM(OSRRefP25x_0)</f>
        <v>914248.28</v>
      </c>
      <c r="Q150" s="5"/>
      <c r="R150" s="13">
        <f t="shared" ref="R150:R157" si="40">IF(P$12=0,0,P150/P$12)</f>
        <v>0.12127391286961609</v>
      </c>
      <c r="S150" s="5"/>
      <c r="T150" s="5">
        <f>SUM(OSRRefT25x_0)</f>
        <v>719262.23</v>
      </c>
      <c r="U150" s="5"/>
      <c r="V150" s="13">
        <f t="shared" ref="V150:V157" si="41">IF(T$12=0,0,T150/T$12)</f>
        <v>7.6176538681666808E-2</v>
      </c>
      <c r="W150" s="5"/>
      <c r="X150" s="5">
        <f t="shared" ref="X150:X157" si="42">+P150-T150</f>
        <v>194986.05000000005</v>
      </c>
      <c r="Y150" s="5"/>
      <c r="Z150" s="13">
        <f t="shared" ref="Z150:Z157" si="43">IF(T150=0,0,X150/T150)</f>
        <v>0.27109174076887099</v>
      </c>
    </row>
    <row r="151" spans="1:26" s="70" customFormat="1" ht="15" hidden="1" customHeight="1" outlineLevel="1" x14ac:dyDescent="0.3">
      <c r="A151" s="42"/>
      <c r="B151" s="12" t="str">
        <f>CONCATENATE("          ","4187"," - ","NON-TAXABLE SALES-COMPUTER REP")</f>
        <v xml:space="preserve">          4187 - NON-TAXABLE SALES-COMPUTER REP</v>
      </c>
      <c r="C151" s="12"/>
      <c r="D151" s="3">
        <f>0</f>
        <v>0</v>
      </c>
      <c r="E151" s="3"/>
      <c r="F151" s="20">
        <f t="shared" si="36"/>
        <v>0</v>
      </c>
      <c r="G151" s="3"/>
      <c r="H151" s="3"/>
      <c r="I151" s="3"/>
      <c r="J151" s="20">
        <f t="shared" si="37"/>
        <v>0</v>
      </c>
      <c r="K151" s="3"/>
      <c r="L151" s="3">
        <f t="shared" si="38"/>
        <v>0</v>
      </c>
      <c r="M151" s="3"/>
      <c r="N151" s="20">
        <f t="shared" si="39"/>
        <v>0</v>
      </c>
      <c r="O151" s="12"/>
      <c r="P151" s="3">
        <f>0</f>
        <v>0</v>
      </c>
      <c r="Q151" s="3"/>
      <c r="R151" s="20">
        <f t="shared" si="40"/>
        <v>0</v>
      </c>
      <c r="S151" s="3"/>
      <c r="T151" s="3"/>
      <c r="U151" s="3"/>
      <c r="V151" s="20">
        <f t="shared" si="41"/>
        <v>0</v>
      </c>
      <c r="W151" s="3"/>
      <c r="X151" s="3">
        <f t="shared" si="42"/>
        <v>0</v>
      </c>
      <c r="Y151" s="3"/>
      <c r="Z151" s="20">
        <f t="shared" si="43"/>
        <v>0</v>
      </c>
    </row>
    <row r="152" spans="1:26" s="70" customFormat="1" ht="15" hidden="1" customHeight="1" outlineLevel="1" x14ac:dyDescent="0.3">
      <c r="A152" s="42"/>
      <c r="B152" s="12" t="str">
        <f>CONCATENATE("          ","9087"," - ","")</f>
        <v xml:space="preserve">          9087 - </v>
      </c>
      <c r="C152" s="12"/>
      <c r="D152" s="3">
        <f>-1475.31</f>
        <v>-1475.31</v>
      </c>
      <c r="E152" s="3"/>
      <c r="F152" s="20">
        <f t="shared" si="36"/>
        <v>-1.4056214664087282E-3</v>
      </c>
      <c r="G152" s="3"/>
      <c r="H152" s="3"/>
      <c r="I152" s="3"/>
      <c r="J152" s="20">
        <f t="shared" si="37"/>
        <v>0</v>
      </c>
      <c r="K152" s="3"/>
      <c r="L152" s="3">
        <f t="shared" si="38"/>
        <v>-1475.31</v>
      </c>
      <c r="M152" s="3"/>
      <c r="N152" s="20">
        <f t="shared" si="39"/>
        <v>0</v>
      </c>
      <c r="O152" s="12"/>
      <c r="P152" s="3">
        <f>--731.78</f>
        <v>731.78</v>
      </c>
      <c r="Q152" s="3"/>
      <c r="R152" s="20">
        <f t="shared" si="40"/>
        <v>9.7069719354273931E-5</v>
      </c>
      <c r="S152" s="3"/>
      <c r="T152" s="3"/>
      <c r="U152" s="3"/>
      <c r="V152" s="20">
        <f t="shared" si="41"/>
        <v>0</v>
      </c>
      <c r="W152" s="3"/>
      <c r="X152" s="3">
        <f t="shared" si="42"/>
        <v>731.78</v>
      </c>
      <c r="Y152" s="3"/>
      <c r="Z152" s="20">
        <f t="shared" si="43"/>
        <v>0</v>
      </c>
    </row>
    <row r="153" spans="1:26" s="70" customFormat="1" ht="15" hidden="1" customHeight="1" outlineLevel="1" x14ac:dyDescent="0.3">
      <c r="A153" s="42"/>
      <c r="B153" s="12" t="str">
        <f>CONCATENATE("          ","9150"," - ","MISC. INCOME")</f>
        <v xml:space="preserve">          9150 - MISC. INCOME</v>
      </c>
      <c r="C153" s="12"/>
      <c r="D153" s="3">
        <f>--7658.89</f>
        <v>7658.89</v>
      </c>
      <c r="E153" s="3"/>
      <c r="F153" s="20">
        <f t="shared" si="36"/>
        <v>7.297110568533491E-3</v>
      </c>
      <c r="G153" s="3"/>
      <c r="H153" s="3">
        <v>4577</v>
      </c>
      <c r="I153" s="3"/>
      <c r="J153" s="20">
        <f t="shared" si="37"/>
        <v>9.754506957305651E-3</v>
      </c>
      <c r="K153" s="3"/>
      <c r="L153" s="3">
        <f t="shared" si="38"/>
        <v>3081.8900000000003</v>
      </c>
      <c r="M153" s="3"/>
      <c r="N153" s="20">
        <f t="shared" si="39"/>
        <v>0.67334280096132848</v>
      </c>
      <c r="O153" s="12"/>
      <c r="P153" s="3">
        <f>--330539.58</f>
        <v>330539.58</v>
      </c>
      <c r="Q153" s="3"/>
      <c r="R153" s="20">
        <f t="shared" si="40"/>
        <v>4.3845669827105929E-2</v>
      </c>
      <c r="S153" s="3"/>
      <c r="T153" s="3">
        <v>145734</v>
      </c>
      <c r="U153" s="3"/>
      <c r="V153" s="20">
        <f t="shared" si="41"/>
        <v>1.5434581749460181E-2</v>
      </c>
      <c r="W153" s="3"/>
      <c r="X153" s="3">
        <f t="shared" si="42"/>
        <v>184805.58000000002</v>
      </c>
      <c r="Y153" s="3"/>
      <c r="Z153" s="20">
        <f t="shared" si="43"/>
        <v>1.2681020214912102</v>
      </c>
    </row>
    <row r="154" spans="1:26" s="70" customFormat="1" ht="15" hidden="1" customHeight="1" outlineLevel="1" x14ac:dyDescent="0.3">
      <c r="A154" s="42"/>
      <c r="B154" s="12" t="str">
        <f>CONCATENATE("          ","9151"," - ","MISC. INCOME")</f>
        <v xml:space="preserve">          9151 - MISC. INCOME</v>
      </c>
      <c r="C154" s="12"/>
      <c r="D154" s="3">
        <f>0</f>
        <v>0</v>
      </c>
      <c r="E154" s="3"/>
      <c r="F154" s="20">
        <f t="shared" si="36"/>
        <v>0</v>
      </c>
      <c r="G154" s="3"/>
      <c r="H154" s="3"/>
      <c r="I154" s="3"/>
      <c r="J154" s="20">
        <f t="shared" si="37"/>
        <v>0</v>
      </c>
      <c r="K154" s="3"/>
      <c r="L154" s="3">
        <f t="shared" si="38"/>
        <v>0</v>
      </c>
      <c r="M154" s="3"/>
      <c r="N154" s="20">
        <f t="shared" si="39"/>
        <v>0</v>
      </c>
      <c r="O154" s="12"/>
      <c r="P154" s="3">
        <f>--323761.7</f>
        <v>323761.7</v>
      </c>
      <c r="Q154" s="3"/>
      <c r="R154" s="20">
        <f t="shared" si="40"/>
        <v>4.2946592359264575E-2</v>
      </c>
      <c r="S154" s="3"/>
      <c r="T154" s="3">
        <v>456862.23</v>
      </c>
      <c r="U154" s="3"/>
      <c r="V154" s="20">
        <f t="shared" si="41"/>
        <v>4.8385945882056892E-2</v>
      </c>
      <c r="W154" s="3"/>
      <c r="X154" s="3">
        <f t="shared" si="42"/>
        <v>-133100.52999999997</v>
      </c>
      <c r="Y154" s="3"/>
      <c r="Z154" s="20">
        <f t="shared" si="43"/>
        <v>-0.29133625250658163</v>
      </c>
    </row>
    <row r="155" spans="1:26" s="70" customFormat="1" ht="15" hidden="1" customHeight="1" outlineLevel="1" x14ac:dyDescent="0.3">
      <c r="A155" s="42"/>
      <c r="B155" s="12" t="str">
        <f>CONCATENATE("          ","9152"," - ","MISC. INCOME")</f>
        <v xml:space="preserve">          9152 - MISC. INCOME</v>
      </c>
      <c r="C155" s="12"/>
      <c r="D155" s="3">
        <f>--516.89</f>
        <v>516.89</v>
      </c>
      <c r="E155" s="3"/>
      <c r="F155" s="20">
        <f t="shared" si="36"/>
        <v>4.924739070242915E-4</v>
      </c>
      <c r="G155" s="3"/>
      <c r="H155" s="3"/>
      <c r="I155" s="3"/>
      <c r="J155" s="20">
        <f t="shared" si="37"/>
        <v>0</v>
      </c>
      <c r="K155" s="3"/>
      <c r="L155" s="3">
        <f t="shared" si="38"/>
        <v>516.89</v>
      </c>
      <c r="M155" s="3"/>
      <c r="N155" s="20">
        <f t="shared" si="39"/>
        <v>0</v>
      </c>
      <c r="O155" s="12"/>
      <c r="P155" s="3">
        <f>--4384.52</f>
        <v>4384.5200000000004</v>
      </c>
      <c r="Q155" s="3"/>
      <c r="R155" s="20">
        <f t="shared" si="40"/>
        <v>5.816011996818732E-4</v>
      </c>
      <c r="S155" s="3"/>
      <c r="T155" s="3"/>
      <c r="U155" s="3"/>
      <c r="V155" s="20">
        <f t="shared" si="41"/>
        <v>0</v>
      </c>
      <c r="W155" s="3"/>
      <c r="X155" s="3">
        <f t="shared" si="42"/>
        <v>4384.5200000000004</v>
      </c>
      <c r="Y155" s="3"/>
      <c r="Z155" s="20">
        <f t="shared" si="43"/>
        <v>0</v>
      </c>
    </row>
    <row r="156" spans="1:26" s="70" customFormat="1" ht="15" hidden="1" customHeight="1" outlineLevel="1" x14ac:dyDescent="0.3">
      <c r="A156" s="42"/>
      <c r="B156" s="12" t="str">
        <f>CONCATENATE("          ","9160"," - ","MISC. INCOME")</f>
        <v xml:space="preserve">          9160 - MISC. INCOME</v>
      </c>
      <c r="C156" s="12"/>
      <c r="D156" s="3">
        <f>0</f>
        <v>0</v>
      </c>
      <c r="E156" s="3"/>
      <c r="F156" s="20">
        <f t="shared" si="36"/>
        <v>0</v>
      </c>
      <c r="G156" s="3"/>
      <c r="H156" s="3">
        <v>58333</v>
      </c>
      <c r="I156" s="3"/>
      <c r="J156" s="20">
        <f t="shared" si="37"/>
        <v>0.12431934768199923</v>
      </c>
      <c r="K156" s="3"/>
      <c r="L156" s="3">
        <f t="shared" si="38"/>
        <v>-58333</v>
      </c>
      <c r="M156" s="3"/>
      <c r="N156" s="20">
        <f t="shared" si="39"/>
        <v>-1</v>
      </c>
      <c r="O156" s="12"/>
      <c r="P156" s="3">
        <f>0</f>
        <v>0</v>
      </c>
      <c r="Q156" s="3"/>
      <c r="R156" s="20">
        <f t="shared" si="40"/>
        <v>0</v>
      </c>
      <c r="S156" s="3"/>
      <c r="T156" s="3">
        <v>116666</v>
      </c>
      <c r="U156" s="3"/>
      <c r="V156" s="20">
        <f t="shared" si="41"/>
        <v>1.2356011050149735E-2</v>
      </c>
      <c r="W156" s="3"/>
      <c r="X156" s="3">
        <f t="shared" si="42"/>
        <v>-116666</v>
      </c>
      <c r="Y156" s="3"/>
      <c r="Z156" s="20">
        <f t="shared" si="43"/>
        <v>-1</v>
      </c>
    </row>
    <row r="157" spans="1:26" s="70" customFormat="1" ht="15" hidden="1" customHeight="1" outlineLevel="1" x14ac:dyDescent="0.3">
      <c r="A157" s="42"/>
      <c r="B157" s="12" t="str">
        <f>CONCATENATE("          ","9163"," - ","MISC. INCOME")</f>
        <v xml:space="preserve">          9163 - MISC. INCOME</v>
      </c>
      <c r="C157" s="12"/>
      <c r="D157" s="3">
        <f>--175055</f>
        <v>175055</v>
      </c>
      <c r="E157" s="3"/>
      <c r="F157" s="20">
        <f t="shared" si="36"/>
        <v>0.16678600823025663</v>
      </c>
      <c r="G157" s="3"/>
      <c r="H157" s="3"/>
      <c r="I157" s="3"/>
      <c r="J157" s="20">
        <f t="shared" si="37"/>
        <v>0</v>
      </c>
      <c r="K157" s="3"/>
      <c r="L157" s="3">
        <f t="shared" si="38"/>
        <v>175055</v>
      </c>
      <c r="M157" s="3"/>
      <c r="N157" s="20">
        <f t="shared" si="39"/>
        <v>0</v>
      </c>
      <c r="O157" s="12"/>
      <c r="P157" s="3">
        <f>--254830.7</f>
        <v>254830.7</v>
      </c>
      <c r="Q157" s="3"/>
      <c r="R157" s="20">
        <f t="shared" si="40"/>
        <v>3.3802979764209429E-2</v>
      </c>
      <c r="S157" s="3"/>
      <c r="T157" s="3"/>
      <c r="U157" s="3"/>
      <c r="V157" s="20">
        <f t="shared" si="41"/>
        <v>0</v>
      </c>
      <c r="W157" s="3"/>
      <c r="X157" s="3">
        <f t="shared" si="42"/>
        <v>254830.7</v>
      </c>
      <c r="Y157" s="3"/>
      <c r="Z157" s="20">
        <f t="shared" si="43"/>
        <v>0</v>
      </c>
    </row>
    <row r="158" spans="1:26" ht="15" customHeight="1" x14ac:dyDescent="0.3">
      <c r="A158" s="10"/>
      <c r="B158" s="11"/>
      <c r="C158" s="11"/>
      <c r="D158" s="4"/>
      <c r="E158" s="4"/>
      <c r="F158" s="9"/>
      <c r="G158" s="4"/>
      <c r="H158" s="4"/>
      <c r="I158" s="4"/>
      <c r="J158" s="9"/>
      <c r="K158" s="4"/>
      <c r="L158" s="4"/>
      <c r="M158" s="4"/>
      <c r="N158" s="9"/>
      <c r="O158" s="11"/>
      <c r="P158" s="4"/>
      <c r="Q158" s="4"/>
      <c r="R158" s="9"/>
      <c r="S158" s="4"/>
      <c r="T158" s="4"/>
      <c r="U158" s="4"/>
      <c r="V158" s="9"/>
      <c r="W158" s="4"/>
      <c r="X158" s="4"/>
      <c r="Y158" s="4"/>
      <c r="Z158" s="9"/>
    </row>
    <row r="159" spans="1:26" s="63" customFormat="1" ht="15" customHeight="1" x14ac:dyDescent="0.3">
      <c r="A159" s="11"/>
      <c r="B159" s="27" t="s">
        <v>292</v>
      </c>
      <c r="C159" s="27"/>
      <c r="D159" s="21">
        <f>+D56-D58+D150</f>
        <v>268130.11999999988</v>
      </c>
      <c r="E159" s="15"/>
      <c r="F159" s="23">
        <f>IF(D$12=0,0,D159/D$12)</f>
        <v>0.25546458199479982</v>
      </c>
      <c r="G159" s="15"/>
      <c r="H159" s="21">
        <f>+H56-H58+H150</f>
        <v>-15021.632666625082</v>
      </c>
      <c r="I159" s="15"/>
      <c r="J159" s="23">
        <f>IF(H$12=0,0,H159/H$12)</f>
        <v>-3.2014118496107538E-2</v>
      </c>
      <c r="K159" s="16"/>
      <c r="L159" s="21">
        <f>+D159-H159</f>
        <v>283151.75266662496</v>
      </c>
      <c r="M159" s="16"/>
      <c r="N159" s="23">
        <f>IF(H159=0,0,L159/H159)</f>
        <v>-18.84959903830752</v>
      </c>
      <c r="O159" s="28"/>
      <c r="P159" s="21">
        <f>+P56-P58+P150</f>
        <v>669924.70000000088</v>
      </c>
      <c r="Q159" s="15"/>
      <c r="R159" s="23">
        <f>IF(P$12=0,0,P159/P$12)</f>
        <v>8.8864689684736181E-2</v>
      </c>
      <c r="S159" s="15"/>
      <c r="T159" s="21">
        <f>+T56-T58+T150</f>
        <v>675015.39166712528</v>
      </c>
      <c r="U159" s="15"/>
      <c r="V159" s="23">
        <f>IF(T$12=0,0,T159/T$12)</f>
        <v>7.1490388274734293E-2</v>
      </c>
      <c r="W159" s="16"/>
      <c r="X159" s="21">
        <f>+P159-T159</f>
        <v>-5090.6916671243962</v>
      </c>
      <c r="Y159" s="16"/>
      <c r="Z159" s="23">
        <f>IF(T159=0,0,X159/T159)</f>
        <v>-7.5415934658195202E-3</v>
      </c>
    </row>
    <row r="160" spans="1:26" ht="15" customHeight="1" x14ac:dyDescent="0.3">
      <c r="A160" s="10"/>
      <c r="B160" s="11"/>
      <c r="C160" s="10"/>
      <c r="D160" s="4"/>
      <c r="E160" s="4"/>
      <c r="F160" s="9"/>
      <c r="G160" s="4"/>
      <c r="H160" s="4"/>
      <c r="I160" s="4"/>
      <c r="J160" s="9"/>
      <c r="K160" s="4"/>
      <c r="L160" s="4"/>
      <c r="M160" s="4"/>
      <c r="N160" s="9"/>
      <c r="P160" s="4"/>
      <c r="Q160" s="4"/>
      <c r="R160" s="9"/>
      <c r="S160" s="4"/>
      <c r="T160" s="4"/>
      <c r="U160" s="4"/>
      <c r="V160" s="9"/>
      <c r="W160" s="4"/>
      <c r="X160" s="4"/>
      <c r="Y160" s="4"/>
      <c r="Z160" s="9"/>
    </row>
    <row r="161" spans="1:26" s="63" customFormat="1" ht="15" customHeight="1" x14ac:dyDescent="0.3">
      <c r="A161" s="49"/>
      <c r="B161" s="11" t="s">
        <v>293</v>
      </c>
      <c r="C161" s="11"/>
      <c r="D161" s="5">
        <v>89735.61</v>
      </c>
      <c r="E161" s="5"/>
      <c r="F161" s="13">
        <f>IF(D$12=0,0,D161/D$12)</f>
        <v>8.549681064812259E-2</v>
      </c>
      <c r="G161" s="5"/>
      <c r="H161" s="5">
        <v>52960</v>
      </c>
      <c r="I161" s="5"/>
      <c r="J161" s="13">
        <f>IF(H$12=0,0,H161/H$12)</f>
        <v>0.11286840473211869</v>
      </c>
      <c r="K161" s="5"/>
      <c r="L161" s="5">
        <f>+D161-H161</f>
        <v>36775.61</v>
      </c>
      <c r="M161" s="5"/>
      <c r="N161" s="13">
        <f>IF(H161=0,0,L161/H161)</f>
        <v>0.69440351208459217</v>
      </c>
      <c r="O161" s="11"/>
      <c r="P161" s="5">
        <v>899725.97</v>
      </c>
      <c r="Q161" s="5"/>
      <c r="R161" s="13">
        <f>IF(P$12=0,0,P161/P$12)</f>
        <v>0.11934754626206222</v>
      </c>
      <c r="S161" s="5"/>
      <c r="T161" s="5">
        <v>1149869</v>
      </c>
      <c r="U161" s="5"/>
      <c r="V161" s="13">
        <f>IF(T$12=0,0,T161/T$12)</f>
        <v>0.1217817879264278</v>
      </c>
      <c r="W161" s="5"/>
      <c r="X161" s="5">
        <f>+P161-T161</f>
        <v>-250143.03000000003</v>
      </c>
      <c r="Y161" s="5"/>
      <c r="Z161" s="13">
        <f>IF(T161=0,0,X161/T161)</f>
        <v>-0.21754045895662899</v>
      </c>
    </row>
    <row r="162" spans="1:26" ht="15" customHeight="1" x14ac:dyDescent="0.3">
      <c r="A162" s="10"/>
      <c r="B162" s="11"/>
      <c r="C162" s="11"/>
      <c r="D162" s="4"/>
      <c r="E162" s="4"/>
      <c r="F162" s="9"/>
      <c r="G162" s="4"/>
      <c r="H162" s="4"/>
      <c r="I162" s="4"/>
      <c r="J162" s="9"/>
      <c r="K162" s="4"/>
      <c r="L162" s="4"/>
      <c r="M162" s="4"/>
      <c r="N162" s="9"/>
      <c r="O162" s="11"/>
      <c r="P162" s="4"/>
      <c r="Q162" s="4"/>
      <c r="R162" s="9"/>
      <c r="S162" s="4"/>
      <c r="T162" s="4"/>
      <c r="U162" s="4"/>
      <c r="V162" s="9"/>
      <c r="W162" s="4"/>
      <c r="X162" s="4"/>
      <c r="Y162" s="4"/>
      <c r="Z162" s="9"/>
    </row>
    <row r="163" spans="1:26" s="63" customFormat="1" ht="15" customHeight="1" x14ac:dyDescent="0.3">
      <c r="A163" s="11"/>
      <c r="B163" s="27" t="s">
        <v>294</v>
      </c>
      <c r="C163" s="27"/>
      <c r="D163" s="34">
        <f>+D159-D161</f>
        <v>178394.50999999989</v>
      </c>
      <c r="E163" s="15"/>
      <c r="F163" s="29">
        <f>IF(D$12=0,0,D163/D$12)</f>
        <v>0.16996777134667723</v>
      </c>
      <c r="G163" s="15"/>
      <c r="H163" s="34">
        <f>+H159-H161</f>
        <v>-67981.632666625082</v>
      </c>
      <c r="I163" s="15"/>
      <c r="J163" s="29">
        <f>IF(H$12=0,0,H163/H$12)</f>
        <v>-0.14488252322822623</v>
      </c>
      <c r="K163" s="16"/>
      <c r="L163" s="34">
        <f>D163-H163</f>
        <v>246376.14266662498</v>
      </c>
      <c r="M163" s="16"/>
      <c r="N163" s="29">
        <f>IF(H163=0,0,L163/H163)</f>
        <v>-3.624157481989704</v>
      </c>
      <c r="O163" s="28"/>
      <c r="P163" s="34">
        <f>+P159-P161</f>
        <v>-229801.26999999909</v>
      </c>
      <c r="Q163" s="15"/>
      <c r="R163" s="29">
        <f>IF(P$12=0,0,P163/P$12)</f>
        <v>-3.048285657732603E-2</v>
      </c>
      <c r="S163" s="15"/>
      <c r="T163" s="34">
        <f>+T159-T161</f>
        <v>-474853.60833287472</v>
      </c>
      <c r="U163" s="15"/>
      <c r="V163" s="29">
        <f>IF(T$12=0,0,T163/T$12)</f>
        <v>-5.0291399651693505E-2</v>
      </c>
      <c r="W163" s="16"/>
      <c r="X163" s="34">
        <f>P163-T163</f>
        <v>245052.33833287563</v>
      </c>
      <c r="Y163" s="16"/>
      <c r="Z163" s="29">
        <f>IF(T163=0,0,X163/T163)</f>
        <v>-0.51605870532017251</v>
      </c>
    </row>
    <row r="164" spans="1:26" ht="15" customHeight="1" x14ac:dyDescent="0.3">
      <c r="A164" s="10"/>
      <c r="B164" s="10"/>
      <c r="C164" s="10"/>
      <c r="D164" s="4"/>
      <c r="E164" s="4"/>
      <c r="F164" s="9"/>
      <c r="G164" s="4"/>
      <c r="H164" s="4"/>
      <c r="I164" s="4"/>
      <c r="J164" s="9"/>
      <c r="K164" s="4"/>
      <c r="L164" s="4"/>
      <c r="M164" s="4"/>
      <c r="N164" s="9"/>
      <c r="P164" s="4"/>
      <c r="Q164" s="4"/>
      <c r="R164" s="9"/>
      <c r="S164" s="4"/>
      <c r="T164" s="4"/>
      <c r="U164" s="4"/>
      <c r="V164" s="9"/>
      <c r="W164" s="4"/>
      <c r="X164" s="4"/>
      <c r="Y164" s="4"/>
      <c r="Z164" s="9"/>
    </row>
    <row r="165" spans="1:26" ht="15" customHeight="1" x14ac:dyDescent="0.3">
      <c r="A165" s="10"/>
      <c r="B165" s="10"/>
      <c r="C165" s="10"/>
      <c r="D165" s="4"/>
      <c r="E165" s="4"/>
      <c r="F165" s="9"/>
      <c r="G165" s="4"/>
      <c r="H165" s="4"/>
      <c r="I165" s="4"/>
      <c r="J165" s="9"/>
      <c r="K165" s="4"/>
      <c r="L165" s="4"/>
      <c r="M165" s="4"/>
      <c r="N165" s="9"/>
      <c r="P165" s="4"/>
      <c r="Q165" s="4"/>
      <c r="R165" s="9"/>
      <c r="S165" s="4"/>
      <c r="T165" s="4"/>
      <c r="U165" s="4"/>
      <c r="V165" s="9"/>
      <c r="W165" s="4"/>
      <c r="X165" s="4"/>
      <c r="Y165" s="4"/>
      <c r="Z165" s="9"/>
    </row>
    <row r="166" spans="1:26" s="63" customFormat="1" ht="15" customHeight="1" x14ac:dyDescent="0.3">
      <c r="A166" s="11"/>
      <c r="B166" s="27" t="s">
        <v>297</v>
      </c>
      <c r="C166" s="27"/>
      <c r="D166" s="32">
        <f>SUM(D163:D165)</f>
        <v>178394.50999999989</v>
      </c>
      <c r="E166" s="15"/>
      <c r="F166" s="31">
        <f>IF(D$12=0,0,D166/D$12)</f>
        <v>0.16996777134667723</v>
      </c>
      <c r="G166" s="15"/>
      <c r="H166" s="32">
        <f>SUM(H163:H165)</f>
        <v>-67981.632666625082</v>
      </c>
      <c r="I166" s="15"/>
      <c r="J166" s="31">
        <f>IF(H$12=0,0,H166/H$12)</f>
        <v>-0.14488252322822623</v>
      </c>
      <c r="K166" s="16"/>
      <c r="L166" s="32">
        <f>+D166-H166</f>
        <v>246376.14266662498</v>
      </c>
      <c r="M166" s="16"/>
      <c r="N166" s="31">
        <f>IF(H166=0,0,L166/H166)</f>
        <v>-3.624157481989704</v>
      </c>
      <c r="O166" s="28"/>
      <c r="P166" s="32">
        <f>SUM(P163:P165)</f>
        <v>-229801.26999999909</v>
      </c>
      <c r="Q166" s="15"/>
      <c r="R166" s="31">
        <f>IF(P$12=0,0,P166/P$12)</f>
        <v>-3.048285657732603E-2</v>
      </c>
      <c r="S166" s="15"/>
      <c r="T166" s="32">
        <f>SUM(T163:T165)</f>
        <v>-474853.60833287472</v>
      </c>
      <c r="U166" s="15"/>
      <c r="V166" s="31">
        <f>IF(T$12=0,0,T166/T$12)</f>
        <v>-5.0291399651693505E-2</v>
      </c>
      <c r="W166" s="16"/>
      <c r="X166" s="32">
        <f>+P166-T166</f>
        <v>245052.33833287563</v>
      </c>
      <c r="Y166" s="16"/>
      <c r="Z166" s="31">
        <f>IF(T166=0,0,X166/T166)</f>
        <v>-0.51605870532017251</v>
      </c>
    </row>
    <row r="167" spans="1:26" ht="15" customHeight="1" x14ac:dyDescent="0.3">
      <c r="A167" s="10"/>
      <c r="C167" s="10"/>
      <c r="D167" s="19"/>
      <c r="E167" s="19"/>
      <c r="G167" s="19"/>
      <c r="H167" s="19"/>
      <c r="I167" s="19"/>
      <c r="J167" s="40"/>
      <c r="K167" s="19"/>
      <c r="L167" s="19"/>
      <c r="M167" s="19"/>
      <c r="P167" s="19"/>
      <c r="Q167" s="19"/>
      <c r="R167" s="40"/>
      <c r="S167" s="19"/>
      <c r="T167" s="19"/>
      <c r="U167" s="19"/>
      <c r="V167" s="40"/>
      <c r="W167" s="19"/>
      <c r="X167" s="19"/>
    </row>
    <row r="168" spans="1:26" ht="15" customHeight="1" x14ac:dyDescent="0.3">
      <c r="A168" s="10"/>
      <c r="B168" s="51">
        <v>44663.047637418982</v>
      </c>
      <c r="D168" s="19"/>
      <c r="E168" s="19"/>
      <c r="G168" s="19"/>
      <c r="H168" s="19"/>
      <c r="I168" s="19"/>
      <c r="J168" s="40"/>
      <c r="K168" s="19"/>
      <c r="L168" s="19"/>
      <c r="M168" s="19"/>
      <c r="P168" s="19"/>
      <c r="Q168" s="19"/>
      <c r="R168" s="40"/>
      <c r="S168" s="19"/>
      <c r="T168" s="19"/>
      <c r="U168" s="19"/>
      <c r="V168" s="40"/>
      <c r="W168" s="19"/>
      <c r="X168" s="19"/>
    </row>
    <row r="169" spans="1:26" ht="15" customHeight="1" x14ac:dyDescent="0.3">
      <c r="A169" s="10"/>
      <c r="B169" s="58" t="s">
        <v>298</v>
      </c>
      <c r="D169" s="19"/>
      <c r="E169" s="19"/>
      <c r="G169" s="19"/>
      <c r="H169" s="19"/>
      <c r="I169" s="19"/>
      <c r="J169" s="40"/>
      <c r="K169" s="19"/>
      <c r="L169" s="19"/>
      <c r="M169" s="19"/>
      <c r="P169" s="19"/>
      <c r="Q169" s="19"/>
      <c r="R169" s="40"/>
      <c r="S169" s="19"/>
      <c r="T169" s="19"/>
      <c r="U169" s="19"/>
      <c r="V169" s="40"/>
      <c r="W169" s="19"/>
      <c r="X169" s="19"/>
    </row>
    <row r="170" spans="1:26" ht="15" customHeight="1" x14ac:dyDescent="0.3">
      <c r="A170" s="10"/>
      <c r="B170" s="50"/>
      <c r="D170" s="19"/>
      <c r="E170" s="19"/>
      <c r="G170" s="19"/>
      <c r="H170" s="19"/>
      <c r="I170" s="19"/>
      <c r="J170" s="40"/>
      <c r="K170" s="19"/>
      <c r="L170" s="19"/>
      <c r="M170" s="19"/>
      <c r="P170" s="19"/>
      <c r="Q170" s="19"/>
      <c r="R170" s="40"/>
      <c r="S170" s="19"/>
      <c r="T170" s="19"/>
      <c r="U170" s="19"/>
      <c r="V170" s="40"/>
      <c r="W170" s="19"/>
      <c r="X170" s="19"/>
    </row>
    <row r="171" spans="1:26" ht="15" customHeight="1" x14ac:dyDescent="0.3">
      <c r="D171" s="19"/>
      <c r="E171" s="19"/>
      <c r="G171" s="19"/>
      <c r="H171" s="19"/>
      <c r="I171" s="19"/>
      <c r="J171" s="40"/>
      <c r="K171" s="19"/>
      <c r="L171" s="19"/>
      <c r="M171" s="19"/>
      <c r="P171" s="19"/>
      <c r="Q171" s="19"/>
      <c r="R171" s="40"/>
      <c r="S171" s="19"/>
      <c r="T171" s="19"/>
      <c r="U171" s="19"/>
      <c r="V171" s="40"/>
      <c r="W171" s="19"/>
      <c r="X171" s="19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2D2274-59D9-BBEA-A2FF-70716B57CF9D}">
  <sheetPr>
    <tabColor rgb="FF92D050"/>
    <outlinePr summaryBelow="0" summaryRight="0"/>
  </sheetPr>
  <dimension ref="A2:Z113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6" customWidth="1"/>
    <col min="2" max="2" width="33.44140625" style="66" customWidth="1"/>
    <col min="3" max="3" width="1.88671875" style="66" customWidth="1"/>
    <col min="4" max="4" width="15" style="66" customWidth="1"/>
    <col min="5" max="5" width="1.88671875" style="66" customWidth="1" outlineLevel="1"/>
    <col min="6" max="6" width="15" style="67" customWidth="1" outlineLevel="1"/>
    <col min="7" max="7" width="1.88671875" style="66" customWidth="1" outlineLevel="1"/>
    <col min="8" max="8" width="15" style="66" customWidth="1" outlineLevel="1"/>
    <col min="9" max="9" width="1.88671875" style="66" customWidth="1" outlineLevel="1"/>
    <col min="10" max="10" width="15" style="68" customWidth="1" outlineLevel="1"/>
    <col min="11" max="11" width="1.88671875" style="66" customWidth="1" outlineLevel="1"/>
    <col min="12" max="12" width="15" style="66" customWidth="1" outlineLevel="1"/>
    <col min="13" max="13" width="1.88671875" style="66" customWidth="1" outlineLevel="1"/>
    <col min="14" max="14" width="15" style="67" customWidth="1" outlineLevel="1"/>
    <col min="15" max="15" width="1.88671875" style="64" customWidth="1"/>
    <col min="16" max="16" width="15" style="66" customWidth="1"/>
    <col min="17" max="17" width="1.88671875" style="66" customWidth="1" outlineLevel="1"/>
    <col min="18" max="18" width="15" style="68" customWidth="1" outlineLevel="1"/>
    <col min="19" max="19" width="1.88671875" style="66" customWidth="1" outlineLevel="1"/>
    <col min="20" max="20" width="15" style="66" customWidth="1" outlineLevel="1"/>
    <col min="21" max="21" width="1.88671875" style="66" customWidth="1" outlineLevel="1"/>
    <col min="22" max="22" width="15" style="68" customWidth="1" outlineLevel="1"/>
    <col min="23" max="23" width="1.88671875" style="66" customWidth="1" outlineLevel="1"/>
    <col min="24" max="24" width="15" style="66" customWidth="1" outlineLevel="1"/>
    <col min="25" max="25" width="1.88671875" style="66" customWidth="1" outlineLevel="1"/>
    <col min="26" max="26" width="15" style="68" customWidth="1" outlineLevel="1"/>
  </cols>
  <sheetData>
    <row r="2" spans="1:26" ht="15" customHeight="1" x14ac:dyDescent="0.3">
      <c r="D2" s="54" t="s">
        <v>276</v>
      </c>
    </row>
    <row r="3" spans="1:26" ht="15" customHeight="1" x14ac:dyDescent="0.3">
      <c r="D3" s="54" t="s">
        <v>277</v>
      </c>
      <c r="E3" s="18"/>
      <c r="F3" s="44"/>
      <c r="G3" s="18"/>
      <c r="H3" s="18"/>
      <c r="I3" s="18"/>
      <c r="J3" s="38"/>
      <c r="K3" s="18"/>
      <c r="L3" s="18"/>
      <c r="M3" s="18"/>
      <c r="N3" s="44"/>
      <c r="O3" s="53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ht="15" customHeight="1" x14ac:dyDescent="0.3">
      <c r="D4" s="54" t="str">
        <f>CONCATENATE("Period ",RIGHT(202209,2),", ",2022)</f>
        <v>Period 09, 2022</v>
      </c>
      <c r="E4" s="18"/>
      <c r="F4" s="44"/>
      <c r="G4" s="18"/>
      <c r="H4" s="18"/>
      <c r="I4" s="18"/>
      <c r="J4" s="38"/>
      <c r="K4" s="18"/>
      <c r="L4" s="18"/>
      <c r="M4" s="18"/>
      <c r="N4" s="44"/>
      <c r="O4" s="53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ht="15" customHeight="1" x14ac:dyDescent="0.3">
      <c r="A5" s="24"/>
      <c r="D5" s="60">
        <v>44646</v>
      </c>
      <c r="E5" s="18"/>
      <c r="F5" s="44"/>
      <c r="G5" s="18"/>
      <c r="H5" s="18"/>
      <c r="I5" s="18"/>
      <c r="J5" s="38"/>
      <c r="K5" s="18"/>
      <c r="L5" s="18"/>
      <c r="M5" s="18"/>
      <c r="N5" s="44"/>
      <c r="O5" s="53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ht="15" customHeight="1" x14ac:dyDescent="0.3">
      <c r="A6" s="24"/>
      <c r="B6" s="47"/>
      <c r="C6" s="47"/>
      <c r="D6" s="24" t="str">
        <f>CONCATENATE("Department ","301"," - ","Bookstore Operations")</f>
        <v>Department 301 - Bookstore Operations</v>
      </c>
      <c r="E6" s="18"/>
      <c r="F6" s="44"/>
      <c r="G6" s="18"/>
      <c r="H6" s="18"/>
      <c r="I6" s="18"/>
      <c r="J6" s="38"/>
      <c r="K6" s="18"/>
      <c r="L6" s="18"/>
      <c r="M6" s="18"/>
      <c r="N6" s="44"/>
      <c r="O6" s="59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ht="15" customHeight="1" x14ac:dyDescent="0.3">
      <c r="B7" s="52"/>
    </row>
    <row r="8" spans="1:26" ht="15" customHeight="1" x14ac:dyDescent="0.3">
      <c r="B8" s="52"/>
    </row>
    <row r="9" spans="1:26" ht="15" customHeight="1" x14ac:dyDescent="0.3">
      <c r="B9" s="10"/>
      <c r="C9" s="10"/>
      <c r="D9" s="17" t="s">
        <v>279</v>
      </c>
      <c r="E9" s="17"/>
      <c r="F9" s="36"/>
      <c r="G9" s="17"/>
      <c r="H9" s="17"/>
      <c r="I9" s="17"/>
      <c r="J9" s="43"/>
      <c r="K9" s="17"/>
      <c r="L9" s="17"/>
      <c r="M9" s="17"/>
      <c r="N9" s="36"/>
      <c r="P9" s="17" t="s">
        <v>280</v>
      </c>
      <c r="Q9" s="17"/>
      <c r="R9" s="36"/>
      <c r="S9" s="17"/>
      <c r="T9" s="17"/>
      <c r="U9" s="17"/>
      <c r="V9" s="43"/>
      <c r="W9" s="17"/>
      <c r="X9" s="17"/>
      <c r="Y9" s="17"/>
      <c r="Z9" s="36"/>
    </row>
    <row r="10" spans="1:26" ht="15" customHeight="1" x14ac:dyDescent="0.3">
      <c r="A10" s="11"/>
      <c r="B10" s="57"/>
      <c r="C10" s="11"/>
      <c r="D10" s="41" t="s">
        <v>281</v>
      </c>
      <c r="E10" s="33"/>
      <c r="F10" s="37" t="s">
        <v>282</v>
      </c>
      <c r="G10" s="33"/>
      <c r="H10" s="48" t="s">
        <v>283</v>
      </c>
      <c r="I10" s="33"/>
      <c r="J10" s="45" t="s">
        <v>284</v>
      </c>
      <c r="K10" s="11"/>
      <c r="L10" s="41" t="s">
        <v>285</v>
      </c>
      <c r="M10" s="11"/>
      <c r="N10" s="37" t="s">
        <v>286</v>
      </c>
      <c r="O10" s="11"/>
      <c r="P10" s="56" t="s">
        <v>281</v>
      </c>
      <c r="Q10" s="33"/>
      <c r="R10" s="37" t="s">
        <v>282</v>
      </c>
      <c r="S10" s="33"/>
      <c r="T10" s="48" t="s">
        <v>283</v>
      </c>
      <c r="U10" s="33"/>
      <c r="V10" s="45" t="s">
        <v>284</v>
      </c>
      <c r="W10" s="11"/>
      <c r="X10" s="41" t="s">
        <v>285</v>
      </c>
      <c r="Y10" s="11"/>
      <c r="Z10" s="37" t="s">
        <v>286</v>
      </c>
    </row>
    <row r="11" spans="1:26" ht="16.5" customHeight="1" x14ac:dyDescent="0.3">
      <c r="A11" s="10"/>
      <c r="B11" s="55"/>
      <c r="C11" s="10"/>
      <c r="D11" s="10"/>
      <c r="E11" s="10"/>
      <c r="F11" s="9"/>
      <c r="G11" s="10"/>
      <c r="H11" s="10"/>
      <c r="I11" s="10"/>
      <c r="J11" s="46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6"/>
      <c r="W11" s="10"/>
      <c r="X11" s="10"/>
      <c r="Y11" s="10"/>
      <c r="Z11" s="9"/>
    </row>
    <row r="12" spans="1:26" s="63" customFormat="1" ht="15" customHeight="1" x14ac:dyDescent="0.3">
      <c r="A12" s="11"/>
      <c r="B12" s="28" t="s">
        <v>287</v>
      </c>
      <c r="C12" s="11"/>
      <c r="D12" s="5">
        <f>SUM(0)</f>
        <v>0</v>
      </c>
      <c r="E12" s="5"/>
      <c r="F12" s="13"/>
      <c r="G12" s="5"/>
      <c r="H12" s="5">
        <f>SUM(0)</f>
        <v>0</v>
      </c>
      <c r="I12" s="5"/>
      <c r="J12" s="13"/>
      <c r="K12" s="5"/>
      <c r="L12" s="5">
        <f>+D12-H12</f>
        <v>0</v>
      </c>
      <c r="M12" s="5"/>
      <c r="N12" s="13">
        <f>IF(H12=0,0,L12/H12)</f>
        <v>0</v>
      </c>
      <c r="O12" s="11"/>
      <c r="P12" s="5">
        <f>SUM(0)</f>
        <v>0</v>
      </c>
      <c r="Q12" s="5"/>
      <c r="R12" s="13"/>
      <c r="S12" s="5"/>
      <c r="T12" s="5">
        <f>SUM(0)</f>
        <v>0</v>
      </c>
      <c r="U12" s="5"/>
      <c r="V12" s="13"/>
      <c r="W12" s="5"/>
      <c r="X12" s="5">
        <f>+P12-T12</f>
        <v>0</v>
      </c>
      <c r="Y12" s="5"/>
      <c r="Z12" s="13">
        <f>IF(T12=0,0,X12/T12)</f>
        <v>0</v>
      </c>
    </row>
    <row r="13" spans="1:26" ht="15" customHeight="1" x14ac:dyDescent="0.3">
      <c r="A13" s="10"/>
      <c r="B13" s="11"/>
      <c r="C13" s="10"/>
      <c r="D13" s="4"/>
      <c r="E13" s="4"/>
      <c r="F13" s="9"/>
      <c r="G13" s="4"/>
      <c r="H13" s="4"/>
      <c r="I13" s="4"/>
      <c r="J13" s="9"/>
      <c r="K13" s="4"/>
      <c r="L13" s="4"/>
      <c r="M13" s="4"/>
      <c r="N13" s="9"/>
      <c r="P13" s="4"/>
      <c r="Q13" s="4"/>
      <c r="R13" s="9"/>
      <c r="S13" s="4"/>
      <c r="T13" s="4"/>
      <c r="U13" s="4"/>
      <c r="V13" s="9"/>
      <c r="W13" s="4"/>
      <c r="X13" s="4"/>
      <c r="Y13" s="4"/>
      <c r="Z13" s="9"/>
    </row>
    <row r="14" spans="1:26" s="63" customFormat="1" ht="15" customHeight="1" collapsed="1" x14ac:dyDescent="0.3">
      <c r="A14" s="11"/>
      <c r="B14" s="28" t="s">
        <v>288</v>
      </c>
      <c r="C14" s="11"/>
      <c r="D14" s="5">
        <f>SUM(OSRRefD16x_0)</f>
        <v>0</v>
      </c>
      <c r="E14" s="5"/>
      <c r="F14" s="13">
        <f>IF(D$12=0,0,D14/D$12)</f>
        <v>0</v>
      </c>
      <c r="G14" s="5"/>
      <c r="H14" s="5">
        <f>SUM(OSRRefH16x_0)</f>
        <v>0</v>
      </c>
      <c r="I14" s="5"/>
      <c r="J14" s="13">
        <f>IF(H$12=0,0,H14/H$12)</f>
        <v>0</v>
      </c>
      <c r="K14" s="5"/>
      <c r="L14" s="5">
        <f>+D14-H14</f>
        <v>0</v>
      </c>
      <c r="M14" s="5"/>
      <c r="N14" s="13">
        <f>IF(H14=0,0,L14/H14)</f>
        <v>0</v>
      </c>
      <c r="O14" s="11"/>
      <c r="P14" s="5">
        <f>SUM(OSRRefP16x_0)</f>
        <v>0</v>
      </c>
      <c r="Q14" s="5"/>
      <c r="R14" s="13">
        <f>IF(P$12=0,0,P14/P$12)</f>
        <v>0</v>
      </c>
      <c r="S14" s="5"/>
      <c r="T14" s="5">
        <f>SUM(OSRRefT16x_0)</f>
        <v>0</v>
      </c>
      <c r="U14" s="5"/>
      <c r="V14" s="13">
        <f>IF(T$12=0,0,T14/T$12)</f>
        <v>0</v>
      </c>
      <c r="W14" s="5"/>
      <c r="X14" s="5">
        <f>+P14-T14</f>
        <v>0</v>
      </c>
      <c r="Y14" s="5"/>
      <c r="Z14" s="13">
        <f>IF(T14=0,0,X14/T14)</f>
        <v>0</v>
      </c>
    </row>
    <row r="15" spans="1:26" s="70" customFormat="1" ht="15" hidden="1" customHeight="1" outlineLevel="1" x14ac:dyDescent="0.3">
      <c r="A15" s="42"/>
      <c r="B15" s="12" t="str">
        <f>CONCATENATE("          ","5000"," - ","PURCHASES @ COST")</f>
        <v xml:space="preserve">          5000 - PURCHASES @ COST</v>
      </c>
      <c r="C15" s="12"/>
      <c r="D15" s="3"/>
      <c r="E15" s="3"/>
      <c r="F15" s="20">
        <f>IF(D$12=0,0,D15/D$12)</f>
        <v>0</v>
      </c>
      <c r="G15" s="3"/>
      <c r="H15" s="3"/>
      <c r="I15" s="3"/>
      <c r="J15" s="20">
        <f>IF(H$12=0,0,H15/H$12)</f>
        <v>0</v>
      </c>
      <c r="K15" s="3"/>
      <c r="L15" s="3">
        <f>+D15-H15</f>
        <v>0</v>
      </c>
      <c r="M15" s="3"/>
      <c r="N15" s="20">
        <f>IF(H15=0,0,L15/H15)</f>
        <v>0</v>
      </c>
      <c r="O15" s="12"/>
      <c r="P15" s="3">
        <v>0</v>
      </c>
      <c r="Q15" s="3"/>
      <c r="R15" s="20">
        <f>IF(P$12=0,0,P15/P$12)</f>
        <v>0</v>
      </c>
      <c r="S15" s="3"/>
      <c r="T15" s="3"/>
      <c r="U15" s="3"/>
      <c r="V15" s="20">
        <f>IF(T$12=0,0,T15/T$12)</f>
        <v>0</v>
      </c>
      <c r="W15" s="3"/>
      <c r="X15" s="3">
        <f>+P15-T15</f>
        <v>0</v>
      </c>
      <c r="Y15" s="3"/>
      <c r="Z15" s="20">
        <f>IF(T15=0,0,X15/T15)</f>
        <v>0</v>
      </c>
    </row>
    <row r="16" spans="1:26" ht="15" customHeight="1" x14ac:dyDescent="0.3">
      <c r="A16" s="10"/>
      <c r="B16" s="11"/>
      <c r="C16" s="11"/>
      <c r="D16" s="4"/>
      <c r="E16" s="4"/>
      <c r="F16" s="9"/>
      <c r="G16" s="4"/>
      <c r="H16" s="4"/>
      <c r="I16" s="4"/>
      <c r="J16" s="9"/>
      <c r="K16" s="4"/>
      <c r="L16" s="4"/>
      <c r="M16" s="4"/>
      <c r="N16" s="9"/>
      <c r="O16" s="11"/>
      <c r="P16" s="4"/>
      <c r="Q16" s="4"/>
      <c r="R16" s="9"/>
      <c r="S16" s="4"/>
      <c r="T16" s="4"/>
      <c r="U16" s="4"/>
      <c r="V16" s="9"/>
      <c r="W16" s="4"/>
      <c r="X16" s="4"/>
      <c r="Y16" s="4"/>
      <c r="Z16" s="9"/>
    </row>
    <row r="17" spans="1:26" s="63" customFormat="1" ht="15" customHeight="1" x14ac:dyDescent="0.3">
      <c r="A17" s="11"/>
      <c r="B17" s="27" t="s">
        <v>289</v>
      </c>
      <c r="C17" s="27"/>
      <c r="D17" s="21">
        <f>D12-D14</f>
        <v>0</v>
      </c>
      <c r="E17" s="15"/>
      <c r="F17" s="23">
        <f>IF(D$12=0,0,D17/D$12)</f>
        <v>0</v>
      </c>
      <c r="G17" s="15"/>
      <c r="H17" s="21">
        <f>H12-H14</f>
        <v>0</v>
      </c>
      <c r="I17" s="15"/>
      <c r="J17" s="23">
        <f>IF(H$12=0,0,H17/H$12)</f>
        <v>0</v>
      </c>
      <c r="K17" s="16"/>
      <c r="L17" s="21">
        <f>+D17-H17</f>
        <v>0</v>
      </c>
      <c r="M17" s="16"/>
      <c r="N17" s="23">
        <f>IF(H17=0,0,L17/H17)</f>
        <v>0</v>
      </c>
      <c r="O17" s="28"/>
      <c r="P17" s="21">
        <f>P12-P14</f>
        <v>0</v>
      </c>
      <c r="Q17" s="15"/>
      <c r="R17" s="23">
        <f>IF(P$12=0,0,P17/P$12)</f>
        <v>0</v>
      </c>
      <c r="S17" s="15"/>
      <c r="T17" s="21">
        <f>T12-T14</f>
        <v>0</v>
      </c>
      <c r="U17" s="15"/>
      <c r="V17" s="23">
        <f>IF(T$12=0,0,T17/T$12)</f>
        <v>0</v>
      </c>
      <c r="W17" s="16"/>
      <c r="X17" s="21">
        <f>+P17-T17</f>
        <v>0</v>
      </c>
      <c r="Y17" s="16"/>
      <c r="Z17" s="23">
        <f>IF(T17=0,0,X17/T17)</f>
        <v>0</v>
      </c>
    </row>
    <row r="18" spans="1:26" ht="15" customHeight="1" x14ac:dyDescent="0.3">
      <c r="A18" s="10"/>
      <c r="B18" s="11"/>
      <c r="C18" s="10"/>
      <c r="D18" s="2"/>
      <c r="E18" s="2"/>
      <c r="F18" s="6"/>
      <c r="G18" s="2"/>
      <c r="H18" s="2"/>
      <c r="I18" s="2"/>
      <c r="J18" s="6"/>
      <c r="K18" s="2"/>
      <c r="L18" s="2"/>
      <c r="M18" s="2"/>
      <c r="N18" s="6"/>
      <c r="O18" s="35"/>
      <c r="P18" s="2"/>
      <c r="Q18" s="2"/>
      <c r="R18" s="6"/>
      <c r="S18" s="2"/>
      <c r="T18" s="2"/>
      <c r="U18" s="2"/>
      <c r="V18" s="6"/>
      <c r="W18" s="2"/>
      <c r="X18" s="2"/>
      <c r="Y18" s="2"/>
      <c r="Z18" s="6"/>
    </row>
    <row r="19" spans="1:26" s="63" customFormat="1" ht="15" customHeight="1" x14ac:dyDescent="0.3">
      <c r="A19" s="11"/>
      <c r="B19" s="28" t="s">
        <v>290</v>
      </c>
      <c r="C19" s="11"/>
      <c r="D19" s="22" cm="1">
        <f t="array" ref="D19">SUM(OSRRefD22x_0)</f>
        <v>134992.33000000002</v>
      </c>
      <c r="E19" s="22"/>
      <c r="F19" s="30">
        <f t="shared" ref="F19:F50" si="0">IF(D$12=0,0,D19/D$12)</f>
        <v>0</v>
      </c>
      <c r="G19" s="22"/>
      <c r="H19" s="22" cm="1">
        <f t="array" ref="H19">SUM(OSRRefH22x_0)</f>
        <v>97098.833013257681</v>
      </c>
      <c r="I19" s="22"/>
      <c r="J19" s="30">
        <f t="shared" ref="J19:J50" si="1">IF(H$12=0,0,H19/H$12)</f>
        <v>0</v>
      </c>
      <c r="K19" s="5"/>
      <c r="L19" s="22">
        <f t="shared" ref="L19:L50" si="2">+D19-H19</f>
        <v>37893.496986742335</v>
      </c>
      <c r="M19" s="5"/>
      <c r="N19" s="30">
        <f t="shared" ref="N19:N50" si="3">IF(H19=0,0,L19/H19)</f>
        <v>0.39025697643110119</v>
      </c>
      <c r="O19" s="11"/>
      <c r="P19" s="22" cm="1">
        <f t="array" ref="P19">SUM(OSRRefP22x_0)</f>
        <v>1292945.17</v>
      </c>
      <c r="Q19" s="22"/>
      <c r="R19" s="30">
        <f t="shared" ref="R19:R50" si="4">IF(P$12=0,0,P19/P$12)</f>
        <v>0</v>
      </c>
      <c r="S19" s="22"/>
      <c r="T19" s="22" cm="1">
        <f t="array" ref="T19">SUM(OSRRefT22x_0)</f>
        <v>1220389.34920315</v>
      </c>
      <c r="U19" s="22"/>
      <c r="V19" s="30">
        <f t="shared" ref="V19:V50" si="5">IF(T$12=0,0,T19/T$12)</f>
        <v>0</v>
      </c>
      <c r="W19" s="5"/>
      <c r="X19" s="22">
        <f t="shared" ref="X19:X50" si="6">+P19-T19</f>
        <v>72555.820796849905</v>
      </c>
      <c r="Y19" s="5"/>
      <c r="Z19" s="30">
        <f t="shared" ref="Z19:Z50" si="7">IF(T19=0,0,X19/T19)</f>
        <v>5.9453010503758522E-2</v>
      </c>
    </row>
    <row r="20" spans="1:26" s="69" customFormat="1" ht="15" customHeight="1" outlineLevel="1" collapsed="1" x14ac:dyDescent="0.3">
      <c r="A20" s="25"/>
      <c r="B20" s="14" t="str">
        <f>CONCATENATE("     ","*Benefits                                         ")</f>
        <v xml:space="preserve">     *Benefits                                         </v>
      </c>
      <c r="C20" s="14"/>
      <c r="D20" s="2">
        <f>SUM(OSRRefD22_0x_0)</f>
        <v>13121.18</v>
      </c>
      <c r="E20" s="2"/>
      <c r="F20" s="6">
        <f t="shared" si="0"/>
        <v>0</v>
      </c>
      <c r="G20" s="2"/>
      <c r="H20" s="2">
        <f>SUM(OSRRefH22_0x_0)</f>
        <v>4325.3214459499968</v>
      </c>
      <c r="I20" s="2"/>
      <c r="J20" s="6">
        <f t="shared" si="1"/>
        <v>0</v>
      </c>
      <c r="K20" s="2"/>
      <c r="L20" s="2">
        <f t="shared" si="2"/>
        <v>8795.8585540500026</v>
      </c>
      <c r="M20" s="2"/>
      <c r="N20" s="6">
        <f t="shared" si="3"/>
        <v>2.0335733803752278</v>
      </c>
      <c r="O20" s="14"/>
      <c r="P20" s="2">
        <f>SUM(OSRRefP22_0x_0)</f>
        <v>128935.67</v>
      </c>
      <c r="Q20" s="2"/>
      <c r="R20" s="6">
        <f t="shared" si="4"/>
        <v>0</v>
      </c>
      <c r="S20" s="2"/>
      <c r="T20" s="2">
        <f>SUM(OSRRefT22_0x_0)</f>
        <v>53274.839478150003</v>
      </c>
      <c r="U20" s="2"/>
      <c r="V20" s="6">
        <f t="shared" si="5"/>
        <v>0</v>
      </c>
      <c r="W20" s="2"/>
      <c r="X20" s="2">
        <f t="shared" si="6"/>
        <v>75660.830521850003</v>
      </c>
      <c r="Y20" s="2"/>
      <c r="Z20" s="6">
        <f t="shared" si="7"/>
        <v>1.4201981885441688</v>
      </c>
    </row>
    <row r="21" spans="1:26" s="70" customFormat="1" ht="15" hidden="1" customHeight="1" outlineLevel="2" x14ac:dyDescent="0.3">
      <c r="A21" s="26"/>
      <c r="B21" s="12" t="str">
        <f>CONCATENATE("          ","6111"," - ","F.I.C.A.")</f>
        <v xml:space="preserve">          6111 - F.I.C.A.</v>
      </c>
      <c r="C21" s="12"/>
      <c r="D21" s="7">
        <v>2144.9</v>
      </c>
      <c r="E21" s="3"/>
      <c r="F21" s="8">
        <f t="shared" si="0"/>
        <v>0</v>
      </c>
      <c r="G21" s="3"/>
      <c r="H21" s="7">
        <v>1000.74701750769</v>
      </c>
      <c r="I21" s="3"/>
      <c r="J21" s="8">
        <f t="shared" si="1"/>
        <v>0</v>
      </c>
      <c r="K21" s="3"/>
      <c r="L21" s="7">
        <f t="shared" si="2"/>
        <v>1144.15298249231</v>
      </c>
      <c r="M21" s="3"/>
      <c r="N21" s="8">
        <f t="shared" si="3"/>
        <v>1.1432989181839037</v>
      </c>
      <c r="O21" s="12"/>
      <c r="P21" s="7">
        <v>22912.01</v>
      </c>
      <c r="Q21" s="3"/>
      <c r="R21" s="8">
        <f t="shared" si="4"/>
        <v>0</v>
      </c>
      <c r="S21" s="3"/>
      <c r="T21" s="7">
        <v>14164.442550899999</v>
      </c>
      <c r="U21" s="3"/>
      <c r="V21" s="8">
        <f t="shared" si="5"/>
        <v>0</v>
      </c>
      <c r="W21" s="3"/>
      <c r="X21" s="7">
        <f t="shared" si="6"/>
        <v>8747.5674490999991</v>
      </c>
      <c r="Y21" s="3"/>
      <c r="Z21" s="8">
        <f t="shared" si="7"/>
        <v>0.61757230598137336</v>
      </c>
    </row>
    <row r="22" spans="1:26" s="70" customFormat="1" ht="15" hidden="1" customHeight="1" outlineLevel="2" x14ac:dyDescent="0.3">
      <c r="A22" s="26"/>
      <c r="B22" s="12" t="str">
        <f>CONCATENATE("          ","6112"," - ","COMPENSATION INSURANCE")</f>
        <v xml:space="preserve">          6112 - COMPENSATION INSURANCE</v>
      </c>
      <c r="C22" s="12"/>
      <c r="D22" s="7">
        <v>740.65</v>
      </c>
      <c r="E22" s="3"/>
      <c r="F22" s="8">
        <f t="shared" si="0"/>
        <v>0</v>
      </c>
      <c r="G22" s="3"/>
      <c r="H22" s="7">
        <v>484.206681</v>
      </c>
      <c r="I22" s="3"/>
      <c r="J22" s="8">
        <f t="shared" si="1"/>
        <v>0</v>
      </c>
      <c r="K22" s="3"/>
      <c r="L22" s="7">
        <f t="shared" si="2"/>
        <v>256.44331899999997</v>
      </c>
      <c r="M22" s="3"/>
      <c r="N22" s="8">
        <f t="shared" si="3"/>
        <v>0.52961540817731911</v>
      </c>
      <c r="O22" s="12"/>
      <c r="P22" s="7">
        <v>6929.78</v>
      </c>
      <c r="Q22" s="3"/>
      <c r="R22" s="8">
        <f t="shared" si="4"/>
        <v>0</v>
      </c>
      <c r="S22" s="3"/>
      <c r="T22" s="7">
        <v>7080.325863</v>
      </c>
      <c r="U22" s="3"/>
      <c r="V22" s="8">
        <f t="shared" si="5"/>
        <v>0</v>
      </c>
      <c r="W22" s="3"/>
      <c r="X22" s="7">
        <f t="shared" si="6"/>
        <v>-150.54586300000028</v>
      </c>
      <c r="Y22" s="3"/>
      <c r="Z22" s="8">
        <f t="shared" si="7"/>
        <v>-2.126256134434646E-2</v>
      </c>
    </row>
    <row r="23" spans="1:26" s="70" customFormat="1" ht="15" hidden="1" customHeight="1" outlineLevel="2" x14ac:dyDescent="0.3">
      <c r="A23" s="26"/>
      <c r="B23" s="12" t="str">
        <f>CONCATENATE("          ","6113"," - ","GROUP INSURANCE")</f>
        <v xml:space="preserve">          6113 - GROUP INSURANCE</v>
      </c>
      <c r="C23" s="12"/>
      <c r="D23" s="7">
        <v>4880.57</v>
      </c>
      <c r="E23" s="3"/>
      <c r="F23" s="8">
        <f t="shared" si="0"/>
        <v>0</v>
      </c>
      <c r="G23" s="3"/>
      <c r="H23" s="7">
        <v>1303</v>
      </c>
      <c r="I23" s="3"/>
      <c r="J23" s="8">
        <f t="shared" si="1"/>
        <v>0</v>
      </c>
      <c r="K23" s="3"/>
      <c r="L23" s="7">
        <f t="shared" si="2"/>
        <v>3577.5699999999997</v>
      </c>
      <c r="M23" s="3"/>
      <c r="N23" s="8">
        <f t="shared" si="3"/>
        <v>2.7456408288564846</v>
      </c>
      <c r="O23" s="12"/>
      <c r="P23" s="7">
        <v>47042.79</v>
      </c>
      <c r="Q23" s="3"/>
      <c r="R23" s="8">
        <f t="shared" si="4"/>
        <v>0</v>
      </c>
      <c r="S23" s="3"/>
      <c r="T23" s="7">
        <v>12186</v>
      </c>
      <c r="U23" s="3"/>
      <c r="V23" s="8">
        <f t="shared" si="5"/>
        <v>0</v>
      </c>
      <c r="W23" s="3"/>
      <c r="X23" s="7">
        <f t="shared" si="6"/>
        <v>34856.79</v>
      </c>
      <c r="Y23" s="3"/>
      <c r="Z23" s="8">
        <f t="shared" si="7"/>
        <v>2.8603963564746433</v>
      </c>
    </row>
    <row r="24" spans="1:26" s="70" customFormat="1" ht="15" hidden="1" customHeight="1" outlineLevel="2" x14ac:dyDescent="0.3">
      <c r="A24" s="26"/>
      <c r="B24" s="12" t="str">
        <f>CONCATENATE("          ","6114"," - ","STATE UNEMPLOYMENT INSURANCE")</f>
        <v xml:space="preserve">          6114 - STATE UNEMPLOYMENT INSURANCE</v>
      </c>
      <c r="C24" s="12"/>
      <c r="D24" s="7">
        <v>132.21</v>
      </c>
      <c r="E24" s="3"/>
      <c r="F24" s="8">
        <f t="shared" si="0"/>
        <v>0</v>
      </c>
      <c r="G24" s="3"/>
      <c r="H24" s="7">
        <v>65.181668596153798</v>
      </c>
      <c r="I24" s="3"/>
      <c r="J24" s="8">
        <f t="shared" si="1"/>
        <v>0</v>
      </c>
      <c r="K24" s="3"/>
      <c r="L24" s="7">
        <f t="shared" si="2"/>
        <v>67.028331403846209</v>
      </c>
      <c r="M24" s="3"/>
      <c r="N24" s="8">
        <f t="shared" si="3"/>
        <v>1.028331014646676</v>
      </c>
      <c r="O24" s="12"/>
      <c r="P24" s="7">
        <v>1236.77</v>
      </c>
      <c r="Q24" s="3"/>
      <c r="R24" s="8">
        <f t="shared" si="4"/>
        <v>0</v>
      </c>
      <c r="S24" s="3"/>
      <c r="T24" s="7">
        <v>953.12078925000003</v>
      </c>
      <c r="U24" s="3"/>
      <c r="V24" s="8">
        <f t="shared" si="5"/>
        <v>0</v>
      </c>
      <c r="W24" s="3"/>
      <c r="X24" s="7">
        <f t="shared" si="6"/>
        <v>283.64921074999995</v>
      </c>
      <c r="Y24" s="3"/>
      <c r="Z24" s="8">
        <f t="shared" si="7"/>
        <v>0.29760048668458938</v>
      </c>
    </row>
    <row r="25" spans="1:26" s="70" customFormat="1" ht="15" hidden="1" customHeight="1" outlineLevel="2" x14ac:dyDescent="0.3">
      <c r="A25" s="26"/>
      <c r="B25" s="12" t="str">
        <f>CONCATENATE("          ","6115"," - ","P.E.R.S.")</f>
        <v xml:space="preserve">          6115 - P.E.R.S.</v>
      </c>
      <c r="C25" s="12"/>
      <c r="D25" s="7">
        <v>1579.6</v>
      </c>
      <c r="E25" s="3"/>
      <c r="F25" s="8">
        <f t="shared" si="0"/>
        <v>0</v>
      </c>
      <c r="G25" s="3"/>
      <c r="H25" s="7">
        <v>374.76153846153801</v>
      </c>
      <c r="I25" s="3"/>
      <c r="J25" s="8">
        <f t="shared" si="1"/>
        <v>0</v>
      </c>
      <c r="K25" s="3"/>
      <c r="L25" s="7">
        <f t="shared" si="2"/>
        <v>1204.8384615384618</v>
      </c>
      <c r="M25" s="3"/>
      <c r="N25" s="8">
        <f t="shared" si="3"/>
        <v>3.2149469406186544</v>
      </c>
      <c r="O25" s="12"/>
      <c r="P25" s="7">
        <v>14732.86</v>
      </c>
      <c r="Q25" s="3"/>
      <c r="R25" s="8">
        <f t="shared" si="4"/>
        <v>0</v>
      </c>
      <c r="S25" s="3"/>
      <c r="T25" s="7">
        <v>3653.9250000000002</v>
      </c>
      <c r="U25" s="3"/>
      <c r="V25" s="8">
        <f t="shared" si="5"/>
        <v>0</v>
      </c>
      <c r="W25" s="3"/>
      <c r="X25" s="7">
        <f t="shared" si="6"/>
        <v>11078.935000000001</v>
      </c>
      <c r="Y25" s="3"/>
      <c r="Z25" s="8">
        <f t="shared" si="7"/>
        <v>3.0320641501946537</v>
      </c>
    </row>
    <row r="26" spans="1:26" s="70" customFormat="1" ht="15" hidden="1" customHeight="1" outlineLevel="2" x14ac:dyDescent="0.3">
      <c r="A26" s="26"/>
      <c r="B26" s="12" t="str">
        <f>CONCATENATE("          ","6116"," - ","EDUCATIONAL BENEFITS")</f>
        <v xml:space="preserve">          6116 - EDUCATIONAL BENEFITS</v>
      </c>
      <c r="C26" s="12"/>
      <c r="D26" s="7"/>
      <c r="E26" s="3"/>
      <c r="F26" s="8">
        <f t="shared" si="0"/>
        <v>0</v>
      </c>
      <c r="G26" s="3"/>
      <c r="H26" s="7">
        <v>0</v>
      </c>
      <c r="I26" s="3"/>
      <c r="J26" s="8">
        <f t="shared" si="1"/>
        <v>0</v>
      </c>
      <c r="K26" s="3"/>
      <c r="L26" s="7">
        <f t="shared" si="2"/>
        <v>0</v>
      </c>
      <c r="M26" s="3"/>
      <c r="N26" s="8">
        <f t="shared" si="3"/>
        <v>0</v>
      </c>
      <c r="O26" s="12"/>
      <c r="P26" s="7"/>
      <c r="Q26" s="3"/>
      <c r="R26" s="8">
        <f t="shared" si="4"/>
        <v>0</v>
      </c>
      <c r="S26" s="3"/>
      <c r="T26" s="7">
        <v>0</v>
      </c>
      <c r="U26" s="3"/>
      <c r="V26" s="8">
        <f t="shared" si="5"/>
        <v>0</v>
      </c>
      <c r="W26" s="3"/>
      <c r="X26" s="7">
        <f t="shared" si="6"/>
        <v>0</v>
      </c>
      <c r="Y26" s="3"/>
      <c r="Z26" s="8">
        <f t="shared" si="7"/>
        <v>0</v>
      </c>
    </row>
    <row r="27" spans="1:26" s="70" customFormat="1" ht="15" hidden="1" customHeight="1" outlineLevel="2" x14ac:dyDescent="0.3">
      <c r="A27" s="26"/>
      <c r="B27" s="12" t="str">
        <f>CONCATENATE("          ","6117"," - ","RETIREMENT STAFF HOURLY")</f>
        <v xml:space="preserve">          6117 - RETIREMENT STAFF HOURLY</v>
      </c>
      <c r="C27" s="12"/>
      <c r="D27" s="7">
        <v>412.62</v>
      </c>
      <c r="E27" s="3"/>
      <c r="F27" s="8">
        <f t="shared" si="0"/>
        <v>0</v>
      </c>
      <c r="G27" s="3"/>
      <c r="H27" s="7"/>
      <c r="I27" s="3"/>
      <c r="J27" s="8">
        <f t="shared" si="1"/>
        <v>0</v>
      </c>
      <c r="K27" s="3"/>
      <c r="L27" s="7">
        <f t="shared" si="2"/>
        <v>412.62</v>
      </c>
      <c r="M27" s="3"/>
      <c r="N27" s="8">
        <f t="shared" si="3"/>
        <v>0</v>
      </c>
      <c r="O27" s="12"/>
      <c r="P27" s="7">
        <v>3182.95</v>
      </c>
      <c r="Q27" s="3"/>
      <c r="R27" s="8">
        <f t="shared" si="4"/>
        <v>0</v>
      </c>
      <c r="S27" s="3"/>
      <c r="T27" s="7"/>
      <c r="U27" s="3"/>
      <c r="V27" s="8">
        <f t="shared" si="5"/>
        <v>0</v>
      </c>
      <c r="W27" s="3"/>
      <c r="X27" s="7">
        <f t="shared" si="6"/>
        <v>3182.95</v>
      </c>
      <c r="Y27" s="3"/>
      <c r="Z27" s="8">
        <f t="shared" si="7"/>
        <v>0</v>
      </c>
    </row>
    <row r="28" spans="1:26" s="70" customFormat="1" ht="15" hidden="1" customHeight="1" outlineLevel="2" x14ac:dyDescent="0.3">
      <c r="A28" s="26"/>
      <c r="B28" s="12" t="str">
        <f>CONCATENATE("          ","6118"," - ","VACATION")</f>
        <v xml:space="preserve">          6118 - VACATION</v>
      </c>
      <c r="C28" s="12"/>
      <c r="D28" s="7">
        <v>1242.79</v>
      </c>
      <c r="E28" s="3"/>
      <c r="F28" s="8">
        <f t="shared" si="0"/>
        <v>0</v>
      </c>
      <c r="G28" s="3"/>
      <c r="H28" s="7">
        <v>249.386769230769</v>
      </c>
      <c r="I28" s="3"/>
      <c r="J28" s="8">
        <f t="shared" si="1"/>
        <v>0</v>
      </c>
      <c r="K28" s="3"/>
      <c r="L28" s="7">
        <f t="shared" si="2"/>
        <v>993.40323076923096</v>
      </c>
      <c r="M28" s="3"/>
      <c r="N28" s="8">
        <f t="shared" si="3"/>
        <v>3.9833838572646547</v>
      </c>
      <c r="O28" s="12"/>
      <c r="P28" s="7">
        <v>14019.24</v>
      </c>
      <c r="Q28" s="3"/>
      <c r="R28" s="8">
        <f t="shared" si="4"/>
        <v>0</v>
      </c>
      <c r="S28" s="3"/>
      <c r="T28" s="7">
        <v>2431.5210000000002</v>
      </c>
      <c r="U28" s="3"/>
      <c r="V28" s="8">
        <f t="shared" si="5"/>
        <v>0</v>
      </c>
      <c r="W28" s="3"/>
      <c r="X28" s="7">
        <f t="shared" si="6"/>
        <v>11587.718999999999</v>
      </c>
      <c r="Y28" s="3"/>
      <c r="Z28" s="8">
        <f t="shared" si="7"/>
        <v>4.7656257132881015</v>
      </c>
    </row>
    <row r="29" spans="1:26" s="70" customFormat="1" ht="15" hidden="1" customHeight="1" outlineLevel="2" x14ac:dyDescent="0.3">
      <c r="A29" s="26"/>
      <c r="B29" s="12" t="str">
        <f>CONCATENATE("          ","6119"," - ","SICK LEAVE")</f>
        <v xml:space="preserve">          6119 - SICK LEAVE</v>
      </c>
      <c r="C29" s="12"/>
      <c r="D29" s="7">
        <v>1093.08</v>
      </c>
      <c r="E29" s="3"/>
      <c r="F29" s="8">
        <f t="shared" si="0"/>
        <v>0</v>
      </c>
      <c r="G29" s="3"/>
      <c r="H29" s="7">
        <v>848.03777115384605</v>
      </c>
      <c r="I29" s="3"/>
      <c r="J29" s="8">
        <f t="shared" si="1"/>
        <v>0</v>
      </c>
      <c r="K29" s="3"/>
      <c r="L29" s="7">
        <f t="shared" si="2"/>
        <v>245.04222884615388</v>
      </c>
      <c r="M29" s="3"/>
      <c r="N29" s="8">
        <f t="shared" si="3"/>
        <v>0.28895202216376248</v>
      </c>
      <c r="O29" s="12"/>
      <c r="P29" s="7">
        <v>12634.51</v>
      </c>
      <c r="Q29" s="3"/>
      <c r="R29" s="8">
        <f t="shared" si="4"/>
        <v>0</v>
      </c>
      <c r="S29" s="3"/>
      <c r="T29" s="7">
        <v>12805.504274999999</v>
      </c>
      <c r="U29" s="3"/>
      <c r="V29" s="8">
        <f t="shared" si="5"/>
        <v>0</v>
      </c>
      <c r="W29" s="3"/>
      <c r="X29" s="7">
        <f t="shared" si="6"/>
        <v>-170.99427499999911</v>
      </c>
      <c r="Y29" s="3"/>
      <c r="Z29" s="8">
        <f t="shared" si="7"/>
        <v>-1.3353185577691678E-2</v>
      </c>
    </row>
    <row r="30" spans="1:26" s="70" customFormat="1" ht="15" hidden="1" customHeight="1" outlineLevel="2" x14ac:dyDescent="0.3">
      <c r="A30" s="26"/>
      <c r="B30" s="12" t="str">
        <f>CONCATENATE("          ","6156"," - ","EMPLOYEE MEALS")</f>
        <v xml:space="preserve">          6156 - EMPLOYEE MEALS</v>
      </c>
      <c r="C30" s="12"/>
      <c r="D30" s="7">
        <v>894.76</v>
      </c>
      <c r="E30" s="3"/>
      <c r="F30" s="8">
        <f t="shared" si="0"/>
        <v>0</v>
      </c>
      <c r="G30" s="3"/>
      <c r="H30" s="7"/>
      <c r="I30" s="3"/>
      <c r="J30" s="8">
        <f t="shared" si="1"/>
        <v>0</v>
      </c>
      <c r="K30" s="3"/>
      <c r="L30" s="7">
        <f t="shared" si="2"/>
        <v>894.76</v>
      </c>
      <c r="M30" s="3"/>
      <c r="N30" s="8">
        <f t="shared" si="3"/>
        <v>0</v>
      </c>
      <c r="O30" s="12"/>
      <c r="P30" s="7">
        <v>6244.76</v>
      </c>
      <c r="Q30" s="3"/>
      <c r="R30" s="8">
        <f t="shared" si="4"/>
        <v>0</v>
      </c>
      <c r="S30" s="3"/>
      <c r="T30" s="7"/>
      <c r="U30" s="3"/>
      <c r="V30" s="8">
        <f t="shared" si="5"/>
        <v>0</v>
      </c>
      <c r="W30" s="3"/>
      <c r="X30" s="7">
        <f t="shared" si="6"/>
        <v>6244.76</v>
      </c>
      <c r="Y30" s="3"/>
      <c r="Z30" s="8">
        <f t="shared" si="7"/>
        <v>0</v>
      </c>
    </row>
    <row r="31" spans="1:26" s="69" customFormat="1" ht="15" customHeight="1" outlineLevel="1" collapsed="1" x14ac:dyDescent="0.3">
      <c r="A31" s="25"/>
      <c r="B31" s="14" t="str">
        <f>CONCATENATE("     ","*Payroll                                          ")</f>
        <v xml:space="preserve">     *Payroll                                          </v>
      </c>
      <c r="C31" s="14"/>
      <c r="D31" s="2">
        <f>SUM(OSRRefD22_1x_0)</f>
        <v>50053.990000000005</v>
      </c>
      <c r="E31" s="2"/>
      <c r="F31" s="6">
        <f t="shared" si="0"/>
        <v>0</v>
      </c>
      <c r="G31" s="2"/>
      <c r="H31" s="2">
        <f>SUM(OSRRefH22_1x_0)</f>
        <v>30699.511567307687</v>
      </c>
      <c r="I31" s="2"/>
      <c r="J31" s="6">
        <f t="shared" si="1"/>
        <v>0</v>
      </c>
      <c r="K31" s="2"/>
      <c r="L31" s="2">
        <f t="shared" si="2"/>
        <v>19354.478432692318</v>
      </c>
      <c r="M31" s="2"/>
      <c r="N31" s="6">
        <f t="shared" si="3"/>
        <v>0.63044906725171346</v>
      </c>
      <c r="O31" s="14"/>
      <c r="P31" s="2">
        <f>SUM(OSRRefP22_1x_0)</f>
        <v>482483.32000000007</v>
      </c>
      <c r="Q31" s="2"/>
      <c r="R31" s="6">
        <f t="shared" si="4"/>
        <v>0</v>
      </c>
      <c r="S31" s="2"/>
      <c r="T31" s="2">
        <f>SUM(OSRRefT22_1x_0)</f>
        <v>452151.50972500001</v>
      </c>
      <c r="U31" s="2"/>
      <c r="V31" s="6">
        <f t="shared" si="5"/>
        <v>0</v>
      </c>
      <c r="W31" s="2"/>
      <c r="X31" s="2">
        <f t="shared" si="6"/>
        <v>30331.810275000054</v>
      </c>
      <c r="Y31" s="2"/>
      <c r="Z31" s="6">
        <f t="shared" si="7"/>
        <v>6.7083288726488957E-2</v>
      </c>
    </row>
    <row r="32" spans="1:26" s="70" customFormat="1" ht="15" hidden="1" customHeight="1" outlineLevel="2" x14ac:dyDescent="0.3">
      <c r="A32" s="26"/>
      <c r="B32" s="12" t="str">
        <f>CONCATENATE("          ","6001"," - ","ADMINISTRATIVE SALARIES")</f>
        <v xml:space="preserve">          6001 - ADMINISTRATIVE SALARIES</v>
      </c>
      <c r="C32" s="12"/>
      <c r="D32" s="7">
        <v>3959.51</v>
      </c>
      <c r="E32" s="3"/>
      <c r="F32" s="8">
        <f t="shared" si="0"/>
        <v>0</v>
      </c>
      <c r="G32" s="3"/>
      <c r="H32" s="7">
        <v>4139.8076923076896</v>
      </c>
      <c r="I32" s="3"/>
      <c r="J32" s="8">
        <f t="shared" si="1"/>
        <v>0</v>
      </c>
      <c r="K32" s="3"/>
      <c r="L32" s="7">
        <f t="shared" si="2"/>
        <v>-180.29769230768943</v>
      </c>
      <c r="M32" s="3"/>
      <c r="N32" s="8">
        <f t="shared" si="3"/>
        <v>-4.3552190272680154E-2</v>
      </c>
      <c r="O32" s="12"/>
      <c r="P32" s="7">
        <v>44917.06</v>
      </c>
      <c r="Q32" s="3"/>
      <c r="R32" s="8">
        <f t="shared" si="4"/>
        <v>0</v>
      </c>
      <c r="S32" s="3"/>
      <c r="T32" s="7">
        <v>40363.125</v>
      </c>
      <c r="U32" s="3"/>
      <c r="V32" s="8">
        <f t="shared" si="5"/>
        <v>0</v>
      </c>
      <c r="W32" s="3"/>
      <c r="X32" s="7">
        <f t="shared" si="6"/>
        <v>4553.9349999999977</v>
      </c>
      <c r="Y32" s="3"/>
      <c r="Z32" s="8">
        <f t="shared" si="7"/>
        <v>0.11282414332388778</v>
      </c>
    </row>
    <row r="33" spans="1:26" s="70" customFormat="1" ht="15" hidden="1" customHeight="1" outlineLevel="2" x14ac:dyDescent="0.3">
      <c r="A33" s="26"/>
      <c r="B33" s="12" t="str">
        <f>CONCATENATE("          ","6002"," - ","STAFF SALARIES")</f>
        <v xml:space="preserve">          6002 - STAFF SALARIES</v>
      </c>
      <c r="C33" s="12"/>
      <c r="D33" s="7">
        <v>11040.02</v>
      </c>
      <c r="E33" s="3"/>
      <c r="F33" s="8">
        <f t="shared" si="0"/>
        <v>0</v>
      </c>
      <c r="G33" s="3"/>
      <c r="H33" s="7">
        <v>0</v>
      </c>
      <c r="I33" s="3"/>
      <c r="J33" s="8">
        <f t="shared" si="1"/>
        <v>0</v>
      </c>
      <c r="K33" s="3"/>
      <c r="L33" s="7">
        <f t="shared" si="2"/>
        <v>11040.02</v>
      </c>
      <c r="M33" s="3"/>
      <c r="N33" s="8">
        <f t="shared" si="3"/>
        <v>0</v>
      </c>
      <c r="O33" s="12"/>
      <c r="P33" s="7">
        <v>98592.51</v>
      </c>
      <c r="Q33" s="3"/>
      <c r="R33" s="8">
        <f t="shared" si="4"/>
        <v>0</v>
      </c>
      <c r="S33" s="3"/>
      <c r="T33" s="7">
        <v>0</v>
      </c>
      <c r="U33" s="3"/>
      <c r="V33" s="8">
        <f t="shared" si="5"/>
        <v>0</v>
      </c>
      <c r="W33" s="3"/>
      <c r="X33" s="7">
        <f t="shared" si="6"/>
        <v>98592.51</v>
      </c>
      <c r="Y33" s="3"/>
      <c r="Z33" s="8">
        <f t="shared" si="7"/>
        <v>0</v>
      </c>
    </row>
    <row r="34" spans="1:26" s="70" customFormat="1" ht="15" hidden="1" customHeight="1" outlineLevel="2" x14ac:dyDescent="0.3">
      <c r="A34" s="26"/>
      <c r="B34" s="12" t="str">
        <f>CONCATENATE("          ","6003"," - ","STAFF HOURLY-9 MONTH")</f>
        <v xml:space="preserve">          6003 - STAFF HOURLY-9 MONTH</v>
      </c>
      <c r="C34" s="12"/>
      <c r="D34" s="7"/>
      <c r="E34" s="3"/>
      <c r="F34" s="8">
        <f t="shared" si="0"/>
        <v>0</v>
      </c>
      <c r="G34" s="3"/>
      <c r="H34" s="7">
        <v>0</v>
      </c>
      <c r="I34" s="3"/>
      <c r="J34" s="8">
        <f t="shared" si="1"/>
        <v>0</v>
      </c>
      <c r="K34" s="3"/>
      <c r="L34" s="7">
        <f t="shared" si="2"/>
        <v>0</v>
      </c>
      <c r="M34" s="3"/>
      <c r="N34" s="8">
        <f t="shared" si="3"/>
        <v>0</v>
      </c>
      <c r="O34" s="12"/>
      <c r="P34" s="7"/>
      <c r="Q34" s="3"/>
      <c r="R34" s="8">
        <f t="shared" si="4"/>
        <v>0</v>
      </c>
      <c r="S34" s="3"/>
      <c r="T34" s="7">
        <v>0</v>
      </c>
      <c r="U34" s="3"/>
      <c r="V34" s="8">
        <f t="shared" si="5"/>
        <v>0</v>
      </c>
      <c r="W34" s="3"/>
      <c r="X34" s="7">
        <f t="shared" si="6"/>
        <v>0</v>
      </c>
      <c r="Y34" s="3"/>
      <c r="Z34" s="8">
        <f t="shared" si="7"/>
        <v>0</v>
      </c>
    </row>
    <row r="35" spans="1:26" s="70" customFormat="1" ht="15" hidden="1" customHeight="1" outlineLevel="2" x14ac:dyDescent="0.3">
      <c r="A35" s="26"/>
      <c r="B35" s="12" t="str">
        <f>CONCATENATE("          ","6004"," - ","STAFF HOURLY")</f>
        <v xml:space="preserve">          6004 - STAFF HOURLY</v>
      </c>
      <c r="C35" s="12"/>
      <c r="D35" s="7">
        <v>7006.01</v>
      </c>
      <c r="E35" s="3"/>
      <c r="F35" s="8">
        <f t="shared" si="0"/>
        <v>0</v>
      </c>
      <c r="G35" s="3"/>
      <c r="H35" s="7">
        <v>8417.7227999999996</v>
      </c>
      <c r="I35" s="3"/>
      <c r="J35" s="8">
        <f t="shared" si="1"/>
        <v>0</v>
      </c>
      <c r="K35" s="3"/>
      <c r="L35" s="7">
        <f t="shared" si="2"/>
        <v>-1411.7127999999993</v>
      </c>
      <c r="M35" s="3"/>
      <c r="N35" s="8">
        <f t="shared" si="3"/>
        <v>-0.16770720936545919</v>
      </c>
      <c r="O35" s="12"/>
      <c r="P35" s="7">
        <v>67147.97</v>
      </c>
      <c r="Q35" s="3"/>
      <c r="R35" s="8">
        <f t="shared" si="4"/>
        <v>0</v>
      </c>
      <c r="S35" s="3"/>
      <c r="T35" s="7">
        <v>80107.907099999997</v>
      </c>
      <c r="U35" s="3"/>
      <c r="V35" s="8">
        <f t="shared" si="5"/>
        <v>0</v>
      </c>
      <c r="W35" s="3"/>
      <c r="X35" s="7">
        <f t="shared" si="6"/>
        <v>-12959.937099999996</v>
      </c>
      <c r="Y35" s="3"/>
      <c r="Z35" s="8">
        <f t="shared" si="7"/>
        <v>-0.16178099727186601</v>
      </c>
    </row>
    <row r="36" spans="1:26" s="70" customFormat="1" ht="15" hidden="1" customHeight="1" outlineLevel="2" x14ac:dyDescent="0.3">
      <c r="A36" s="26"/>
      <c r="B36" s="12" t="str">
        <f>CONCATENATE("          ","6005"," - ","TEMPORARY WAGES-HOURLY")</f>
        <v xml:space="preserve">          6005 - TEMPORARY WAGES-HOURLY</v>
      </c>
      <c r="C36" s="12"/>
      <c r="D36" s="7">
        <v>1659.92</v>
      </c>
      <c r="E36" s="3"/>
      <c r="F36" s="8">
        <f t="shared" si="0"/>
        <v>0</v>
      </c>
      <c r="G36" s="3"/>
      <c r="H36" s="7">
        <v>0</v>
      </c>
      <c r="I36" s="3"/>
      <c r="J36" s="8">
        <f t="shared" si="1"/>
        <v>0</v>
      </c>
      <c r="K36" s="3"/>
      <c r="L36" s="7">
        <f t="shared" si="2"/>
        <v>1659.92</v>
      </c>
      <c r="M36" s="3"/>
      <c r="N36" s="8">
        <f t="shared" si="3"/>
        <v>0</v>
      </c>
      <c r="O36" s="12"/>
      <c r="P36" s="7">
        <v>24847.05</v>
      </c>
      <c r="Q36" s="3"/>
      <c r="R36" s="8">
        <f t="shared" si="4"/>
        <v>0</v>
      </c>
      <c r="S36" s="3"/>
      <c r="T36" s="7">
        <v>0</v>
      </c>
      <c r="U36" s="3"/>
      <c r="V36" s="8">
        <f t="shared" si="5"/>
        <v>0</v>
      </c>
      <c r="W36" s="3"/>
      <c r="X36" s="7">
        <f t="shared" si="6"/>
        <v>24847.05</v>
      </c>
      <c r="Y36" s="3"/>
      <c r="Z36" s="8">
        <f t="shared" si="7"/>
        <v>0</v>
      </c>
    </row>
    <row r="37" spans="1:26" s="70" customFormat="1" ht="15" hidden="1" customHeight="1" outlineLevel="2" x14ac:dyDescent="0.3">
      <c r="A37" s="26"/>
      <c r="B37" s="12" t="str">
        <f>CONCATENATE("          ","6006"," - ","TEMPORARY PART TIME")</f>
        <v xml:space="preserve">          6006 - TEMPORARY PART TIME</v>
      </c>
      <c r="C37" s="12"/>
      <c r="D37" s="7">
        <v>1071.74</v>
      </c>
      <c r="E37" s="3"/>
      <c r="F37" s="8">
        <f t="shared" si="0"/>
        <v>0</v>
      </c>
      <c r="G37" s="3"/>
      <c r="H37" s="7">
        <v>0</v>
      </c>
      <c r="I37" s="3"/>
      <c r="J37" s="8">
        <f t="shared" si="1"/>
        <v>0</v>
      </c>
      <c r="K37" s="3"/>
      <c r="L37" s="7">
        <f t="shared" si="2"/>
        <v>1071.74</v>
      </c>
      <c r="M37" s="3"/>
      <c r="N37" s="8">
        <f t="shared" si="3"/>
        <v>0</v>
      </c>
      <c r="O37" s="12"/>
      <c r="P37" s="7">
        <v>15352.11</v>
      </c>
      <c r="Q37" s="3"/>
      <c r="R37" s="8">
        <f t="shared" si="4"/>
        <v>0</v>
      </c>
      <c r="S37" s="3"/>
      <c r="T37" s="7">
        <v>0</v>
      </c>
      <c r="U37" s="3"/>
      <c r="V37" s="8">
        <f t="shared" si="5"/>
        <v>0</v>
      </c>
      <c r="W37" s="3"/>
      <c r="X37" s="7">
        <f t="shared" si="6"/>
        <v>15352.11</v>
      </c>
      <c r="Y37" s="3"/>
      <c r="Z37" s="8">
        <f t="shared" si="7"/>
        <v>0</v>
      </c>
    </row>
    <row r="38" spans="1:26" s="70" customFormat="1" ht="15" hidden="1" customHeight="1" outlineLevel="2" x14ac:dyDescent="0.3">
      <c r="A38" s="26"/>
      <c r="B38" s="12" t="str">
        <f>CONCATENATE("          ","6007"," - ","STUDENT HOURLY")</f>
        <v xml:space="preserve">          6007 - STUDENT HOURLY</v>
      </c>
      <c r="C38" s="12"/>
      <c r="D38" s="7">
        <v>24173.74</v>
      </c>
      <c r="E38" s="3"/>
      <c r="F38" s="8">
        <f t="shared" si="0"/>
        <v>0</v>
      </c>
      <c r="G38" s="3"/>
      <c r="H38" s="7">
        <v>0</v>
      </c>
      <c r="I38" s="3"/>
      <c r="J38" s="8">
        <f t="shared" si="1"/>
        <v>0</v>
      </c>
      <c r="K38" s="3"/>
      <c r="L38" s="7">
        <f t="shared" si="2"/>
        <v>24173.74</v>
      </c>
      <c r="M38" s="3"/>
      <c r="N38" s="8">
        <f t="shared" si="3"/>
        <v>0</v>
      </c>
      <c r="O38" s="12"/>
      <c r="P38" s="7">
        <v>217308.59</v>
      </c>
      <c r="Q38" s="3"/>
      <c r="R38" s="8">
        <f t="shared" si="4"/>
        <v>0</v>
      </c>
      <c r="S38" s="3"/>
      <c r="T38" s="7">
        <v>60209.13</v>
      </c>
      <c r="U38" s="3"/>
      <c r="V38" s="8">
        <f t="shared" si="5"/>
        <v>0</v>
      </c>
      <c r="W38" s="3"/>
      <c r="X38" s="7">
        <f t="shared" si="6"/>
        <v>157099.46</v>
      </c>
      <c r="Y38" s="3"/>
      <c r="Z38" s="8">
        <f t="shared" si="7"/>
        <v>2.6092298626470769</v>
      </c>
    </row>
    <row r="39" spans="1:26" s="70" customFormat="1" ht="15" hidden="1" customHeight="1" outlineLevel="2" x14ac:dyDescent="0.3">
      <c r="A39" s="26"/>
      <c r="B39" s="12" t="str">
        <f>CONCATENATE("          ","6008"," - ","STUDENT HOURLY-FICA EXEMPT")</f>
        <v xml:space="preserve">          6008 - STUDENT HOURLY-FICA EXEMPT</v>
      </c>
      <c r="C39" s="12"/>
      <c r="D39" s="7">
        <v>1143.05</v>
      </c>
      <c r="E39" s="3"/>
      <c r="F39" s="8">
        <f t="shared" si="0"/>
        <v>0</v>
      </c>
      <c r="G39" s="3"/>
      <c r="H39" s="7">
        <v>18141.981075</v>
      </c>
      <c r="I39" s="3"/>
      <c r="J39" s="8">
        <f t="shared" si="1"/>
        <v>0</v>
      </c>
      <c r="K39" s="3"/>
      <c r="L39" s="7">
        <f t="shared" si="2"/>
        <v>-16998.931075</v>
      </c>
      <c r="M39" s="3"/>
      <c r="N39" s="8">
        <f t="shared" si="3"/>
        <v>-0.93699420172060788</v>
      </c>
      <c r="O39" s="12"/>
      <c r="P39" s="7">
        <v>14318.03</v>
      </c>
      <c r="Q39" s="3"/>
      <c r="R39" s="8">
        <f t="shared" si="4"/>
        <v>0</v>
      </c>
      <c r="S39" s="3"/>
      <c r="T39" s="7">
        <v>271471.34762499999</v>
      </c>
      <c r="U39" s="3"/>
      <c r="V39" s="8">
        <f t="shared" si="5"/>
        <v>0</v>
      </c>
      <c r="W39" s="3"/>
      <c r="X39" s="7">
        <f t="shared" si="6"/>
        <v>-257153.317625</v>
      </c>
      <c r="Y39" s="3"/>
      <c r="Z39" s="8">
        <f t="shared" si="7"/>
        <v>-0.94725767516438464</v>
      </c>
    </row>
    <row r="40" spans="1:26" s="70" customFormat="1" ht="15" hidden="1" customHeight="1" outlineLevel="2" x14ac:dyDescent="0.3">
      <c r="A40" s="26"/>
      <c r="B40" s="12" t="str">
        <f>CONCATENATE("          ","6009"," - ","TEMPORARY-SEASONAL")</f>
        <v xml:space="preserve">          6009 - TEMPORARY-SEASONAL</v>
      </c>
      <c r="C40" s="12"/>
      <c r="D40" s="7"/>
      <c r="E40" s="3"/>
      <c r="F40" s="8">
        <f t="shared" si="0"/>
        <v>0</v>
      </c>
      <c r="G40" s="3"/>
      <c r="H40" s="7">
        <v>0</v>
      </c>
      <c r="I40" s="3"/>
      <c r="J40" s="8">
        <f t="shared" si="1"/>
        <v>0</v>
      </c>
      <c r="K40" s="3"/>
      <c r="L40" s="7">
        <f t="shared" si="2"/>
        <v>0</v>
      </c>
      <c r="M40" s="3"/>
      <c r="N40" s="8">
        <f t="shared" si="3"/>
        <v>0</v>
      </c>
      <c r="O40" s="12"/>
      <c r="P40" s="7"/>
      <c r="Q40" s="3"/>
      <c r="R40" s="8">
        <f t="shared" si="4"/>
        <v>0</v>
      </c>
      <c r="S40" s="3"/>
      <c r="T40" s="7">
        <v>0</v>
      </c>
      <c r="U40" s="3"/>
      <c r="V40" s="8">
        <f t="shared" si="5"/>
        <v>0</v>
      </c>
      <c r="W40" s="3"/>
      <c r="X40" s="7">
        <f t="shared" si="6"/>
        <v>0</v>
      </c>
      <c r="Y40" s="3"/>
      <c r="Z40" s="8">
        <f t="shared" si="7"/>
        <v>0</v>
      </c>
    </row>
    <row r="41" spans="1:26" s="70" customFormat="1" ht="15" hidden="1" customHeight="1" outlineLevel="2" x14ac:dyDescent="0.3">
      <c r="A41" s="26"/>
      <c r="B41" s="12" t="str">
        <f>CONCATENATE("          ","6010"," - ","GRATUITY")</f>
        <v xml:space="preserve">          6010 - GRATUITY</v>
      </c>
      <c r="C41" s="12"/>
      <c r="D41" s="7"/>
      <c r="E41" s="3"/>
      <c r="F41" s="8">
        <f t="shared" si="0"/>
        <v>0</v>
      </c>
      <c r="G41" s="3"/>
      <c r="H41" s="7">
        <v>0</v>
      </c>
      <c r="I41" s="3"/>
      <c r="J41" s="8">
        <f t="shared" si="1"/>
        <v>0</v>
      </c>
      <c r="K41" s="3"/>
      <c r="L41" s="7">
        <f t="shared" si="2"/>
        <v>0</v>
      </c>
      <c r="M41" s="3"/>
      <c r="N41" s="8">
        <f t="shared" si="3"/>
        <v>0</v>
      </c>
      <c r="O41" s="12"/>
      <c r="P41" s="7"/>
      <c r="Q41" s="3"/>
      <c r="R41" s="8">
        <f t="shared" si="4"/>
        <v>0</v>
      </c>
      <c r="S41" s="3"/>
      <c r="T41" s="7">
        <v>0</v>
      </c>
      <c r="U41" s="3"/>
      <c r="V41" s="8">
        <f t="shared" si="5"/>
        <v>0</v>
      </c>
      <c r="W41" s="3"/>
      <c r="X41" s="7">
        <f t="shared" si="6"/>
        <v>0</v>
      </c>
      <c r="Y41" s="3"/>
      <c r="Z41" s="8">
        <f t="shared" si="7"/>
        <v>0</v>
      </c>
    </row>
    <row r="42" spans="1:26" s="69" customFormat="1" ht="15" customHeight="1" outlineLevel="1" collapsed="1" x14ac:dyDescent="0.3">
      <c r="A42" s="25"/>
      <c r="B42" s="14" t="str">
        <f>CONCATENATE("     ","Advertising/Promo                                 ")</f>
        <v xml:space="preserve">     Advertising/Promo                                 </v>
      </c>
      <c r="C42" s="14"/>
      <c r="D42" s="2">
        <f>SUM(OSRRefD22_2x_0)</f>
        <v>0</v>
      </c>
      <c r="E42" s="2"/>
      <c r="F42" s="6">
        <f t="shared" si="0"/>
        <v>0</v>
      </c>
      <c r="G42" s="2"/>
      <c r="H42" s="2">
        <f>SUM(OSRRefH22_2x_0)</f>
        <v>0</v>
      </c>
      <c r="I42" s="2"/>
      <c r="J42" s="6">
        <f t="shared" si="1"/>
        <v>0</v>
      </c>
      <c r="K42" s="2"/>
      <c r="L42" s="2">
        <f t="shared" si="2"/>
        <v>0</v>
      </c>
      <c r="M42" s="2"/>
      <c r="N42" s="6">
        <f t="shared" si="3"/>
        <v>0</v>
      </c>
      <c r="O42" s="14"/>
      <c r="P42" s="2">
        <f>SUM(OSRRefP22_2x_0)</f>
        <v>-366.38</v>
      </c>
      <c r="Q42" s="2"/>
      <c r="R42" s="6">
        <f t="shared" si="4"/>
        <v>0</v>
      </c>
      <c r="S42" s="2"/>
      <c r="T42" s="2">
        <f>SUM(OSRRefT22_2x_0)</f>
        <v>0</v>
      </c>
      <c r="U42" s="2"/>
      <c r="V42" s="6">
        <f t="shared" si="5"/>
        <v>0</v>
      </c>
      <c r="W42" s="2"/>
      <c r="X42" s="2">
        <f t="shared" si="6"/>
        <v>-366.38</v>
      </c>
      <c r="Y42" s="2"/>
      <c r="Z42" s="6">
        <f t="shared" si="7"/>
        <v>0</v>
      </c>
    </row>
    <row r="43" spans="1:26" s="70" customFormat="1" ht="15" hidden="1" customHeight="1" outlineLevel="2" x14ac:dyDescent="0.3">
      <c r="A43" s="26"/>
      <c r="B43" s="12" t="str">
        <f>CONCATENATE("          ","6362"," - ","ADVERTISING EXPENSE")</f>
        <v xml:space="preserve">          6362 - ADVERTISING EXPENSE</v>
      </c>
      <c r="C43" s="12"/>
      <c r="D43" s="7"/>
      <c r="E43" s="3"/>
      <c r="F43" s="8">
        <f t="shared" si="0"/>
        <v>0</v>
      </c>
      <c r="G43" s="3"/>
      <c r="H43" s="7"/>
      <c r="I43" s="3"/>
      <c r="J43" s="8">
        <f t="shared" si="1"/>
        <v>0</v>
      </c>
      <c r="K43" s="3"/>
      <c r="L43" s="7">
        <f t="shared" si="2"/>
        <v>0</v>
      </c>
      <c r="M43" s="3"/>
      <c r="N43" s="8">
        <f t="shared" si="3"/>
        <v>0</v>
      </c>
      <c r="O43" s="12"/>
      <c r="P43" s="7">
        <v>-366.38</v>
      </c>
      <c r="Q43" s="3"/>
      <c r="R43" s="8">
        <f t="shared" si="4"/>
        <v>0</v>
      </c>
      <c r="S43" s="3"/>
      <c r="T43" s="7"/>
      <c r="U43" s="3"/>
      <c r="V43" s="8">
        <f t="shared" si="5"/>
        <v>0</v>
      </c>
      <c r="W43" s="3"/>
      <c r="X43" s="7">
        <f t="shared" si="6"/>
        <v>-366.38</v>
      </c>
      <c r="Y43" s="3"/>
      <c r="Z43" s="8">
        <f t="shared" si="7"/>
        <v>0</v>
      </c>
    </row>
    <row r="44" spans="1:26" s="69" customFormat="1" ht="15" customHeight="1" outlineLevel="1" collapsed="1" x14ac:dyDescent="0.3">
      <c r="A44" s="25"/>
      <c r="B44" s="14" t="str">
        <f>CONCATENATE("     ","Bad Debts/Over/Short                              ")</f>
        <v xml:space="preserve">     Bad Debts/Over/Short                              </v>
      </c>
      <c r="C44" s="14"/>
      <c r="D44" s="2">
        <f>SUM(OSRRefD22_3x_0)</f>
        <v>-30.91</v>
      </c>
      <c r="E44" s="2"/>
      <c r="F44" s="6">
        <f t="shared" si="0"/>
        <v>0</v>
      </c>
      <c r="G44" s="2"/>
      <c r="H44" s="2">
        <f>SUM(OSRRefH22_3x_0)</f>
        <v>200</v>
      </c>
      <c r="I44" s="2"/>
      <c r="J44" s="6">
        <f t="shared" si="1"/>
        <v>0</v>
      </c>
      <c r="K44" s="2"/>
      <c r="L44" s="2">
        <f t="shared" si="2"/>
        <v>-230.91</v>
      </c>
      <c r="M44" s="2"/>
      <c r="N44" s="6">
        <f t="shared" si="3"/>
        <v>-1.15455</v>
      </c>
      <c r="O44" s="14"/>
      <c r="P44" s="2">
        <f>SUM(OSRRefP22_3x_0)</f>
        <v>110.84</v>
      </c>
      <c r="Q44" s="2"/>
      <c r="R44" s="6">
        <f t="shared" si="4"/>
        <v>0</v>
      </c>
      <c r="S44" s="2"/>
      <c r="T44" s="2">
        <f>SUM(OSRRefT22_3x_0)</f>
        <v>1800</v>
      </c>
      <c r="U44" s="2"/>
      <c r="V44" s="6">
        <f t="shared" si="5"/>
        <v>0</v>
      </c>
      <c r="W44" s="2"/>
      <c r="X44" s="2">
        <f t="shared" si="6"/>
        <v>-1689.16</v>
      </c>
      <c r="Y44" s="2"/>
      <c r="Z44" s="6">
        <f t="shared" si="7"/>
        <v>-0.93842222222222227</v>
      </c>
    </row>
    <row r="45" spans="1:26" s="70" customFormat="1" ht="15" hidden="1" customHeight="1" outlineLevel="2" x14ac:dyDescent="0.3">
      <c r="A45" s="26"/>
      <c r="B45" s="12" t="str">
        <f>CONCATENATE("          ","6272"," - ","CASH (OVER/SHORT)")</f>
        <v xml:space="preserve">          6272 - CASH (OVER/SHORT)</v>
      </c>
      <c r="C45" s="12"/>
      <c r="D45" s="7">
        <v>-30.91</v>
      </c>
      <c r="E45" s="3"/>
      <c r="F45" s="8">
        <f t="shared" si="0"/>
        <v>0</v>
      </c>
      <c r="G45" s="3"/>
      <c r="H45" s="7">
        <v>200</v>
      </c>
      <c r="I45" s="3"/>
      <c r="J45" s="8">
        <f t="shared" si="1"/>
        <v>0</v>
      </c>
      <c r="K45" s="3"/>
      <c r="L45" s="7">
        <f t="shared" si="2"/>
        <v>-230.91</v>
      </c>
      <c r="M45" s="3"/>
      <c r="N45" s="8">
        <f t="shared" si="3"/>
        <v>-1.15455</v>
      </c>
      <c r="O45" s="12"/>
      <c r="P45" s="7">
        <v>110.84</v>
      </c>
      <c r="Q45" s="3"/>
      <c r="R45" s="8">
        <f t="shared" si="4"/>
        <v>0</v>
      </c>
      <c r="S45" s="3"/>
      <c r="T45" s="7">
        <v>1800</v>
      </c>
      <c r="U45" s="3"/>
      <c r="V45" s="8">
        <f t="shared" si="5"/>
        <v>0</v>
      </c>
      <c r="W45" s="3"/>
      <c r="X45" s="7">
        <f t="shared" si="6"/>
        <v>-1689.16</v>
      </c>
      <c r="Y45" s="3"/>
      <c r="Z45" s="8">
        <f t="shared" si="7"/>
        <v>-0.93842222222222227</v>
      </c>
    </row>
    <row r="46" spans="1:26" s="69" customFormat="1" ht="15" customHeight="1" outlineLevel="1" collapsed="1" x14ac:dyDescent="0.3">
      <c r="A46" s="25"/>
      <c r="B46" s="14" t="str">
        <f>CONCATENATE("     ","Bank/card Fees                                    ")</f>
        <v xml:space="preserve">     Bank/card Fees                                    </v>
      </c>
      <c r="C46" s="14"/>
      <c r="D46" s="2">
        <f>SUM(OSRRefD22_4x_0)</f>
        <v>15573.86</v>
      </c>
      <c r="E46" s="2"/>
      <c r="F46" s="6">
        <f t="shared" si="0"/>
        <v>0</v>
      </c>
      <c r="G46" s="2"/>
      <c r="H46" s="2">
        <f>SUM(OSRRefH22_4x_0)</f>
        <v>6800</v>
      </c>
      <c r="I46" s="2"/>
      <c r="J46" s="6">
        <f t="shared" si="1"/>
        <v>0</v>
      </c>
      <c r="K46" s="2"/>
      <c r="L46" s="2">
        <f t="shared" si="2"/>
        <v>8773.86</v>
      </c>
      <c r="M46" s="2"/>
      <c r="N46" s="6">
        <f t="shared" si="3"/>
        <v>1.2902735294117649</v>
      </c>
      <c r="O46" s="14"/>
      <c r="P46" s="2">
        <f>SUM(OSRRefP22_4x_0)</f>
        <v>106592.47</v>
      </c>
      <c r="Q46" s="2"/>
      <c r="R46" s="6">
        <f t="shared" si="4"/>
        <v>0</v>
      </c>
      <c r="S46" s="2"/>
      <c r="T46" s="2">
        <f>SUM(OSRRefT22_4x_0)</f>
        <v>141100</v>
      </c>
      <c r="U46" s="2"/>
      <c r="V46" s="6">
        <f t="shared" si="5"/>
        <v>0</v>
      </c>
      <c r="W46" s="2"/>
      <c r="X46" s="2">
        <f t="shared" si="6"/>
        <v>-34507.53</v>
      </c>
      <c r="Y46" s="2"/>
      <c r="Z46" s="6">
        <f t="shared" si="7"/>
        <v>-0.24456080793763288</v>
      </c>
    </row>
    <row r="47" spans="1:26" s="70" customFormat="1" ht="15" hidden="1" customHeight="1" outlineLevel="2" x14ac:dyDescent="0.3">
      <c r="A47" s="26"/>
      <c r="B47" s="12" t="str">
        <f>CONCATENATE("          ","6381"," - ","BANK/CREDIT CARD FEES")</f>
        <v xml:space="preserve">          6381 - BANK/CREDIT CARD FEES</v>
      </c>
      <c r="C47" s="12"/>
      <c r="D47" s="7">
        <v>15573.86</v>
      </c>
      <c r="E47" s="3"/>
      <c r="F47" s="8">
        <f t="shared" si="0"/>
        <v>0</v>
      </c>
      <c r="G47" s="3"/>
      <c r="H47" s="7">
        <v>6800</v>
      </c>
      <c r="I47" s="3"/>
      <c r="J47" s="8">
        <f t="shared" si="1"/>
        <v>0</v>
      </c>
      <c r="K47" s="3"/>
      <c r="L47" s="7">
        <f t="shared" si="2"/>
        <v>8773.86</v>
      </c>
      <c r="M47" s="3"/>
      <c r="N47" s="8">
        <f t="shared" si="3"/>
        <v>1.2902735294117649</v>
      </c>
      <c r="O47" s="12"/>
      <c r="P47" s="7">
        <v>106592.47</v>
      </c>
      <c r="Q47" s="3"/>
      <c r="R47" s="8">
        <f t="shared" si="4"/>
        <v>0</v>
      </c>
      <c r="S47" s="3"/>
      <c r="T47" s="7">
        <v>141100</v>
      </c>
      <c r="U47" s="3"/>
      <c r="V47" s="8">
        <f t="shared" si="5"/>
        <v>0</v>
      </c>
      <c r="W47" s="3"/>
      <c r="X47" s="7">
        <f t="shared" si="6"/>
        <v>-34507.53</v>
      </c>
      <c r="Y47" s="3"/>
      <c r="Z47" s="8">
        <f t="shared" si="7"/>
        <v>-0.24456080793763288</v>
      </c>
    </row>
    <row r="48" spans="1:26" s="69" customFormat="1" ht="15" customHeight="1" outlineLevel="1" collapsed="1" x14ac:dyDescent="0.3">
      <c r="A48" s="25"/>
      <c r="B48" s="14" t="str">
        <f>CONCATENATE("     ","Depreciation                                      ")</f>
        <v xml:space="preserve">     Depreciation                                      </v>
      </c>
      <c r="C48" s="14"/>
      <c r="D48" s="2">
        <f>SUM(OSRRefD22_5x_0)</f>
        <v>27370.129999999997</v>
      </c>
      <c r="E48" s="2"/>
      <c r="F48" s="6">
        <f t="shared" si="0"/>
        <v>0</v>
      </c>
      <c r="G48" s="2"/>
      <c r="H48" s="2">
        <f>SUM(OSRRefH22_5x_0)</f>
        <v>27249</v>
      </c>
      <c r="I48" s="2"/>
      <c r="J48" s="6">
        <f t="shared" si="1"/>
        <v>0</v>
      </c>
      <c r="K48" s="2"/>
      <c r="L48" s="2">
        <f t="shared" si="2"/>
        <v>121.12999999999738</v>
      </c>
      <c r="M48" s="2"/>
      <c r="N48" s="6">
        <f t="shared" si="3"/>
        <v>4.445300744981371E-3</v>
      </c>
      <c r="O48" s="14"/>
      <c r="P48" s="2">
        <f>SUM(OSRRefP22_5x_0)</f>
        <v>265907.65000000002</v>
      </c>
      <c r="Q48" s="2"/>
      <c r="R48" s="6">
        <f t="shared" si="4"/>
        <v>0</v>
      </c>
      <c r="S48" s="2"/>
      <c r="T48" s="2">
        <f>SUM(OSRRefT22_5x_0)</f>
        <v>264818</v>
      </c>
      <c r="U48" s="2"/>
      <c r="V48" s="6">
        <f t="shared" si="5"/>
        <v>0</v>
      </c>
      <c r="W48" s="2"/>
      <c r="X48" s="2">
        <f t="shared" si="6"/>
        <v>1089.6500000000233</v>
      </c>
      <c r="Y48" s="2"/>
      <c r="Z48" s="6">
        <f t="shared" si="7"/>
        <v>4.1147127461125125E-3</v>
      </c>
    </row>
    <row r="49" spans="1:26" s="70" customFormat="1" ht="15" hidden="1" customHeight="1" outlineLevel="2" x14ac:dyDescent="0.3">
      <c r="A49" s="26"/>
      <c r="B49" s="12" t="str">
        <f>CONCATENATE("          ","6321"," - ","BUILDING DEPRECIATION")</f>
        <v xml:space="preserve">          6321 - BUILDING DEPRECIATION</v>
      </c>
      <c r="C49" s="12"/>
      <c r="D49" s="7">
        <v>13321.71</v>
      </c>
      <c r="E49" s="3"/>
      <c r="F49" s="8">
        <f t="shared" si="0"/>
        <v>0</v>
      </c>
      <c r="G49" s="3"/>
      <c r="H49" s="7"/>
      <c r="I49" s="3"/>
      <c r="J49" s="8">
        <f t="shared" si="1"/>
        <v>0</v>
      </c>
      <c r="K49" s="3"/>
      <c r="L49" s="7">
        <f t="shared" si="2"/>
        <v>13321.71</v>
      </c>
      <c r="M49" s="3"/>
      <c r="N49" s="8">
        <f t="shared" si="3"/>
        <v>0</v>
      </c>
      <c r="O49" s="12"/>
      <c r="P49" s="7">
        <v>139154.13</v>
      </c>
      <c r="Q49" s="3"/>
      <c r="R49" s="8">
        <f t="shared" si="4"/>
        <v>0</v>
      </c>
      <c r="S49" s="3"/>
      <c r="T49" s="7"/>
      <c r="U49" s="3"/>
      <c r="V49" s="8">
        <f t="shared" si="5"/>
        <v>0</v>
      </c>
      <c r="W49" s="3"/>
      <c r="X49" s="7">
        <f t="shared" si="6"/>
        <v>139154.13</v>
      </c>
      <c r="Y49" s="3"/>
      <c r="Z49" s="8">
        <f t="shared" si="7"/>
        <v>0</v>
      </c>
    </row>
    <row r="50" spans="1:26" s="70" customFormat="1" ht="15" hidden="1" customHeight="1" outlineLevel="2" x14ac:dyDescent="0.3">
      <c r="A50" s="26"/>
      <c r="B50" s="12" t="str">
        <f>CONCATENATE("          ","6322"," - ","EQUIPMENT DEPRECIATION EXPENSE")</f>
        <v xml:space="preserve">          6322 - EQUIPMENT DEPRECIATION EXPENSE</v>
      </c>
      <c r="C50" s="12"/>
      <c r="D50" s="7">
        <v>14048.42</v>
      </c>
      <c r="E50" s="3"/>
      <c r="F50" s="8">
        <f t="shared" si="0"/>
        <v>0</v>
      </c>
      <c r="G50" s="3"/>
      <c r="H50" s="7">
        <v>27249</v>
      </c>
      <c r="I50" s="3"/>
      <c r="J50" s="8">
        <f t="shared" si="1"/>
        <v>0</v>
      </c>
      <c r="K50" s="3"/>
      <c r="L50" s="7">
        <f t="shared" si="2"/>
        <v>-13200.58</v>
      </c>
      <c r="M50" s="3"/>
      <c r="N50" s="8">
        <f t="shared" si="3"/>
        <v>-0.48444273184337039</v>
      </c>
      <c r="O50" s="12"/>
      <c r="P50" s="7">
        <v>126753.52</v>
      </c>
      <c r="Q50" s="3"/>
      <c r="R50" s="8">
        <f t="shared" si="4"/>
        <v>0</v>
      </c>
      <c r="S50" s="3"/>
      <c r="T50" s="7">
        <v>264818</v>
      </c>
      <c r="U50" s="3"/>
      <c r="V50" s="8">
        <f t="shared" si="5"/>
        <v>0</v>
      </c>
      <c r="W50" s="3"/>
      <c r="X50" s="7">
        <f t="shared" si="6"/>
        <v>-138064.47999999998</v>
      </c>
      <c r="Y50" s="3"/>
      <c r="Z50" s="8">
        <f t="shared" si="7"/>
        <v>-0.52135610117137043</v>
      </c>
    </row>
    <row r="51" spans="1:26" s="69" customFormat="1" ht="15" customHeight="1" outlineLevel="1" collapsed="1" x14ac:dyDescent="0.3">
      <c r="A51" s="25"/>
      <c r="B51" s="14" t="str">
        <f>CONCATENATE("     ","Discounts and Markdowns                           ")</f>
        <v xml:space="preserve">     Discounts and Markdowns                           </v>
      </c>
      <c r="C51" s="14"/>
      <c r="D51" s="2">
        <f>SUM(OSRRefD22_6x_0)</f>
        <v>-7.05</v>
      </c>
      <c r="E51" s="2"/>
      <c r="F51" s="6">
        <f t="shared" ref="F51:F82" si="8">IF(D$12=0,0,D51/D$12)</f>
        <v>0</v>
      </c>
      <c r="G51" s="2"/>
      <c r="H51" s="2">
        <f>SUM(OSRRefH22_6x_0)</f>
        <v>0</v>
      </c>
      <c r="I51" s="2"/>
      <c r="J51" s="6">
        <f t="shared" ref="J51:J82" si="9">IF(H$12=0,0,H51/H$12)</f>
        <v>0</v>
      </c>
      <c r="K51" s="2"/>
      <c r="L51" s="2">
        <f t="shared" ref="L51:L82" si="10">+D51-H51</f>
        <v>-7.05</v>
      </c>
      <c r="M51" s="2"/>
      <c r="N51" s="6">
        <f t="shared" ref="N51:N82" si="11">IF(H51=0,0,L51/H51)</f>
        <v>0</v>
      </c>
      <c r="O51" s="14"/>
      <c r="P51" s="2">
        <f>SUM(OSRRefP22_6x_0)</f>
        <v>2056.15</v>
      </c>
      <c r="Q51" s="2"/>
      <c r="R51" s="6">
        <f t="shared" ref="R51:R82" si="12">IF(P$12=0,0,P51/P$12)</f>
        <v>0</v>
      </c>
      <c r="S51" s="2"/>
      <c r="T51" s="2">
        <f>SUM(OSRRefT22_6x_0)</f>
        <v>0</v>
      </c>
      <c r="U51" s="2"/>
      <c r="V51" s="6">
        <f t="shared" ref="V51:V82" si="13">IF(T$12=0,0,T51/T$12)</f>
        <v>0</v>
      </c>
      <c r="W51" s="2"/>
      <c r="X51" s="2">
        <f t="shared" ref="X51:X82" si="14">+P51-T51</f>
        <v>2056.15</v>
      </c>
      <c r="Y51" s="2"/>
      <c r="Z51" s="6">
        <f t="shared" ref="Z51:Z82" si="15">IF(T51=0,0,X51/T51)</f>
        <v>0</v>
      </c>
    </row>
    <row r="52" spans="1:26" s="70" customFormat="1" ht="15" hidden="1" customHeight="1" outlineLevel="2" x14ac:dyDescent="0.3">
      <c r="A52" s="26"/>
      <c r="B52" s="12" t="str">
        <f>CONCATENATE("          ","6382"," - ","DISCOUNTS/MARK DOWNS")</f>
        <v xml:space="preserve">          6382 - DISCOUNTS/MARK DOWNS</v>
      </c>
      <c r="C52" s="12"/>
      <c r="D52" s="7"/>
      <c r="E52" s="3"/>
      <c r="F52" s="8">
        <f t="shared" si="8"/>
        <v>0</v>
      </c>
      <c r="G52" s="3"/>
      <c r="H52" s="7"/>
      <c r="I52" s="3"/>
      <c r="J52" s="8">
        <f t="shared" si="9"/>
        <v>0</v>
      </c>
      <c r="K52" s="3"/>
      <c r="L52" s="7">
        <f t="shared" si="10"/>
        <v>0</v>
      </c>
      <c r="M52" s="3"/>
      <c r="N52" s="8">
        <f t="shared" si="11"/>
        <v>0</v>
      </c>
      <c r="O52" s="12"/>
      <c r="P52" s="7">
        <v>2170</v>
      </c>
      <c r="Q52" s="3"/>
      <c r="R52" s="8">
        <f t="shared" si="12"/>
        <v>0</v>
      </c>
      <c r="S52" s="3"/>
      <c r="T52" s="7"/>
      <c r="U52" s="3"/>
      <c r="V52" s="8">
        <f t="shared" si="13"/>
        <v>0</v>
      </c>
      <c r="W52" s="3"/>
      <c r="X52" s="7">
        <f t="shared" si="14"/>
        <v>2170</v>
      </c>
      <c r="Y52" s="3"/>
      <c r="Z52" s="8">
        <f t="shared" si="15"/>
        <v>0</v>
      </c>
    </row>
    <row r="53" spans="1:26" s="70" customFormat="1" ht="15" hidden="1" customHeight="1" outlineLevel="2" x14ac:dyDescent="0.3">
      <c r="A53" s="26"/>
      <c r="B53" s="12" t="str">
        <f>CONCATENATE("          ","9175"," - ","EARNED DISCOUNTS")</f>
        <v xml:space="preserve">          9175 - EARNED DISCOUNTS</v>
      </c>
      <c r="C53" s="12"/>
      <c r="D53" s="7">
        <v>-7.05</v>
      </c>
      <c r="E53" s="3"/>
      <c r="F53" s="8">
        <f t="shared" si="8"/>
        <v>0</v>
      </c>
      <c r="G53" s="3"/>
      <c r="H53" s="7"/>
      <c r="I53" s="3"/>
      <c r="J53" s="8">
        <f t="shared" si="9"/>
        <v>0</v>
      </c>
      <c r="K53" s="3"/>
      <c r="L53" s="7">
        <f t="shared" si="10"/>
        <v>-7.05</v>
      </c>
      <c r="M53" s="3"/>
      <c r="N53" s="8">
        <f t="shared" si="11"/>
        <v>0</v>
      </c>
      <c r="O53" s="12"/>
      <c r="P53" s="7">
        <v>-113.85</v>
      </c>
      <c r="Q53" s="3"/>
      <c r="R53" s="8">
        <f t="shared" si="12"/>
        <v>0</v>
      </c>
      <c r="S53" s="3"/>
      <c r="T53" s="7"/>
      <c r="U53" s="3"/>
      <c r="V53" s="8">
        <f t="shared" si="13"/>
        <v>0</v>
      </c>
      <c r="W53" s="3"/>
      <c r="X53" s="7">
        <f t="shared" si="14"/>
        <v>-113.85</v>
      </c>
      <c r="Y53" s="3"/>
      <c r="Z53" s="8">
        <f t="shared" si="15"/>
        <v>0</v>
      </c>
    </row>
    <row r="54" spans="1:26" s="69" customFormat="1" ht="15" customHeight="1" outlineLevel="1" collapsed="1" x14ac:dyDescent="0.3">
      <c r="A54" s="25"/>
      <c r="B54" s="14" t="str">
        <f>CONCATENATE("     ","Donations                                         ")</f>
        <v xml:space="preserve">     Donations                                         </v>
      </c>
      <c r="C54" s="14"/>
      <c r="D54" s="2">
        <f>SUM(OSRRefD22_7x_0)</f>
        <v>0</v>
      </c>
      <c r="E54" s="2"/>
      <c r="F54" s="6">
        <f t="shared" si="8"/>
        <v>0</v>
      </c>
      <c r="G54" s="2"/>
      <c r="H54" s="2">
        <f>SUM(OSRRefH22_7x_0)</f>
        <v>1250</v>
      </c>
      <c r="I54" s="2"/>
      <c r="J54" s="6">
        <f t="shared" si="9"/>
        <v>0</v>
      </c>
      <c r="K54" s="2"/>
      <c r="L54" s="2">
        <f t="shared" si="10"/>
        <v>-1250</v>
      </c>
      <c r="M54" s="2"/>
      <c r="N54" s="6">
        <f t="shared" si="11"/>
        <v>-1</v>
      </c>
      <c r="O54" s="14"/>
      <c r="P54" s="2">
        <f>SUM(OSRRefP22_7x_0)</f>
        <v>5818.27</v>
      </c>
      <c r="Q54" s="2"/>
      <c r="R54" s="6">
        <f t="shared" si="12"/>
        <v>0</v>
      </c>
      <c r="S54" s="2"/>
      <c r="T54" s="2">
        <f>SUM(OSRRefT22_7x_0)</f>
        <v>11250</v>
      </c>
      <c r="U54" s="2"/>
      <c r="V54" s="6">
        <f t="shared" si="13"/>
        <v>0</v>
      </c>
      <c r="W54" s="2"/>
      <c r="X54" s="2">
        <f t="shared" si="14"/>
        <v>-5431.73</v>
      </c>
      <c r="Y54" s="2"/>
      <c r="Z54" s="6">
        <f t="shared" si="15"/>
        <v>-0.48282044444444439</v>
      </c>
    </row>
    <row r="55" spans="1:26" s="70" customFormat="1" ht="15" hidden="1" customHeight="1" outlineLevel="2" x14ac:dyDescent="0.3">
      <c r="A55" s="26"/>
      <c r="B55" s="12" t="str">
        <f>CONCATENATE("          ","6399"," - ","DONATION-ON CAMPUS")</f>
        <v xml:space="preserve">          6399 - DONATION-ON CAMPUS</v>
      </c>
      <c r="C55" s="12"/>
      <c r="D55" s="7"/>
      <c r="E55" s="3"/>
      <c r="F55" s="8">
        <f t="shared" si="8"/>
        <v>0</v>
      </c>
      <c r="G55" s="3"/>
      <c r="H55" s="7">
        <v>1250</v>
      </c>
      <c r="I55" s="3"/>
      <c r="J55" s="8">
        <f t="shared" si="9"/>
        <v>0</v>
      </c>
      <c r="K55" s="3"/>
      <c r="L55" s="7">
        <f t="shared" si="10"/>
        <v>-1250</v>
      </c>
      <c r="M55" s="3"/>
      <c r="N55" s="8">
        <f t="shared" si="11"/>
        <v>-1</v>
      </c>
      <c r="O55" s="12"/>
      <c r="P55" s="7">
        <v>5818.27</v>
      </c>
      <c r="Q55" s="3"/>
      <c r="R55" s="8">
        <f t="shared" si="12"/>
        <v>0</v>
      </c>
      <c r="S55" s="3"/>
      <c r="T55" s="7">
        <v>11250</v>
      </c>
      <c r="U55" s="3"/>
      <c r="V55" s="8">
        <f t="shared" si="13"/>
        <v>0</v>
      </c>
      <c r="W55" s="3"/>
      <c r="X55" s="7">
        <f t="shared" si="14"/>
        <v>-5431.73</v>
      </c>
      <c r="Y55" s="3"/>
      <c r="Z55" s="8">
        <f t="shared" si="15"/>
        <v>-0.48282044444444439</v>
      </c>
    </row>
    <row r="56" spans="1:26" s="69" customFormat="1" ht="15" customHeight="1" outlineLevel="1" collapsed="1" x14ac:dyDescent="0.3">
      <c r="A56" s="25"/>
      <c r="B56" s="14" t="str">
        <f>CONCATENATE("     ","Employees' Appreciation                           ")</f>
        <v xml:space="preserve">     Employees' Appreciation                           </v>
      </c>
      <c r="C56" s="14"/>
      <c r="D56" s="2">
        <f>SUM(OSRRefD22_8x_0)</f>
        <v>0</v>
      </c>
      <c r="E56" s="2"/>
      <c r="F56" s="6">
        <f t="shared" si="8"/>
        <v>0</v>
      </c>
      <c r="G56" s="2"/>
      <c r="H56" s="2">
        <f>SUM(OSRRefH22_8x_0)</f>
        <v>100</v>
      </c>
      <c r="I56" s="2"/>
      <c r="J56" s="6">
        <f t="shared" si="9"/>
        <v>0</v>
      </c>
      <c r="K56" s="2"/>
      <c r="L56" s="2">
        <f t="shared" si="10"/>
        <v>-100</v>
      </c>
      <c r="M56" s="2"/>
      <c r="N56" s="6">
        <f t="shared" si="11"/>
        <v>-1</v>
      </c>
      <c r="O56" s="14"/>
      <c r="P56" s="2">
        <f>SUM(OSRRefP22_8x_0)</f>
        <v>4028.75</v>
      </c>
      <c r="Q56" s="2"/>
      <c r="R56" s="6">
        <f t="shared" si="12"/>
        <v>0</v>
      </c>
      <c r="S56" s="2"/>
      <c r="T56" s="2">
        <f>SUM(OSRRefT22_8x_0)</f>
        <v>900</v>
      </c>
      <c r="U56" s="2"/>
      <c r="V56" s="6">
        <f t="shared" si="13"/>
        <v>0</v>
      </c>
      <c r="W56" s="2"/>
      <c r="X56" s="2">
        <f t="shared" si="14"/>
        <v>3128.75</v>
      </c>
      <c r="Y56" s="2"/>
      <c r="Z56" s="6">
        <f t="shared" si="15"/>
        <v>3.4763888888888888</v>
      </c>
    </row>
    <row r="57" spans="1:26" s="70" customFormat="1" ht="15" hidden="1" customHeight="1" outlineLevel="2" x14ac:dyDescent="0.3">
      <c r="A57" s="26"/>
      <c r="B57" s="12" t="str">
        <f>CONCATENATE("          ","6277"," - ","EMPLOYEE APPRECIATION")</f>
        <v xml:space="preserve">          6277 - EMPLOYEE APPRECIATION</v>
      </c>
      <c r="C57" s="12"/>
      <c r="D57" s="7"/>
      <c r="E57" s="3"/>
      <c r="F57" s="8">
        <f t="shared" si="8"/>
        <v>0</v>
      </c>
      <c r="G57" s="3"/>
      <c r="H57" s="7">
        <v>100</v>
      </c>
      <c r="I57" s="3"/>
      <c r="J57" s="8">
        <f t="shared" si="9"/>
        <v>0</v>
      </c>
      <c r="K57" s="3"/>
      <c r="L57" s="7">
        <f t="shared" si="10"/>
        <v>-100</v>
      </c>
      <c r="M57" s="3"/>
      <c r="N57" s="8">
        <f t="shared" si="11"/>
        <v>-1</v>
      </c>
      <c r="O57" s="12"/>
      <c r="P57" s="7">
        <v>4028.75</v>
      </c>
      <c r="Q57" s="3"/>
      <c r="R57" s="8">
        <f t="shared" si="12"/>
        <v>0</v>
      </c>
      <c r="S57" s="3"/>
      <c r="T57" s="7">
        <v>900</v>
      </c>
      <c r="U57" s="3"/>
      <c r="V57" s="8">
        <f t="shared" si="13"/>
        <v>0</v>
      </c>
      <c r="W57" s="3"/>
      <c r="X57" s="7">
        <f t="shared" si="14"/>
        <v>3128.75</v>
      </c>
      <c r="Y57" s="3"/>
      <c r="Z57" s="8">
        <f t="shared" si="15"/>
        <v>3.4763888888888888</v>
      </c>
    </row>
    <row r="58" spans="1:26" s="69" customFormat="1" ht="15" customHeight="1" outlineLevel="1" collapsed="1" x14ac:dyDescent="0.3">
      <c r="A58" s="25"/>
      <c r="B58" s="14" t="str">
        <f>CONCATENATE("     ","Equipment Rental                                  ")</f>
        <v xml:space="preserve">     Equipment Rental                                  </v>
      </c>
      <c r="C58" s="14"/>
      <c r="D58" s="2">
        <f>SUM(OSRRefD22_9x_0)</f>
        <v>415.15</v>
      </c>
      <c r="E58" s="2"/>
      <c r="F58" s="6">
        <f t="shared" si="8"/>
        <v>0</v>
      </c>
      <c r="G58" s="2"/>
      <c r="H58" s="2">
        <f>SUM(OSRRefH22_9x_0)</f>
        <v>300</v>
      </c>
      <c r="I58" s="2"/>
      <c r="J58" s="6">
        <f t="shared" si="9"/>
        <v>0</v>
      </c>
      <c r="K58" s="2"/>
      <c r="L58" s="2">
        <f t="shared" si="10"/>
        <v>115.14999999999998</v>
      </c>
      <c r="M58" s="2"/>
      <c r="N58" s="6">
        <f t="shared" si="11"/>
        <v>0.38383333333333325</v>
      </c>
      <c r="O58" s="14"/>
      <c r="P58" s="2">
        <f>SUM(OSRRefP22_9x_0)</f>
        <v>2527.88</v>
      </c>
      <c r="Q58" s="2"/>
      <c r="R58" s="6">
        <f t="shared" si="12"/>
        <v>0</v>
      </c>
      <c r="S58" s="2"/>
      <c r="T58" s="2">
        <f>SUM(OSRRefT22_9x_0)</f>
        <v>2700</v>
      </c>
      <c r="U58" s="2"/>
      <c r="V58" s="6">
        <f t="shared" si="13"/>
        <v>0</v>
      </c>
      <c r="W58" s="2"/>
      <c r="X58" s="2">
        <f t="shared" si="14"/>
        <v>-172.11999999999989</v>
      </c>
      <c r="Y58" s="2"/>
      <c r="Z58" s="6">
        <f t="shared" si="15"/>
        <v>-6.3748148148148109E-2</v>
      </c>
    </row>
    <row r="59" spans="1:26" s="70" customFormat="1" ht="15" hidden="1" customHeight="1" outlineLevel="2" x14ac:dyDescent="0.3">
      <c r="A59" s="26"/>
      <c r="B59" s="12" t="str">
        <f>CONCATENATE("          ","6351"," - ","EQUIPMENT RENTAL")</f>
        <v xml:space="preserve">          6351 - EQUIPMENT RENTAL</v>
      </c>
      <c r="C59" s="12"/>
      <c r="D59" s="7">
        <v>415.15</v>
      </c>
      <c r="E59" s="3"/>
      <c r="F59" s="8">
        <f t="shared" si="8"/>
        <v>0</v>
      </c>
      <c r="G59" s="3"/>
      <c r="H59" s="7">
        <v>300</v>
      </c>
      <c r="I59" s="3"/>
      <c r="J59" s="8">
        <f t="shared" si="9"/>
        <v>0</v>
      </c>
      <c r="K59" s="3"/>
      <c r="L59" s="7">
        <f t="shared" si="10"/>
        <v>115.14999999999998</v>
      </c>
      <c r="M59" s="3"/>
      <c r="N59" s="8">
        <f t="shared" si="11"/>
        <v>0.38383333333333325</v>
      </c>
      <c r="O59" s="12"/>
      <c r="P59" s="7">
        <v>2527.88</v>
      </c>
      <c r="Q59" s="3"/>
      <c r="R59" s="8">
        <f t="shared" si="12"/>
        <v>0</v>
      </c>
      <c r="S59" s="3"/>
      <c r="T59" s="7">
        <v>2700</v>
      </c>
      <c r="U59" s="3"/>
      <c r="V59" s="8">
        <f t="shared" si="13"/>
        <v>0</v>
      </c>
      <c r="W59" s="3"/>
      <c r="X59" s="7">
        <f t="shared" si="14"/>
        <v>-172.11999999999989</v>
      </c>
      <c r="Y59" s="3"/>
      <c r="Z59" s="8">
        <f t="shared" si="15"/>
        <v>-6.3748148148148109E-2</v>
      </c>
    </row>
    <row r="60" spans="1:26" s="69" customFormat="1" ht="15" customHeight="1" outlineLevel="1" collapsed="1" x14ac:dyDescent="0.3">
      <c r="A60" s="25"/>
      <c r="B60" s="14" t="str">
        <f>CONCATENATE("     ","Freight out/Postage                               ")</f>
        <v xml:space="preserve">     Freight out/Postage                               </v>
      </c>
      <c r="C60" s="14"/>
      <c r="D60" s="2">
        <f>SUM(OSRRefD22_10x_0)</f>
        <v>15.95</v>
      </c>
      <c r="E60" s="2"/>
      <c r="F60" s="6">
        <f t="shared" si="8"/>
        <v>0</v>
      </c>
      <c r="G60" s="2"/>
      <c r="H60" s="2">
        <f>SUM(OSRRefH22_10x_0)</f>
        <v>100</v>
      </c>
      <c r="I60" s="2"/>
      <c r="J60" s="6">
        <f t="shared" si="9"/>
        <v>0</v>
      </c>
      <c r="K60" s="2"/>
      <c r="L60" s="2">
        <f t="shared" si="10"/>
        <v>-84.05</v>
      </c>
      <c r="M60" s="2"/>
      <c r="N60" s="6">
        <f t="shared" si="11"/>
        <v>-0.84050000000000002</v>
      </c>
      <c r="O60" s="14"/>
      <c r="P60" s="2">
        <f>SUM(OSRRefP22_10x_0)</f>
        <v>11264.13</v>
      </c>
      <c r="Q60" s="2"/>
      <c r="R60" s="6">
        <f t="shared" si="12"/>
        <v>0</v>
      </c>
      <c r="S60" s="2"/>
      <c r="T60" s="2">
        <f>SUM(OSRRefT22_10x_0)</f>
        <v>900</v>
      </c>
      <c r="U60" s="2"/>
      <c r="V60" s="6">
        <f t="shared" si="13"/>
        <v>0</v>
      </c>
      <c r="W60" s="2"/>
      <c r="X60" s="2">
        <f t="shared" si="14"/>
        <v>10364.129999999999</v>
      </c>
      <c r="Y60" s="2"/>
      <c r="Z60" s="6">
        <f t="shared" si="15"/>
        <v>11.515699999999999</v>
      </c>
    </row>
    <row r="61" spans="1:26" s="70" customFormat="1" ht="15" hidden="1" customHeight="1" outlineLevel="2" x14ac:dyDescent="0.3">
      <c r="A61" s="26"/>
      <c r="B61" s="12" t="str">
        <f>CONCATENATE("          ","6307"," - ","POSTAGE")</f>
        <v xml:space="preserve">          6307 - POSTAGE</v>
      </c>
      <c r="C61" s="12"/>
      <c r="D61" s="7">
        <v>15.95</v>
      </c>
      <c r="E61" s="3"/>
      <c r="F61" s="8">
        <f t="shared" si="8"/>
        <v>0</v>
      </c>
      <c r="G61" s="3"/>
      <c r="H61" s="7">
        <v>100</v>
      </c>
      <c r="I61" s="3"/>
      <c r="J61" s="8">
        <f t="shared" si="9"/>
        <v>0</v>
      </c>
      <c r="K61" s="3"/>
      <c r="L61" s="7">
        <f t="shared" si="10"/>
        <v>-84.05</v>
      </c>
      <c r="M61" s="3"/>
      <c r="N61" s="8">
        <f t="shared" si="11"/>
        <v>-0.84050000000000002</v>
      </c>
      <c r="O61" s="12"/>
      <c r="P61" s="7">
        <v>11264.13</v>
      </c>
      <c r="Q61" s="3"/>
      <c r="R61" s="8">
        <f t="shared" si="12"/>
        <v>0</v>
      </c>
      <c r="S61" s="3"/>
      <c r="T61" s="7">
        <v>900</v>
      </c>
      <c r="U61" s="3"/>
      <c r="V61" s="8">
        <f t="shared" si="13"/>
        <v>0</v>
      </c>
      <c r="W61" s="3"/>
      <c r="X61" s="7">
        <f t="shared" si="14"/>
        <v>10364.129999999999</v>
      </c>
      <c r="Y61" s="3"/>
      <c r="Z61" s="8">
        <f t="shared" si="15"/>
        <v>11.515699999999999</v>
      </c>
    </row>
    <row r="62" spans="1:26" s="69" customFormat="1" ht="15" customHeight="1" outlineLevel="1" collapsed="1" x14ac:dyDescent="0.3">
      <c r="A62" s="25"/>
      <c r="B62" s="14" t="str">
        <f>CONCATENATE("     ","General                                           ")</f>
        <v xml:space="preserve">     General                                           </v>
      </c>
      <c r="C62" s="14"/>
      <c r="D62" s="2">
        <f>SUM(OSRRefD22_11x_0)</f>
        <v>72</v>
      </c>
      <c r="E62" s="2"/>
      <c r="F62" s="6">
        <f t="shared" si="8"/>
        <v>0</v>
      </c>
      <c r="G62" s="2"/>
      <c r="H62" s="2">
        <f>SUM(OSRRefH22_11x_0)</f>
        <v>200</v>
      </c>
      <c r="I62" s="2"/>
      <c r="J62" s="6">
        <f t="shared" si="9"/>
        <v>0</v>
      </c>
      <c r="K62" s="2"/>
      <c r="L62" s="2">
        <f t="shared" si="10"/>
        <v>-128</v>
      </c>
      <c r="M62" s="2"/>
      <c r="N62" s="6">
        <f t="shared" si="11"/>
        <v>-0.64</v>
      </c>
      <c r="O62" s="14"/>
      <c r="P62" s="2">
        <f>SUM(OSRRefP22_11x_0)</f>
        <v>2895.8</v>
      </c>
      <c r="Q62" s="2"/>
      <c r="R62" s="6">
        <f t="shared" si="12"/>
        <v>0</v>
      </c>
      <c r="S62" s="2"/>
      <c r="T62" s="2">
        <f>SUM(OSRRefT22_11x_0)</f>
        <v>1800</v>
      </c>
      <c r="U62" s="2"/>
      <c r="V62" s="6">
        <f t="shared" si="13"/>
        <v>0</v>
      </c>
      <c r="W62" s="2"/>
      <c r="X62" s="2">
        <f t="shared" si="14"/>
        <v>1095.8000000000002</v>
      </c>
      <c r="Y62" s="2"/>
      <c r="Z62" s="6">
        <f t="shared" si="15"/>
        <v>0.60877777777777786</v>
      </c>
    </row>
    <row r="63" spans="1:26" s="70" customFormat="1" ht="15" hidden="1" customHeight="1" outlineLevel="2" x14ac:dyDescent="0.3">
      <c r="A63" s="26"/>
      <c r="B63" s="12" t="str">
        <f>CONCATENATE("          ","6279"," - ","GENERAL EXPENSE")</f>
        <v xml:space="preserve">          6279 - GENERAL EXPENSE</v>
      </c>
      <c r="C63" s="12"/>
      <c r="D63" s="7">
        <v>72</v>
      </c>
      <c r="E63" s="3"/>
      <c r="F63" s="8">
        <f t="shared" si="8"/>
        <v>0</v>
      </c>
      <c r="G63" s="3"/>
      <c r="H63" s="7">
        <v>200</v>
      </c>
      <c r="I63" s="3"/>
      <c r="J63" s="8">
        <f t="shared" si="9"/>
        <v>0</v>
      </c>
      <c r="K63" s="3"/>
      <c r="L63" s="7">
        <f t="shared" si="10"/>
        <v>-128</v>
      </c>
      <c r="M63" s="3"/>
      <c r="N63" s="8">
        <f t="shared" si="11"/>
        <v>-0.64</v>
      </c>
      <c r="O63" s="12"/>
      <c r="P63" s="7">
        <v>2895.8</v>
      </c>
      <c r="Q63" s="3"/>
      <c r="R63" s="8">
        <f t="shared" si="12"/>
        <v>0</v>
      </c>
      <c r="S63" s="3"/>
      <c r="T63" s="7">
        <v>1800</v>
      </c>
      <c r="U63" s="3"/>
      <c r="V63" s="8">
        <f t="shared" si="13"/>
        <v>0</v>
      </c>
      <c r="W63" s="3"/>
      <c r="X63" s="7">
        <f t="shared" si="14"/>
        <v>1095.8000000000002</v>
      </c>
      <c r="Y63" s="3"/>
      <c r="Z63" s="8">
        <f t="shared" si="15"/>
        <v>0.60877777777777786</v>
      </c>
    </row>
    <row r="64" spans="1:26" s="69" customFormat="1" ht="15" customHeight="1" outlineLevel="1" collapsed="1" x14ac:dyDescent="0.3">
      <c r="A64" s="25"/>
      <c r="B64" s="14" t="str">
        <f>CONCATENATE("     ","Insurance                                         ")</f>
        <v xml:space="preserve">     Insurance                                         </v>
      </c>
      <c r="C64" s="14"/>
      <c r="D64" s="2">
        <f>SUM(OSRRefD22_12x_0)</f>
        <v>5275.49</v>
      </c>
      <c r="E64" s="2"/>
      <c r="F64" s="6">
        <f t="shared" si="8"/>
        <v>0</v>
      </c>
      <c r="G64" s="2"/>
      <c r="H64" s="2">
        <f>SUM(OSRRefH22_12x_0)</f>
        <v>5200</v>
      </c>
      <c r="I64" s="2"/>
      <c r="J64" s="6">
        <f t="shared" si="9"/>
        <v>0</v>
      </c>
      <c r="K64" s="2"/>
      <c r="L64" s="2">
        <f t="shared" si="10"/>
        <v>75.489999999999782</v>
      </c>
      <c r="M64" s="2"/>
      <c r="N64" s="6">
        <f t="shared" si="11"/>
        <v>1.4517307692307651E-2</v>
      </c>
      <c r="O64" s="14"/>
      <c r="P64" s="2">
        <f>SUM(OSRRefP22_12x_0)</f>
        <v>47479.41</v>
      </c>
      <c r="Q64" s="2"/>
      <c r="R64" s="6">
        <f t="shared" si="12"/>
        <v>0</v>
      </c>
      <c r="S64" s="2"/>
      <c r="T64" s="2">
        <f>SUM(OSRRefT22_12x_0)</f>
        <v>46800</v>
      </c>
      <c r="U64" s="2"/>
      <c r="V64" s="6">
        <f t="shared" si="13"/>
        <v>0</v>
      </c>
      <c r="W64" s="2"/>
      <c r="X64" s="2">
        <f t="shared" si="14"/>
        <v>679.41000000000349</v>
      </c>
      <c r="Y64" s="2"/>
      <c r="Z64" s="6">
        <f t="shared" si="15"/>
        <v>1.4517307692307767E-2</v>
      </c>
    </row>
    <row r="65" spans="1:26" s="70" customFormat="1" ht="15" hidden="1" customHeight="1" outlineLevel="2" x14ac:dyDescent="0.3">
      <c r="A65" s="26"/>
      <c r="B65" s="12" t="str">
        <f>CONCATENATE("          ","6314"," - ","LIABILITY INSURANCE")</f>
        <v xml:space="preserve">          6314 - LIABILITY INSURANCE</v>
      </c>
      <c r="C65" s="12"/>
      <c r="D65" s="7">
        <v>5275.49</v>
      </c>
      <c r="E65" s="3"/>
      <c r="F65" s="8">
        <f t="shared" si="8"/>
        <v>0</v>
      </c>
      <c r="G65" s="3"/>
      <c r="H65" s="7">
        <v>5200</v>
      </c>
      <c r="I65" s="3"/>
      <c r="J65" s="8">
        <f t="shared" si="9"/>
        <v>0</v>
      </c>
      <c r="K65" s="3"/>
      <c r="L65" s="7">
        <f t="shared" si="10"/>
        <v>75.489999999999782</v>
      </c>
      <c r="M65" s="3"/>
      <c r="N65" s="8">
        <f t="shared" si="11"/>
        <v>1.4517307692307651E-2</v>
      </c>
      <c r="O65" s="12"/>
      <c r="P65" s="7">
        <v>47479.41</v>
      </c>
      <c r="Q65" s="3"/>
      <c r="R65" s="8">
        <f t="shared" si="12"/>
        <v>0</v>
      </c>
      <c r="S65" s="3"/>
      <c r="T65" s="7">
        <v>46800</v>
      </c>
      <c r="U65" s="3"/>
      <c r="V65" s="8">
        <f t="shared" si="13"/>
        <v>0</v>
      </c>
      <c r="W65" s="3"/>
      <c r="X65" s="7">
        <f t="shared" si="14"/>
        <v>679.41000000000349</v>
      </c>
      <c r="Y65" s="3"/>
      <c r="Z65" s="8">
        <f t="shared" si="15"/>
        <v>1.4517307692307767E-2</v>
      </c>
    </row>
    <row r="66" spans="1:26" s="69" customFormat="1" ht="15" customHeight="1" outlineLevel="1" collapsed="1" x14ac:dyDescent="0.3">
      <c r="A66" s="25"/>
      <c r="B66" s="14" t="str">
        <f>CONCATENATE("     ","Professional Services                             ")</f>
        <v xml:space="preserve">     Professional Services                             </v>
      </c>
      <c r="C66" s="14"/>
      <c r="D66" s="2">
        <f>SUM(OSRRefD22_13x_0)</f>
        <v>0</v>
      </c>
      <c r="E66" s="2"/>
      <c r="F66" s="6">
        <f t="shared" si="8"/>
        <v>0</v>
      </c>
      <c r="G66" s="2"/>
      <c r="H66" s="2">
        <f>SUM(OSRRefH22_13x_0)</f>
        <v>0</v>
      </c>
      <c r="I66" s="2"/>
      <c r="J66" s="6">
        <f t="shared" si="9"/>
        <v>0</v>
      </c>
      <c r="K66" s="2"/>
      <c r="L66" s="2">
        <f t="shared" si="10"/>
        <v>0</v>
      </c>
      <c r="M66" s="2"/>
      <c r="N66" s="6">
        <f t="shared" si="11"/>
        <v>0</v>
      </c>
      <c r="O66" s="14"/>
      <c r="P66" s="2">
        <f>SUM(OSRRefP22_13x_0)</f>
        <v>7517.43</v>
      </c>
      <c r="Q66" s="2"/>
      <c r="R66" s="6">
        <f t="shared" si="12"/>
        <v>0</v>
      </c>
      <c r="S66" s="2"/>
      <c r="T66" s="2">
        <f>SUM(OSRRefT22_13x_0)</f>
        <v>0</v>
      </c>
      <c r="U66" s="2"/>
      <c r="V66" s="6">
        <f t="shared" si="13"/>
        <v>0</v>
      </c>
      <c r="W66" s="2"/>
      <c r="X66" s="2">
        <f t="shared" si="14"/>
        <v>7517.43</v>
      </c>
      <c r="Y66" s="2"/>
      <c r="Z66" s="6">
        <f t="shared" si="15"/>
        <v>0</v>
      </c>
    </row>
    <row r="67" spans="1:26" s="70" customFormat="1" ht="15" hidden="1" customHeight="1" outlineLevel="2" x14ac:dyDescent="0.3">
      <c r="A67" s="26"/>
      <c r="B67" s="12" t="str">
        <f>CONCATENATE("          ","6336"," - ","PROFESSIONAL SERVICES")</f>
        <v xml:space="preserve">          6336 - PROFESSIONAL SERVICES</v>
      </c>
      <c r="C67" s="12"/>
      <c r="D67" s="7"/>
      <c r="E67" s="3"/>
      <c r="F67" s="8">
        <f t="shared" si="8"/>
        <v>0</v>
      </c>
      <c r="G67" s="3"/>
      <c r="H67" s="7"/>
      <c r="I67" s="3"/>
      <c r="J67" s="8">
        <f t="shared" si="9"/>
        <v>0</v>
      </c>
      <c r="K67" s="3"/>
      <c r="L67" s="7">
        <f t="shared" si="10"/>
        <v>0</v>
      </c>
      <c r="M67" s="3"/>
      <c r="N67" s="8">
        <f t="shared" si="11"/>
        <v>0</v>
      </c>
      <c r="O67" s="12"/>
      <c r="P67" s="7">
        <v>7517.43</v>
      </c>
      <c r="Q67" s="3"/>
      <c r="R67" s="8">
        <f t="shared" si="12"/>
        <v>0</v>
      </c>
      <c r="S67" s="3"/>
      <c r="T67" s="7"/>
      <c r="U67" s="3"/>
      <c r="V67" s="8">
        <f t="shared" si="13"/>
        <v>0</v>
      </c>
      <c r="W67" s="3"/>
      <c r="X67" s="7">
        <f t="shared" si="14"/>
        <v>7517.43</v>
      </c>
      <c r="Y67" s="3"/>
      <c r="Z67" s="8">
        <f t="shared" si="15"/>
        <v>0</v>
      </c>
    </row>
    <row r="68" spans="1:26" s="69" customFormat="1" ht="15" customHeight="1" outlineLevel="1" collapsed="1" x14ac:dyDescent="0.3">
      <c r="A68" s="25"/>
      <c r="B68" s="14" t="str">
        <f>CONCATENATE("     ","Rent                                              ")</f>
        <v xml:space="preserve">     Rent                                              </v>
      </c>
      <c r="C68" s="14"/>
      <c r="D68" s="2">
        <f>SUM(OSRRefD22_14x_0)</f>
        <v>-800</v>
      </c>
      <c r="E68" s="2"/>
      <c r="F68" s="6">
        <f t="shared" si="8"/>
        <v>0</v>
      </c>
      <c r="G68" s="2"/>
      <c r="H68" s="2">
        <f>SUM(OSRRefH22_14x_0)</f>
        <v>-800</v>
      </c>
      <c r="I68" s="2"/>
      <c r="J68" s="6">
        <f t="shared" si="9"/>
        <v>0</v>
      </c>
      <c r="K68" s="2"/>
      <c r="L68" s="2">
        <f t="shared" si="10"/>
        <v>0</v>
      </c>
      <c r="M68" s="2"/>
      <c r="N68" s="6">
        <f t="shared" si="11"/>
        <v>0</v>
      </c>
      <c r="O68" s="14"/>
      <c r="P68" s="2">
        <f>SUM(OSRRefP22_14x_0)</f>
        <v>-7200</v>
      </c>
      <c r="Q68" s="2"/>
      <c r="R68" s="6">
        <f t="shared" si="12"/>
        <v>0</v>
      </c>
      <c r="S68" s="2"/>
      <c r="T68" s="2">
        <f>SUM(OSRRefT22_14x_0)</f>
        <v>-7200</v>
      </c>
      <c r="U68" s="2"/>
      <c r="V68" s="6">
        <f t="shared" si="13"/>
        <v>0</v>
      </c>
      <c r="W68" s="2"/>
      <c r="X68" s="2">
        <f t="shared" si="14"/>
        <v>0</v>
      </c>
      <c r="Y68" s="2"/>
      <c r="Z68" s="6">
        <f t="shared" si="15"/>
        <v>0</v>
      </c>
    </row>
    <row r="69" spans="1:26" s="70" customFormat="1" ht="15" hidden="1" customHeight="1" outlineLevel="2" x14ac:dyDescent="0.3">
      <c r="A69" s="26"/>
      <c r="B69" s="12" t="str">
        <f>CONCATENATE("          ","6273"," - ","RENT")</f>
        <v xml:space="preserve">          6273 - RENT</v>
      </c>
      <c r="C69" s="12"/>
      <c r="D69" s="7">
        <v>-800</v>
      </c>
      <c r="E69" s="3"/>
      <c r="F69" s="8">
        <f t="shared" si="8"/>
        <v>0</v>
      </c>
      <c r="G69" s="3"/>
      <c r="H69" s="7">
        <v>-800</v>
      </c>
      <c r="I69" s="3"/>
      <c r="J69" s="8">
        <f t="shared" si="9"/>
        <v>0</v>
      </c>
      <c r="K69" s="3"/>
      <c r="L69" s="7">
        <f t="shared" si="10"/>
        <v>0</v>
      </c>
      <c r="M69" s="3"/>
      <c r="N69" s="8">
        <f t="shared" si="11"/>
        <v>0</v>
      </c>
      <c r="O69" s="12"/>
      <c r="P69" s="7">
        <v>-7200</v>
      </c>
      <c r="Q69" s="3"/>
      <c r="R69" s="8">
        <f t="shared" si="12"/>
        <v>0</v>
      </c>
      <c r="S69" s="3"/>
      <c r="T69" s="7">
        <v>-7200</v>
      </c>
      <c r="U69" s="3"/>
      <c r="V69" s="8">
        <f t="shared" si="13"/>
        <v>0</v>
      </c>
      <c r="W69" s="3"/>
      <c r="X69" s="7">
        <f t="shared" si="14"/>
        <v>0</v>
      </c>
      <c r="Y69" s="3"/>
      <c r="Z69" s="8">
        <f t="shared" si="15"/>
        <v>0</v>
      </c>
    </row>
    <row r="70" spans="1:26" s="69" customFormat="1" ht="15" customHeight="1" outlineLevel="1" collapsed="1" x14ac:dyDescent="0.3">
      <c r="A70" s="25"/>
      <c r="B70" s="14" t="str">
        <f>CONCATENATE("     ","Repair and Maintenance                            ")</f>
        <v xml:space="preserve">     Repair and Maintenance                            </v>
      </c>
      <c r="C70" s="14"/>
      <c r="D70" s="2">
        <f>SUM(OSRRefD22_15x_0)</f>
        <v>11144.42</v>
      </c>
      <c r="E70" s="2"/>
      <c r="F70" s="6">
        <f t="shared" si="8"/>
        <v>0</v>
      </c>
      <c r="G70" s="2"/>
      <c r="H70" s="2">
        <f>SUM(OSRRefH22_15x_0)</f>
        <v>4950</v>
      </c>
      <c r="I70" s="2"/>
      <c r="J70" s="6">
        <f t="shared" si="9"/>
        <v>0</v>
      </c>
      <c r="K70" s="2"/>
      <c r="L70" s="2">
        <f t="shared" si="10"/>
        <v>6194.42</v>
      </c>
      <c r="M70" s="2"/>
      <c r="N70" s="6">
        <f t="shared" si="11"/>
        <v>1.2513979797979797</v>
      </c>
      <c r="O70" s="14"/>
      <c r="P70" s="2">
        <f>SUM(OSRRefP22_15x_0)</f>
        <v>93940.54</v>
      </c>
      <c r="Q70" s="2"/>
      <c r="R70" s="6">
        <f t="shared" si="12"/>
        <v>0</v>
      </c>
      <c r="S70" s="2"/>
      <c r="T70" s="2">
        <f>SUM(OSRRefT22_15x_0)</f>
        <v>95970</v>
      </c>
      <c r="U70" s="2"/>
      <c r="V70" s="6">
        <f t="shared" si="13"/>
        <v>0</v>
      </c>
      <c r="W70" s="2"/>
      <c r="X70" s="2">
        <f t="shared" si="14"/>
        <v>-2029.4600000000064</v>
      </c>
      <c r="Y70" s="2"/>
      <c r="Z70" s="6">
        <f t="shared" si="15"/>
        <v>-2.1146816713556386E-2</v>
      </c>
    </row>
    <row r="71" spans="1:26" s="70" customFormat="1" ht="15" hidden="1" customHeight="1" outlineLevel="2" x14ac:dyDescent="0.3">
      <c r="A71" s="26"/>
      <c r="B71" s="12" t="str">
        <f>CONCATENATE("          ","6371"," - ","COMPUTER SOFTWARE MAINTENANCE")</f>
        <v xml:space="preserve">          6371 - COMPUTER SOFTWARE MAINTENANCE</v>
      </c>
      <c r="C71" s="12"/>
      <c r="D71" s="7"/>
      <c r="E71" s="3"/>
      <c r="F71" s="8">
        <f t="shared" si="8"/>
        <v>0</v>
      </c>
      <c r="G71" s="3"/>
      <c r="H71" s="7">
        <v>1000</v>
      </c>
      <c r="I71" s="3"/>
      <c r="J71" s="8">
        <f t="shared" si="9"/>
        <v>0</v>
      </c>
      <c r="K71" s="3"/>
      <c r="L71" s="7">
        <f t="shared" si="10"/>
        <v>-1000</v>
      </c>
      <c r="M71" s="3"/>
      <c r="N71" s="8">
        <f t="shared" si="11"/>
        <v>-1</v>
      </c>
      <c r="O71" s="12"/>
      <c r="P71" s="7">
        <v>56736</v>
      </c>
      <c r="Q71" s="3"/>
      <c r="R71" s="8">
        <f t="shared" si="12"/>
        <v>0</v>
      </c>
      <c r="S71" s="3"/>
      <c r="T71" s="7">
        <v>48000</v>
      </c>
      <c r="U71" s="3"/>
      <c r="V71" s="8">
        <f t="shared" si="13"/>
        <v>0</v>
      </c>
      <c r="W71" s="3"/>
      <c r="X71" s="7">
        <f t="shared" si="14"/>
        <v>8736</v>
      </c>
      <c r="Y71" s="3"/>
      <c r="Z71" s="8">
        <f t="shared" si="15"/>
        <v>0.182</v>
      </c>
    </row>
    <row r="72" spans="1:26" s="70" customFormat="1" ht="15" hidden="1" customHeight="1" outlineLevel="2" x14ac:dyDescent="0.3">
      <c r="A72" s="26"/>
      <c r="B72" s="12" t="str">
        <f>CONCATENATE("          ","6372"," - ","COMPUTER HARDWARE MAINTENANCE")</f>
        <v xml:space="preserve">          6372 - COMPUTER HARDWARE MAINTENANCE</v>
      </c>
      <c r="C72" s="12"/>
      <c r="D72" s="7"/>
      <c r="E72" s="3"/>
      <c r="F72" s="8">
        <f t="shared" si="8"/>
        <v>0</v>
      </c>
      <c r="G72" s="3"/>
      <c r="H72" s="7">
        <v>3750</v>
      </c>
      <c r="I72" s="3"/>
      <c r="J72" s="8">
        <f t="shared" si="9"/>
        <v>0</v>
      </c>
      <c r="K72" s="3"/>
      <c r="L72" s="7">
        <f t="shared" si="10"/>
        <v>-3750</v>
      </c>
      <c r="M72" s="3"/>
      <c r="N72" s="8">
        <f t="shared" si="11"/>
        <v>-1</v>
      </c>
      <c r="O72" s="12"/>
      <c r="P72" s="7"/>
      <c r="Q72" s="3"/>
      <c r="R72" s="8">
        <f t="shared" si="12"/>
        <v>0</v>
      </c>
      <c r="S72" s="3"/>
      <c r="T72" s="7">
        <v>30370</v>
      </c>
      <c r="U72" s="3"/>
      <c r="V72" s="8">
        <f t="shared" si="13"/>
        <v>0</v>
      </c>
      <c r="W72" s="3"/>
      <c r="X72" s="7">
        <f t="shared" si="14"/>
        <v>-30370</v>
      </c>
      <c r="Y72" s="3"/>
      <c r="Z72" s="8">
        <f t="shared" si="15"/>
        <v>-1</v>
      </c>
    </row>
    <row r="73" spans="1:26" s="70" customFormat="1" ht="15" hidden="1" customHeight="1" outlineLevel="2" x14ac:dyDescent="0.3">
      <c r="A73" s="26"/>
      <c r="B73" s="12" t="str">
        <f>CONCATENATE("          ","6373"," - ","MAINTENANCE CONTRACTS")</f>
        <v xml:space="preserve">          6373 - MAINTENANCE CONTRACTS</v>
      </c>
      <c r="C73" s="12"/>
      <c r="D73" s="7">
        <v>2323.5700000000002</v>
      </c>
      <c r="E73" s="3"/>
      <c r="F73" s="8">
        <f t="shared" si="8"/>
        <v>0</v>
      </c>
      <c r="G73" s="3"/>
      <c r="H73" s="7">
        <v>200</v>
      </c>
      <c r="I73" s="3"/>
      <c r="J73" s="8">
        <f t="shared" si="9"/>
        <v>0</v>
      </c>
      <c r="K73" s="3"/>
      <c r="L73" s="7">
        <f t="shared" si="10"/>
        <v>2123.5700000000002</v>
      </c>
      <c r="M73" s="3"/>
      <c r="N73" s="8">
        <f t="shared" si="11"/>
        <v>10.617850000000001</v>
      </c>
      <c r="O73" s="12"/>
      <c r="P73" s="7">
        <v>11907.21</v>
      </c>
      <c r="Q73" s="3"/>
      <c r="R73" s="8">
        <f t="shared" si="12"/>
        <v>0</v>
      </c>
      <c r="S73" s="3"/>
      <c r="T73" s="7">
        <v>17600</v>
      </c>
      <c r="U73" s="3"/>
      <c r="V73" s="8">
        <f t="shared" si="13"/>
        <v>0</v>
      </c>
      <c r="W73" s="3"/>
      <c r="X73" s="7">
        <f t="shared" si="14"/>
        <v>-5692.7900000000009</v>
      </c>
      <c r="Y73" s="3"/>
      <c r="Z73" s="8">
        <f t="shared" si="15"/>
        <v>-0.32345397727272734</v>
      </c>
    </row>
    <row r="74" spans="1:26" s="70" customFormat="1" ht="15" hidden="1" customHeight="1" outlineLevel="2" x14ac:dyDescent="0.3">
      <c r="A74" s="26"/>
      <c r="B74" s="12" t="str">
        <f>CONCATENATE("          ","6375"," - ","OUTSIDE REPAIRS &amp; MAINTENANCE")</f>
        <v xml:space="preserve">          6375 - OUTSIDE REPAIRS &amp; MAINTENANCE</v>
      </c>
      <c r="C74" s="12"/>
      <c r="D74" s="7">
        <v>8820.85</v>
      </c>
      <c r="E74" s="3"/>
      <c r="F74" s="8">
        <f t="shared" si="8"/>
        <v>0</v>
      </c>
      <c r="G74" s="3"/>
      <c r="H74" s="7"/>
      <c r="I74" s="3"/>
      <c r="J74" s="8">
        <f t="shared" si="9"/>
        <v>0</v>
      </c>
      <c r="K74" s="3"/>
      <c r="L74" s="7">
        <f t="shared" si="10"/>
        <v>8820.85</v>
      </c>
      <c r="M74" s="3"/>
      <c r="N74" s="8">
        <f t="shared" si="11"/>
        <v>0</v>
      </c>
      <c r="O74" s="12"/>
      <c r="P74" s="7">
        <v>25297.33</v>
      </c>
      <c r="Q74" s="3"/>
      <c r="R74" s="8">
        <f t="shared" si="12"/>
        <v>0</v>
      </c>
      <c r="S74" s="3"/>
      <c r="T74" s="7"/>
      <c r="U74" s="3"/>
      <c r="V74" s="8">
        <f t="shared" si="13"/>
        <v>0</v>
      </c>
      <c r="W74" s="3"/>
      <c r="X74" s="7">
        <f t="shared" si="14"/>
        <v>25297.33</v>
      </c>
      <c r="Y74" s="3"/>
      <c r="Z74" s="8">
        <f t="shared" si="15"/>
        <v>0</v>
      </c>
    </row>
    <row r="75" spans="1:26" s="69" customFormat="1" ht="15" customHeight="1" outlineLevel="1" collapsed="1" x14ac:dyDescent="0.3">
      <c r="A75" s="25"/>
      <c r="B75" s="14" t="str">
        <f>CONCATENATE("     ","Services                                          ")</f>
        <v xml:space="preserve">     Services                                          </v>
      </c>
      <c r="C75" s="14"/>
      <c r="D75" s="2">
        <f>SUM(OSRRefD22_16x_0)</f>
        <v>4165.87</v>
      </c>
      <c r="E75" s="2"/>
      <c r="F75" s="6">
        <f t="shared" si="8"/>
        <v>0</v>
      </c>
      <c r="G75" s="2"/>
      <c r="H75" s="2">
        <f>SUM(OSRRefH22_16x_0)</f>
        <v>4300</v>
      </c>
      <c r="I75" s="2"/>
      <c r="J75" s="6">
        <f t="shared" si="9"/>
        <v>0</v>
      </c>
      <c r="K75" s="2"/>
      <c r="L75" s="2">
        <f t="shared" si="10"/>
        <v>-134.13000000000011</v>
      </c>
      <c r="M75" s="2"/>
      <c r="N75" s="6">
        <f t="shared" si="11"/>
        <v>-3.1193023255813978E-2</v>
      </c>
      <c r="O75" s="14"/>
      <c r="P75" s="2">
        <f>SUM(OSRRefP22_16x_0)</f>
        <v>46134.71</v>
      </c>
      <c r="Q75" s="2"/>
      <c r="R75" s="6">
        <f t="shared" si="12"/>
        <v>0</v>
      </c>
      <c r="S75" s="2"/>
      <c r="T75" s="2">
        <f>SUM(OSRRefT22_16x_0)</f>
        <v>38700</v>
      </c>
      <c r="U75" s="2"/>
      <c r="V75" s="6">
        <f t="shared" si="13"/>
        <v>0</v>
      </c>
      <c r="W75" s="2"/>
      <c r="X75" s="2">
        <f t="shared" si="14"/>
        <v>7434.7099999999991</v>
      </c>
      <c r="Y75" s="2"/>
      <c r="Z75" s="6">
        <f t="shared" si="15"/>
        <v>0.19211136950904389</v>
      </c>
    </row>
    <row r="76" spans="1:26" s="70" customFormat="1" ht="15" hidden="1" customHeight="1" outlineLevel="2" x14ac:dyDescent="0.3">
      <c r="A76" s="26"/>
      <c r="B76" s="12" t="str">
        <f>CONCATENATE("          ","6282"," - ","JANITORIAL/EXTERMINATOR EXPENS")</f>
        <v xml:space="preserve">          6282 - JANITORIAL/EXTERMINATOR EXPENS</v>
      </c>
      <c r="C76" s="12"/>
      <c r="D76" s="7">
        <v>140.65</v>
      </c>
      <c r="E76" s="3"/>
      <c r="F76" s="8">
        <f t="shared" si="8"/>
        <v>0</v>
      </c>
      <c r="G76" s="3"/>
      <c r="H76" s="7">
        <v>4300</v>
      </c>
      <c r="I76" s="3"/>
      <c r="J76" s="8">
        <f t="shared" si="9"/>
        <v>0</v>
      </c>
      <c r="K76" s="3"/>
      <c r="L76" s="7">
        <f t="shared" si="10"/>
        <v>-4159.3500000000004</v>
      </c>
      <c r="M76" s="3"/>
      <c r="N76" s="8">
        <f t="shared" si="11"/>
        <v>-0.96729069767441866</v>
      </c>
      <c r="O76" s="12"/>
      <c r="P76" s="7">
        <v>1917.03</v>
      </c>
      <c r="Q76" s="3"/>
      <c r="R76" s="8">
        <f t="shared" si="12"/>
        <v>0</v>
      </c>
      <c r="S76" s="3"/>
      <c r="T76" s="7">
        <v>38700</v>
      </c>
      <c r="U76" s="3"/>
      <c r="V76" s="8">
        <f t="shared" si="13"/>
        <v>0</v>
      </c>
      <c r="W76" s="3"/>
      <c r="X76" s="7">
        <f t="shared" si="14"/>
        <v>-36782.97</v>
      </c>
      <c r="Y76" s="3"/>
      <c r="Z76" s="8">
        <f t="shared" si="15"/>
        <v>-0.95046434108527134</v>
      </c>
    </row>
    <row r="77" spans="1:26" s="70" customFormat="1" ht="15" hidden="1" customHeight="1" outlineLevel="2" x14ac:dyDescent="0.3">
      <c r="A77" s="26"/>
      <c r="B77" s="12" t="str">
        <f>CONCATENATE("          ","6285"," - ","JANITORIAL SERVICES")</f>
        <v xml:space="preserve">          6285 - JANITORIAL SERVICES</v>
      </c>
      <c r="C77" s="12"/>
      <c r="D77" s="7">
        <v>4025.22</v>
      </c>
      <c r="E77" s="3"/>
      <c r="F77" s="8">
        <f t="shared" si="8"/>
        <v>0</v>
      </c>
      <c r="G77" s="3"/>
      <c r="H77" s="7"/>
      <c r="I77" s="3"/>
      <c r="J77" s="8">
        <f t="shared" si="9"/>
        <v>0</v>
      </c>
      <c r="K77" s="3"/>
      <c r="L77" s="7">
        <f t="shared" si="10"/>
        <v>4025.22</v>
      </c>
      <c r="M77" s="3"/>
      <c r="N77" s="8">
        <f t="shared" si="11"/>
        <v>0</v>
      </c>
      <c r="O77" s="12"/>
      <c r="P77" s="7">
        <v>44217.68</v>
      </c>
      <c r="Q77" s="3"/>
      <c r="R77" s="8">
        <f t="shared" si="12"/>
        <v>0</v>
      </c>
      <c r="S77" s="3"/>
      <c r="T77" s="7"/>
      <c r="U77" s="3"/>
      <c r="V77" s="8">
        <f t="shared" si="13"/>
        <v>0</v>
      </c>
      <c r="W77" s="3"/>
      <c r="X77" s="7">
        <f t="shared" si="14"/>
        <v>44217.68</v>
      </c>
      <c r="Y77" s="3"/>
      <c r="Z77" s="8">
        <f t="shared" si="15"/>
        <v>0</v>
      </c>
    </row>
    <row r="78" spans="1:26" s="69" customFormat="1" ht="15" customHeight="1" outlineLevel="1" collapsed="1" x14ac:dyDescent="0.3">
      <c r="A78" s="25"/>
      <c r="B78" s="14" t="str">
        <f>CONCATENATE("     ","Subscriptions &amp; Dues                              ")</f>
        <v xml:space="preserve">     Subscriptions &amp; Dues                              </v>
      </c>
      <c r="C78" s="14"/>
      <c r="D78" s="2">
        <f>SUM(OSRRefD22_17x_0)</f>
        <v>0</v>
      </c>
      <c r="E78" s="2"/>
      <c r="F78" s="6">
        <f t="shared" si="8"/>
        <v>0</v>
      </c>
      <c r="G78" s="2"/>
      <c r="H78" s="2">
        <f>SUM(OSRRefH22_17x_0)</f>
        <v>0</v>
      </c>
      <c r="I78" s="2"/>
      <c r="J78" s="6">
        <f t="shared" si="9"/>
        <v>0</v>
      </c>
      <c r="K78" s="2"/>
      <c r="L78" s="2">
        <f t="shared" si="10"/>
        <v>0</v>
      </c>
      <c r="M78" s="2"/>
      <c r="N78" s="6">
        <f t="shared" si="11"/>
        <v>0</v>
      </c>
      <c r="O78" s="14"/>
      <c r="P78" s="2">
        <f>SUM(OSRRefP22_17x_0)</f>
        <v>-120</v>
      </c>
      <c r="Q78" s="2"/>
      <c r="R78" s="6">
        <f t="shared" si="12"/>
        <v>0</v>
      </c>
      <c r="S78" s="2"/>
      <c r="T78" s="2">
        <f>SUM(OSRRefT22_17x_0)</f>
        <v>4000</v>
      </c>
      <c r="U78" s="2"/>
      <c r="V78" s="6">
        <f t="shared" si="13"/>
        <v>0</v>
      </c>
      <c r="W78" s="2"/>
      <c r="X78" s="2">
        <f t="shared" si="14"/>
        <v>-4120</v>
      </c>
      <c r="Y78" s="2"/>
      <c r="Z78" s="6">
        <f t="shared" si="15"/>
        <v>-1.03</v>
      </c>
    </row>
    <row r="79" spans="1:26" s="70" customFormat="1" ht="15" hidden="1" customHeight="1" outlineLevel="2" x14ac:dyDescent="0.3">
      <c r="A79" s="26"/>
      <c r="B79" s="12" t="str">
        <f>CONCATENATE("          ","6258"," - ","MEMBERSHIP DUES")</f>
        <v xml:space="preserve">          6258 - MEMBERSHIP DUES</v>
      </c>
      <c r="C79" s="12"/>
      <c r="D79" s="7"/>
      <c r="E79" s="3"/>
      <c r="F79" s="8">
        <f t="shared" si="8"/>
        <v>0</v>
      </c>
      <c r="G79" s="3"/>
      <c r="H79" s="7"/>
      <c r="I79" s="3"/>
      <c r="J79" s="8">
        <f t="shared" si="9"/>
        <v>0</v>
      </c>
      <c r="K79" s="3"/>
      <c r="L79" s="7">
        <f t="shared" si="10"/>
        <v>0</v>
      </c>
      <c r="M79" s="3"/>
      <c r="N79" s="8">
        <f t="shared" si="11"/>
        <v>0</v>
      </c>
      <c r="O79" s="12"/>
      <c r="P79" s="7">
        <v>-120</v>
      </c>
      <c r="Q79" s="3"/>
      <c r="R79" s="8">
        <f t="shared" si="12"/>
        <v>0</v>
      </c>
      <c r="S79" s="3"/>
      <c r="T79" s="7">
        <v>4000</v>
      </c>
      <c r="U79" s="3"/>
      <c r="V79" s="8">
        <f t="shared" si="13"/>
        <v>0</v>
      </c>
      <c r="W79" s="3"/>
      <c r="X79" s="7">
        <f t="shared" si="14"/>
        <v>-4120</v>
      </c>
      <c r="Y79" s="3"/>
      <c r="Z79" s="8">
        <f t="shared" si="15"/>
        <v>-1.03</v>
      </c>
    </row>
    <row r="80" spans="1:26" s="69" customFormat="1" ht="15" customHeight="1" outlineLevel="1" collapsed="1" x14ac:dyDescent="0.3">
      <c r="A80" s="25"/>
      <c r="B80" s="14" t="str">
        <f>CONCATENATE("     ","Supplies                                          ")</f>
        <v xml:space="preserve">     Supplies                                          </v>
      </c>
      <c r="C80" s="14"/>
      <c r="D80" s="2">
        <f>SUM(OSRRefD22_18x_0)</f>
        <v>1852.75</v>
      </c>
      <c r="E80" s="2"/>
      <c r="F80" s="6">
        <f t="shared" si="8"/>
        <v>0</v>
      </c>
      <c r="G80" s="2"/>
      <c r="H80" s="2">
        <f>SUM(OSRRefH22_18x_0)</f>
        <v>5500</v>
      </c>
      <c r="I80" s="2"/>
      <c r="J80" s="6">
        <f t="shared" si="9"/>
        <v>0</v>
      </c>
      <c r="K80" s="2"/>
      <c r="L80" s="2">
        <f t="shared" si="10"/>
        <v>-3647.25</v>
      </c>
      <c r="M80" s="2"/>
      <c r="N80" s="6">
        <f t="shared" si="11"/>
        <v>-0.66313636363636363</v>
      </c>
      <c r="O80" s="14"/>
      <c r="P80" s="2">
        <f>SUM(OSRRefP22_18x_0)</f>
        <v>38069.22</v>
      </c>
      <c r="Q80" s="2"/>
      <c r="R80" s="6">
        <f t="shared" si="12"/>
        <v>0</v>
      </c>
      <c r="S80" s="2"/>
      <c r="T80" s="2">
        <f>SUM(OSRRefT22_18x_0)</f>
        <v>48900</v>
      </c>
      <c r="U80" s="2"/>
      <c r="V80" s="6">
        <f t="shared" si="13"/>
        <v>0</v>
      </c>
      <c r="W80" s="2"/>
      <c r="X80" s="2">
        <f t="shared" si="14"/>
        <v>-10830.779999999999</v>
      </c>
      <c r="Y80" s="2"/>
      <c r="Z80" s="6">
        <f t="shared" si="15"/>
        <v>-0.22148834355828217</v>
      </c>
    </row>
    <row r="81" spans="1:26" s="70" customFormat="1" ht="15" hidden="1" customHeight="1" outlineLevel="2" x14ac:dyDescent="0.3">
      <c r="A81" s="26"/>
      <c r="B81" s="12" t="str">
        <f>CONCATENATE("          ","6234"," - ","EXPENDABLE SUPPLIES &amp; EQUIPMEN")</f>
        <v xml:space="preserve">          6234 - EXPENDABLE SUPPLIES &amp; EQUIPMEN</v>
      </c>
      <c r="C81" s="12"/>
      <c r="D81" s="7"/>
      <c r="E81" s="3"/>
      <c r="F81" s="8">
        <f t="shared" si="8"/>
        <v>0</v>
      </c>
      <c r="G81" s="3"/>
      <c r="H81" s="7">
        <v>300</v>
      </c>
      <c r="I81" s="3"/>
      <c r="J81" s="8">
        <f t="shared" si="9"/>
        <v>0</v>
      </c>
      <c r="K81" s="3"/>
      <c r="L81" s="7">
        <f t="shared" si="10"/>
        <v>-300</v>
      </c>
      <c r="M81" s="3"/>
      <c r="N81" s="8">
        <f t="shared" si="11"/>
        <v>-1</v>
      </c>
      <c r="O81" s="12"/>
      <c r="P81" s="7">
        <v>3896.02</v>
      </c>
      <c r="Q81" s="3"/>
      <c r="R81" s="8">
        <f t="shared" si="12"/>
        <v>0</v>
      </c>
      <c r="S81" s="3"/>
      <c r="T81" s="7">
        <v>2100</v>
      </c>
      <c r="U81" s="3"/>
      <c r="V81" s="8">
        <f t="shared" si="13"/>
        <v>0</v>
      </c>
      <c r="W81" s="3"/>
      <c r="X81" s="7">
        <f t="shared" si="14"/>
        <v>1796.02</v>
      </c>
      <c r="Y81" s="3"/>
      <c r="Z81" s="8">
        <f t="shared" si="15"/>
        <v>0.85524761904761903</v>
      </c>
    </row>
    <row r="82" spans="1:26" s="70" customFormat="1" ht="15" hidden="1" customHeight="1" outlineLevel="2" x14ac:dyDescent="0.3">
      <c r="A82" s="26"/>
      <c r="B82" s="12" t="str">
        <f>CONCATENATE("          ","6235"," - ","COVID-19 EXPENSES")</f>
        <v xml:space="preserve">          6235 - COVID-19 EXPENSES</v>
      </c>
      <c r="C82" s="12"/>
      <c r="D82" s="7"/>
      <c r="E82" s="3"/>
      <c r="F82" s="8">
        <f t="shared" si="8"/>
        <v>0</v>
      </c>
      <c r="G82" s="3"/>
      <c r="H82" s="7">
        <v>100</v>
      </c>
      <c r="I82" s="3"/>
      <c r="J82" s="8">
        <f t="shared" si="9"/>
        <v>0</v>
      </c>
      <c r="K82" s="3"/>
      <c r="L82" s="7">
        <f t="shared" si="10"/>
        <v>-100</v>
      </c>
      <c r="M82" s="3"/>
      <c r="N82" s="8">
        <f t="shared" si="11"/>
        <v>-1</v>
      </c>
      <c r="O82" s="12"/>
      <c r="P82" s="7">
        <v>3430.32</v>
      </c>
      <c r="Q82" s="3"/>
      <c r="R82" s="8">
        <f t="shared" si="12"/>
        <v>0</v>
      </c>
      <c r="S82" s="3"/>
      <c r="T82" s="7">
        <v>900</v>
      </c>
      <c r="U82" s="3"/>
      <c r="V82" s="8">
        <f t="shared" si="13"/>
        <v>0</v>
      </c>
      <c r="W82" s="3"/>
      <c r="X82" s="7">
        <f t="shared" si="14"/>
        <v>2530.3200000000002</v>
      </c>
      <c r="Y82" s="3"/>
      <c r="Z82" s="8">
        <f t="shared" si="15"/>
        <v>2.811466666666667</v>
      </c>
    </row>
    <row r="83" spans="1:26" s="70" customFormat="1" ht="15" hidden="1" customHeight="1" outlineLevel="2" x14ac:dyDescent="0.3">
      <c r="A83" s="26"/>
      <c r="B83" s="12" t="str">
        <f>CONCATENATE("          ","6237"," - ","JANITORIAL SUPPLIES")</f>
        <v xml:space="preserve">          6237 - JANITORIAL SUPPLIES</v>
      </c>
      <c r="C83" s="12"/>
      <c r="D83" s="7">
        <v>257.99</v>
      </c>
      <c r="E83" s="3"/>
      <c r="F83" s="8">
        <f t="shared" ref="F83:F95" si="16">IF(D$12=0,0,D83/D$12)</f>
        <v>0</v>
      </c>
      <c r="G83" s="3"/>
      <c r="H83" s="7"/>
      <c r="I83" s="3"/>
      <c r="J83" s="8">
        <f t="shared" ref="J83:J95" si="17">IF(H$12=0,0,H83/H$12)</f>
        <v>0</v>
      </c>
      <c r="K83" s="3"/>
      <c r="L83" s="7">
        <f t="shared" ref="L83:L95" si="18">+D83-H83</f>
        <v>257.99</v>
      </c>
      <c r="M83" s="3"/>
      <c r="N83" s="8">
        <f t="shared" ref="N83:N95" si="19">IF(H83=0,0,L83/H83)</f>
        <v>0</v>
      </c>
      <c r="O83" s="12"/>
      <c r="P83" s="7">
        <v>4711.99</v>
      </c>
      <c r="Q83" s="3"/>
      <c r="R83" s="8">
        <f t="shared" ref="R83:R95" si="20">IF(P$12=0,0,P83/P$12)</f>
        <v>0</v>
      </c>
      <c r="S83" s="3"/>
      <c r="T83" s="7"/>
      <c r="U83" s="3"/>
      <c r="V83" s="8">
        <f t="shared" ref="V83:V95" si="21">IF(T$12=0,0,T83/T$12)</f>
        <v>0</v>
      </c>
      <c r="W83" s="3"/>
      <c r="X83" s="7">
        <f t="shared" ref="X83:X95" si="22">+P83-T83</f>
        <v>4711.99</v>
      </c>
      <c r="Y83" s="3"/>
      <c r="Z83" s="8">
        <f t="shared" ref="Z83:Z95" si="23">IF(T83=0,0,X83/T83)</f>
        <v>0</v>
      </c>
    </row>
    <row r="84" spans="1:26" s="70" customFormat="1" ht="15" hidden="1" customHeight="1" outlineLevel="2" x14ac:dyDescent="0.3">
      <c r="A84" s="26"/>
      <c r="B84" s="12" t="str">
        <f>CONCATENATE("          ","6241"," - ","OFFICE EXPENSE")</f>
        <v xml:space="preserve">          6241 - OFFICE EXPENSE</v>
      </c>
      <c r="C84" s="12"/>
      <c r="D84" s="7">
        <v>429.16</v>
      </c>
      <c r="E84" s="3"/>
      <c r="F84" s="8">
        <f t="shared" si="16"/>
        <v>0</v>
      </c>
      <c r="G84" s="3"/>
      <c r="H84" s="7">
        <v>100</v>
      </c>
      <c r="I84" s="3"/>
      <c r="J84" s="8">
        <f t="shared" si="17"/>
        <v>0</v>
      </c>
      <c r="K84" s="3"/>
      <c r="L84" s="7">
        <f t="shared" si="18"/>
        <v>329.16</v>
      </c>
      <c r="M84" s="3"/>
      <c r="N84" s="8">
        <f t="shared" si="19"/>
        <v>3.2916000000000003</v>
      </c>
      <c r="O84" s="12"/>
      <c r="P84" s="7">
        <v>1918.49</v>
      </c>
      <c r="Q84" s="3"/>
      <c r="R84" s="8">
        <f t="shared" si="20"/>
        <v>0</v>
      </c>
      <c r="S84" s="3"/>
      <c r="T84" s="7">
        <v>900</v>
      </c>
      <c r="U84" s="3"/>
      <c r="V84" s="8">
        <f t="shared" si="21"/>
        <v>0</v>
      </c>
      <c r="W84" s="3"/>
      <c r="X84" s="7">
        <f t="shared" si="22"/>
        <v>1018.49</v>
      </c>
      <c r="Y84" s="3"/>
      <c r="Z84" s="8">
        <f t="shared" si="23"/>
        <v>1.1316555555555556</v>
      </c>
    </row>
    <row r="85" spans="1:26" s="70" customFormat="1" ht="15" hidden="1" customHeight="1" outlineLevel="2" x14ac:dyDescent="0.3">
      <c r="A85" s="26"/>
      <c r="B85" s="12" t="str">
        <f>CONCATENATE("          ","6245"," - ","PRINTING")</f>
        <v xml:space="preserve">          6245 - PRINTING</v>
      </c>
      <c r="C85" s="12"/>
      <c r="D85" s="7"/>
      <c r="E85" s="3"/>
      <c r="F85" s="8">
        <f t="shared" si="16"/>
        <v>0</v>
      </c>
      <c r="G85" s="3"/>
      <c r="H85" s="7"/>
      <c r="I85" s="3"/>
      <c r="J85" s="8">
        <f t="shared" si="17"/>
        <v>0</v>
      </c>
      <c r="K85" s="3"/>
      <c r="L85" s="7">
        <f t="shared" si="18"/>
        <v>0</v>
      </c>
      <c r="M85" s="3"/>
      <c r="N85" s="8">
        <f t="shared" si="19"/>
        <v>0</v>
      </c>
      <c r="O85" s="12"/>
      <c r="P85" s="7">
        <v>1618.44</v>
      </c>
      <c r="Q85" s="3"/>
      <c r="R85" s="8">
        <f t="shared" si="20"/>
        <v>0</v>
      </c>
      <c r="S85" s="3"/>
      <c r="T85" s="7"/>
      <c r="U85" s="3"/>
      <c r="V85" s="8">
        <f t="shared" si="21"/>
        <v>0</v>
      </c>
      <c r="W85" s="3"/>
      <c r="X85" s="7">
        <f t="shared" si="22"/>
        <v>1618.44</v>
      </c>
      <c r="Y85" s="3"/>
      <c r="Z85" s="8">
        <f t="shared" si="23"/>
        <v>0</v>
      </c>
    </row>
    <row r="86" spans="1:26" s="70" customFormat="1" ht="15" hidden="1" customHeight="1" outlineLevel="2" x14ac:dyDescent="0.3">
      <c r="A86" s="26"/>
      <c r="B86" s="12" t="str">
        <f>CONCATENATE("          ","6247"," - ","STORE SUPPLIES")</f>
        <v xml:space="preserve">          6247 - STORE SUPPLIES</v>
      </c>
      <c r="C86" s="12"/>
      <c r="D86" s="7">
        <v>1165.5999999999999</v>
      </c>
      <c r="E86" s="3"/>
      <c r="F86" s="8">
        <f t="shared" si="16"/>
        <v>0</v>
      </c>
      <c r="G86" s="3"/>
      <c r="H86" s="7">
        <v>5000</v>
      </c>
      <c r="I86" s="3"/>
      <c r="J86" s="8">
        <f t="shared" si="17"/>
        <v>0</v>
      </c>
      <c r="K86" s="3"/>
      <c r="L86" s="7">
        <f t="shared" si="18"/>
        <v>-3834.4</v>
      </c>
      <c r="M86" s="3"/>
      <c r="N86" s="8">
        <f t="shared" si="19"/>
        <v>-0.76688000000000001</v>
      </c>
      <c r="O86" s="12"/>
      <c r="P86" s="7">
        <v>22493.96</v>
      </c>
      <c r="Q86" s="3"/>
      <c r="R86" s="8">
        <f t="shared" si="20"/>
        <v>0</v>
      </c>
      <c r="S86" s="3"/>
      <c r="T86" s="7">
        <v>45000</v>
      </c>
      <c r="U86" s="3"/>
      <c r="V86" s="8">
        <f t="shared" si="21"/>
        <v>0</v>
      </c>
      <c r="W86" s="3"/>
      <c r="X86" s="7">
        <f t="shared" si="22"/>
        <v>-22506.04</v>
      </c>
      <c r="Y86" s="3"/>
      <c r="Z86" s="8">
        <f t="shared" si="23"/>
        <v>-0.50013422222222226</v>
      </c>
    </row>
    <row r="87" spans="1:26" s="69" customFormat="1" ht="15" customHeight="1" outlineLevel="1" collapsed="1" x14ac:dyDescent="0.3">
      <c r="A87" s="25"/>
      <c r="B87" s="14" t="str">
        <f>CONCATENATE("     ","Telephone/Data Lines                              ")</f>
        <v xml:space="preserve">     Telephone/Data Lines                              </v>
      </c>
      <c r="C87" s="14"/>
      <c r="D87" s="2">
        <f>SUM(OSRRefD22_19x_0)</f>
        <v>570.5</v>
      </c>
      <c r="E87" s="2"/>
      <c r="F87" s="6">
        <f t="shared" si="16"/>
        <v>0</v>
      </c>
      <c r="G87" s="2"/>
      <c r="H87" s="2">
        <f>SUM(OSRRefH22_19x_0)</f>
        <v>600</v>
      </c>
      <c r="I87" s="2"/>
      <c r="J87" s="6">
        <f t="shared" si="17"/>
        <v>0</v>
      </c>
      <c r="K87" s="2"/>
      <c r="L87" s="2">
        <f t="shared" si="18"/>
        <v>-29.5</v>
      </c>
      <c r="M87" s="2"/>
      <c r="N87" s="6">
        <f t="shared" si="19"/>
        <v>-4.9166666666666664E-2</v>
      </c>
      <c r="O87" s="14"/>
      <c r="P87" s="2">
        <f>SUM(OSRRefP22_19x_0)</f>
        <v>5343.22</v>
      </c>
      <c r="Q87" s="2"/>
      <c r="R87" s="6">
        <f t="shared" si="20"/>
        <v>0</v>
      </c>
      <c r="S87" s="2"/>
      <c r="T87" s="2">
        <f>SUM(OSRRefT22_19x_0)</f>
        <v>5400</v>
      </c>
      <c r="U87" s="2"/>
      <c r="V87" s="6">
        <f t="shared" si="21"/>
        <v>0</v>
      </c>
      <c r="W87" s="2"/>
      <c r="X87" s="2">
        <f t="shared" si="22"/>
        <v>-56.779999999999745</v>
      </c>
      <c r="Y87" s="2"/>
      <c r="Z87" s="6">
        <f t="shared" si="23"/>
        <v>-1.0514814814814767E-2</v>
      </c>
    </row>
    <row r="88" spans="1:26" s="70" customFormat="1" ht="15" hidden="1" customHeight="1" outlineLevel="2" x14ac:dyDescent="0.3">
      <c r="A88" s="26"/>
      <c r="B88" s="12" t="str">
        <f>CONCATENATE("          ","6309"," - ","TELEPHONE")</f>
        <v xml:space="preserve">          6309 - TELEPHONE</v>
      </c>
      <c r="C88" s="12"/>
      <c r="D88" s="7">
        <v>570.5</v>
      </c>
      <c r="E88" s="3"/>
      <c r="F88" s="8">
        <f t="shared" si="16"/>
        <v>0</v>
      </c>
      <c r="G88" s="3"/>
      <c r="H88" s="7">
        <v>600</v>
      </c>
      <c r="I88" s="3"/>
      <c r="J88" s="8">
        <f t="shared" si="17"/>
        <v>0</v>
      </c>
      <c r="K88" s="3"/>
      <c r="L88" s="7">
        <f t="shared" si="18"/>
        <v>-29.5</v>
      </c>
      <c r="M88" s="3"/>
      <c r="N88" s="8">
        <f t="shared" si="19"/>
        <v>-4.9166666666666664E-2</v>
      </c>
      <c r="O88" s="12"/>
      <c r="P88" s="7">
        <v>5343.22</v>
      </c>
      <c r="Q88" s="3"/>
      <c r="R88" s="8">
        <f t="shared" si="20"/>
        <v>0</v>
      </c>
      <c r="S88" s="3"/>
      <c r="T88" s="7">
        <v>5400</v>
      </c>
      <c r="U88" s="3"/>
      <c r="V88" s="8">
        <f t="shared" si="21"/>
        <v>0</v>
      </c>
      <c r="W88" s="3"/>
      <c r="X88" s="7">
        <f t="shared" si="22"/>
        <v>-56.779999999999745</v>
      </c>
      <c r="Y88" s="3"/>
      <c r="Z88" s="8">
        <f t="shared" si="23"/>
        <v>-1.0514814814814767E-2</v>
      </c>
    </row>
    <row r="89" spans="1:26" s="69" customFormat="1" ht="15" customHeight="1" outlineLevel="1" collapsed="1" x14ac:dyDescent="0.3">
      <c r="A89" s="25"/>
      <c r="B89" s="14" t="str">
        <f>CONCATENATE("     ","Training                                          ")</f>
        <v xml:space="preserve">     Training                                          </v>
      </c>
      <c r="C89" s="14"/>
      <c r="D89" s="2">
        <f>SUM(OSRRefD22_20x_0)</f>
        <v>199</v>
      </c>
      <c r="E89" s="2"/>
      <c r="F89" s="6">
        <f t="shared" si="16"/>
        <v>0</v>
      </c>
      <c r="G89" s="2"/>
      <c r="H89" s="2">
        <f>SUM(OSRRefH22_20x_0)</f>
        <v>0</v>
      </c>
      <c r="I89" s="2"/>
      <c r="J89" s="6">
        <f t="shared" si="17"/>
        <v>0</v>
      </c>
      <c r="K89" s="2"/>
      <c r="L89" s="2">
        <f t="shared" si="18"/>
        <v>199</v>
      </c>
      <c r="M89" s="2"/>
      <c r="N89" s="6">
        <f t="shared" si="19"/>
        <v>0</v>
      </c>
      <c r="O89" s="14"/>
      <c r="P89" s="2">
        <f>SUM(OSRRefP22_20x_0)</f>
        <v>794</v>
      </c>
      <c r="Q89" s="2"/>
      <c r="R89" s="6">
        <f t="shared" si="20"/>
        <v>0</v>
      </c>
      <c r="S89" s="2"/>
      <c r="T89" s="2">
        <f>SUM(OSRRefT22_20x_0)</f>
        <v>2000</v>
      </c>
      <c r="U89" s="2"/>
      <c r="V89" s="6">
        <f t="shared" si="21"/>
        <v>0</v>
      </c>
      <c r="W89" s="2"/>
      <c r="X89" s="2">
        <f t="shared" si="22"/>
        <v>-1206</v>
      </c>
      <c r="Y89" s="2"/>
      <c r="Z89" s="6">
        <f t="shared" si="23"/>
        <v>-0.60299999999999998</v>
      </c>
    </row>
    <row r="90" spans="1:26" s="70" customFormat="1" ht="15" hidden="1" customHeight="1" outlineLevel="2" x14ac:dyDescent="0.3">
      <c r="A90" s="26"/>
      <c r="B90" s="12" t="str">
        <f>CONCATENATE("          ","6376"," - ","TRAINING")</f>
        <v xml:space="preserve">          6376 - TRAINING</v>
      </c>
      <c r="C90" s="12"/>
      <c r="D90" s="7">
        <v>199</v>
      </c>
      <c r="E90" s="3"/>
      <c r="F90" s="8">
        <f t="shared" si="16"/>
        <v>0</v>
      </c>
      <c r="G90" s="3"/>
      <c r="H90" s="7"/>
      <c r="I90" s="3"/>
      <c r="J90" s="8">
        <f t="shared" si="17"/>
        <v>0</v>
      </c>
      <c r="K90" s="3"/>
      <c r="L90" s="7">
        <f t="shared" si="18"/>
        <v>199</v>
      </c>
      <c r="M90" s="3"/>
      <c r="N90" s="8">
        <f t="shared" si="19"/>
        <v>0</v>
      </c>
      <c r="O90" s="12"/>
      <c r="P90" s="7">
        <v>794</v>
      </c>
      <c r="Q90" s="3"/>
      <c r="R90" s="8">
        <f t="shared" si="20"/>
        <v>0</v>
      </c>
      <c r="S90" s="3"/>
      <c r="T90" s="7">
        <v>2000</v>
      </c>
      <c r="U90" s="3"/>
      <c r="V90" s="8">
        <f t="shared" si="21"/>
        <v>0</v>
      </c>
      <c r="W90" s="3"/>
      <c r="X90" s="7">
        <f t="shared" si="22"/>
        <v>-1206</v>
      </c>
      <c r="Y90" s="3"/>
      <c r="Z90" s="8">
        <f t="shared" si="23"/>
        <v>-0.60299999999999998</v>
      </c>
    </row>
    <row r="91" spans="1:26" s="69" customFormat="1" ht="15" customHeight="1" outlineLevel="1" collapsed="1" x14ac:dyDescent="0.3">
      <c r="A91" s="25"/>
      <c r="B91" s="14" t="str">
        <f>CONCATENATE("     ","Travel                                            ")</f>
        <v xml:space="preserve">     Travel                                            </v>
      </c>
      <c r="C91" s="14"/>
      <c r="D91" s="2">
        <f>SUM(OSRRefD22_21x_0)</f>
        <v>0</v>
      </c>
      <c r="E91" s="2"/>
      <c r="F91" s="6">
        <f t="shared" si="16"/>
        <v>0</v>
      </c>
      <c r="G91" s="2"/>
      <c r="H91" s="2">
        <f>SUM(OSRRefH22_21x_0)</f>
        <v>125</v>
      </c>
      <c r="I91" s="2"/>
      <c r="J91" s="6">
        <f t="shared" si="17"/>
        <v>0</v>
      </c>
      <c r="K91" s="2"/>
      <c r="L91" s="2">
        <f t="shared" si="18"/>
        <v>-125</v>
      </c>
      <c r="M91" s="2"/>
      <c r="N91" s="6">
        <f t="shared" si="19"/>
        <v>-1</v>
      </c>
      <c r="O91" s="14"/>
      <c r="P91" s="2">
        <f>SUM(OSRRefP22_21x_0)</f>
        <v>732.09</v>
      </c>
      <c r="Q91" s="2"/>
      <c r="R91" s="6">
        <f t="shared" si="20"/>
        <v>0</v>
      </c>
      <c r="S91" s="2"/>
      <c r="T91" s="2">
        <f>SUM(OSRRefT22_21x_0)</f>
        <v>1125</v>
      </c>
      <c r="U91" s="2"/>
      <c r="V91" s="6">
        <f t="shared" si="21"/>
        <v>0</v>
      </c>
      <c r="W91" s="2"/>
      <c r="X91" s="2">
        <f t="shared" si="22"/>
        <v>-392.90999999999997</v>
      </c>
      <c r="Y91" s="2"/>
      <c r="Z91" s="6">
        <f t="shared" si="23"/>
        <v>-0.3492533333333333</v>
      </c>
    </row>
    <row r="92" spans="1:26" s="70" customFormat="1" ht="15" hidden="1" customHeight="1" outlineLevel="2" x14ac:dyDescent="0.3">
      <c r="A92" s="26"/>
      <c r="B92" s="12" t="str">
        <f>CONCATENATE("          ","6292"," - ","TRAVEL/CONFERENCE")</f>
        <v xml:space="preserve">          6292 - TRAVEL/CONFERENCE</v>
      </c>
      <c r="C92" s="12"/>
      <c r="D92" s="7"/>
      <c r="E92" s="3"/>
      <c r="F92" s="8">
        <f t="shared" si="16"/>
        <v>0</v>
      </c>
      <c r="G92" s="3"/>
      <c r="H92" s="7">
        <v>125</v>
      </c>
      <c r="I92" s="3"/>
      <c r="J92" s="8">
        <f t="shared" si="17"/>
        <v>0</v>
      </c>
      <c r="K92" s="3"/>
      <c r="L92" s="7">
        <f t="shared" si="18"/>
        <v>-125</v>
      </c>
      <c r="M92" s="3"/>
      <c r="N92" s="8">
        <f t="shared" si="19"/>
        <v>-1</v>
      </c>
      <c r="O92" s="12"/>
      <c r="P92" s="7">
        <v>495</v>
      </c>
      <c r="Q92" s="3"/>
      <c r="R92" s="8">
        <f t="shared" si="20"/>
        <v>0</v>
      </c>
      <c r="S92" s="3"/>
      <c r="T92" s="7">
        <v>1125</v>
      </c>
      <c r="U92" s="3"/>
      <c r="V92" s="8">
        <f t="shared" si="21"/>
        <v>0</v>
      </c>
      <c r="W92" s="3"/>
      <c r="X92" s="7">
        <f t="shared" si="22"/>
        <v>-630</v>
      </c>
      <c r="Y92" s="3"/>
      <c r="Z92" s="8">
        <f t="shared" si="23"/>
        <v>-0.56000000000000005</v>
      </c>
    </row>
    <row r="93" spans="1:26" s="70" customFormat="1" ht="15" hidden="1" customHeight="1" outlineLevel="2" x14ac:dyDescent="0.3">
      <c r="A93" s="26"/>
      <c r="B93" s="12" t="str">
        <f>CONCATENATE("          ","6298"," - ","VEHICLE MILEAGE")</f>
        <v xml:space="preserve">          6298 - VEHICLE MILEAGE</v>
      </c>
      <c r="C93" s="12"/>
      <c r="D93" s="7"/>
      <c r="E93" s="3"/>
      <c r="F93" s="8">
        <f t="shared" si="16"/>
        <v>0</v>
      </c>
      <c r="G93" s="3"/>
      <c r="H93" s="7"/>
      <c r="I93" s="3"/>
      <c r="J93" s="8">
        <f t="shared" si="17"/>
        <v>0</v>
      </c>
      <c r="K93" s="3"/>
      <c r="L93" s="7">
        <f t="shared" si="18"/>
        <v>0</v>
      </c>
      <c r="M93" s="3"/>
      <c r="N93" s="8">
        <f t="shared" si="19"/>
        <v>0</v>
      </c>
      <c r="O93" s="12"/>
      <c r="P93" s="7">
        <v>237.09</v>
      </c>
      <c r="Q93" s="3"/>
      <c r="R93" s="8">
        <f t="shared" si="20"/>
        <v>0</v>
      </c>
      <c r="S93" s="3"/>
      <c r="T93" s="7"/>
      <c r="U93" s="3"/>
      <c r="V93" s="8">
        <f t="shared" si="21"/>
        <v>0</v>
      </c>
      <c r="W93" s="3"/>
      <c r="X93" s="7">
        <f t="shared" si="22"/>
        <v>237.09</v>
      </c>
      <c r="Y93" s="3"/>
      <c r="Z93" s="8">
        <f t="shared" si="23"/>
        <v>0</v>
      </c>
    </row>
    <row r="94" spans="1:26" s="69" customFormat="1" ht="15" customHeight="1" outlineLevel="1" collapsed="1" x14ac:dyDescent="0.3">
      <c r="A94" s="25"/>
      <c r="B94" s="14" t="str">
        <f>CONCATENATE("     ","Utilities                                         ")</f>
        <v xml:space="preserve">     Utilities                                         </v>
      </c>
      <c r="C94" s="14"/>
      <c r="D94" s="2">
        <f>SUM(OSRRefD22_22x_0)</f>
        <v>6000</v>
      </c>
      <c r="E94" s="2"/>
      <c r="F94" s="6">
        <f t="shared" si="16"/>
        <v>0</v>
      </c>
      <c r="G94" s="2"/>
      <c r="H94" s="2">
        <f>SUM(OSRRefH22_22x_0)</f>
        <v>6000</v>
      </c>
      <c r="I94" s="2"/>
      <c r="J94" s="6">
        <f t="shared" si="17"/>
        <v>0</v>
      </c>
      <c r="K94" s="2"/>
      <c r="L94" s="2">
        <f t="shared" si="18"/>
        <v>0</v>
      </c>
      <c r="M94" s="2"/>
      <c r="N94" s="6">
        <f t="shared" si="19"/>
        <v>0</v>
      </c>
      <c r="O94" s="14"/>
      <c r="P94" s="2">
        <f>SUM(OSRRefP22_22x_0)</f>
        <v>48000</v>
      </c>
      <c r="Q94" s="2"/>
      <c r="R94" s="6">
        <f t="shared" si="20"/>
        <v>0</v>
      </c>
      <c r="S94" s="2"/>
      <c r="T94" s="2">
        <f>SUM(OSRRefT22_22x_0)</f>
        <v>54000</v>
      </c>
      <c r="U94" s="2"/>
      <c r="V94" s="6">
        <f t="shared" si="21"/>
        <v>0</v>
      </c>
      <c r="W94" s="2"/>
      <c r="X94" s="2">
        <f t="shared" si="22"/>
        <v>-6000</v>
      </c>
      <c r="Y94" s="2"/>
      <c r="Z94" s="6">
        <f t="shared" si="23"/>
        <v>-0.1111111111111111</v>
      </c>
    </row>
    <row r="95" spans="1:26" s="70" customFormat="1" ht="15" hidden="1" customHeight="1" outlineLevel="2" x14ac:dyDescent="0.3">
      <c r="A95" s="26"/>
      <c r="B95" s="12" t="str">
        <f>CONCATENATE("          ","6274"," - ","UTILITIES")</f>
        <v xml:space="preserve">          6274 - UTILITIES</v>
      </c>
      <c r="C95" s="12"/>
      <c r="D95" s="7">
        <v>6000</v>
      </c>
      <c r="E95" s="3"/>
      <c r="F95" s="8">
        <f t="shared" si="16"/>
        <v>0</v>
      </c>
      <c r="G95" s="3"/>
      <c r="H95" s="7">
        <v>6000</v>
      </c>
      <c r="I95" s="3"/>
      <c r="J95" s="8">
        <f t="shared" si="17"/>
        <v>0</v>
      </c>
      <c r="K95" s="3"/>
      <c r="L95" s="7">
        <f t="shared" si="18"/>
        <v>0</v>
      </c>
      <c r="M95" s="3"/>
      <c r="N95" s="8">
        <f t="shared" si="19"/>
        <v>0</v>
      </c>
      <c r="O95" s="12"/>
      <c r="P95" s="7">
        <v>48000</v>
      </c>
      <c r="Q95" s="3"/>
      <c r="R95" s="8">
        <f t="shared" si="20"/>
        <v>0</v>
      </c>
      <c r="S95" s="3"/>
      <c r="T95" s="7">
        <v>54000</v>
      </c>
      <c r="U95" s="3"/>
      <c r="V95" s="8">
        <f t="shared" si="21"/>
        <v>0</v>
      </c>
      <c r="W95" s="3"/>
      <c r="X95" s="7">
        <f t="shared" si="22"/>
        <v>-6000</v>
      </c>
      <c r="Y95" s="3"/>
      <c r="Z95" s="8">
        <f t="shared" si="23"/>
        <v>-0.1111111111111111</v>
      </c>
    </row>
    <row r="96" spans="1:26" s="65" customFormat="1" ht="15" customHeight="1" x14ac:dyDescent="0.3">
      <c r="A96" s="35"/>
      <c r="B96" s="35"/>
      <c r="C96" s="35"/>
      <c r="D96" s="2"/>
      <c r="E96" s="2"/>
      <c r="F96" s="6"/>
      <c r="G96" s="2"/>
      <c r="H96" s="2"/>
      <c r="I96" s="2"/>
      <c r="J96" s="6"/>
      <c r="K96" s="2"/>
      <c r="L96" s="2"/>
      <c r="M96" s="2"/>
      <c r="N96" s="6"/>
      <c r="O96" s="35"/>
      <c r="P96" s="2"/>
      <c r="Q96" s="2"/>
      <c r="R96" s="6"/>
      <c r="S96" s="2"/>
      <c r="T96" s="2"/>
      <c r="U96" s="2"/>
      <c r="V96" s="6"/>
      <c r="W96" s="2"/>
      <c r="X96" s="2"/>
      <c r="Y96" s="2"/>
      <c r="Z96" s="6"/>
    </row>
    <row r="97" spans="1:26" s="63" customFormat="1" ht="15" customHeight="1" collapsed="1" x14ac:dyDescent="0.3">
      <c r="A97" s="11"/>
      <c r="B97" s="28" t="s">
        <v>291</v>
      </c>
      <c r="C97" s="11"/>
      <c r="D97" s="5">
        <f>SUM(OSRRefD25x_0)</f>
        <v>7296.65</v>
      </c>
      <c r="E97" s="5"/>
      <c r="F97" s="13">
        <f>IF(D$12=0,0,D97/D$12)</f>
        <v>0</v>
      </c>
      <c r="G97" s="5"/>
      <c r="H97" s="5">
        <f>SUM(OSRRefH25x_0)</f>
        <v>3300</v>
      </c>
      <c r="I97" s="5"/>
      <c r="J97" s="13">
        <f>IF(H$12=0,0,H97/H$12)</f>
        <v>0</v>
      </c>
      <c r="K97" s="5"/>
      <c r="L97" s="5">
        <f>+D97-H97</f>
        <v>3996.6499999999996</v>
      </c>
      <c r="M97" s="5"/>
      <c r="N97" s="13">
        <f>IF(H97=0,0,L97/H97)</f>
        <v>1.2111060606060604</v>
      </c>
      <c r="O97" s="11"/>
      <c r="P97" s="5">
        <f>SUM(OSRRefP25x_0)</f>
        <v>211665.09</v>
      </c>
      <c r="Q97" s="5"/>
      <c r="R97" s="13">
        <f>IF(P$12=0,0,P97/P$12)</f>
        <v>0</v>
      </c>
      <c r="S97" s="5"/>
      <c r="T97" s="5">
        <f>SUM(OSRRefT25x_0)</f>
        <v>146100</v>
      </c>
      <c r="U97" s="5"/>
      <c r="V97" s="13">
        <f>IF(T$12=0,0,T97/T$12)</f>
        <v>0</v>
      </c>
      <c r="W97" s="5"/>
      <c r="X97" s="5">
        <f>+P97-T97</f>
        <v>65565.09</v>
      </c>
      <c r="Y97" s="5"/>
      <c r="Z97" s="13">
        <f>IF(T97=0,0,X97/T97)</f>
        <v>0.44876858316221763</v>
      </c>
    </row>
    <row r="98" spans="1:26" s="70" customFormat="1" ht="15" hidden="1" customHeight="1" outlineLevel="1" x14ac:dyDescent="0.3">
      <c r="A98" s="42"/>
      <c r="B98" s="12" t="str">
        <f>CONCATENATE("          ","9150"," - ","MISC. INCOME")</f>
        <v xml:space="preserve">          9150 - MISC. INCOME</v>
      </c>
      <c r="C98" s="12"/>
      <c r="D98" s="3">
        <f>--7296.65</f>
        <v>7296.65</v>
      </c>
      <c r="E98" s="3"/>
      <c r="F98" s="20">
        <f>IF(D$12=0,0,D98/D$12)</f>
        <v>0</v>
      </c>
      <c r="G98" s="3"/>
      <c r="H98" s="3">
        <v>3300</v>
      </c>
      <c r="I98" s="3"/>
      <c r="J98" s="20">
        <f>IF(H$12=0,0,H98/H$12)</f>
        <v>0</v>
      </c>
      <c r="K98" s="3"/>
      <c r="L98" s="3">
        <f>+D98-H98</f>
        <v>3996.6499999999996</v>
      </c>
      <c r="M98" s="3"/>
      <c r="N98" s="20">
        <f>IF(H98=0,0,L98/H98)</f>
        <v>1.2111060606060604</v>
      </c>
      <c r="O98" s="12"/>
      <c r="P98" s="3">
        <f>--211665.09</f>
        <v>211665.09</v>
      </c>
      <c r="Q98" s="3"/>
      <c r="R98" s="20">
        <f>IF(P$12=0,0,P98/P$12)</f>
        <v>0</v>
      </c>
      <c r="S98" s="3"/>
      <c r="T98" s="3">
        <v>17100</v>
      </c>
      <c r="U98" s="3"/>
      <c r="V98" s="20">
        <f>IF(T$12=0,0,T98/T$12)</f>
        <v>0</v>
      </c>
      <c r="W98" s="3"/>
      <c r="X98" s="3">
        <f>+P98-T98</f>
        <v>194565.09</v>
      </c>
      <c r="Y98" s="3"/>
      <c r="Z98" s="20">
        <f>IF(T98=0,0,X98/T98)</f>
        <v>11.378075438596492</v>
      </c>
    </row>
    <row r="99" spans="1:26" s="70" customFormat="1" ht="15" hidden="1" customHeight="1" outlineLevel="1" x14ac:dyDescent="0.3">
      <c r="A99" s="42"/>
      <c r="B99" s="12" t="str">
        <f>CONCATENATE("          ","9151"," - ","MISC. INCOME")</f>
        <v xml:space="preserve">          9151 - MISC. INCOME</v>
      </c>
      <c r="C99" s="12"/>
      <c r="D99" s="3">
        <f>0</f>
        <v>0</v>
      </c>
      <c r="E99" s="3"/>
      <c r="F99" s="20">
        <f>IF(D$12=0,0,D99/D$12)</f>
        <v>0</v>
      </c>
      <c r="G99" s="3"/>
      <c r="H99" s="3"/>
      <c r="I99" s="3"/>
      <c r="J99" s="20">
        <f>IF(H$12=0,0,H99/H$12)</f>
        <v>0</v>
      </c>
      <c r="K99" s="3"/>
      <c r="L99" s="3">
        <f>+D99-H99</f>
        <v>0</v>
      </c>
      <c r="M99" s="3"/>
      <c r="N99" s="20">
        <f>IF(H99=0,0,L99/H99)</f>
        <v>0</v>
      </c>
      <c r="O99" s="12"/>
      <c r="P99" s="3">
        <f>0</f>
        <v>0</v>
      </c>
      <c r="Q99" s="3"/>
      <c r="R99" s="20">
        <f>IF(P$12=0,0,P99/P$12)</f>
        <v>0</v>
      </c>
      <c r="S99" s="3"/>
      <c r="T99" s="3">
        <v>129000</v>
      </c>
      <c r="U99" s="3"/>
      <c r="V99" s="20">
        <f>IF(T$12=0,0,T99/T$12)</f>
        <v>0</v>
      </c>
      <c r="W99" s="3"/>
      <c r="X99" s="3">
        <f>+P99-T99</f>
        <v>-129000</v>
      </c>
      <c r="Y99" s="3"/>
      <c r="Z99" s="20">
        <f>IF(T99=0,0,X99/T99)</f>
        <v>-1</v>
      </c>
    </row>
    <row r="100" spans="1:26" ht="15" customHeight="1" x14ac:dyDescent="0.3">
      <c r="A100" s="10"/>
      <c r="B100" s="11"/>
      <c r="C100" s="11"/>
      <c r="D100" s="4"/>
      <c r="E100" s="4"/>
      <c r="F100" s="9"/>
      <c r="G100" s="4"/>
      <c r="H100" s="4"/>
      <c r="I100" s="4"/>
      <c r="J100" s="9"/>
      <c r="K100" s="4"/>
      <c r="L100" s="4"/>
      <c r="M100" s="4"/>
      <c r="N100" s="9"/>
      <c r="O100" s="11"/>
      <c r="P100" s="4"/>
      <c r="Q100" s="4"/>
      <c r="R100" s="9"/>
      <c r="S100" s="4"/>
      <c r="T100" s="4"/>
      <c r="U100" s="4"/>
      <c r="V100" s="9"/>
      <c r="W100" s="4"/>
      <c r="X100" s="4"/>
      <c r="Y100" s="4"/>
      <c r="Z100" s="9"/>
    </row>
    <row r="101" spans="1:26" s="63" customFormat="1" ht="15" customHeight="1" x14ac:dyDescent="0.3">
      <c r="A101" s="11"/>
      <c r="B101" s="27" t="s">
        <v>292</v>
      </c>
      <c r="C101" s="27"/>
      <c r="D101" s="21">
        <f>+D17-D19+D97</f>
        <v>-127695.68000000002</v>
      </c>
      <c r="E101" s="15"/>
      <c r="F101" s="23">
        <f>IF(D$12=0,0,D101/D$12)</f>
        <v>0</v>
      </c>
      <c r="G101" s="15"/>
      <c r="H101" s="21">
        <f>+H17-H19+H97</f>
        <v>-93798.833013257681</v>
      </c>
      <c r="I101" s="15"/>
      <c r="J101" s="23">
        <f>IF(H$12=0,0,H101/H$12)</f>
        <v>0</v>
      </c>
      <c r="K101" s="16"/>
      <c r="L101" s="21">
        <f>+D101-H101</f>
        <v>-33896.846986742341</v>
      </c>
      <c r="M101" s="16"/>
      <c r="N101" s="23">
        <f>IF(H101=0,0,L101/H101)</f>
        <v>0.36137813123913071</v>
      </c>
      <c r="O101" s="28"/>
      <c r="P101" s="21">
        <f>+P17-P19+P97</f>
        <v>-1081280.0799999998</v>
      </c>
      <c r="Q101" s="15"/>
      <c r="R101" s="23">
        <f>IF(P$12=0,0,P101/P$12)</f>
        <v>0</v>
      </c>
      <c r="S101" s="15"/>
      <c r="T101" s="21">
        <f>+T17-T19+T97</f>
        <v>-1074289.34920315</v>
      </c>
      <c r="U101" s="15"/>
      <c r="V101" s="23">
        <f>IF(T$12=0,0,T101/T$12)</f>
        <v>0</v>
      </c>
      <c r="W101" s="16"/>
      <c r="X101" s="21">
        <f>+P101-T101</f>
        <v>-6990.7307968498208</v>
      </c>
      <c r="Y101" s="16"/>
      <c r="Z101" s="23">
        <f>IF(T101=0,0,X101/T101)</f>
        <v>6.5073071812870231E-3</v>
      </c>
    </row>
    <row r="102" spans="1:26" ht="15" customHeight="1" x14ac:dyDescent="0.3">
      <c r="A102" s="10"/>
      <c r="B102" s="11"/>
      <c r="C102" s="10"/>
      <c r="D102" s="4"/>
      <c r="E102" s="4"/>
      <c r="F102" s="9"/>
      <c r="G102" s="4"/>
      <c r="H102" s="4"/>
      <c r="I102" s="4"/>
      <c r="J102" s="9"/>
      <c r="K102" s="4"/>
      <c r="L102" s="4"/>
      <c r="M102" s="4"/>
      <c r="N102" s="9"/>
      <c r="P102" s="4"/>
      <c r="Q102" s="4"/>
      <c r="R102" s="9"/>
      <c r="S102" s="4"/>
      <c r="T102" s="4"/>
      <c r="U102" s="4"/>
      <c r="V102" s="9"/>
      <c r="W102" s="4"/>
      <c r="X102" s="4"/>
      <c r="Y102" s="4"/>
      <c r="Z102" s="9"/>
    </row>
    <row r="103" spans="1:26" s="63" customFormat="1" ht="15" customHeight="1" x14ac:dyDescent="0.3">
      <c r="A103" s="49"/>
      <c r="B103" s="11" t="s">
        <v>293</v>
      </c>
      <c r="C103" s="11"/>
      <c r="D103" s="5"/>
      <c r="E103" s="5"/>
      <c r="F103" s="13">
        <f>IF(D$12=0,0,D103/D$12)</f>
        <v>0</v>
      </c>
      <c r="G103" s="5"/>
      <c r="H103" s="5"/>
      <c r="I103" s="5"/>
      <c r="J103" s="13">
        <f>IF(H$12=0,0,H103/H$12)</f>
        <v>0</v>
      </c>
      <c r="K103" s="5"/>
      <c r="L103" s="5">
        <f>+D103-H103</f>
        <v>0</v>
      </c>
      <c r="M103" s="5"/>
      <c r="N103" s="13">
        <f>IF(H103=0,0,L103/H103)</f>
        <v>0</v>
      </c>
      <c r="O103" s="11"/>
      <c r="P103" s="5"/>
      <c r="Q103" s="5"/>
      <c r="R103" s="13">
        <f>IF(P$12=0,0,P103/P$12)</f>
        <v>0</v>
      </c>
      <c r="S103" s="5"/>
      <c r="T103" s="5"/>
      <c r="U103" s="5"/>
      <c r="V103" s="13">
        <f>IF(T$12=0,0,T103/T$12)</f>
        <v>0</v>
      </c>
      <c r="W103" s="5"/>
      <c r="X103" s="5">
        <f>+P103-T103</f>
        <v>0</v>
      </c>
      <c r="Y103" s="5"/>
      <c r="Z103" s="13">
        <f>IF(T103=0,0,X103/T103)</f>
        <v>0</v>
      </c>
    </row>
    <row r="104" spans="1:26" ht="15" customHeight="1" x14ac:dyDescent="0.3">
      <c r="A104" s="10"/>
      <c r="B104" s="11"/>
      <c r="C104" s="11"/>
      <c r="D104" s="4"/>
      <c r="E104" s="4"/>
      <c r="F104" s="9"/>
      <c r="G104" s="4"/>
      <c r="H104" s="4"/>
      <c r="I104" s="4"/>
      <c r="J104" s="9"/>
      <c r="K104" s="4"/>
      <c r="L104" s="4"/>
      <c r="M104" s="4"/>
      <c r="N104" s="9"/>
      <c r="O104" s="11"/>
      <c r="P104" s="4"/>
      <c r="Q104" s="4"/>
      <c r="R104" s="9"/>
      <c r="S104" s="4"/>
      <c r="T104" s="4"/>
      <c r="U104" s="4"/>
      <c r="V104" s="9"/>
      <c r="W104" s="4"/>
      <c r="X104" s="4"/>
      <c r="Y104" s="4"/>
      <c r="Z104" s="9"/>
    </row>
    <row r="105" spans="1:26" s="63" customFormat="1" ht="15" customHeight="1" x14ac:dyDescent="0.3">
      <c r="A105" s="11"/>
      <c r="B105" s="27" t="s">
        <v>294</v>
      </c>
      <c r="C105" s="27"/>
      <c r="D105" s="34">
        <f>+D101-D103</f>
        <v>-127695.68000000002</v>
      </c>
      <c r="E105" s="15"/>
      <c r="F105" s="29">
        <f>IF(D$12=0,0,D105/D$12)</f>
        <v>0</v>
      </c>
      <c r="G105" s="15"/>
      <c r="H105" s="34">
        <f>+H101-H103</f>
        <v>-93798.833013257681</v>
      </c>
      <c r="I105" s="15"/>
      <c r="J105" s="29">
        <f>IF(H$12=0,0,H105/H$12)</f>
        <v>0</v>
      </c>
      <c r="K105" s="16"/>
      <c r="L105" s="34">
        <f>D105-H105</f>
        <v>-33896.846986742341</v>
      </c>
      <c r="M105" s="16"/>
      <c r="N105" s="29">
        <f>IF(H105=0,0,L105/H105)</f>
        <v>0.36137813123913071</v>
      </c>
      <c r="O105" s="28"/>
      <c r="P105" s="34">
        <f>+P101-P103</f>
        <v>-1081280.0799999998</v>
      </c>
      <c r="Q105" s="15"/>
      <c r="R105" s="29">
        <f>IF(P$12=0,0,P105/P$12)</f>
        <v>0</v>
      </c>
      <c r="S105" s="15"/>
      <c r="T105" s="34">
        <f>+T101-T103</f>
        <v>-1074289.34920315</v>
      </c>
      <c r="U105" s="15"/>
      <c r="V105" s="29">
        <f>IF(T$12=0,0,T105/T$12)</f>
        <v>0</v>
      </c>
      <c r="W105" s="16"/>
      <c r="X105" s="34">
        <f>P105-T105</f>
        <v>-6990.7307968498208</v>
      </c>
      <c r="Y105" s="16"/>
      <c r="Z105" s="29">
        <f>IF(T105=0,0,X105/T105)</f>
        <v>6.5073071812870231E-3</v>
      </c>
    </row>
    <row r="106" spans="1:26" ht="15" customHeight="1" x14ac:dyDescent="0.3">
      <c r="A106" s="10"/>
      <c r="B106" s="10"/>
      <c r="C106" s="10"/>
      <c r="D106" s="4"/>
      <c r="E106" s="4"/>
      <c r="F106" s="9"/>
      <c r="G106" s="4"/>
      <c r="H106" s="4"/>
      <c r="I106" s="4"/>
      <c r="J106" s="9"/>
      <c r="K106" s="4"/>
      <c r="L106" s="4"/>
      <c r="M106" s="4"/>
      <c r="N106" s="9"/>
      <c r="P106" s="4"/>
      <c r="Q106" s="4"/>
      <c r="R106" s="9"/>
      <c r="S106" s="4"/>
      <c r="T106" s="4"/>
      <c r="U106" s="4"/>
      <c r="V106" s="9"/>
      <c r="W106" s="4"/>
      <c r="X106" s="4"/>
      <c r="Y106" s="4"/>
      <c r="Z106" s="9"/>
    </row>
    <row r="107" spans="1:26" ht="15" customHeight="1" x14ac:dyDescent="0.3">
      <c r="A107" s="10"/>
      <c r="B107" s="10"/>
      <c r="C107" s="10"/>
      <c r="D107" s="4"/>
      <c r="E107" s="4"/>
      <c r="F107" s="9"/>
      <c r="G107" s="4"/>
      <c r="H107" s="4"/>
      <c r="I107" s="4"/>
      <c r="J107" s="9"/>
      <c r="K107" s="4"/>
      <c r="L107" s="4"/>
      <c r="M107" s="4"/>
      <c r="N107" s="9"/>
      <c r="P107" s="4"/>
      <c r="Q107" s="4"/>
      <c r="R107" s="9"/>
      <c r="S107" s="4"/>
      <c r="T107" s="4"/>
      <c r="U107" s="4"/>
      <c r="V107" s="9"/>
      <c r="W107" s="4"/>
      <c r="X107" s="4"/>
      <c r="Y107" s="4"/>
      <c r="Z107" s="9"/>
    </row>
    <row r="108" spans="1:26" s="63" customFormat="1" ht="15" customHeight="1" x14ac:dyDescent="0.3">
      <c r="A108" s="11"/>
      <c r="B108" s="27" t="s">
        <v>297</v>
      </c>
      <c r="C108" s="27"/>
      <c r="D108" s="32">
        <f>SUM(D105:D107)</f>
        <v>-127695.68000000002</v>
      </c>
      <c r="E108" s="15"/>
      <c r="F108" s="31">
        <f>IF(D$12=0,0,D108/D$12)</f>
        <v>0</v>
      </c>
      <c r="G108" s="15"/>
      <c r="H108" s="32">
        <f>SUM(H105:H107)</f>
        <v>-93798.833013257681</v>
      </c>
      <c r="I108" s="15"/>
      <c r="J108" s="31">
        <f>IF(H$12=0,0,H108/H$12)</f>
        <v>0</v>
      </c>
      <c r="K108" s="16"/>
      <c r="L108" s="32">
        <f>+D108-H108</f>
        <v>-33896.846986742341</v>
      </c>
      <c r="M108" s="16"/>
      <c r="N108" s="31">
        <f>IF(H108=0,0,L108/H108)</f>
        <v>0.36137813123913071</v>
      </c>
      <c r="O108" s="28"/>
      <c r="P108" s="32">
        <f>SUM(P105:P107)</f>
        <v>-1081280.0799999998</v>
      </c>
      <c r="Q108" s="15"/>
      <c r="R108" s="31">
        <f>IF(P$12=0,0,P108/P$12)</f>
        <v>0</v>
      </c>
      <c r="S108" s="15"/>
      <c r="T108" s="32">
        <f>SUM(T105:T107)</f>
        <v>-1074289.34920315</v>
      </c>
      <c r="U108" s="15"/>
      <c r="V108" s="31">
        <f>IF(T$12=0,0,T108/T$12)</f>
        <v>0</v>
      </c>
      <c r="W108" s="16"/>
      <c r="X108" s="32">
        <f>+P108-T108</f>
        <v>-6990.7307968498208</v>
      </c>
      <c r="Y108" s="16"/>
      <c r="Z108" s="31">
        <f>IF(T108=0,0,X108/T108)</f>
        <v>6.5073071812870231E-3</v>
      </c>
    </row>
    <row r="109" spans="1:26" ht="15" customHeight="1" x14ac:dyDescent="0.3">
      <c r="A109" s="10"/>
      <c r="C109" s="10"/>
      <c r="D109" s="19"/>
      <c r="E109" s="19"/>
      <c r="G109" s="19"/>
      <c r="H109" s="19"/>
      <c r="I109" s="19"/>
      <c r="J109" s="40"/>
      <c r="K109" s="19"/>
      <c r="L109" s="19"/>
      <c r="M109" s="19"/>
      <c r="P109" s="19"/>
      <c r="Q109" s="19"/>
      <c r="R109" s="40"/>
      <c r="S109" s="19"/>
      <c r="T109" s="19"/>
      <c r="U109" s="19"/>
      <c r="V109" s="40"/>
      <c r="W109" s="19"/>
      <c r="X109" s="19"/>
    </row>
    <row r="110" spans="1:26" ht="15" customHeight="1" x14ac:dyDescent="0.3">
      <c r="A110" s="10"/>
      <c r="B110" s="51">
        <v>44663.047665428239</v>
      </c>
      <c r="D110" s="19"/>
      <c r="E110" s="19"/>
      <c r="G110" s="19"/>
      <c r="H110" s="19"/>
      <c r="I110" s="19"/>
      <c r="J110" s="40"/>
      <c r="K110" s="19"/>
      <c r="L110" s="19"/>
      <c r="M110" s="19"/>
      <c r="P110" s="19"/>
      <c r="Q110" s="19"/>
      <c r="R110" s="40"/>
      <c r="S110" s="19"/>
      <c r="T110" s="19"/>
      <c r="U110" s="19"/>
      <c r="V110" s="40"/>
      <c r="W110" s="19"/>
      <c r="X110" s="19"/>
    </row>
    <row r="111" spans="1:26" ht="15" customHeight="1" x14ac:dyDescent="0.3">
      <c r="A111" s="10"/>
      <c r="B111" s="58" t="s">
        <v>298</v>
      </c>
      <c r="D111" s="19"/>
      <c r="E111" s="19"/>
      <c r="G111" s="19"/>
      <c r="H111" s="19"/>
      <c r="I111" s="19"/>
      <c r="J111" s="40"/>
      <c r="K111" s="19"/>
      <c r="L111" s="19"/>
      <c r="M111" s="19"/>
      <c r="P111" s="19"/>
      <c r="Q111" s="19"/>
      <c r="R111" s="40"/>
      <c r="S111" s="19"/>
      <c r="T111" s="19"/>
      <c r="U111" s="19"/>
      <c r="V111" s="40"/>
      <c r="W111" s="19"/>
      <c r="X111" s="19"/>
    </row>
    <row r="112" spans="1:26" ht="15" customHeight="1" x14ac:dyDescent="0.3">
      <c r="A112" s="10"/>
      <c r="B112" s="50"/>
      <c r="D112" s="19"/>
      <c r="E112" s="19"/>
      <c r="G112" s="19"/>
      <c r="H112" s="19"/>
      <c r="I112" s="19"/>
      <c r="J112" s="40"/>
      <c r="K112" s="19"/>
      <c r="L112" s="19"/>
      <c r="M112" s="19"/>
      <c r="P112" s="19"/>
      <c r="Q112" s="19"/>
      <c r="R112" s="40"/>
      <c r="S112" s="19"/>
      <c r="T112" s="19"/>
      <c r="U112" s="19"/>
      <c r="V112" s="40"/>
      <c r="W112" s="19"/>
      <c r="X112" s="19"/>
    </row>
    <row r="113" spans="4:24" ht="15" customHeight="1" x14ac:dyDescent="0.3">
      <c r="D113" s="19"/>
      <c r="E113" s="19"/>
      <c r="G113" s="19"/>
      <c r="H113" s="19"/>
      <c r="I113" s="19"/>
      <c r="J113" s="40"/>
      <c r="K113" s="19"/>
      <c r="L113" s="19"/>
      <c r="M113" s="19"/>
      <c r="P113" s="19"/>
      <c r="Q113" s="19"/>
      <c r="R113" s="40"/>
      <c r="S113" s="19"/>
      <c r="T113" s="19"/>
      <c r="U113" s="19"/>
      <c r="V113" s="40"/>
      <c r="W113" s="19"/>
      <c r="X113" s="19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70C891-8CEB-EA59-3BE4-A2E906F0B536}">
  <sheetPr>
    <tabColor rgb="FFFFFF00"/>
    <outlinePr summaryBelow="0" summaryRight="0"/>
  </sheetPr>
  <dimension ref="A2:Z105"/>
  <sheetViews>
    <sheetView showGridLines="0" defaultGridColor="0" colorId="8"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6" customWidth="1"/>
    <col min="2" max="2" width="33.44140625" style="66" customWidth="1"/>
    <col min="3" max="3" width="1.88671875" style="66" customWidth="1"/>
    <col min="4" max="4" width="15" style="66" customWidth="1"/>
    <col min="5" max="5" width="1.88671875" style="66" customWidth="1" outlineLevel="1"/>
    <col min="6" max="6" width="15" style="67" customWidth="1" outlineLevel="1"/>
    <col min="7" max="7" width="1.88671875" style="66" customWidth="1" outlineLevel="1"/>
    <col min="8" max="8" width="15" style="66" customWidth="1" outlineLevel="1"/>
    <col min="9" max="9" width="1.88671875" style="66" customWidth="1" outlineLevel="1"/>
    <col min="10" max="10" width="15" style="68" customWidth="1" outlineLevel="1"/>
    <col min="11" max="11" width="1.88671875" style="66" customWidth="1" outlineLevel="1"/>
    <col min="12" max="12" width="15" style="66" customWidth="1" outlineLevel="1"/>
    <col min="13" max="13" width="1.88671875" style="66" customWidth="1" outlineLevel="1"/>
    <col min="14" max="14" width="15" style="67" customWidth="1" outlineLevel="1"/>
    <col min="15" max="15" width="1.88671875" style="64" customWidth="1"/>
    <col min="16" max="16" width="15" style="66" customWidth="1"/>
    <col min="17" max="17" width="1.88671875" style="66" customWidth="1" outlineLevel="1"/>
    <col min="18" max="18" width="15" style="68" customWidth="1" outlineLevel="1"/>
    <col min="19" max="19" width="1.88671875" style="66" customWidth="1" outlineLevel="1"/>
    <col min="20" max="20" width="15" style="66" customWidth="1" outlineLevel="1"/>
    <col min="21" max="21" width="1.88671875" style="66" customWidth="1" outlineLevel="1"/>
    <col min="22" max="22" width="15" style="68" customWidth="1" outlineLevel="1"/>
    <col min="23" max="23" width="1.88671875" style="66" customWidth="1" outlineLevel="1"/>
    <col min="24" max="24" width="15" style="66" customWidth="1" outlineLevel="1"/>
    <col min="25" max="25" width="1.88671875" style="66" customWidth="1" outlineLevel="1"/>
    <col min="26" max="26" width="15" style="68" customWidth="1" outlineLevel="1"/>
  </cols>
  <sheetData>
    <row r="2" spans="1:26" ht="15" customHeight="1" x14ac:dyDescent="0.3">
      <c r="D2" s="54" t="s">
        <v>276</v>
      </c>
    </row>
    <row r="3" spans="1:26" ht="15" customHeight="1" x14ac:dyDescent="0.3">
      <c r="D3" s="54" t="s">
        <v>277</v>
      </c>
      <c r="E3" s="18"/>
      <c r="F3" s="44"/>
      <c r="G3" s="18"/>
      <c r="H3" s="18"/>
      <c r="I3" s="18"/>
      <c r="J3" s="38"/>
      <c r="K3" s="18"/>
      <c r="L3" s="18"/>
      <c r="M3" s="18"/>
      <c r="N3" s="44"/>
      <c r="O3" s="53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ht="15" customHeight="1" x14ac:dyDescent="0.3">
      <c r="D4" s="54" t="str">
        <f>CONCATENATE("Period ",RIGHT(202209,2),", ",2022)</f>
        <v>Period 09, 2022</v>
      </c>
      <c r="E4" s="18"/>
      <c r="F4" s="44"/>
      <c r="G4" s="18"/>
      <c r="H4" s="18"/>
      <c r="I4" s="18"/>
      <c r="J4" s="38"/>
      <c r="K4" s="18"/>
      <c r="L4" s="18"/>
      <c r="M4" s="18"/>
      <c r="N4" s="44"/>
      <c r="O4" s="53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ht="15" customHeight="1" x14ac:dyDescent="0.3">
      <c r="A5" s="24"/>
      <c r="D5" s="60">
        <v>44646</v>
      </c>
      <c r="E5" s="18"/>
      <c r="F5" s="44"/>
      <c r="G5" s="18"/>
      <c r="H5" s="18"/>
      <c r="I5" s="18"/>
      <c r="J5" s="38"/>
      <c r="K5" s="18"/>
      <c r="L5" s="18"/>
      <c r="M5" s="18"/>
      <c r="N5" s="44"/>
      <c r="O5" s="53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ht="15" customHeight="1" x14ac:dyDescent="0.3">
      <c r="A6" s="24"/>
      <c r="B6" s="47"/>
      <c r="C6" s="47"/>
      <c r="D6" s="24" t="s">
        <v>306</v>
      </c>
      <c r="E6" s="18"/>
      <c r="F6" s="44"/>
      <c r="G6" s="18"/>
      <c r="H6" s="18"/>
      <c r="I6" s="18"/>
      <c r="J6" s="38"/>
      <c r="K6" s="18"/>
      <c r="L6" s="18"/>
      <c r="M6" s="18"/>
      <c r="N6" s="44"/>
      <c r="O6" s="59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ht="15" customHeight="1" x14ac:dyDescent="0.3">
      <c r="B7" s="52"/>
    </row>
    <row r="8" spans="1:26" ht="15" customHeight="1" x14ac:dyDescent="0.3">
      <c r="B8" s="52"/>
    </row>
    <row r="9" spans="1:26" ht="15" customHeight="1" x14ac:dyDescent="0.3">
      <c r="B9" s="10"/>
      <c r="C9" s="10"/>
      <c r="D9" s="17" t="s">
        <v>279</v>
      </c>
      <c r="E9" s="17"/>
      <c r="F9" s="36"/>
      <c r="G9" s="17"/>
      <c r="H9" s="17"/>
      <c r="I9" s="17"/>
      <c r="J9" s="43"/>
      <c r="K9" s="17"/>
      <c r="L9" s="17"/>
      <c r="M9" s="17"/>
      <c r="N9" s="36"/>
      <c r="P9" s="17" t="s">
        <v>280</v>
      </c>
      <c r="Q9" s="17"/>
      <c r="R9" s="36"/>
      <c r="S9" s="17"/>
      <c r="T9" s="17"/>
      <c r="U9" s="17"/>
      <c r="V9" s="43"/>
      <c r="W9" s="17"/>
      <c r="X9" s="17"/>
      <c r="Y9" s="17"/>
      <c r="Z9" s="36"/>
    </row>
    <row r="10" spans="1:26" ht="15" customHeight="1" x14ac:dyDescent="0.3">
      <c r="A10" s="11"/>
      <c r="B10" s="57"/>
      <c r="C10" s="11"/>
      <c r="D10" s="41" t="s">
        <v>281</v>
      </c>
      <c r="E10" s="33"/>
      <c r="F10" s="37" t="s">
        <v>282</v>
      </c>
      <c r="G10" s="33"/>
      <c r="H10" s="48" t="s">
        <v>283</v>
      </c>
      <c r="I10" s="33"/>
      <c r="J10" s="45" t="s">
        <v>284</v>
      </c>
      <c r="K10" s="11"/>
      <c r="L10" s="41" t="s">
        <v>285</v>
      </c>
      <c r="M10" s="11"/>
      <c r="N10" s="37" t="s">
        <v>286</v>
      </c>
      <c r="O10" s="11"/>
      <c r="P10" s="56" t="s">
        <v>281</v>
      </c>
      <c r="Q10" s="33"/>
      <c r="R10" s="37" t="s">
        <v>282</v>
      </c>
      <c r="S10" s="33"/>
      <c r="T10" s="48" t="s">
        <v>283</v>
      </c>
      <c r="U10" s="33"/>
      <c r="V10" s="45" t="s">
        <v>284</v>
      </c>
      <c r="W10" s="11"/>
      <c r="X10" s="41" t="s">
        <v>285</v>
      </c>
      <c r="Y10" s="11"/>
      <c r="Z10" s="37" t="s">
        <v>286</v>
      </c>
    </row>
    <row r="11" spans="1:26" ht="16.5" customHeight="1" x14ac:dyDescent="0.3">
      <c r="A11" s="10"/>
      <c r="B11" s="55"/>
      <c r="C11" s="10"/>
      <c r="D11" s="10"/>
      <c r="E11" s="10"/>
      <c r="F11" s="9"/>
      <c r="G11" s="10"/>
      <c r="H11" s="10"/>
      <c r="I11" s="10"/>
      <c r="J11" s="46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6"/>
      <c r="W11" s="10"/>
      <c r="X11" s="10"/>
      <c r="Y11" s="10"/>
      <c r="Z11" s="9"/>
    </row>
    <row r="12" spans="1:26" s="63" customFormat="1" ht="15" customHeight="1" collapsed="1" x14ac:dyDescent="0.3">
      <c r="A12" s="11"/>
      <c r="B12" s="28" t="s">
        <v>287</v>
      </c>
      <c r="C12" s="11"/>
      <c r="D12" s="5">
        <f>SUM(OSRRefD13x_0)</f>
        <v>22895.32</v>
      </c>
      <c r="E12" s="5"/>
      <c r="F12" s="13"/>
      <c r="G12" s="5"/>
      <c r="H12" s="5">
        <f>SUM(OSRRefH13x_0)</f>
        <v>19227</v>
      </c>
      <c r="I12" s="5"/>
      <c r="J12" s="13"/>
      <c r="K12" s="5"/>
      <c r="L12" s="5">
        <f t="shared" ref="L12:L17" si="0">+D12-H12</f>
        <v>3668.3199999999997</v>
      </c>
      <c r="M12" s="5"/>
      <c r="N12" s="13">
        <f t="shared" ref="N12:N17" si="1">IF(H12=0,0,L12/H12)</f>
        <v>0.19079003484682996</v>
      </c>
      <c r="O12" s="11"/>
      <c r="P12" s="5">
        <f>SUM(OSRRefP13x_0)</f>
        <v>2151365.1500000004</v>
      </c>
      <c r="Q12" s="5"/>
      <c r="R12" s="13"/>
      <c r="S12" s="5"/>
      <c r="T12" s="5">
        <f>SUM(OSRRefT13x_0)</f>
        <v>4674718</v>
      </c>
      <c r="U12" s="5"/>
      <c r="V12" s="13"/>
      <c r="W12" s="5"/>
      <c r="X12" s="5">
        <f t="shared" ref="X12:X17" si="2">+P12-T12</f>
        <v>-2523352.8499999996</v>
      </c>
      <c r="Y12" s="5"/>
      <c r="Z12" s="13">
        <f t="shared" ref="Z12:Z17" si="3">IF(T12=0,0,X12/T12)</f>
        <v>-0.53978718074544807</v>
      </c>
    </row>
    <row r="13" spans="1:26" s="70" customFormat="1" ht="15" hidden="1" customHeight="1" outlineLevel="1" x14ac:dyDescent="0.3">
      <c r="A13" s="42"/>
      <c r="B13" s="12" t="str">
        <f>CONCATENATE("          ","4000"," - ","TAXABLE SALES")</f>
        <v xml:space="preserve">          4000 - TAXABLE SALES</v>
      </c>
      <c r="C13" s="12"/>
      <c r="D13" s="3">
        <f>--26193.43</f>
        <v>26193.43</v>
      </c>
      <c r="E13" s="3"/>
      <c r="F13" s="20"/>
      <c r="G13" s="3"/>
      <c r="H13" s="3">
        <v>19227</v>
      </c>
      <c r="I13" s="3"/>
      <c r="J13" s="20"/>
      <c r="K13" s="3"/>
      <c r="L13" s="3">
        <f t="shared" si="0"/>
        <v>6966.43</v>
      </c>
      <c r="M13" s="3"/>
      <c r="N13" s="20">
        <f t="shared" si="1"/>
        <v>0.36232537577365165</v>
      </c>
      <c r="O13" s="12"/>
      <c r="P13" s="3">
        <f>--1626712.26</f>
        <v>1626712.26</v>
      </c>
      <c r="Q13" s="3"/>
      <c r="R13" s="20"/>
      <c r="S13" s="3"/>
      <c r="T13" s="3">
        <v>4674718</v>
      </c>
      <c r="U13" s="3"/>
      <c r="V13" s="20"/>
      <c r="W13" s="3"/>
      <c r="X13" s="3">
        <f t="shared" si="2"/>
        <v>-3048005.74</v>
      </c>
      <c r="Y13" s="3"/>
      <c r="Z13" s="20">
        <f t="shared" si="3"/>
        <v>-0.65201916778723346</v>
      </c>
    </row>
    <row r="14" spans="1:26" s="70" customFormat="1" ht="15" hidden="1" customHeight="1" outlineLevel="1" x14ac:dyDescent="0.3">
      <c r="A14" s="42"/>
      <c r="B14" s="12" t="str">
        <f>CONCATENATE("          ","4100"," - ","NON-TAXABLE SALES")</f>
        <v xml:space="preserve">          4100 - NON-TAXABLE SALES</v>
      </c>
      <c r="C14" s="12"/>
      <c r="D14" s="3">
        <f>--1597.61</f>
        <v>1597.61</v>
      </c>
      <c r="E14" s="3"/>
      <c r="F14" s="20"/>
      <c r="G14" s="3"/>
      <c r="H14" s="3">
        <v>0</v>
      </c>
      <c r="I14" s="3"/>
      <c r="J14" s="20"/>
      <c r="K14" s="3"/>
      <c r="L14" s="3">
        <f t="shared" si="0"/>
        <v>1597.61</v>
      </c>
      <c r="M14" s="3"/>
      <c r="N14" s="20">
        <f t="shared" si="1"/>
        <v>0</v>
      </c>
      <c r="O14" s="12"/>
      <c r="P14" s="3">
        <f>--616942.81</f>
        <v>616942.81000000006</v>
      </c>
      <c r="Q14" s="3"/>
      <c r="R14" s="20"/>
      <c r="S14" s="3"/>
      <c r="T14" s="3">
        <v>0</v>
      </c>
      <c r="U14" s="3"/>
      <c r="V14" s="20"/>
      <c r="W14" s="3"/>
      <c r="X14" s="3">
        <f t="shared" si="2"/>
        <v>616942.81000000006</v>
      </c>
      <c r="Y14" s="3"/>
      <c r="Z14" s="20">
        <f t="shared" si="3"/>
        <v>0</v>
      </c>
    </row>
    <row r="15" spans="1:26" s="70" customFormat="1" ht="15" hidden="1" customHeight="1" outlineLevel="1" x14ac:dyDescent="0.3">
      <c r="A15" s="42"/>
      <c r="B15" s="12" t="str">
        <f>CONCATENATE("          ","4200"," - ","TAXABLE RETURNS")</f>
        <v xml:space="preserve">          4200 - TAXABLE RETURNS</v>
      </c>
      <c r="C15" s="12"/>
      <c r="D15" s="3">
        <f>-4679.48</f>
        <v>-4679.4799999999996</v>
      </c>
      <c r="E15" s="3"/>
      <c r="F15" s="20"/>
      <c r="G15" s="3"/>
      <c r="H15" s="3"/>
      <c r="I15" s="3"/>
      <c r="J15" s="20"/>
      <c r="K15" s="3"/>
      <c r="L15" s="3">
        <f t="shared" si="0"/>
        <v>-4679.4799999999996</v>
      </c>
      <c r="M15" s="3"/>
      <c r="N15" s="20">
        <f t="shared" si="1"/>
        <v>0</v>
      </c>
      <c r="O15" s="12"/>
      <c r="P15" s="3">
        <f>-55512.29</f>
        <v>-55512.29</v>
      </c>
      <c r="Q15" s="3"/>
      <c r="R15" s="20"/>
      <c r="S15" s="3"/>
      <c r="T15" s="3"/>
      <c r="U15" s="3"/>
      <c r="V15" s="20"/>
      <c r="W15" s="3"/>
      <c r="X15" s="3">
        <f t="shared" si="2"/>
        <v>-55512.29</v>
      </c>
      <c r="Y15" s="3"/>
      <c r="Z15" s="20">
        <f t="shared" si="3"/>
        <v>0</v>
      </c>
    </row>
    <row r="16" spans="1:26" s="70" customFormat="1" ht="15" hidden="1" customHeight="1" outlineLevel="1" x14ac:dyDescent="0.3">
      <c r="A16" s="42"/>
      <c r="B16" s="12" t="str">
        <f>CONCATENATE("          ","4300"," - ","NON-TAX RETURNS")</f>
        <v xml:space="preserve">          4300 - NON-TAX RETURNS</v>
      </c>
      <c r="C16" s="12"/>
      <c r="D16" s="3">
        <f>0</f>
        <v>0</v>
      </c>
      <c r="E16" s="3"/>
      <c r="F16" s="20"/>
      <c r="G16" s="3"/>
      <c r="H16" s="3"/>
      <c r="I16" s="3"/>
      <c r="J16" s="20"/>
      <c r="K16" s="3"/>
      <c r="L16" s="3">
        <f t="shared" si="0"/>
        <v>0</v>
      </c>
      <c r="M16" s="3"/>
      <c r="N16" s="20">
        <f t="shared" si="1"/>
        <v>0</v>
      </c>
      <c r="O16" s="12"/>
      <c r="P16" s="3">
        <f>-29348.67</f>
        <v>-29348.67</v>
      </c>
      <c r="Q16" s="3"/>
      <c r="R16" s="20"/>
      <c r="S16" s="3"/>
      <c r="T16" s="3"/>
      <c r="U16" s="3"/>
      <c r="V16" s="20"/>
      <c r="W16" s="3"/>
      <c r="X16" s="3">
        <f t="shared" si="2"/>
        <v>-29348.67</v>
      </c>
      <c r="Y16" s="3"/>
      <c r="Z16" s="20">
        <f t="shared" si="3"/>
        <v>0</v>
      </c>
    </row>
    <row r="17" spans="1:26" s="70" customFormat="1" ht="15" hidden="1" customHeight="1" outlineLevel="1" x14ac:dyDescent="0.3">
      <c r="A17" s="42"/>
      <c r="B17" s="12" t="str">
        <f>CONCATENATE("          ","4500"," - ","SALES DISCOUNT")</f>
        <v xml:space="preserve">          4500 - SALES DISCOUNT</v>
      </c>
      <c r="C17" s="12"/>
      <c r="D17" s="3">
        <f>-216.24</f>
        <v>-216.24</v>
      </c>
      <c r="E17" s="3"/>
      <c r="F17" s="20"/>
      <c r="G17" s="3"/>
      <c r="H17" s="3"/>
      <c r="I17" s="3"/>
      <c r="J17" s="20"/>
      <c r="K17" s="3"/>
      <c r="L17" s="3">
        <f t="shared" si="0"/>
        <v>-216.24</v>
      </c>
      <c r="M17" s="3"/>
      <c r="N17" s="20">
        <f t="shared" si="1"/>
        <v>0</v>
      </c>
      <c r="O17" s="12"/>
      <c r="P17" s="3">
        <f>-7428.96</f>
        <v>-7428.96</v>
      </c>
      <c r="Q17" s="3"/>
      <c r="R17" s="20"/>
      <c r="S17" s="3"/>
      <c r="T17" s="3"/>
      <c r="U17" s="3"/>
      <c r="V17" s="20"/>
      <c r="W17" s="3"/>
      <c r="X17" s="3">
        <f t="shared" si="2"/>
        <v>-7428.96</v>
      </c>
      <c r="Y17" s="3"/>
      <c r="Z17" s="20">
        <f t="shared" si="3"/>
        <v>0</v>
      </c>
    </row>
    <row r="18" spans="1:26" ht="15" customHeight="1" x14ac:dyDescent="0.3">
      <c r="A18" s="10"/>
      <c r="B18" s="11"/>
      <c r="C18" s="10"/>
      <c r="D18" s="4"/>
      <c r="E18" s="4"/>
      <c r="F18" s="9"/>
      <c r="G18" s="4"/>
      <c r="H18" s="4"/>
      <c r="I18" s="4"/>
      <c r="J18" s="9"/>
      <c r="K18" s="4"/>
      <c r="L18" s="4"/>
      <c r="M18" s="4"/>
      <c r="N18" s="9"/>
      <c r="P18" s="4"/>
      <c r="Q18" s="4"/>
      <c r="R18" s="9"/>
      <c r="S18" s="4"/>
      <c r="T18" s="4"/>
      <c r="U18" s="4"/>
      <c r="V18" s="9"/>
      <c r="W18" s="4"/>
      <c r="X18" s="4"/>
      <c r="Y18" s="4"/>
      <c r="Z18" s="9"/>
    </row>
    <row r="19" spans="1:26" s="63" customFormat="1" ht="15" customHeight="1" collapsed="1" x14ac:dyDescent="0.3">
      <c r="A19" s="11"/>
      <c r="B19" s="28" t="s">
        <v>288</v>
      </c>
      <c r="C19" s="11"/>
      <c r="D19" s="5">
        <f>SUM(OSRRefD16x_0)</f>
        <v>16422.619999999984</v>
      </c>
      <c r="E19" s="5"/>
      <c r="F19" s="13">
        <f t="shared" ref="F19:F29" si="4">IF(D$12=0,0,D19/D$12)</f>
        <v>0.7172915687572825</v>
      </c>
      <c r="G19" s="5"/>
      <c r="H19" s="5">
        <f>SUM(OSRRefH16x_0)</f>
        <v>13896</v>
      </c>
      <c r="I19" s="5"/>
      <c r="J19" s="13">
        <f t="shared" ref="J19:J29" si="5">IF(H$12=0,0,H19/H$12)</f>
        <v>0.72273365579653615</v>
      </c>
      <c r="K19" s="5"/>
      <c r="L19" s="5">
        <f t="shared" ref="L19:L29" si="6">+D19-H19</f>
        <v>2526.6199999999844</v>
      </c>
      <c r="M19" s="5"/>
      <c r="N19" s="13">
        <f t="shared" ref="N19:N29" si="7">IF(H19=0,0,L19/H19)</f>
        <v>0.18182354634427061</v>
      </c>
      <c r="O19" s="11"/>
      <c r="P19" s="5">
        <f>SUM(OSRRefP16x_0)</f>
        <v>1654399.02</v>
      </c>
      <c r="Q19" s="5"/>
      <c r="R19" s="13">
        <f t="shared" ref="R19:R29" si="8">IF(P$12=0,0,P19/P$12)</f>
        <v>0.76899963727682386</v>
      </c>
      <c r="S19" s="5"/>
      <c r="T19" s="5">
        <f>SUM(OSRRefT16x_0)</f>
        <v>3381313</v>
      </c>
      <c r="U19" s="5"/>
      <c r="V19" s="13">
        <f t="shared" ref="V19:V29" si="9">IF(T$12=0,0,T19/T$12)</f>
        <v>0.72331913925075264</v>
      </c>
      <c r="W19" s="5"/>
      <c r="X19" s="5">
        <f t="shared" ref="X19:X29" si="10">+P19-T19</f>
        <v>-1726913.98</v>
      </c>
      <c r="Y19" s="5"/>
      <c r="Z19" s="13">
        <f t="shared" ref="Z19:Z29" si="11">IF(T19=0,0,X19/T19)</f>
        <v>-0.51072289965466078</v>
      </c>
    </row>
    <row r="20" spans="1:26" s="70" customFormat="1" ht="15" hidden="1" customHeight="1" outlineLevel="1" x14ac:dyDescent="0.3">
      <c r="A20" s="42"/>
      <c r="B20" s="12" t="str">
        <f>CONCATENATE("          ","5000"," - ","PURCHASES @ COST")</f>
        <v xml:space="preserve">          5000 - PURCHASES @ COST</v>
      </c>
      <c r="C20" s="12"/>
      <c r="D20" s="3">
        <v>-271424.32</v>
      </c>
      <c r="E20" s="3"/>
      <c r="F20" s="20">
        <f t="shared" si="4"/>
        <v>-11.855013164262392</v>
      </c>
      <c r="G20" s="3"/>
      <c r="H20" s="3">
        <v>13896</v>
      </c>
      <c r="I20" s="3"/>
      <c r="J20" s="20">
        <f t="shared" si="5"/>
        <v>0.72273365579653615</v>
      </c>
      <c r="K20" s="3"/>
      <c r="L20" s="3">
        <f t="shared" si="6"/>
        <v>-285320.32000000001</v>
      </c>
      <c r="M20" s="3"/>
      <c r="N20" s="20">
        <f t="shared" si="7"/>
        <v>-20.532550374208405</v>
      </c>
      <c r="O20" s="12"/>
      <c r="P20" s="3">
        <v>1610524.72</v>
      </c>
      <c r="Q20" s="3"/>
      <c r="R20" s="20">
        <f t="shared" si="8"/>
        <v>0.74860593516632901</v>
      </c>
      <c r="S20" s="3"/>
      <c r="T20" s="3">
        <v>3381313</v>
      </c>
      <c r="U20" s="3"/>
      <c r="V20" s="20">
        <f t="shared" si="9"/>
        <v>0.72331913925075264</v>
      </c>
      <c r="W20" s="3"/>
      <c r="X20" s="3">
        <f t="shared" si="10"/>
        <v>-1770788.28</v>
      </c>
      <c r="Y20" s="3"/>
      <c r="Z20" s="20">
        <f t="shared" si="11"/>
        <v>-0.52369842129374</v>
      </c>
    </row>
    <row r="21" spans="1:26" s="70" customFormat="1" ht="15" hidden="1" customHeight="1" outlineLevel="1" x14ac:dyDescent="0.3">
      <c r="A21" s="42"/>
      <c r="B21" s="12" t="str">
        <f>CONCATENATE("          ","5001"," - ","PURCHASES @ COST-NEW TEXT")</f>
        <v xml:space="preserve">          5001 - PURCHASES @ COST-NEW TEXT</v>
      </c>
      <c r="C21" s="12"/>
      <c r="D21" s="3"/>
      <c r="E21" s="3"/>
      <c r="F21" s="20">
        <f t="shared" si="4"/>
        <v>0</v>
      </c>
      <c r="G21" s="3"/>
      <c r="H21" s="3"/>
      <c r="I21" s="3"/>
      <c r="J21" s="20">
        <f t="shared" si="5"/>
        <v>0</v>
      </c>
      <c r="K21" s="3"/>
      <c r="L21" s="3">
        <f t="shared" si="6"/>
        <v>0</v>
      </c>
      <c r="M21" s="3"/>
      <c r="N21" s="20">
        <f t="shared" si="7"/>
        <v>0</v>
      </c>
      <c r="O21" s="12"/>
      <c r="P21" s="3">
        <v>0</v>
      </c>
      <c r="Q21" s="3"/>
      <c r="R21" s="20">
        <f t="shared" si="8"/>
        <v>0</v>
      </c>
      <c r="S21" s="3"/>
      <c r="T21" s="3"/>
      <c r="U21" s="3"/>
      <c r="V21" s="20">
        <f t="shared" si="9"/>
        <v>0</v>
      </c>
      <c r="W21" s="3"/>
      <c r="X21" s="3">
        <f t="shared" si="10"/>
        <v>0</v>
      </c>
      <c r="Y21" s="3"/>
      <c r="Z21" s="20">
        <f t="shared" si="11"/>
        <v>0</v>
      </c>
    </row>
    <row r="22" spans="1:26" s="70" customFormat="1" ht="15" hidden="1" customHeight="1" outlineLevel="1" x14ac:dyDescent="0.3">
      <c r="A22" s="42"/>
      <c r="B22" s="12" t="str">
        <f>CONCATENATE("          ","5002"," - ","PURCHASES @ COST-USED TEXT")</f>
        <v xml:space="preserve">          5002 - PURCHASES @ COST-USED TEXT</v>
      </c>
      <c r="C22" s="12"/>
      <c r="D22" s="3"/>
      <c r="E22" s="3"/>
      <c r="F22" s="20">
        <f t="shared" si="4"/>
        <v>0</v>
      </c>
      <c r="G22" s="3"/>
      <c r="H22" s="3"/>
      <c r="I22" s="3"/>
      <c r="J22" s="20">
        <f t="shared" si="5"/>
        <v>0</v>
      </c>
      <c r="K22" s="3"/>
      <c r="L22" s="3">
        <f t="shared" si="6"/>
        <v>0</v>
      </c>
      <c r="M22" s="3"/>
      <c r="N22" s="20">
        <f t="shared" si="7"/>
        <v>0</v>
      </c>
      <c r="O22" s="12"/>
      <c r="P22" s="3">
        <v>0</v>
      </c>
      <c r="Q22" s="3"/>
      <c r="R22" s="20">
        <f t="shared" si="8"/>
        <v>0</v>
      </c>
      <c r="S22" s="3"/>
      <c r="T22" s="3"/>
      <c r="U22" s="3"/>
      <c r="V22" s="20">
        <f t="shared" si="9"/>
        <v>0</v>
      </c>
      <c r="W22" s="3"/>
      <c r="X22" s="3">
        <f t="shared" si="10"/>
        <v>0</v>
      </c>
      <c r="Y22" s="3"/>
      <c r="Z22" s="20">
        <f t="shared" si="11"/>
        <v>0</v>
      </c>
    </row>
    <row r="23" spans="1:26" s="70" customFormat="1" ht="15" hidden="1" customHeight="1" outlineLevel="1" x14ac:dyDescent="0.3">
      <c r="A23" s="42"/>
      <c r="B23" s="12" t="str">
        <f>CONCATENATE("          ","5004"," - ","PURCHASES @ COST-DIGITAL TEXT")</f>
        <v xml:space="preserve">          5004 - PURCHASES @ COST-DIGITAL TEXT</v>
      </c>
      <c r="C23" s="12"/>
      <c r="D23" s="3"/>
      <c r="E23" s="3"/>
      <c r="F23" s="20">
        <f t="shared" si="4"/>
        <v>0</v>
      </c>
      <c r="G23" s="3"/>
      <c r="H23" s="3"/>
      <c r="I23" s="3"/>
      <c r="J23" s="20">
        <f t="shared" si="5"/>
        <v>0</v>
      </c>
      <c r="K23" s="3"/>
      <c r="L23" s="3">
        <f t="shared" si="6"/>
        <v>0</v>
      </c>
      <c r="M23" s="3"/>
      <c r="N23" s="20">
        <f t="shared" si="7"/>
        <v>0</v>
      </c>
      <c r="O23" s="12"/>
      <c r="P23" s="3">
        <v>0</v>
      </c>
      <c r="Q23" s="3"/>
      <c r="R23" s="20">
        <f t="shared" si="8"/>
        <v>0</v>
      </c>
      <c r="S23" s="3"/>
      <c r="T23" s="3"/>
      <c r="U23" s="3"/>
      <c r="V23" s="20">
        <f t="shared" si="9"/>
        <v>0</v>
      </c>
      <c r="W23" s="3"/>
      <c r="X23" s="3">
        <f t="shared" si="10"/>
        <v>0</v>
      </c>
      <c r="Y23" s="3"/>
      <c r="Z23" s="20">
        <f t="shared" si="11"/>
        <v>0</v>
      </c>
    </row>
    <row r="24" spans="1:26" s="70" customFormat="1" ht="15" hidden="1" customHeight="1" outlineLevel="1" x14ac:dyDescent="0.3">
      <c r="A24" s="42"/>
      <c r="B24" s="12" t="str">
        <f>CONCATENATE("          ","5200"," - ","PURCHASES OFFSET")</f>
        <v xml:space="preserve">          5200 - PURCHASES OFFSET</v>
      </c>
      <c r="C24" s="12"/>
      <c r="D24" s="3">
        <v>267392.68</v>
      </c>
      <c r="E24" s="3"/>
      <c r="F24" s="20">
        <f t="shared" si="4"/>
        <v>11.678923028811129</v>
      </c>
      <c r="G24" s="3"/>
      <c r="H24" s="3"/>
      <c r="I24" s="3"/>
      <c r="J24" s="20">
        <f t="shared" si="5"/>
        <v>0</v>
      </c>
      <c r="K24" s="3"/>
      <c r="L24" s="3">
        <f t="shared" si="6"/>
        <v>267392.68</v>
      </c>
      <c r="M24" s="3"/>
      <c r="N24" s="20">
        <f t="shared" si="7"/>
        <v>0</v>
      </c>
      <c r="O24" s="12"/>
      <c r="P24" s="3">
        <v>-1361905.52</v>
      </c>
      <c r="Q24" s="3"/>
      <c r="R24" s="20">
        <f t="shared" si="8"/>
        <v>-0.63304247537894709</v>
      </c>
      <c r="S24" s="3"/>
      <c r="T24" s="3"/>
      <c r="U24" s="3"/>
      <c r="V24" s="20">
        <f t="shared" si="9"/>
        <v>0</v>
      </c>
      <c r="W24" s="3"/>
      <c r="X24" s="3">
        <f t="shared" si="10"/>
        <v>-1361905.52</v>
      </c>
      <c r="Y24" s="3"/>
      <c r="Z24" s="20">
        <f t="shared" si="11"/>
        <v>0</v>
      </c>
    </row>
    <row r="25" spans="1:26" s="70" customFormat="1" ht="15" hidden="1" customHeight="1" outlineLevel="1" x14ac:dyDescent="0.3">
      <c r="A25" s="42"/>
      <c r="B25" s="12" t="str">
        <f>CONCATENATE("          ","5300"," - ","COG$ OFFSET")</f>
        <v xml:space="preserve">          5300 - COG$ OFFSET</v>
      </c>
      <c r="C25" s="12"/>
      <c r="D25" s="3">
        <v>14415.48</v>
      </c>
      <c r="E25" s="3"/>
      <c r="F25" s="20">
        <f t="shared" si="4"/>
        <v>0.62962561781184978</v>
      </c>
      <c r="G25" s="3"/>
      <c r="H25" s="3"/>
      <c r="I25" s="3"/>
      <c r="J25" s="20">
        <f t="shared" si="5"/>
        <v>0</v>
      </c>
      <c r="K25" s="3"/>
      <c r="L25" s="3">
        <f t="shared" si="6"/>
        <v>14415.48</v>
      </c>
      <c r="M25" s="3"/>
      <c r="N25" s="20">
        <f t="shared" si="7"/>
        <v>0</v>
      </c>
      <c r="O25" s="12"/>
      <c r="P25" s="3">
        <v>1329286.03</v>
      </c>
      <c r="Q25" s="3"/>
      <c r="R25" s="20">
        <f t="shared" si="8"/>
        <v>0.61788024687487375</v>
      </c>
      <c r="S25" s="3"/>
      <c r="T25" s="3"/>
      <c r="U25" s="3"/>
      <c r="V25" s="20">
        <f t="shared" si="9"/>
        <v>0</v>
      </c>
      <c r="W25" s="3"/>
      <c r="X25" s="3">
        <f t="shared" si="10"/>
        <v>1329286.03</v>
      </c>
      <c r="Y25" s="3"/>
      <c r="Z25" s="20">
        <f t="shared" si="11"/>
        <v>0</v>
      </c>
    </row>
    <row r="26" spans="1:26" s="70" customFormat="1" ht="15" hidden="1" customHeight="1" outlineLevel="1" x14ac:dyDescent="0.3">
      <c r="A26" s="42"/>
      <c r="B26" s="12" t="str">
        <f>CONCATENATE("          ","5500"," - ","FREIGHT-IN")</f>
        <v xml:space="preserve">          5500 - FREIGHT-IN</v>
      </c>
      <c r="C26" s="12"/>
      <c r="D26" s="3">
        <v>6038.78</v>
      </c>
      <c r="E26" s="3"/>
      <c r="F26" s="20">
        <f t="shared" si="4"/>
        <v>0.2637560863966959</v>
      </c>
      <c r="G26" s="3"/>
      <c r="H26" s="3"/>
      <c r="I26" s="3"/>
      <c r="J26" s="20">
        <f t="shared" si="5"/>
        <v>0</v>
      </c>
      <c r="K26" s="3"/>
      <c r="L26" s="3">
        <f t="shared" si="6"/>
        <v>6038.78</v>
      </c>
      <c r="M26" s="3"/>
      <c r="N26" s="20">
        <f t="shared" si="7"/>
        <v>0</v>
      </c>
      <c r="O26" s="12"/>
      <c r="P26" s="3">
        <v>76493.789999999994</v>
      </c>
      <c r="Q26" s="3"/>
      <c r="R26" s="20">
        <f t="shared" si="8"/>
        <v>3.5555930614568139E-2</v>
      </c>
      <c r="S26" s="3"/>
      <c r="T26" s="3"/>
      <c r="U26" s="3"/>
      <c r="V26" s="20">
        <f t="shared" si="9"/>
        <v>0</v>
      </c>
      <c r="W26" s="3"/>
      <c r="X26" s="3">
        <f t="shared" si="10"/>
        <v>76493.789999999994</v>
      </c>
      <c r="Y26" s="3"/>
      <c r="Z26" s="20">
        <f t="shared" si="11"/>
        <v>0</v>
      </c>
    </row>
    <row r="27" spans="1:26" s="70" customFormat="1" ht="15" hidden="1" customHeight="1" outlineLevel="1" x14ac:dyDescent="0.3">
      <c r="A27" s="42"/>
      <c r="B27" s="12" t="str">
        <f>CONCATENATE("          ","5501"," - ","FREIGHT-IN-NEW TEXT")</f>
        <v xml:space="preserve">          5501 - FREIGHT-IN-NEW TEXT</v>
      </c>
      <c r="C27" s="12"/>
      <c r="D27" s="3"/>
      <c r="E27" s="3"/>
      <c r="F27" s="20">
        <f t="shared" si="4"/>
        <v>0</v>
      </c>
      <c r="G27" s="3"/>
      <c r="H27" s="3"/>
      <c r="I27" s="3"/>
      <c r="J27" s="20">
        <f t="shared" si="5"/>
        <v>0</v>
      </c>
      <c r="K27" s="3"/>
      <c r="L27" s="3">
        <f t="shared" si="6"/>
        <v>0</v>
      </c>
      <c r="M27" s="3"/>
      <c r="N27" s="20">
        <f t="shared" si="7"/>
        <v>0</v>
      </c>
      <c r="O27" s="12"/>
      <c r="P27" s="3">
        <v>0</v>
      </c>
      <c r="Q27" s="3"/>
      <c r="R27" s="20">
        <f t="shared" si="8"/>
        <v>0</v>
      </c>
      <c r="S27" s="3"/>
      <c r="T27" s="3"/>
      <c r="U27" s="3"/>
      <c r="V27" s="20">
        <f t="shared" si="9"/>
        <v>0</v>
      </c>
      <c r="W27" s="3"/>
      <c r="X27" s="3">
        <f t="shared" si="10"/>
        <v>0</v>
      </c>
      <c r="Y27" s="3"/>
      <c r="Z27" s="20">
        <f t="shared" si="11"/>
        <v>0</v>
      </c>
    </row>
    <row r="28" spans="1:26" s="70" customFormat="1" ht="15" hidden="1" customHeight="1" outlineLevel="1" x14ac:dyDescent="0.3">
      <c r="A28" s="42"/>
      <c r="B28" s="12" t="str">
        <f>CONCATENATE("          ","5502"," - ","FREIGHT-IN-USED TEXT")</f>
        <v xml:space="preserve">          5502 - FREIGHT-IN-USED TEXT</v>
      </c>
      <c r="C28" s="12"/>
      <c r="D28" s="3"/>
      <c r="E28" s="3"/>
      <c r="F28" s="20">
        <f t="shared" si="4"/>
        <v>0</v>
      </c>
      <c r="G28" s="3"/>
      <c r="H28" s="3"/>
      <c r="I28" s="3"/>
      <c r="J28" s="20">
        <f t="shared" si="5"/>
        <v>0</v>
      </c>
      <c r="K28" s="3"/>
      <c r="L28" s="3">
        <f t="shared" si="6"/>
        <v>0</v>
      </c>
      <c r="M28" s="3"/>
      <c r="N28" s="20">
        <f t="shared" si="7"/>
        <v>0</v>
      </c>
      <c r="O28" s="12"/>
      <c r="P28" s="3">
        <v>0</v>
      </c>
      <c r="Q28" s="3"/>
      <c r="R28" s="20">
        <f t="shared" si="8"/>
        <v>0</v>
      </c>
      <c r="S28" s="3"/>
      <c r="T28" s="3"/>
      <c r="U28" s="3"/>
      <c r="V28" s="20">
        <f t="shared" si="9"/>
        <v>0</v>
      </c>
      <c r="W28" s="3"/>
      <c r="X28" s="3">
        <f t="shared" si="10"/>
        <v>0</v>
      </c>
      <c r="Y28" s="3"/>
      <c r="Z28" s="20">
        <f t="shared" si="11"/>
        <v>0</v>
      </c>
    </row>
    <row r="29" spans="1:26" s="70" customFormat="1" ht="15" hidden="1" customHeight="1" outlineLevel="1" x14ac:dyDescent="0.3">
      <c r="A29" s="42"/>
      <c r="B29" s="12" t="str">
        <f>CONCATENATE("          ","5518"," - ","FREIGHT-IN-STUDY GUIDES")</f>
        <v xml:space="preserve">          5518 - FREIGHT-IN-STUDY GUIDES</v>
      </c>
      <c r="C29" s="12"/>
      <c r="D29" s="3"/>
      <c r="E29" s="3"/>
      <c r="F29" s="20">
        <f t="shared" si="4"/>
        <v>0</v>
      </c>
      <c r="G29" s="3"/>
      <c r="H29" s="3"/>
      <c r="I29" s="3"/>
      <c r="J29" s="20">
        <f t="shared" si="5"/>
        <v>0</v>
      </c>
      <c r="K29" s="3"/>
      <c r="L29" s="3">
        <f t="shared" si="6"/>
        <v>0</v>
      </c>
      <c r="M29" s="3"/>
      <c r="N29" s="20">
        <f t="shared" si="7"/>
        <v>0</v>
      </c>
      <c r="O29" s="12"/>
      <c r="P29" s="3">
        <v>0</v>
      </c>
      <c r="Q29" s="3"/>
      <c r="R29" s="20">
        <f t="shared" si="8"/>
        <v>0</v>
      </c>
      <c r="S29" s="3"/>
      <c r="T29" s="3"/>
      <c r="U29" s="3"/>
      <c r="V29" s="20">
        <f t="shared" si="9"/>
        <v>0</v>
      </c>
      <c r="W29" s="3"/>
      <c r="X29" s="3">
        <f t="shared" si="10"/>
        <v>0</v>
      </c>
      <c r="Y29" s="3"/>
      <c r="Z29" s="20">
        <f t="shared" si="11"/>
        <v>0</v>
      </c>
    </row>
    <row r="30" spans="1:26" ht="15" customHeight="1" x14ac:dyDescent="0.3">
      <c r="A30" s="10"/>
      <c r="B30" s="11"/>
      <c r="C30" s="11"/>
      <c r="D30" s="4"/>
      <c r="E30" s="4"/>
      <c r="F30" s="9"/>
      <c r="G30" s="4"/>
      <c r="H30" s="4"/>
      <c r="I30" s="4"/>
      <c r="J30" s="9"/>
      <c r="K30" s="4"/>
      <c r="L30" s="4"/>
      <c r="M30" s="4"/>
      <c r="N30" s="9"/>
      <c r="O30" s="11"/>
      <c r="P30" s="4"/>
      <c r="Q30" s="4"/>
      <c r="R30" s="9"/>
      <c r="S30" s="4"/>
      <c r="T30" s="4"/>
      <c r="U30" s="4"/>
      <c r="V30" s="9"/>
      <c r="W30" s="4"/>
      <c r="X30" s="4"/>
      <c r="Y30" s="4"/>
      <c r="Z30" s="9"/>
    </row>
    <row r="31" spans="1:26" s="63" customFormat="1" ht="15" customHeight="1" x14ac:dyDescent="0.3">
      <c r="A31" s="11"/>
      <c r="B31" s="27" t="s">
        <v>289</v>
      </c>
      <c r="C31" s="27"/>
      <c r="D31" s="21">
        <f>D12-D19</f>
        <v>6472.7000000000153</v>
      </c>
      <c r="E31" s="15"/>
      <c r="F31" s="23">
        <f>IF(D$12=0,0,D31/D$12)</f>
        <v>0.28270843124271755</v>
      </c>
      <c r="G31" s="15"/>
      <c r="H31" s="21">
        <f>H12-H19</f>
        <v>5331</v>
      </c>
      <c r="I31" s="15"/>
      <c r="J31" s="23">
        <f>IF(H$12=0,0,H31/H$12)</f>
        <v>0.27726634420346385</v>
      </c>
      <c r="K31" s="16"/>
      <c r="L31" s="21">
        <f>+D31-H31</f>
        <v>1141.7000000000153</v>
      </c>
      <c r="M31" s="16"/>
      <c r="N31" s="23">
        <f>IF(H31=0,0,L31/H31)</f>
        <v>0.21416244607015855</v>
      </c>
      <c r="O31" s="28"/>
      <c r="P31" s="21">
        <f>P12-P19</f>
        <v>496966.13000000035</v>
      </c>
      <c r="Q31" s="15"/>
      <c r="R31" s="23">
        <f>IF(P$12=0,0,P31/P$12)</f>
        <v>0.23100036272317614</v>
      </c>
      <c r="S31" s="15"/>
      <c r="T31" s="21">
        <f>T12-T19</f>
        <v>1293405</v>
      </c>
      <c r="U31" s="15"/>
      <c r="V31" s="23">
        <f>IF(T$12=0,0,T31/T$12)</f>
        <v>0.27668086074924736</v>
      </c>
      <c r="W31" s="16"/>
      <c r="X31" s="21">
        <f>+P31-T31</f>
        <v>-796438.86999999965</v>
      </c>
      <c r="Y31" s="16"/>
      <c r="Z31" s="23">
        <f>IF(T31=0,0,X31/T31)</f>
        <v>-0.61576912877250334</v>
      </c>
    </row>
    <row r="32" spans="1:26" ht="15" customHeight="1" x14ac:dyDescent="0.3">
      <c r="A32" s="10"/>
      <c r="B32" s="11"/>
      <c r="C32" s="10"/>
      <c r="D32" s="2"/>
      <c r="E32" s="2"/>
      <c r="F32" s="6"/>
      <c r="G32" s="2"/>
      <c r="H32" s="2"/>
      <c r="I32" s="2"/>
      <c r="J32" s="6"/>
      <c r="K32" s="2"/>
      <c r="L32" s="2"/>
      <c r="M32" s="2"/>
      <c r="N32" s="6"/>
      <c r="O32" s="35"/>
      <c r="P32" s="2"/>
      <c r="Q32" s="2"/>
      <c r="R32" s="6"/>
      <c r="S32" s="2"/>
      <c r="T32" s="2"/>
      <c r="U32" s="2"/>
      <c r="V32" s="6"/>
      <c r="W32" s="2"/>
      <c r="X32" s="2"/>
      <c r="Y32" s="2"/>
      <c r="Z32" s="6"/>
    </row>
    <row r="33" spans="1:26" s="63" customFormat="1" ht="15" customHeight="1" x14ac:dyDescent="0.3">
      <c r="A33" s="11"/>
      <c r="B33" s="28" t="s">
        <v>290</v>
      </c>
      <c r="C33" s="11"/>
      <c r="D33" s="22" cm="1">
        <f t="array" ref="D33">SUM(OSRRefD22x_0)</f>
        <v>36411.789999999994</v>
      </c>
      <c r="E33" s="22"/>
      <c r="F33" s="30">
        <f t="shared" ref="F33:F64" si="12">IF(D$12=0,0,D33/D$12)</f>
        <v>1.5903595145208713</v>
      </c>
      <c r="G33" s="22"/>
      <c r="H33" s="22" cm="1">
        <f t="array" ref="H33">SUM(OSRRefH22x_0)</f>
        <v>45484.229754989719</v>
      </c>
      <c r="I33" s="22"/>
      <c r="J33" s="30">
        <f t="shared" ref="J33:J64" si="13">IF(H$12=0,0,H33/H$12)</f>
        <v>2.3656436134076935</v>
      </c>
      <c r="K33" s="5"/>
      <c r="L33" s="22">
        <f t="shared" ref="L33:L64" si="14">+D33-H33</f>
        <v>-9072.4397549897258</v>
      </c>
      <c r="M33" s="5"/>
      <c r="N33" s="30">
        <f t="shared" ref="N33:N64" si="15">IF(H33=0,0,L33/H33)</f>
        <v>-0.19946341410770971</v>
      </c>
      <c r="O33" s="11"/>
      <c r="P33" s="22" cm="1">
        <f t="array" ref="P33">SUM(OSRRefP22x_0)</f>
        <v>397843.93</v>
      </c>
      <c r="Q33" s="22"/>
      <c r="R33" s="30">
        <f t="shared" ref="R33:R64" si="16">IF(P$12=0,0,P33/P$12)</f>
        <v>0.18492626879263147</v>
      </c>
      <c r="S33" s="22"/>
      <c r="T33" s="22" cm="1">
        <f t="array" ref="T33">SUM(OSRRefT22x_0)</f>
        <v>495858.29761365033</v>
      </c>
      <c r="U33" s="22"/>
      <c r="V33" s="30">
        <f t="shared" ref="V33:V64" si="17">IF(T$12=0,0,T33/T$12)</f>
        <v>0.10607234438818562</v>
      </c>
      <c r="W33" s="5"/>
      <c r="X33" s="22">
        <f t="shared" ref="X33:X64" si="18">+P33-T33</f>
        <v>-98014.367613650335</v>
      </c>
      <c r="Y33" s="5"/>
      <c r="Z33" s="30">
        <f t="shared" ref="Z33:Z64" si="19">IF(T33=0,0,X33/T33)</f>
        <v>-0.1976660834059866</v>
      </c>
    </row>
    <row r="34" spans="1:26" s="69" customFormat="1" ht="15" customHeight="1" outlineLevel="1" collapsed="1" x14ac:dyDescent="0.3">
      <c r="A34" s="25"/>
      <c r="B34" s="14" t="str">
        <f>CONCATENATE("     ","*Benefits                                         ")</f>
        <v xml:space="preserve">     *Benefits                                         </v>
      </c>
      <c r="C34" s="14"/>
      <c r="D34" s="2">
        <f>SUM(OSRRefD22_0x_0)</f>
        <v>12084.51</v>
      </c>
      <c r="E34" s="2"/>
      <c r="F34" s="6">
        <f t="shared" si="12"/>
        <v>0.52781572827984058</v>
      </c>
      <c r="G34" s="2"/>
      <c r="H34" s="2">
        <f>SUM(OSRRefH22_0x_0)</f>
        <v>13462.866209735916</v>
      </c>
      <c r="I34" s="2"/>
      <c r="J34" s="6">
        <f t="shared" si="13"/>
        <v>0.70020628333780177</v>
      </c>
      <c r="K34" s="2"/>
      <c r="L34" s="2">
        <f t="shared" si="14"/>
        <v>-1378.3562097359154</v>
      </c>
      <c r="M34" s="2"/>
      <c r="N34" s="6">
        <f t="shared" si="15"/>
        <v>-0.10238207735728162</v>
      </c>
      <c r="O34" s="14"/>
      <c r="P34" s="2">
        <f>SUM(OSRRefP22_0x_0)</f>
        <v>92778.760000000024</v>
      </c>
      <c r="Q34" s="2"/>
      <c r="R34" s="6">
        <f t="shared" si="16"/>
        <v>4.3125528922879505E-2</v>
      </c>
      <c r="S34" s="2"/>
      <c r="T34" s="2">
        <f>SUM(OSRRefT22_0x_0)</f>
        <v>132241.30304742529</v>
      </c>
      <c r="U34" s="2"/>
      <c r="V34" s="6">
        <f t="shared" si="17"/>
        <v>2.8288616136294274E-2</v>
      </c>
      <c r="W34" s="2"/>
      <c r="X34" s="2">
        <f t="shared" si="18"/>
        <v>-39462.543047425264</v>
      </c>
      <c r="Y34" s="2"/>
      <c r="Z34" s="6">
        <f t="shared" si="19"/>
        <v>-0.29841314429027471</v>
      </c>
    </row>
    <row r="35" spans="1:26" s="70" customFormat="1" ht="15" hidden="1" customHeight="1" outlineLevel="2" x14ac:dyDescent="0.3">
      <c r="A35" s="26"/>
      <c r="B35" s="12" t="str">
        <f>CONCATENATE("          ","6111"," - ","F.I.C.A.")</f>
        <v xml:space="preserve">          6111 - F.I.C.A.</v>
      </c>
      <c r="C35" s="12"/>
      <c r="D35" s="7">
        <v>1676.61</v>
      </c>
      <c r="E35" s="3"/>
      <c r="F35" s="8">
        <f t="shared" si="12"/>
        <v>7.3229376134511331E-2</v>
      </c>
      <c r="G35" s="3"/>
      <c r="H35" s="7">
        <v>1967.82450197977</v>
      </c>
      <c r="I35" s="3"/>
      <c r="J35" s="8">
        <f t="shared" si="13"/>
        <v>0.10234693410203204</v>
      </c>
      <c r="K35" s="3"/>
      <c r="L35" s="7">
        <f t="shared" si="14"/>
        <v>-291.21450197977015</v>
      </c>
      <c r="M35" s="3"/>
      <c r="N35" s="8">
        <f t="shared" si="15"/>
        <v>-0.14798804552275258</v>
      </c>
      <c r="O35" s="12"/>
      <c r="P35" s="7">
        <v>19481.27</v>
      </c>
      <c r="Q35" s="3"/>
      <c r="R35" s="8">
        <f t="shared" si="16"/>
        <v>9.055306115747017E-3</v>
      </c>
      <c r="S35" s="3"/>
      <c r="T35" s="7">
        <v>21194.9144068028</v>
      </c>
      <c r="U35" s="3"/>
      <c r="V35" s="8">
        <f t="shared" si="17"/>
        <v>4.5339450223099657E-3</v>
      </c>
      <c r="W35" s="3"/>
      <c r="X35" s="7">
        <f t="shared" si="18"/>
        <v>-1713.6444068027995</v>
      </c>
      <c r="Y35" s="3"/>
      <c r="Z35" s="8">
        <f t="shared" si="19"/>
        <v>-8.0851678563645515E-2</v>
      </c>
    </row>
    <row r="36" spans="1:26" s="70" customFormat="1" ht="15" hidden="1" customHeight="1" outlineLevel="2" x14ac:dyDescent="0.3">
      <c r="A36" s="26"/>
      <c r="B36" s="12" t="str">
        <f>CONCATENATE("          ","6112"," - ","COMPENSATION INSURANCE")</f>
        <v xml:space="preserve">          6112 - COMPENSATION INSURANCE</v>
      </c>
      <c r="C36" s="12"/>
      <c r="D36" s="7">
        <v>320.72000000000003</v>
      </c>
      <c r="E36" s="3"/>
      <c r="F36" s="8">
        <f t="shared" si="12"/>
        <v>1.4008102966021004E-2</v>
      </c>
      <c r="G36" s="3"/>
      <c r="H36" s="7">
        <v>446.66220348000002</v>
      </c>
      <c r="I36" s="3"/>
      <c r="J36" s="8">
        <f t="shared" si="13"/>
        <v>2.3230987854579499E-2</v>
      </c>
      <c r="K36" s="3"/>
      <c r="L36" s="7">
        <f t="shared" si="14"/>
        <v>-125.94220347999999</v>
      </c>
      <c r="M36" s="3"/>
      <c r="N36" s="8">
        <f t="shared" si="15"/>
        <v>-0.28196297447773472</v>
      </c>
      <c r="O36" s="12"/>
      <c r="P36" s="7">
        <v>3765.97</v>
      </c>
      <c r="Q36" s="3"/>
      <c r="R36" s="8">
        <f t="shared" si="16"/>
        <v>1.7505024658412819E-3</v>
      </c>
      <c r="S36" s="3"/>
      <c r="T36" s="7">
        <v>5278.7682039299998</v>
      </c>
      <c r="U36" s="3"/>
      <c r="V36" s="8">
        <f t="shared" si="17"/>
        <v>1.1292163942145815E-3</v>
      </c>
      <c r="W36" s="3"/>
      <c r="X36" s="7">
        <f t="shared" si="18"/>
        <v>-1512.79820393</v>
      </c>
      <c r="Y36" s="3"/>
      <c r="Z36" s="8">
        <f t="shared" si="19"/>
        <v>-0.28658166933788343</v>
      </c>
    </row>
    <row r="37" spans="1:26" s="70" customFormat="1" ht="15" hidden="1" customHeight="1" outlineLevel="2" x14ac:dyDescent="0.3">
      <c r="A37" s="26"/>
      <c r="B37" s="12" t="str">
        <f>CONCATENATE("          ","6113"," - ","GROUP INSURANCE")</f>
        <v xml:space="preserve">          6113 - GROUP INSURANCE</v>
      </c>
      <c r="C37" s="12"/>
      <c r="D37" s="7">
        <v>4253.97</v>
      </c>
      <c r="E37" s="3"/>
      <c r="F37" s="8">
        <f t="shared" si="12"/>
        <v>0.18580085362423412</v>
      </c>
      <c r="G37" s="3"/>
      <c r="H37" s="7">
        <v>5314</v>
      </c>
      <c r="I37" s="3"/>
      <c r="J37" s="8">
        <f t="shared" si="13"/>
        <v>0.27638217090549749</v>
      </c>
      <c r="K37" s="3"/>
      <c r="L37" s="7">
        <f t="shared" si="14"/>
        <v>-1060.0299999999997</v>
      </c>
      <c r="M37" s="3"/>
      <c r="N37" s="8">
        <f t="shared" si="15"/>
        <v>-0.19947873541588251</v>
      </c>
      <c r="O37" s="12"/>
      <c r="P37" s="7">
        <v>39343.72</v>
      </c>
      <c r="Q37" s="3"/>
      <c r="R37" s="8">
        <f t="shared" si="16"/>
        <v>1.8287792753359417E-2</v>
      </c>
      <c r="S37" s="3"/>
      <c r="T37" s="7">
        <v>48744</v>
      </c>
      <c r="U37" s="3"/>
      <c r="V37" s="8">
        <f t="shared" si="17"/>
        <v>1.0427153038964061E-2</v>
      </c>
      <c r="W37" s="3"/>
      <c r="X37" s="7">
        <f t="shared" si="18"/>
        <v>-9400.2799999999988</v>
      </c>
      <c r="Y37" s="3"/>
      <c r="Z37" s="8">
        <f t="shared" si="19"/>
        <v>-0.19284999179386178</v>
      </c>
    </row>
    <row r="38" spans="1:26" s="70" customFormat="1" ht="15" hidden="1" customHeight="1" outlineLevel="2" x14ac:dyDescent="0.3">
      <c r="A38" s="26"/>
      <c r="B38" s="12" t="str">
        <f>CONCATENATE("          ","6114"," - ","STATE UNEMPLOYMENT INSURANCE")</f>
        <v xml:space="preserve">          6114 - STATE UNEMPLOYMENT INSURANCE</v>
      </c>
      <c r="C38" s="12"/>
      <c r="D38" s="7">
        <v>63.38</v>
      </c>
      <c r="E38" s="3"/>
      <c r="F38" s="8">
        <f t="shared" si="12"/>
        <v>2.7682513282190424E-3</v>
      </c>
      <c r="G38" s="3"/>
      <c r="H38" s="7">
        <v>60.127604314615397</v>
      </c>
      <c r="I38" s="3"/>
      <c r="J38" s="8">
        <f t="shared" si="13"/>
        <v>3.1272483650395485E-3</v>
      </c>
      <c r="K38" s="3"/>
      <c r="L38" s="7">
        <f t="shared" si="14"/>
        <v>3.2523956853846059</v>
      </c>
      <c r="M38" s="3"/>
      <c r="N38" s="8">
        <f t="shared" si="15"/>
        <v>5.4091556157244675E-2</v>
      </c>
      <c r="O38" s="12"/>
      <c r="P38" s="7">
        <v>747.3</v>
      </c>
      <c r="Q38" s="3"/>
      <c r="R38" s="8">
        <f t="shared" si="16"/>
        <v>3.47360837373423E-4</v>
      </c>
      <c r="S38" s="3"/>
      <c r="T38" s="7">
        <v>710.60341206749899</v>
      </c>
      <c r="U38" s="3"/>
      <c r="V38" s="8">
        <f t="shared" si="17"/>
        <v>1.5200989922119345E-4</v>
      </c>
      <c r="W38" s="3"/>
      <c r="X38" s="7">
        <f t="shared" si="18"/>
        <v>36.696587932500961</v>
      </c>
      <c r="Y38" s="3"/>
      <c r="Z38" s="8">
        <f t="shared" si="19"/>
        <v>5.1641446282578808E-2</v>
      </c>
    </row>
    <row r="39" spans="1:26" s="70" customFormat="1" ht="15" hidden="1" customHeight="1" outlineLevel="2" x14ac:dyDescent="0.3">
      <c r="A39" s="26"/>
      <c r="B39" s="12" t="str">
        <f>CONCATENATE("          ","6115"," - ","P.E.R.S.")</f>
        <v xml:space="preserve">          6115 - P.E.R.S.</v>
      </c>
      <c r="C39" s="12"/>
      <c r="D39" s="7">
        <v>1474.56</v>
      </c>
      <c r="E39" s="3"/>
      <c r="F39" s="8">
        <f t="shared" si="12"/>
        <v>6.440442850329238E-2</v>
      </c>
      <c r="G39" s="3"/>
      <c r="H39" s="7">
        <v>1664.68278164615</v>
      </c>
      <c r="I39" s="3"/>
      <c r="J39" s="8">
        <f t="shared" si="13"/>
        <v>8.6580474418585851E-2</v>
      </c>
      <c r="K39" s="3"/>
      <c r="L39" s="7">
        <f t="shared" si="14"/>
        <v>-190.12278164615009</v>
      </c>
      <c r="M39" s="3"/>
      <c r="N39" s="8">
        <f t="shared" si="15"/>
        <v>-0.11420961623579955</v>
      </c>
      <c r="O39" s="12"/>
      <c r="P39" s="7">
        <v>16846.04</v>
      </c>
      <c r="Q39" s="3"/>
      <c r="R39" s="8">
        <f t="shared" si="16"/>
        <v>7.8303955049192821E-3</v>
      </c>
      <c r="S39" s="3"/>
      <c r="T39" s="7">
        <v>16230.657121050001</v>
      </c>
      <c r="U39" s="3"/>
      <c r="V39" s="8">
        <f t="shared" si="17"/>
        <v>3.4720077491412317E-3</v>
      </c>
      <c r="W39" s="3"/>
      <c r="X39" s="7">
        <f t="shared" si="18"/>
        <v>615.3828789500003</v>
      </c>
      <c r="Y39" s="3"/>
      <c r="Z39" s="8">
        <f t="shared" si="19"/>
        <v>3.7914846845719684E-2</v>
      </c>
    </row>
    <row r="40" spans="1:26" s="70" customFormat="1" ht="15" hidden="1" customHeight="1" outlineLevel="2" x14ac:dyDescent="0.3">
      <c r="A40" s="26"/>
      <c r="B40" s="12" t="str">
        <f>CONCATENATE("          ","6116"," - ","EDUCATIONAL BENEFITS")</f>
        <v xml:space="preserve">          6116 - EDUCATIONAL BENEFITS</v>
      </c>
      <c r="C40" s="12"/>
      <c r="D40" s="7"/>
      <c r="E40" s="3"/>
      <c r="F40" s="8">
        <f t="shared" si="12"/>
        <v>0</v>
      </c>
      <c r="G40" s="3"/>
      <c r="H40" s="7">
        <v>0</v>
      </c>
      <c r="I40" s="3"/>
      <c r="J40" s="8">
        <f t="shared" si="13"/>
        <v>0</v>
      </c>
      <c r="K40" s="3"/>
      <c r="L40" s="7">
        <f t="shared" si="14"/>
        <v>0</v>
      </c>
      <c r="M40" s="3"/>
      <c r="N40" s="8">
        <f t="shared" si="15"/>
        <v>0</v>
      </c>
      <c r="O40" s="12"/>
      <c r="P40" s="7"/>
      <c r="Q40" s="3"/>
      <c r="R40" s="8">
        <f t="shared" si="16"/>
        <v>0</v>
      </c>
      <c r="S40" s="3"/>
      <c r="T40" s="7">
        <v>0</v>
      </c>
      <c r="U40" s="3"/>
      <c r="V40" s="8">
        <f t="shared" si="17"/>
        <v>0</v>
      </c>
      <c r="W40" s="3"/>
      <c r="X40" s="7">
        <f t="shared" si="18"/>
        <v>0</v>
      </c>
      <c r="Y40" s="3"/>
      <c r="Z40" s="8">
        <f t="shared" si="19"/>
        <v>0</v>
      </c>
    </row>
    <row r="41" spans="1:26" s="70" customFormat="1" ht="15" hidden="1" customHeight="1" outlineLevel="2" x14ac:dyDescent="0.3">
      <c r="A41" s="26"/>
      <c r="B41" s="12" t="str">
        <f>CONCATENATE("          ","6117"," - ","RETIREMENT STAFF HOURLY")</f>
        <v xml:space="preserve">          6117 - RETIREMENT STAFF HOURLY</v>
      </c>
      <c r="C41" s="12"/>
      <c r="D41" s="7">
        <v>362.45</v>
      </c>
      <c r="E41" s="3"/>
      <c r="F41" s="8">
        <f t="shared" si="12"/>
        <v>1.5830746196165854E-2</v>
      </c>
      <c r="G41" s="3"/>
      <c r="H41" s="7"/>
      <c r="I41" s="3"/>
      <c r="J41" s="8">
        <f t="shared" si="13"/>
        <v>0</v>
      </c>
      <c r="K41" s="3"/>
      <c r="L41" s="7">
        <f t="shared" si="14"/>
        <v>362.45</v>
      </c>
      <c r="M41" s="3"/>
      <c r="N41" s="8">
        <f t="shared" si="15"/>
        <v>0</v>
      </c>
      <c r="O41" s="12"/>
      <c r="P41" s="7">
        <v>2956.71</v>
      </c>
      <c r="Q41" s="3"/>
      <c r="R41" s="8">
        <f t="shared" si="16"/>
        <v>1.3743413106789425E-3</v>
      </c>
      <c r="S41" s="3"/>
      <c r="T41" s="7"/>
      <c r="U41" s="3"/>
      <c r="V41" s="8">
        <f t="shared" si="17"/>
        <v>0</v>
      </c>
      <c r="W41" s="3"/>
      <c r="X41" s="7">
        <f t="shared" si="18"/>
        <v>2956.71</v>
      </c>
      <c r="Y41" s="3"/>
      <c r="Z41" s="8">
        <f t="shared" si="19"/>
        <v>0</v>
      </c>
    </row>
    <row r="42" spans="1:26" s="70" customFormat="1" ht="15" hidden="1" customHeight="1" outlineLevel="2" x14ac:dyDescent="0.3">
      <c r="A42" s="26"/>
      <c r="B42" s="12" t="str">
        <f>CONCATENATE("          ","6118"," - ","VACATION")</f>
        <v xml:space="preserve">          6118 - VACATION</v>
      </c>
      <c r="C42" s="12"/>
      <c r="D42" s="7">
        <v>1691.08</v>
      </c>
      <c r="E42" s="3"/>
      <c r="F42" s="8">
        <f t="shared" si="12"/>
        <v>7.3861383025002489E-2</v>
      </c>
      <c r="G42" s="3"/>
      <c r="H42" s="7">
        <v>1689.1935418999999</v>
      </c>
      <c r="I42" s="3"/>
      <c r="J42" s="8">
        <f t="shared" si="13"/>
        <v>8.7855283814427629E-2</v>
      </c>
      <c r="K42" s="3"/>
      <c r="L42" s="7">
        <f t="shared" si="14"/>
        <v>1.8864581000000271</v>
      </c>
      <c r="M42" s="3"/>
      <c r="N42" s="8">
        <f t="shared" si="15"/>
        <v>1.1167803174751336E-3</v>
      </c>
      <c r="O42" s="12"/>
      <c r="P42" s="7">
        <v>17006.080000000002</v>
      </c>
      <c r="Q42" s="3"/>
      <c r="R42" s="8">
        <f t="shared" si="16"/>
        <v>7.9047854800474004E-3</v>
      </c>
      <c r="S42" s="3"/>
      <c r="T42" s="7">
        <v>16469.637033524999</v>
      </c>
      <c r="U42" s="3"/>
      <c r="V42" s="8">
        <f t="shared" si="17"/>
        <v>3.5231295307064509E-3</v>
      </c>
      <c r="W42" s="3"/>
      <c r="X42" s="7">
        <f t="shared" si="18"/>
        <v>536.44296647500232</v>
      </c>
      <c r="Y42" s="3"/>
      <c r="Z42" s="8">
        <f t="shared" si="19"/>
        <v>3.2571632597794255E-2</v>
      </c>
    </row>
    <row r="43" spans="1:26" s="70" customFormat="1" ht="15" hidden="1" customHeight="1" outlineLevel="2" x14ac:dyDescent="0.3">
      <c r="A43" s="26"/>
      <c r="B43" s="12" t="str">
        <f>CONCATENATE("          ","6119"," - ","SICK LEAVE")</f>
        <v xml:space="preserve">          6119 - SICK LEAVE</v>
      </c>
      <c r="C43" s="12"/>
      <c r="D43" s="7">
        <v>1158.1500000000001</v>
      </c>
      <c r="E43" s="3"/>
      <c r="F43" s="8">
        <f t="shared" si="12"/>
        <v>5.0584573615918019E-2</v>
      </c>
      <c r="G43" s="3"/>
      <c r="H43" s="7">
        <v>1270.37557641538</v>
      </c>
      <c r="I43" s="3"/>
      <c r="J43" s="8">
        <f t="shared" si="13"/>
        <v>6.6072480179714982E-2</v>
      </c>
      <c r="K43" s="3"/>
      <c r="L43" s="7">
        <f t="shared" si="14"/>
        <v>-112.22557641537992</v>
      </c>
      <c r="M43" s="3"/>
      <c r="N43" s="8">
        <f t="shared" si="15"/>
        <v>-8.8340470722876249E-2</v>
      </c>
      <c r="O43" s="12"/>
      <c r="P43" s="7">
        <v>-15330.09</v>
      </c>
      <c r="Q43" s="3"/>
      <c r="R43" s="8">
        <f t="shared" si="16"/>
        <v>-7.1257498988491087E-3</v>
      </c>
      <c r="S43" s="3"/>
      <c r="T43" s="7">
        <v>14162.72287005</v>
      </c>
      <c r="U43" s="3"/>
      <c r="V43" s="8">
        <f t="shared" si="17"/>
        <v>3.029642188052841E-3</v>
      </c>
      <c r="W43" s="3"/>
      <c r="X43" s="7">
        <f t="shared" si="18"/>
        <v>-29492.812870050002</v>
      </c>
      <c r="Y43" s="3"/>
      <c r="Z43" s="8">
        <f t="shared" si="19"/>
        <v>-2.0824253316725305</v>
      </c>
    </row>
    <row r="44" spans="1:26" s="70" customFormat="1" ht="15" hidden="1" customHeight="1" outlineLevel="2" x14ac:dyDescent="0.3">
      <c r="A44" s="26"/>
      <c r="B44" s="12" t="str">
        <f>CONCATENATE("          ","6156"," - ","EMPLOYEE MEALS")</f>
        <v xml:space="preserve">          6156 - EMPLOYEE MEALS</v>
      </c>
      <c r="C44" s="12"/>
      <c r="D44" s="7">
        <v>1083.5899999999999</v>
      </c>
      <c r="E44" s="3"/>
      <c r="F44" s="8">
        <f t="shared" si="12"/>
        <v>4.732801288647636E-2</v>
      </c>
      <c r="G44" s="3"/>
      <c r="H44" s="7">
        <v>1050</v>
      </c>
      <c r="I44" s="3"/>
      <c r="J44" s="8">
        <f t="shared" si="13"/>
        <v>5.4610703697924791E-2</v>
      </c>
      <c r="K44" s="3"/>
      <c r="L44" s="7">
        <f t="shared" si="14"/>
        <v>33.589999999999918</v>
      </c>
      <c r="M44" s="3"/>
      <c r="N44" s="8">
        <f t="shared" si="15"/>
        <v>3.1990476190476111E-2</v>
      </c>
      <c r="O44" s="12"/>
      <c r="P44" s="7">
        <v>7961.76</v>
      </c>
      <c r="Q44" s="3"/>
      <c r="R44" s="8">
        <f t="shared" si="16"/>
        <v>3.7007943537618422E-3</v>
      </c>
      <c r="S44" s="3"/>
      <c r="T44" s="7">
        <v>9450</v>
      </c>
      <c r="U44" s="3"/>
      <c r="V44" s="8">
        <f t="shared" si="17"/>
        <v>2.0215123136839482E-3</v>
      </c>
      <c r="W44" s="3"/>
      <c r="X44" s="7">
        <f t="shared" si="18"/>
        <v>-1488.2399999999998</v>
      </c>
      <c r="Y44" s="3"/>
      <c r="Z44" s="8">
        <f t="shared" si="19"/>
        <v>-0.15748571428571426</v>
      </c>
    </row>
    <row r="45" spans="1:26" s="69" customFormat="1" ht="15" customHeight="1" outlineLevel="1" collapsed="1" x14ac:dyDescent="0.3">
      <c r="A45" s="25"/>
      <c r="B45" s="14" t="str">
        <f>CONCATENATE("     ","*Payroll                                          ")</f>
        <v xml:space="preserve">     *Payroll                                          </v>
      </c>
      <c r="C45" s="14"/>
      <c r="D45" s="2">
        <f>SUM(OSRRefD22_1x_0)</f>
        <v>21854.46</v>
      </c>
      <c r="E45" s="2"/>
      <c r="F45" s="6">
        <f t="shared" si="12"/>
        <v>0.95453830739207834</v>
      </c>
      <c r="G45" s="2"/>
      <c r="H45" s="2">
        <f>SUM(OSRRefH22_1x_0)</f>
        <v>26141.3635452538</v>
      </c>
      <c r="I45" s="2"/>
      <c r="J45" s="6">
        <f t="shared" si="13"/>
        <v>1.3596173893615124</v>
      </c>
      <c r="K45" s="2"/>
      <c r="L45" s="2">
        <f t="shared" si="14"/>
        <v>-4286.903545253801</v>
      </c>
      <c r="M45" s="2"/>
      <c r="N45" s="6">
        <f t="shared" si="15"/>
        <v>-0.16398928609185448</v>
      </c>
      <c r="O45" s="14"/>
      <c r="P45" s="2">
        <f>SUM(OSRRefP22_1x_0)</f>
        <v>269883.86</v>
      </c>
      <c r="Q45" s="2"/>
      <c r="R45" s="6">
        <f t="shared" si="16"/>
        <v>0.12544772327468443</v>
      </c>
      <c r="S45" s="2"/>
      <c r="T45" s="2">
        <f>SUM(OSRRefT22_1x_0)</f>
        <v>314096.99456622498</v>
      </c>
      <c r="U45" s="2"/>
      <c r="V45" s="6">
        <f t="shared" si="17"/>
        <v>6.7190575894893551E-2</v>
      </c>
      <c r="W45" s="2"/>
      <c r="X45" s="2">
        <f t="shared" si="18"/>
        <v>-44213.134566224995</v>
      </c>
      <c r="Y45" s="2"/>
      <c r="Z45" s="6">
        <f t="shared" si="19"/>
        <v>-0.14076267946238813</v>
      </c>
    </row>
    <row r="46" spans="1:26" s="70" customFormat="1" ht="15" hidden="1" customHeight="1" outlineLevel="2" x14ac:dyDescent="0.3">
      <c r="A46" s="26"/>
      <c r="B46" s="12" t="str">
        <f>CONCATENATE("          ","6001"," - ","ADMINISTRATIVE SALARIES")</f>
        <v xml:space="preserve">          6001 - ADMINISTRATIVE SALARIES</v>
      </c>
      <c r="C46" s="12"/>
      <c r="D46" s="7"/>
      <c r="E46" s="3"/>
      <c r="F46" s="8">
        <f t="shared" si="12"/>
        <v>0</v>
      </c>
      <c r="G46" s="3"/>
      <c r="H46" s="7">
        <v>0</v>
      </c>
      <c r="I46" s="3"/>
      <c r="J46" s="8">
        <f t="shared" si="13"/>
        <v>0</v>
      </c>
      <c r="K46" s="3"/>
      <c r="L46" s="7">
        <f t="shared" si="14"/>
        <v>0</v>
      </c>
      <c r="M46" s="3"/>
      <c r="N46" s="8">
        <f t="shared" si="15"/>
        <v>0</v>
      </c>
      <c r="O46" s="12"/>
      <c r="P46" s="7"/>
      <c r="Q46" s="3"/>
      <c r="R46" s="8">
        <f t="shared" si="16"/>
        <v>0</v>
      </c>
      <c r="S46" s="3"/>
      <c r="T46" s="7">
        <v>0</v>
      </c>
      <c r="U46" s="3"/>
      <c r="V46" s="8">
        <f t="shared" si="17"/>
        <v>0</v>
      </c>
      <c r="W46" s="3"/>
      <c r="X46" s="7">
        <f t="shared" si="18"/>
        <v>0</v>
      </c>
      <c r="Y46" s="3"/>
      <c r="Z46" s="8">
        <f t="shared" si="19"/>
        <v>0</v>
      </c>
    </row>
    <row r="47" spans="1:26" s="70" customFormat="1" ht="15" hidden="1" customHeight="1" outlineLevel="2" x14ac:dyDescent="0.3">
      <c r="A47" s="26"/>
      <c r="B47" s="12" t="str">
        <f>CONCATENATE("          ","6002"," - ","STAFF SALARIES")</f>
        <v xml:space="preserve">          6002 - STAFF SALARIES</v>
      </c>
      <c r="C47" s="12"/>
      <c r="D47" s="7">
        <v>14828.41</v>
      </c>
      <c r="E47" s="3"/>
      <c r="F47" s="8">
        <f t="shared" si="12"/>
        <v>0.647661181411747</v>
      </c>
      <c r="G47" s="3"/>
      <c r="H47" s="7">
        <v>17293.700777253802</v>
      </c>
      <c r="I47" s="3"/>
      <c r="J47" s="8">
        <f t="shared" si="13"/>
        <v>0.89944873236874201</v>
      </c>
      <c r="K47" s="3"/>
      <c r="L47" s="7">
        <f t="shared" si="14"/>
        <v>-2465.2907772538019</v>
      </c>
      <c r="M47" s="3"/>
      <c r="N47" s="8">
        <f t="shared" si="15"/>
        <v>-0.1425542634862961</v>
      </c>
      <c r="O47" s="12"/>
      <c r="P47" s="7">
        <v>169997.34</v>
      </c>
      <c r="Q47" s="3"/>
      <c r="R47" s="8">
        <f t="shared" si="16"/>
        <v>7.9018357250976182E-2</v>
      </c>
      <c r="S47" s="3"/>
      <c r="T47" s="7">
        <v>168613.582578225</v>
      </c>
      <c r="U47" s="3"/>
      <c r="V47" s="8">
        <f t="shared" si="17"/>
        <v>3.6069252215475883E-2</v>
      </c>
      <c r="W47" s="3"/>
      <c r="X47" s="7">
        <f t="shared" si="18"/>
        <v>1383.7574217749934</v>
      </c>
      <c r="Y47" s="3"/>
      <c r="Z47" s="8">
        <f t="shared" si="19"/>
        <v>8.2066782557865762E-3</v>
      </c>
    </row>
    <row r="48" spans="1:26" s="70" customFormat="1" ht="15" hidden="1" customHeight="1" outlineLevel="2" x14ac:dyDescent="0.3">
      <c r="A48" s="26"/>
      <c r="B48" s="12" t="str">
        <f>CONCATENATE("          ","6003"," - ","STAFF HOURLY-9 MONTH")</f>
        <v xml:space="preserve">          6003 - STAFF HOURLY-9 MONTH</v>
      </c>
      <c r="C48" s="12"/>
      <c r="D48" s="7"/>
      <c r="E48" s="3"/>
      <c r="F48" s="8">
        <f t="shared" si="12"/>
        <v>0</v>
      </c>
      <c r="G48" s="3"/>
      <c r="H48" s="7">
        <v>0</v>
      </c>
      <c r="I48" s="3"/>
      <c r="J48" s="8">
        <f t="shared" si="13"/>
        <v>0</v>
      </c>
      <c r="K48" s="3"/>
      <c r="L48" s="7">
        <f t="shared" si="14"/>
        <v>0</v>
      </c>
      <c r="M48" s="3"/>
      <c r="N48" s="8">
        <f t="shared" si="15"/>
        <v>0</v>
      </c>
      <c r="O48" s="12"/>
      <c r="P48" s="7"/>
      <c r="Q48" s="3"/>
      <c r="R48" s="8">
        <f t="shared" si="16"/>
        <v>0</v>
      </c>
      <c r="S48" s="3"/>
      <c r="T48" s="7">
        <v>0</v>
      </c>
      <c r="U48" s="3"/>
      <c r="V48" s="8">
        <f t="shared" si="17"/>
        <v>0</v>
      </c>
      <c r="W48" s="3"/>
      <c r="X48" s="7">
        <f t="shared" si="18"/>
        <v>0</v>
      </c>
      <c r="Y48" s="3"/>
      <c r="Z48" s="8">
        <f t="shared" si="19"/>
        <v>0</v>
      </c>
    </row>
    <row r="49" spans="1:26" s="70" customFormat="1" ht="15" hidden="1" customHeight="1" outlineLevel="2" x14ac:dyDescent="0.3">
      <c r="A49" s="26"/>
      <c r="B49" s="12" t="str">
        <f>CONCATENATE("          ","6004"," - ","STAFF HOURLY")</f>
        <v xml:space="preserve">          6004 - STAFF HOURLY</v>
      </c>
      <c r="C49" s="12"/>
      <c r="D49" s="7">
        <v>4726.37</v>
      </c>
      <c r="E49" s="3"/>
      <c r="F49" s="8">
        <f t="shared" si="12"/>
        <v>0.20643389129306774</v>
      </c>
      <c r="G49" s="3"/>
      <c r="H49" s="7">
        <v>5928.5827680000002</v>
      </c>
      <c r="I49" s="3"/>
      <c r="J49" s="8">
        <f t="shared" si="13"/>
        <v>0.30834673989701983</v>
      </c>
      <c r="K49" s="3"/>
      <c r="L49" s="7">
        <f t="shared" si="14"/>
        <v>-1202.2127680000003</v>
      </c>
      <c r="M49" s="3"/>
      <c r="N49" s="8">
        <f t="shared" si="15"/>
        <v>-0.20278248867318507</v>
      </c>
      <c r="O49" s="12"/>
      <c r="P49" s="7">
        <v>55351.68</v>
      </c>
      <c r="Q49" s="3"/>
      <c r="R49" s="8">
        <f t="shared" si="16"/>
        <v>2.5728630957882716E-2</v>
      </c>
      <c r="S49" s="3"/>
      <c r="T49" s="7">
        <v>57803.681987999997</v>
      </c>
      <c r="U49" s="3"/>
      <c r="V49" s="8">
        <f t="shared" si="17"/>
        <v>1.2365169832276514E-2</v>
      </c>
      <c r="W49" s="3"/>
      <c r="X49" s="7">
        <f t="shared" si="18"/>
        <v>-2452.0019879999963</v>
      </c>
      <c r="Y49" s="3"/>
      <c r="Z49" s="8">
        <f t="shared" si="19"/>
        <v>-4.2419477508526711E-2</v>
      </c>
    </row>
    <row r="50" spans="1:26" s="70" customFormat="1" ht="15" hidden="1" customHeight="1" outlineLevel="2" x14ac:dyDescent="0.3">
      <c r="A50" s="26"/>
      <c r="B50" s="12" t="str">
        <f>CONCATENATE("          ","6005"," - ","TEMPORARY WAGES-HOURLY")</f>
        <v xml:space="preserve">          6005 - TEMPORARY WAGES-HOURLY</v>
      </c>
      <c r="C50" s="12"/>
      <c r="D50" s="7"/>
      <c r="E50" s="3"/>
      <c r="F50" s="8">
        <f t="shared" si="12"/>
        <v>0</v>
      </c>
      <c r="G50" s="3"/>
      <c r="H50" s="7">
        <v>1802</v>
      </c>
      <c r="I50" s="3"/>
      <c r="J50" s="8">
        <f t="shared" si="13"/>
        <v>9.3722369584438553E-2</v>
      </c>
      <c r="K50" s="3"/>
      <c r="L50" s="7">
        <f t="shared" si="14"/>
        <v>-1802</v>
      </c>
      <c r="M50" s="3"/>
      <c r="N50" s="8">
        <f t="shared" si="15"/>
        <v>-1</v>
      </c>
      <c r="O50" s="12"/>
      <c r="P50" s="7">
        <v>14698.31</v>
      </c>
      <c r="Q50" s="3"/>
      <c r="R50" s="8">
        <f t="shared" si="16"/>
        <v>6.8320851994836847E-3</v>
      </c>
      <c r="S50" s="3"/>
      <c r="T50" s="7">
        <v>28982.34</v>
      </c>
      <c r="U50" s="3"/>
      <c r="V50" s="8">
        <f t="shared" si="17"/>
        <v>6.1998049935846396E-3</v>
      </c>
      <c r="W50" s="3"/>
      <c r="X50" s="7">
        <f t="shared" si="18"/>
        <v>-14284.03</v>
      </c>
      <c r="Y50" s="3"/>
      <c r="Z50" s="8">
        <f t="shared" si="19"/>
        <v>-0.49285288903518487</v>
      </c>
    </row>
    <row r="51" spans="1:26" s="70" customFormat="1" ht="15" hidden="1" customHeight="1" outlineLevel="2" x14ac:dyDescent="0.3">
      <c r="A51" s="26"/>
      <c r="B51" s="12" t="str">
        <f>CONCATENATE("          ","6006"," - ","TEMPORARY PART TIME")</f>
        <v xml:space="preserve">          6006 - TEMPORARY PART TIME</v>
      </c>
      <c r="C51" s="12"/>
      <c r="D51" s="7"/>
      <c r="E51" s="3"/>
      <c r="F51" s="8">
        <f t="shared" si="12"/>
        <v>0</v>
      </c>
      <c r="G51" s="3"/>
      <c r="H51" s="7">
        <v>0</v>
      </c>
      <c r="I51" s="3"/>
      <c r="J51" s="8">
        <f t="shared" si="13"/>
        <v>0</v>
      </c>
      <c r="K51" s="3"/>
      <c r="L51" s="7">
        <f t="shared" si="14"/>
        <v>0</v>
      </c>
      <c r="M51" s="3"/>
      <c r="N51" s="8">
        <f t="shared" si="15"/>
        <v>0</v>
      </c>
      <c r="O51" s="12"/>
      <c r="P51" s="7"/>
      <c r="Q51" s="3"/>
      <c r="R51" s="8">
        <f t="shared" si="16"/>
        <v>0</v>
      </c>
      <c r="S51" s="3"/>
      <c r="T51" s="7">
        <v>0</v>
      </c>
      <c r="U51" s="3"/>
      <c r="V51" s="8">
        <f t="shared" si="17"/>
        <v>0</v>
      </c>
      <c r="W51" s="3"/>
      <c r="X51" s="7">
        <f t="shared" si="18"/>
        <v>0</v>
      </c>
      <c r="Y51" s="3"/>
      <c r="Z51" s="8">
        <f t="shared" si="19"/>
        <v>0</v>
      </c>
    </row>
    <row r="52" spans="1:26" s="70" customFormat="1" ht="15" hidden="1" customHeight="1" outlineLevel="2" x14ac:dyDescent="0.3">
      <c r="A52" s="26"/>
      <c r="B52" s="12" t="str">
        <f>CONCATENATE("          ","6007"," - ","STUDENT HOURLY")</f>
        <v xml:space="preserve">          6007 - STUDENT HOURLY</v>
      </c>
      <c r="C52" s="12"/>
      <c r="D52" s="7">
        <v>2299.6799999999998</v>
      </c>
      <c r="E52" s="3"/>
      <c r="F52" s="8">
        <f t="shared" si="12"/>
        <v>0.10044323468726359</v>
      </c>
      <c r="G52" s="3"/>
      <c r="H52" s="7">
        <v>0</v>
      </c>
      <c r="I52" s="3"/>
      <c r="J52" s="8">
        <f t="shared" si="13"/>
        <v>0</v>
      </c>
      <c r="K52" s="3"/>
      <c r="L52" s="7">
        <f t="shared" si="14"/>
        <v>2299.6799999999998</v>
      </c>
      <c r="M52" s="3"/>
      <c r="N52" s="8">
        <f t="shared" si="15"/>
        <v>0</v>
      </c>
      <c r="O52" s="12"/>
      <c r="P52" s="7">
        <v>25870.05</v>
      </c>
      <c r="Q52" s="3"/>
      <c r="R52" s="8">
        <f t="shared" si="16"/>
        <v>1.2024946113866349E-2</v>
      </c>
      <c r="S52" s="3"/>
      <c r="T52" s="7">
        <v>26246.25</v>
      </c>
      <c r="U52" s="3"/>
      <c r="V52" s="8">
        <f t="shared" si="17"/>
        <v>5.6145097950293472E-3</v>
      </c>
      <c r="W52" s="3"/>
      <c r="X52" s="7">
        <f t="shared" si="18"/>
        <v>-376.20000000000073</v>
      </c>
      <c r="Y52" s="3"/>
      <c r="Z52" s="8">
        <f t="shared" si="19"/>
        <v>-1.4333476210887297E-2</v>
      </c>
    </row>
    <row r="53" spans="1:26" s="70" customFormat="1" ht="15" hidden="1" customHeight="1" outlineLevel="2" x14ac:dyDescent="0.3">
      <c r="A53" s="26"/>
      <c r="B53" s="12" t="str">
        <f>CONCATENATE("          ","6008"," - ","STUDENT HOURLY-FICA EXEMPT")</f>
        <v xml:space="preserve">          6008 - STUDENT HOURLY-FICA EXEMPT</v>
      </c>
      <c r="C53" s="12"/>
      <c r="D53" s="7"/>
      <c r="E53" s="3"/>
      <c r="F53" s="8">
        <f t="shared" si="12"/>
        <v>0</v>
      </c>
      <c r="G53" s="3"/>
      <c r="H53" s="7">
        <v>1117.08</v>
      </c>
      <c r="I53" s="3"/>
      <c r="J53" s="8">
        <f t="shared" si="13"/>
        <v>5.8099547511312216E-2</v>
      </c>
      <c r="K53" s="3"/>
      <c r="L53" s="7">
        <f t="shared" si="14"/>
        <v>-1117.08</v>
      </c>
      <c r="M53" s="3"/>
      <c r="N53" s="8">
        <f t="shared" si="15"/>
        <v>-1</v>
      </c>
      <c r="O53" s="12"/>
      <c r="P53" s="7">
        <v>3966.48</v>
      </c>
      <c r="Q53" s="3"/>
      <c r="R53" s="8">
        <f t="shared" si="16"/>
        <v>1.8437037524754918E-3</v>
      </c>
      <c r="S53" s="3"/>
      <c r="T53" s="7">
        <v>32451.14</v>
      </c>
      <c r="U53" s="3"/>
      <c r="V53" s="8">
        <f t="shared" si="17"/>
        <v>6.9418390585271666E-3</v>
      </c>
      <c r="W53" s="3"/>
      <c r="X53" s="7">
        <f t="shared" si="18"/>
        <v>-28484.66</v>
      </c>
      <c r="Y53" s="3"/>
      <c r="Z53" s="8">
        <f t="shared" si="19"/>
        <v>-0.87777070389514822</v>
      </c>
    </row>
    <row r="54" spans="1:26" s="70" customFormat="1" ht="15" hidden="1" customHeight="1" outlineLevel="2" x14ac:dyDescent="0.3">
      <c r="A54" s="26"/>
      <c r="B54" s="12" t="str">
        <f>CONCATENATE("          ","6009"," - ","TEMPORARY-SEASONAL")</f>
        <v xml:space="preserve">          6009 - TEMPORARY-SEASONAL</v>
      </c>
      <c r="C54" s="12"/>
      <c r="D54" s="7"/>
      <c r="E54" s="3"/>
      <c r="F54" s="8">
        <f t="shared" si="12"/>
        <v>0</v>
      </c>
      <c r="G54" s="3"/>
      <c r="H54" s="7">
        <v>0</v>
      </c>
      <c r="I54" s="3"/>
      <c r="J54" s="8">
        <f t="shared" si="13"/>
        <v>0</v>
      </c>
      <c r="K54" s="3"/>
      <c r="L54" s="7">
        <f t="shared" si="14"/>
        <v>0</v>
      </c>
      <c r="M54" s="3"/>
      <c r="N54" s="8">
        <f t="shared" si="15"/>
        <v>0</v>
      </c>
      <c r="O54" s="12"/>
      <c r="P54" s="7"/>
      <c r="Q54" s="3"/>
      <c r="R54" s="8">
        <f t="shared" si="16"/>
        <v>0</v>
      </c>
      <c r="S54" s="3"/>
      <c r="T54" s="7">
        <v>0</v>
      </c>
      <c r="U54" s="3"/>
      <c r="V54" s="8">
        <f t="shared" si="17"/>
        <v>0</v>
      </c>
      <c r="W54" s="3"/>
      <c r="X54" s="7">
        <f t="shared" si="18"/>
        <v>0</v>
      </c>
      <c r="Y54" s="3"/>
      <c r="Z54" s="8">
        <f t="shared" si="19"/>
        <v>0</v>
      </c>
    </row>
    <row r="55" spans="1:26" s="70" customFormat="1" ht="15" hidden="1" customHeight="1" outlineLevel="2" x14ac:dyDescent="0.3">
      <c r="A55" s="26"/>
      <c r="B55" s="12" t="str">
        <f>CONCATENATE("          ","6010"," - ","GRATUITY")</f>
        <v xml:space="preserve">          6010 - GRATUITY</v>
      </c>
      <c r="C55" s="12"/>
      <c r="D55" s="7"/>
      <c r="E55" s="3"/>
      <c r="F55" s="8">
        <f t="shared" si="12"/>
        <v>0</v>
      </c>
      <c r="G55" s="3"/>
      <c r="H55" s="7">
        <v>0</v>
      </c>
      <c r="I55" s="3"/>
      <c r="J55" s="8">
        <f t="shared" si="13"/>
        <v>0</v>
      </c>
      <c r="K55" s="3"/>
      <c r="L55" s="7">
        <f t="shared" si="14"/>
        <v>0</v>
      </c>
      <c r="M55" s="3"/>
      <c r="N55" s="8">
        <f t="shared" si="15"/>
        <v>0</v>
      </c>
      <c r="O55" s="12"/>
      <c r="P55" s="7"/>
      <c r="Q55" s="3"/>
      <c r="R55" s="8">
        <f t="shared" si="16"/>
        <v>0</v>
      </c>
      <c r="S55" s="3"/>
      <c r="T55" s="7">
        <v>0</v>
      </c>
      <c r="U55" s="3"/>
      <c r="V55" s="8">
        <f t="shared" si="17"/>
        <v>0</v>
      </c>
      <c r="W55" s="3"/>
      <c r="X55" s="7">
        <f t="shared" si="18"/>
        <v>0</v>
      </c>
      <c r="Y55" s="3"/>
      <c r="Z55" s="8">
        <f t="shared" si="19"/>
        <v>0</v>
      </c>
    </row>
    <row r="56" spans="1:26" s="69" customFormat="1" ht="15" customHeight="1" outlineLevel="1" collapsed="1" x14ac:dyDescent="0.3">
      <c r="A56" s="25"/>
      <c r="B56" s="14" t="str">
        <f>CONCATENATE("     ","Advertising/Promo                                 ")</f>
        <v xml:space="preserve">     Advertising/Promo                                 </v>
      </c>
      <c r="C56" s="14"/>
      <c r="D56" s="2">
        <f>SUM(OSRRefD22_2x_0)</f>
        <v>0</v>
      </c>
      <c r="E56" s="2"/>
      <c r="F56" s="6">
        <f t="shared" si="12"/>
        <v>0</v>
      </c>
      <c r="G56" s="2"/>
      <c r="H56" s="2">
        <f>SUM(OSRRefH22_2x_0)</f>
        <v>100</v>
      </c>
      <c r="I56" s="2"/>
      <c r="J56" s="6">
        <f t="shared" si="13"/>
        <v>5.2010193998023617E-3</v>
      </c>
      <c r="K56" s="2"/>
      <c r="L56" s="2">
        <f t="shared" si="14"/>
        <v>-100</v>
      </c>
      <c r="M56" s="2"/>
      <c r="N56" s="6">
        <f t="shared" si="15"/>
        <v>-1</v>
      </c>
      <c r="O56" s="14"/>
      <c r="P56" s="2">
        <f>SUM(OSRRefP22_2x_0)</f>
        <v>837.79</v>
      </c>
      <c r="Q56" s="2"/>
      <c r="R56" s="6">
        <f t="shared" si="16"/>
        <v>3.8942250226559625E-4</v>
      </c>
      <c r="S56" s="2"/>
      <c r="T56" s="2">
        <f>SUM(OSRRefT22_2x_0)</f>
        <v>2900</v>
      </c>
      <c r="U56" s="2"/>
      <c r="V56" s="6">
        <f t="shared" si="17"/>
        <v>6.203582761569789E-4</v>
      </c>
      <c r="W56" s="2"/>
      <c r="X56" s="2">
        <f t="shared" si="18"/>
        <v>-2062.21</v>
      </c>
      <c r="Y56" s="2"/>
      <c r="Z56" s="6">
        <f t="shared" si="19"/>
        <v>-0.7111068965517241</v>
      </c>
    </row>
    <row r="57" spans="1:26" s="70" customFormat="1" ht="15" hidden="1" customHeight="1" outlineLevel="2" x14ac:dyDescent="0.3">
      <c r="A57" s="26"/>
      <c r="B57" s="12" t="str">
        <f>CONCATENATE("          ","6362"," - ","ADVERTISING EXPENSE")</f>
        <v xml:space="preserve">          6362 - ADVERTISING EXPENSE</v>
      </c>
      <c r="C57" s="12"/>
      <c r="D57" s="7"/>
      <c r="E57" s="3"/>
      <c r="F57" s="8">
        <f t="shared" si="12"/>
        <v>0</v>
      </c>
      <c r="G57" s="3"/>
      <c r="H57" s="7">
        <v>100</v>
      </c>
      <c r="I57" s="3"/>
      <c r="J57" s="8">
        <f t="shared" si="13"/>
        <v>5.2010193998023617E-3</v>
      </c>
      <c r="K57" s="3"/>
      <c r="L57" s="7">
        <f t="shared" si="14"/>
        <v>-100</v>
      </c>
      <c r="M57" s="3"/>
      <c r="N57" s="8">
        <f t="shared" si="15"/>
        <v>-1</v>
      </c>
      <c r="O57" s="12"/>
      <c r="P57" s="7">
        <v>837.79</v>
      </c>
      <c r="Q57" s="3"/>
      <c r="R57" s="8">
        <f t="shared" si="16"/>
        <v>3.8942250226559625E-4</v>
      </c>
      <c r="S57" s="3"/>
      <c r="T57" s="7">
        <v>2900</v>
      </c>
      <c r="U57" s="3"/>
      <c r="V57" s="8">
        <f t="shared" si="17"/>
        <v>6.203582761569789E-4</v>
      </c>
      <c r="W57" s="3"/>
      <c r="X57" s="7">
        <f t="shared" si="18"/>
        <v>-2062.21</v>
      </c>
      <c r="Y57" s="3"/>
      <c r="Z57" s="8">
        <f t="shared" si="19"/>
        <v>-0.7111068965517241</v>
      </c>
    </row>
    <row r="58" spans="1:26" s="69" customFormat="1" ht="15" customHeight="1" outlineLevel="1" collapsed="1" x14ac:dyDescent="0.3">
      <c r="A58" s="25"/>
      <c r="B58" s="14" t="str">
        <f>CONCATENATE("     ","Discounts and Markdowns                           ")</f>
        <v xml:space="preserve">     Discounts and Markdowns                           </v>
      </c>
      <c r="C58" s="14"/>
      <c r="D58" s="2">
        <f>SUM(OSRRefD22_3x_0)</f>
        <v>0</v>
      </c>
      <c r="E58" s="2"/>
      <c r="F58" s="6">
        <f t="shared" si="12"/>
        <v>0</v>
      </c>
      <c r="G58" s="2"/>
      <c r="H58" s="2">
        <f>SUM(OSRRefH22_3x_0)</f>
        <v>0</v>
      </c>
      <c r="I58" s="2"/>
      <c r="J58" s="6">
        <f t="shared" si="13"/>
        <v>0</v>
      </c>
      <c r="K58" s="2"/>
      <c r="L58" s="2">
        <f t="shared" si="14"/>
        <v>0</v>
      </c>
      <c r="M58" s="2"/>
      <c r="N58" s="6">
        <f t="shared" si="15"/>
        <v>0</v>
      </c>
      <c r="O58" s="14"/>
      <c r="P58" s="2">
        <f>SUM(OSRRefP22_3x_0)</f>
        <v>1.35</v>
      </c>
      <c r="Q58" s="2"/>
      <c r="R58" s="6">
        <f t="shared" si="16"/>
        <v>6.2750853800899388E-7</v>
      </c>
      <c r="S58" s="2"/>
      <c r="T58" s="2">
        <f>SUM(OSRRefT22_3x_0)</f>
        <v>0</v>
      </c>
      <c r="U58" s="2"/>
      <c r="V58" s="6">
        <f t="shared" si="17"/>
        <v>0</v>
      </c>
      <c r="W58" s="2"/>
      <c r="X58" s="2">
        <f t="shared" si="18"/>
        <v>1.35</v>
      </c>
      <c r="Y58" s="2"/>
      <c r="Z58" s="6">
        <f t="shared" si="19"/>
        <v>0</v>
      </c>
    </row>
    <row r="59" spans="1:26" s="70" customFormat="1" ht="15" hidden="1" customHeight="1" outlineLevel="2" x14ac:dyDescent="0.3">
      <c r="A59" s="26"/>
      <c r="B59" s="12" t="str">
        <f>CONCATENATE("          ","6382"," - ","DISCOUNTS/MARK DOWNS")</f>
        <v xml:space="preserve">          6382 - DISCOUNTS/MARK DOWNS</v>
      </c>
      <c r="C59" s="12"/>
      <c r="D59" s="7"/>
      <c r="E59" s="3"/>
      <c r="F59" s="8">
        <f t="shared" si="12"/>
        <v>0</v>
      </c>
      <c r="G59" s="3"/>
      <c r="H59" s="7"/>
      <c r="I59" s="3"/>
      <c r="J59" s="8">
        <f t="shared" si="13"/>
        <v>0</v>
      </c>
      <c r="K59" s="3"/>
      <c r="L59" s="7">
        <f t="shared" si="14"/>
        <v>0</v>
      </c>
      <c r="M59" s="3"/>
      <c r="N59" s="8">
        <f t="shared" si="15"/>
        <v>0</v>
      </c>
      <c r="O59" s="12"/>
      <c r="P59" s="7">
        <v>1.35</v>
      </c>
      <c r="Q59" s="3"/>
      <c r="R59" s="8">
        <f t="shared" si="16"/>
        <v>6.2750853800899388E-7</v>
      </c>
      <c r="S59" s="3"/>
      <c r="T59" s="7"/>
      <c r="U59" s="3"/>
      <c r="V59" s="8">
        <f t="shared" si="17"/>
        <v>0</v>
      </c>
      <c r="W59" s="3"/>
      <c r="X59" s="7">
        <f t="shared" si="18"/>
        <v>1.35</v>
      </c>
      <c r="Y59" s="3"/>
      <c r="Z59" s="8">
        <f t="shared" si="19"/>
        <v>0</v>
      </c>
    </row>
    <row r="60" spans="1:26" s="69" customFormat="1" ht="15" customHeight="1" outlineLevel="1" collapsed="1" x14ac:dyDescent="0.3">
      <c r="A60" s="25"/>
      <c r="B60" s="14" t="str">
        <f>CONCATENATE("     ","Employees' Appreciation                           ")</f>
        <v xml:space="preserve">     Employees' Appreciation                           </v>
      </c>
      <c r="C60" s="14"/>
      <c r="D60" s="2">
        <f>SUM(OSRRefD22_4x_0)</f>
        <v>0</v>
      </c>
      <c r="E60" s="2"/>
      <c r="F60" s="6">
        <f t="shared" si="12"/>
        <v>0</v>
      </c>
      <c r="G60" s="2"/>
      <c r="H60" s="2">
        <f>SUM(OSRRefH22_4x_0)</f>
        <v>50</v>
      </c>
      <c r="I60" s="2"/>
      <c r="J60" s="6">
        <f t="shared" si="13"/>
        <v>2.6005096999011808E-3</v>
      </c>
      <c r="K60" s="2"/>
      <c r="L60" s="2">
        <f t="shared" si="14"/>
        <v>-50</v>
      </c>
      <c r="M60" s="2"/>
      <c r="N60" s="6">
        <f t="shared" si="15"/>
        <v>-1</v>
      </c>
      <c r="O60" s="14"/>
      <c r="P60" s="2">
        <f>SUM(OSRRefP22_4x_0)</f>
        <v>0</v>
      </c>
      <c r="Q60" s="2"/>
      <c r="R60" s="6">
        <f t="shared" si="16"/>
        <v>0</v>
      </c>
      <c r="S60" s="2"/>
      <c r="T60" s="2">
        <f>SUM(OSRRefT22_4x_0)</f>
        <v>450</v>
      </c>
      <c r="U60" s="2"/>
      <c r="V60" s="6">
        <f t="shared" si="17"/>
        <v>9.6262491127807064E-5</v>
      </c>
      <c r="W60" s="2"/>
      <c r="X60" s="2">
        <f t="shared" si="18"/>
        <v>-450</v>
      </c>
      <c r="Y60" s="2"/>
      <c r="Z60" s="6">
        <f t="shared" si="19"/>
        <v>-1</v>
      </c>
    </row>
    <row r="61" spans="1:26" s="70" customFormat="1" ht="15" hidden="1" customHeight="1" outlineLevel="2" x14ac:dyDescent="0.3">
      <c r="A61" s="26"/>
      <c r="B61" s="12" t="str">
        <f>CONCATENATE("          ","6277"," - ","EMPLOYEE APPRECIATION")</f>
        <v xml:space="preserve">          6277 - EMPLOYEE APPRECIATION</v>
      </c>
      <c r="C61" s="12"/>
      <c r="D61" s="7"/>
      <c r="E61" s="3"/>
      <c r="F61" s="8">
        <f t="shared" si="12"/>
        <v>0</v>
      </c>
      <c r="G61" s="3"/>
      <c r="H61" s="7">
        <v>50</v>
      </c>
      <c r="I61" s="3"/>
      <c r="J61" s="8">
        <f t="shared" si="13"/>
        <v>2.6005096999011808E-3</v>
      </c>
      <c r="K61" s="3"/>
      <c r="L61" s="7">
        <f t="shared" si="14"/>
        <v>-50</v>
      </c>
      <c r="M61" s="3"/>
      <c r="N61" s="8">
        <f t="shared" si="15"/>
        <v>-1</v>
      </c>
      <c r="O61" s="12"/>
      <c r="P61" s="7"/>
      <c r="Q61" s="3"/>
      <c r="R61" s="8">
        <f t="shared" si="16"/>
        <v>0</v>
      </c>
      <c r="S61" s="3"/>
      <c r="T61" s="7">
        <v>450</v>
      </c>
      <c r="U61" s="3"/>
      <c r="V61" s="8">
        <f t="shared" si="17"/>
        <v>9.6262491127807064E-5</v>
      </c>
      <c r="W61" s="3"/>
      <c r="X61" s="7">
        <f t="shared" si="18"/>
        <v>-450</v>
      </c>
      <c r="Y61" s="3"/>
      <c r="Z61" s="8">
        <f t="shared" si="19"/>
        <v>-1</v>
      </c>
    </row>
    <row r="62" spans="1:26" s="69" customFormat="1" ht="15" customHeight="1" outlineLevel="1" collapsed="1" x14ac:dyDescent="0.3">
      <c r="A62" s="25"/>
      <c r="B62" s="14" t="str">
        <f>CONCATENATE("     ","Equipment Rental                                  ")</f>
        <v xml:space="preserve">     Equipment Rental                                  </v>
      </c>
      <c r="C62" s="14"/>
      <c r="D62" s="2">
        <f>SUM(OSRRefD22_5x_0)</f>
        <v>91.26</v>
      </c>
      <c r="E62" s="2"/>
      <c r="F62" s="6">
        <f t="shared" si="12"/>
        <v>3.98596743788687E-3</v>
      </c>
      <c r="G62" s="2"/>
      <c r="H62" s="2">
        <f>SUM(OSRRefH22_5x_0)</f>
        <v>100</v>
      </c>
      <c r="I62" s="2"/>
      <c r="J62" s="6">
        <f t="shared" si="13"/>
        <v>5.2010193998023617E-3</v>
      </c>
      <c r="K62" s="2"/>
      <c r="L62" s="2">
        <f t="shared" si="14"/>
        <v>-8.7399999999999949</v>
      </c>
      <c r="M62" s="2"/>
      <c r="N62" s="6">
        <f t="shared" si="15"/>
        <v>-8.739999999999995E-2</v>
      </c>
      <c r="O62" s="14"/>
      <c r="P62" s="2">
        <f>SUM(OSRRefP22_5x_0)</f>
        <v>821.34</v>
      </c>
      <c r="Q62" s="2"/>
      <c r="R62" s="6">
        <f t="shared" si="16"/>
        <v>3.8177619452467188E-4</v>
      </c>
      <c r="S62" s="2"/>
      <c r="T62" s="2">
        <f>SUM(OSRRefT22_5x_0)</f>
        <v>900</v>
      </c>
      <c r="U62" s="2"/>
      <c r="V62" s="6">
        <f t="shared" si="17"/>
        <v>1.9252498225561413E-4</v>
      </c>
      <c r="W62" s="2"/>
      <c r="X62" s="2">
        <f t="shared" si="18"/>
        <v>-78.659999999999968</v>
      </c>
      <c r="Y62" s="2"/>
      <c r="Z62" s="6">
        <f t="shared" si="19"/>
        <v>-8.7399999999999964E-2</v>
      </c>
    </row>
    <row r="63" spans="1:26" s="70" customFormat="1" ht="15" hidden="1" customHeight="1" outlineLevel="2" x14ac:dyDescent="0.3">
      <c r="A63" s="26"/>
      <c r="B63" s="12" t="str">
        <f>CONCATENATE("          ","6351"," - ","EQUIPMENT RENTAL")</f>
        <v xml:space="preserve">          6351 - EQUIPMENT RENTAL</v>
      </c>
      <c r="C63" s="12"/>
      <c r="D63" s="7">
        <v>91.26</v>
      </c>
      <c r="E63" s="3"/>
      <c r="F63" s="8">
        <f t="shared" si="12"/>
        <v>3.98596743788687E-3</v>
      </c>
      <c r="G63" s="3"/>
      <c r="H63" s="7">
        <v>100</v>
      </c>
      <c r="I63" s="3"/>
      <c r="J63" s="8">
        <f t="shared" si="13"/>
        <v>5.2010193998023617E-3</v>
      </c>
      <c r="K63" s="3"/>
      <c r="L63" s="7">
        <f t="shared" si="14"/>
        <v>-8.7399999999999949</v>
      </c>
      <c r="M63" s="3"/>
      <c r="N63" s="8">
        <f t="shared" si="15"/>
        <v>-8.739999999999995E-2</v>
      </c>
      <c r="O63" s="12"/>
      <c r="P63" s="7">
        <v>821.34</v>
      </c>
      <c r="Q63" s="3"/>
      <c r="R63" s="8">
        <f t="shared" si="16"/>
        <v>3.8177619452467188E-4</v>
      </c>
      <c r="S63" s="3"/>
      <c r="T63" s="7">
        <v>900</v>
      </c>
      <c r="U63" s="3"/>
      <c r="V63" s="8">
        <f t="shared" si="17"/>
        <v>1.9252498225561413E-4</v>
      </c>
      <c r="W63" s="3"/>
      <c r="X63" s="7">
        <f t="shared" si="18"/>
        <v>-78.659999999999968</v>
      </c>
      <c r="Y63" s="3"/>
      <c r="Z63" s="8">
        <f t="shared" si="19"/>
        <v>-8.7399999999999964E-2</v>
      </c>
    </row>
    <row r="64" spans="1:26" s="69" customFormat="1" ht="15" customHeight="1" outlineLevel="1" collapsed="1" x14ac:dyDescent="0.3">
      <c r="A64" s="25"/>
      <c r="B64" s="14" t="str">
        <f>CONCATENATE("     ","Freight out/Postage                               ")</f>
        <v xml:space="preserve">     Freight out/Postage                               </v>
      </c>
      <c r="C64" s="14"/>
      <c r="D64" s="2">
        <f>SUM(OSRRefD22_6x_0)</f>
        <v>0</v>
      </c>
      <c r="E64" s="2"/>
      <c r="F64" s="6">
        <f t="shared" si="12"/>
        <v>0</v>
      </c>
      <c r="G64" s="2"/>
      <c r="H64" s="2">
        <f>SUM(OSRRefH22_6x_0)</f>
        <v>3200</v>
      </c>
      <c r="I64" s="2"/>
      <c r="J64" s="6">
        <f t="shared" si="13"/>
        <v>0.16643262079367557</v>
      </c>
      <c r="K64" s="2"/>
      <c r="L64" s="2">
        <f t="shared" si="14"/>
        <v>-3200</v>
      </c>
      <c r="M64" s="2"/>
      <c r="N64" s="6">
        <f t="shared" si="15"/>
        <v>-1</v>
      </c>
      <c r="O64" s="14"/>
      <c r="P64" s="2">
        <f>SUM(OSRRefP22_6x_0)</f>
        <v>5623.17</v>
      </c>
      <c r="Q64" s="2"/>
      <c r="R64" s="6">
        <f t="shared" si="16"/>
        <v>2.6137682856859513E-3</v>
      </c>
      <c r="S64" s="2"/>
      <c r="T64" s="2">
        <f>SUM(OSRRefT22_6x_0)</f>
        <v>13700</v>
      </c>
      <c r="U64" s="2"/>
      <c r="V64" s="6">
        <f t="shared" si="17"/>
        <v>2.9306580632243485E-3</v>
      </c>
      <c r="W64" s="2"/>
      <c r="X64" s="2">
        <f t="shared" si="18"/>
        <v>-8076.83</v>
      </c>
      <c r="Y64" s="2"/>
      <c r="Z64" s="6">
        <f t="shared" si="19"/>
        <v>-0.58954963503649638</v>
      </c>
    </row>
    <row r="65" spans="1:26" s="70" customFormat="1" ht="15" hidden="1" customHeight="1" outlineLevel="2" x14ac:dyDescent="0.3">
      <c r="A65" s="26"/>
      <c r="B65" s="12" t="str">
        <f>CONCATENATE("          ","6305"," - ","FREIGHT OUT")</f>
        <v xml:space="preserve">          6305 - FREIGHT OUT</v>
      </c>
      <c r="C65" s="12"/>
      <c r="D65" s="7">
        <v>0</v>
      </c>
      <c r="E65" s="3"/>
      <c r="F65" s="8">
        <f t="shared" ref="F65:F85" si="20">IF(D$12=0,0,D65/D$12)</f>
        <v>0</v>
      </c>
      <c r="G65" s="3"/>
      <c r="H65" s="7">
        <v>3200</v>
      </c>
      <c r="I65" s="3"/>
      <c r="J65" s="8">
        <f t="shared" ref="J65:J85" si="21">IF(H$12=0,0,H65/H$12)</f>
        <v>0.16643262079367557</v>
      </c>
      <c r="K65" s="3"/>
      <c r="L65" s="7">
        <f t="shared" ref="L65:L85" si="22">+D65-H65</f>
        <v>-3200</v>
      </c>
      <c r="M65" s="3"/>
      <c r="N65" s="8">
        <f t="shared" ref="N65:N85" si="23">IF(H65=0,0,L65/H65)</f>
        <v>-1</v>
      </c>
      <c r="O65" s="12"/>
      <c r="P65" s="7">
        <v>5621.58</v>
      </c>
      <c r="Q65" s="3"/>
      <c r="R65" s="8">
        <f t="shared" ref="R65:R85" si="24">IF(P$12=0,0,P65/P$12)</f>
        <v>2.6130292200745183E-3</v>
      </c>
      <c r="S65" s="3"/>
      <c r="T65" s="7">
        <v>13700</v>
      </c>
      <c r="U65" s="3"/>
      <c r="V65" s="8">
        <f t="shared" ref="V65:V85" si="25">IF(T$12=0,0,T65/T$12)</f>
        <v>2.9306580632243485E-3</v>
      </c>
      <c r="W65" s="3"/>
      <c r="X65" s="7">
        <f t="shared" ref="X65:X85" si="26">+P65-T65</f>
        <v>-8078.42</v>
      </c>
      <c r="Y65" s="3"/>
      <c r="Z65" s="8">
        <f t="shared" ref="Z65:Z85" si="27">IF(T65=0,0,X65/T65)</f>
        <v>-0.58966569343065689</v>
      </c>
    </row>
    <row r="66" spans="1:26" s="70" customFormat="1" ht="15" hidden="1" customHeight="1" outlineLevel="2" x14ac:dyDescent="0.3">
      <c r="A66" s="26"/>
      <c r="B66" s="12" t="str">
        <f>CONCATENATE("          ","6307"," - ","POSTAGE")</f>
        <v xml:space="preserve">          6307 - POSTAGE</v>
      </c>
      <c r="C66" s="12"/>
      <c r="D66" s="7"/>
      <c r="E66" s="3"/>
      <c r="F66" s="8">
        <f t="shared" si="20"/>
        <v>0</v>
      </c>
      <c r="G66" s="3"/>
      <c r="H66" s="7"/>
      <c r="I66" s="3"/>
      <c r="J66" s="8">
        <f t="shared" si="21"/>
        <v>0</v>
      </c>
      <c r="K66" s="3"/>
      <c r="L66" s="7">
        <f t="shared" si="22"/>
        <v>0</v>
      </c>
      <c r="M66" s="3"/>
      <c r="N66" s="8">
        <f t="shared" si="23"/>
        <v>0</v>
      </c>
      <c r="O66" s="12"/>
      <c r="P66" s="7">
        <v>1.59</v>
      </c>
      <c r="Q66" s="3"/>
      <c r="R66" s="8">
        <f t="shared" si="24"/>
        <v>7.3906561143281502E-7</v>
      </c>
      <c r="S66" s="3"/>
      <c r="T66" s="7"/>
      <c r="U66" s="3"/>
      <c r="V66" s="8">
        <f t="shared" si="25"/>
        <v>0</v>
      </c>
      <c r="W66" s="3"/>
      <c r="X66" s="7">
        <f t="shared" si="26"/>
        <v>1.59</v>
      </c>
      <c r="Y66" s="3"/>
      <c r="Z66" s="8">
        <f t="shared" si="27"/>
        <v>0</v>
      </c>
    </row>
    <row r="67" spans="1:26" s="69" customFormat="1" ht="15" customHeight="1" outlineLevel="1" collapsed="1" x14ac:dyDescent="0.3">
      <c r="A67" s="25"/>
      <c r="B67" s="14" t="str">
        <f>CONCATENATE("     ","General                                           ")</f>
        <v xml:space="preserve">     General                                           </v>
      </c>
      <c r="C67" s="14"/>
      <c r="D67" s="2">
        <f>SUM(OSRRefD22_7x_0)</f>
        <v>0</v>
      </c>
      <c r="E67" s="2"/>
      <c r="F67" s="6">
        <f t="shared" si="20"/>
        <v>0</v>
      </c>
      <c r="G67" s="2"/>
      <c r="H67" s="2">
        <f>SUM(OSRRefH22_7x_0)</f>
        <v>0</v>
      </c>
      <c r="I67" s="2"/>
      <c r="J67" s="6">
        <f t="shared" si="21"/>
        <v>0</v>
      </c>
      <c r="K67" s="2"/>
      <c r="L67" s="2">
        <f t="shared" si="22"/>
        <v>0</v>
      </c>
      <c r="M67" s="2"/>
      <c r="N67" s="6">
        <f t="shared" si="23"/>
        <v>0</v>
      </c>
      <c r="O67" s="14"/>
      <c r="P67" s="2">
        <f>SUM(OSRRefP22_7x_0)</f>
        <v>0</v>
      </c>
      <c r="Q67" s="2"/>
      <c r="R67" s="6">
        <f t="shared" si="24"/>
        <v>0</v>
      </c>
      <c r="S67" s="2"/>
      <c r="T67" s="2">
        <f>SUM(OSRRefT22_7x_0)</f>
        <v>1500</v>
      </c>
      <c r="U67" s="2"/>
      <c r="V67" s="6">
        <f t="shared" si="25"/>
        <v>3.2087497042602357E-4</v>
      </c>
      <c r="W67" s="2"/>
      <c r="X67" s="2">
        <f t="shared" si="26"/>
        <v>-1500</v>
      </c>
      <c r="Y67" s="2"/>
      <c r="Z67" s="6">
        <f t="shared" si="27"/>
        <v>-1</v>
      </c>
    </row>
    <row r="68" spans="1:26" s="70" customFormat="1" ht="15" hidden="1" customHeight="1" outlineLevel="2" x14ac:dyDescent="0.3">
      <c r="A68" s="26"/>
      <c r="B68" s="12" t="str">
        <f>CONCATENATE("          ","6279"," - ","GENERAL EXPENSE")</f>
        <v xml:space="preserve">          6279 - GENERAL EXPENSE</v>
      </c>
      <c r="C68" s="12"/>
      <c r="D68" s="7"/>
      <c r="E68" s="3"/>
      <c r="F68" s="8">
        <f t="shared" si="20"/>
        <v>0</v>
      </c>
      <c r="G68" s="3"/>
      <c r="H68" s="7">
        <v>0</v>
      </c>
      <c r="I68" s="3"/>
      <c r="J68" s="8">
        <f t="shared" si="21"/>
        <v>0</v>
      </c>
      <c r="K68" s="3"/>
      <c r="L68" s="7">
        <f t="shared" si="22"/>
        <v>0</v>
      </c>
      <c r="M68" s="3"/>
      <c r="N68" s="8">
        <f t="shared" si="23"/>
        <v>0</v>
      </c>
      <c r="O68" s="12"/>
      <c r="P68" s="7"/>
      <c r="Q68" s="3"/>
      <c r="R68" s="8">
        <f t="shared" si="24"/>
        <v>0</v>
      </c>
      <c r="S68" s="3"/>
      <c r="T68" s="7">
        <v>1500</v>
      </c>
      <c r="U68" s="3"/>
      <c r="V68" s="8">
        <f t="shared" si="25"/>
        <v>3.2087497042602357E-4</v>
      </c>
      <c r="W68" s="3"/>
      <c r="X68" s="7">
        <f t="shared" si="26"/>
        <v>-1500</v>
      </c>
      <c r="Y68" s="3"/>
      <c r="Z68" s="8">
        <f t="shared" si="27"/>
        <v>-1</v>
      </c>
    </row>
    <row r="69" spans="1:26" s="69" customFormat="1" ht="15" customHeight="1" outlineLevel="1" collapsed="1" x14ac:dyDescent="0.3">
      <c r="A69" s="25"/>
      <c r="B69" s="14" t="str">
        <f>CONCATENATE("     ","Inventory Adjustment                              ")</f>
        <v xml:space="preserve">     Inventory Adjustment                              </v>
      </c>
      <c r="C69" s="14"/>
      <c r="D69" s="2">
        <f>SUM(OSRRefD22_8x_0)</f>
        <v>1000</v>
      </c>
      <c r="E69" s="2"/>
      <c r="F69" s="6">
        <f t="shared" si="20"/>
        <v>4.3677048409893379E-2</v>
      </c>
      <c r="G69" s="2"/>
      <c r="H69" s="2">
        <f>SUM(OSRRefH22_8x_0)</f>
        <v>1000</v>
      </c>
      <c r="I69" s="2"/>
      <c r="J69" s="6">
        <f t="shared" si="21"/>
        <v>5.2010193998023611E-2</v>
      </c>
      <c r="K69" s="2"/>
      <c r="L69" s="2">
        <f t="shared" si="22"/>
        <v>0</v>
      </c>
      <c r="M69" s="2"/>
      <c r="N69" s="6">
        <f t="shared" si="23"/>
        <v>0</v>
      </c>
      <c r="O69" s="14"/>
      <c r="P69" s="2">
        <f>SUM(OSRRefP22_8x_0)</f>
        <v>13000</v>
      </c>
      <c r="Q69" s="2"/>
      <c r="R69" s="6">
        <f t="shared" si="24"/>
        <v>6.0426748104569781E-3</v>
      </c>
      <c r="S69" s="2"/>
      <c r="T69" s="2">
        <f>SUM(OSRRefT22_8x_0)</f>
        <v>13000</v>
      </c>
      <c r="U69" s="2"/>
      <c r="V69" s="6">
        <f t="shared" si="25"/>
        <v>2.780916410358871E-3</v>
      </c>
      <c r="W69" s="2"/>
      <c r="X69" s="2">
        <f t="shared" si="26"/>
        <v>0</v>
      </c>
      <c r="Y69" s="2"/>
      <c r="Z69" s="6">
        <f t="shared" si="27"/>
        <v>0</v>
      </c>
    </row>
    <row r="70" spans="1:26" s="70" customFormat="1" ht="15" hidden="1" customHeight="1" outlineLevel="2" x14ac:dyDescent="0.3">
      <c r="A70" s="26"/>
      <c r="B70" s="12" t="str">
        <f>CONCATENATE("          ","6408"," - ","INVENTORY ADJUSTMENT")</f>
        <v xml:space="preserve">          6408 - INVENTORY ADJUSTMENT</v>
      </c>
      <c r="C70" s="12"/>
      <c r="D70" s="7">
        <v>1000</v>
      </c>
      <c r="E70" s="3"/>
      <c r="F70" s="8">
        <f t="shared" si="20"/>
        <v>4.3677048409893379E-2</v>
      </c>
      <c r="G70" s="3"/>
      <c r="H70" s="7">
        <v>1000</v>
      </c>
      <c r="I70" s="3"/>
      <c r="J70" s="8">
        <f t="shared" si="21"/>
        <v>5.2010193998023611E-2</v>
      </c>
      <c r="K70" s="3"/>
      <c r="L70" s="7">
        <f t="shared" si="22"/>
        <v>0</v>
      </c>
      <c r="M70" s="3"/>
      <c r="N70" s="8">
        <f t="shared" si="23"/>
        <v>0</v>
      </c>
      <c r="O70" s="12"/>
      <c r="P70" s="7">
        <v>13000</v>
      </c>
      <c r="Q70" s="3"/>
      <c r="R70" s="8">
        <f t="shared" si="24"/>
        <v>6.0426748104569781E-3</v>
      </c>
      <c r="S70" s="3"/>
      <c r="T70" s="7">
        <v>13000</v>
      </c>
      <c r="U70" s="3"/>
      <c r="V70" s="8">
        <f t="shared" si="25"/>
        <v>2.780916410358871E-3</v>
      </c>
      <c r="W70" s="3"/>
      <c r="X70" s="7">
        <f t="shared" si="26"/>
        <v>0</v>
      </c>
      <c r="Y70" s="3"/>
      <c r="Z70" s="8">
        <f t="shared" si="27"/>
        <v>0</v>
      </c>
    </row>
    <row r="71" spans="1:26" s="69" customFormat="1" ht="15" customHeight="1" outlineLevel="1" collapsed="1" x14ac:dyDescent="0.3">
      <c r="A71" s="25"/>
      <c r="B71" s="14" t="str">
        <f>CONCATENATE("     ","Repair and Maintenance                            ")</f>
        <v xml:space="preserve">     Repair and Maintenance                            </v>
      </c>
      <c r="C71" s="14"/>
      <c r="D71" s="2">
        <f>SUM(OSRRefD22_9x_0)</f>
        <v>149.29999999999998</v>
      </c>
      <c r="E71" s="2"/>
      <c r="F71" s="6">
        <f t="shared" si="20"/>
        <v>6.5209833275970807E-3</v>
      </c>
      <c r="G71" s="2"/>
      <c r="H71" s="2">
        <f>SUM(OSRRefH22_9x_0)</f>
        <v>80</v>
      </c>
      <c r="I71" s="2"/>
      <c r="J71" s="6">
        <f t="shared" si="21"/>
        <v>4.1608155198418892E-3</v>
      </c>
      <c r="K71" s="2"/>
      <c r="L71" s="2">
        <f t="shared" si="22"/>
        <v>69.299999999999983</v>
      </c>
      <c r="M71" s="2"/>
      <c r="N71" s="6">
        <f t="shared" si="23"/>
        <v>0.86624999999999974</v>
      </c>
      <c r="O71" s="14"/>
      <c r="P71" s="2">
        <f>SUM(OSRRefP22_9x_0)</f>
        <v>6045.15</v>
      </c>
      <c r="Q71" s="2"/>
      <c r="R71" s="6">
        <f t="shared" si="24"/>
        <v>2.8099135100333843E-3</v>
      </c>
      <c r="S71" s="2"/>
      <c r="T71" s="2">
        <f>SUM(OSRRefT22_9x_0)</f>
        <v>720</v>
      </c>
      <c r="U71" s="2"/>
      <c r="V71" s="6">
        <f t="shared" si="25"/>
        <v>1.5401998580449132E-4</v>
      </c>
      <c r="W71" s="2"/>
      <c r="X71" s="2">
        <f t="shared" si="26"/>
        <v>5325.15</v>
      </c>
      <c r="Y71" s="2"/>
      <c r="Z71" s="6">
        <f t="shared" si="27"/>
        <v>7.3960416666666662</v>
      </c>
    </row>
    <row r="72" spans="1:26" s="70" customFormat="1" ht="15" hidden="1" customHeight="1" outlineLevel="2" x14ac:dyDescent="0.3">
      <c r="A72" s="26"/>
      <c r="B72" s="12" t="str">
        <f>CONCATENATE("          ","6371"," - ","COMPUTER SOFTWARE MAINTENANCE")</f>
        <v xml:space="preserve">          6371 - COMPUTER SOFTWARE MAINTENANCE</v>
      </c>
      <c r="C72" s="12"/>
      <c r="D72" s="7"/>
      <c r="E72" s="3"/>
      <c r="F72" s="8">
        <f t="shared" si="20"/>
        <v>0</v>
      </c>
      <c r="G72" s="3"/>
      <c r="H72" s="7"/>
      <c r="I72" s="3"/>
      <c r="J72" s="8">
        <f t="shared" si="21"/>
        <v>0</v>
      </c>
      <c r="K72" s="3"/>
      <c r="L72" s="7">
        <f t="shared" si="22"/>
        <v>0</v>
      </c>
      <c r="M72" s="3"/>
      <c r="N72" s="8">
        <f t="shared" si="23"/>
        <v>0</v>
      </c>
      <c r="O72" s="12"/>
      <c r="P72" s="7">
        <v>5775</v>
      </c>
      <c r="Q72" s="3"/>
      <c r="R72" s="8">
        <f t="shared" si="24"/>
        <v>2.6843420792606958E-3</v>
      </c>
      <c r="S72" s="3"/>
      <c r="T72" s="7"/>
      <c r="U72" s="3"/>
      <c r="V72" s="8">
        <f t="shared" si="25"/>
        <v>0</v>
      </c>
      <c r="W72" s="3"/>
      <c r="X72" s="7">
        <f t="shared" si="26"/>
        <v>5775</v>
      </c>
      <c r="Y72" s="3"/>
      <c r="Z72" s="8">
        <f t="shared" si="27"/>
        <v>0</v>
      </c>
    </row>
    <row r="73" spans="1:26" s="70" customFormat="1" ht="15" hidden="1" customHeight="1" outlineLevel="2" x14ac:dyDescent="0.3">
      <c r="A73" s="26"/>
      <c r="B73" s="12" t="str">
        <f>CONCATENATE("          ","6373"," - ","MAINTENANCE CONTRACTS")</f>
        <v xml:space="preserve">          6373 - MAINTENANCE CONTRACTS</v>
      </c>
      <c r="C73" s="12"/>
      <c r="D73" s="7">
        <v>11.88</v>
      </c>
      <c r="E73" s="3"/>
      <c r="F73" s="8">
        <f t="shared" si="20"/>
        <v>5.1888333510953337E-4</v>
      </c>
      <c r="G73" s="3"/>
      <c r="H73" s="7">
        <v>40</v>
      </c>
      <c r="I73" s="3"/>
      <c r="J73" s="8">
        <f t="shared" si="21"/>
        <v>2.0804077599209446E-3</v>
      </c>
      <c r="K73" s="3"/>
      <c r="L73" s="7">
        <f t="shared" si="22"/>
        <v>-28.119999999999997</v>
      </c>
      <c r="M73" s="3"/>
      <c r="N73" s="8">
        <f t="shared" si="23"/>
        <v>-0.70299999999999996</v>
      </c>
      <c r="O73" s="12"/>
      <c r="P73" s="7">
        <v>132.72999999999999</v>
      </c>
      <c r="Q73" s="3"/>
      <c r="R73" s="8">
        <f t="shared" si="24"/>
        <v>6.1695709814765733E-5</v>
      </c>
      <c r="S73" s="3"/>
      <c r="T73" s="7">
        <v>360</v>
      </c>
      <c r="U73" s="3"/>
      <c r="V73" s="8">
        <f t="shared" si="25"/>
        <v>7.7009992902245659E-5</v>
      </c>
      <c r="W73" s="3"/>
      <c r="X73" s="7">
        <f t="shared" si="26"/>
        <v>-227.27</v>
      </c>
      <c r="Y73" s="3"/>
      <c r="Z73" s="8">
        <f t="shared" si="27"/>
        <v>-0.63130555555555556</v>
      </c>
    </row>
    <row r="74" spans="1:26" s="70" customFormat="1" ht="15" hidden="1" customHeight="1" outlineLevel="2" x14ac:dyDescent="0.3">
      <c r="A74" s="26"/>
      <c r="B74" s="12" t="str">
        <f>CONCATENATE("          ","6375"," - ","OUTSIDE REPAIRS &amp; MAINTENANCE")</f>
        <v xml:space="preserve">          6375 - OUTSIDE REPAIRS &amp; MAINTENANCE</v>
      </c>
      <c r="C74" s="12"/>
      <c r="D74" s="7">
        <v>137.41999999999999</v>
      </c>
      <c r="E74" s="3"/>
      <c r="F74" s="8">
        <f t="shared" si="20"/>
        <v>6.0020999924875473E-3</v>
      </c>
      <c r="G74" s="3"/>
      <c r="H74" s="7">
        <v>40</v>
      </c>
      <c r="I74" s="3"/>
      <c r="J74" s="8">
        <f t="shared" si="21"/>
        <v>2.0804077599209446E-3</v>
      </c>
      <c r="K74" s="3"/>
      <c r="L74" s="7">
        <f t="shared" si="22"/>
        <v>97.419999999999987</v>
      </c>
      <c r="M74" s="3"/>
      <c r="N74" s="8">
        <f t="shared" si="23"/>
        <v>2.4354999999999998</v>
      </c>
      <c r="O74" s="12"/>
      <c r="P74" s="7">
        <v>137.41999999999999</v>
      </c>
      <c r="Q74" s="3"/>
      <c r="R74" s="8">
        <f t="shared" si="24"/>
        <v>6.3875720957922913E-5</v>
      </c>
      <c r="S74" s="3"/>
      <c r="T74" s="7">
        <v>360</v>
      </c>
      <c r="U74" s="3"/>
      <c r="V74" s="8">
        <f t="shared" si="25"/>
        <v>7.7009992902245659E-5</v>
      </c>
      <c r="W74" s="3"/>
      <c r="X74" s="7">
        <f t="shared" si="26"/>
        <v>-222.58</v>
      </c>
      <c r="Y74" s="3"/>
      <c r="Z74" s="8">
        <f t="shared" si="27"/>
        <v>-0.61827777777777781</v>
      </c>
    </row>
    <row r="75" spans="1:26" s="69" customFormat="1" ht="15" customHeight="1" outlineLevel="1" collapsed="1" x14ac:dyDescent="0.3">
      <c r="A75" s="25"/>
      <c r="B75" s="14" t="str">
        <f>CONCATENATE("     ","Subscriptions &amp; Dues                              ")</f>
        <v xml:space="preserve">     Subscriptions &amp; Dues                              </v>
      </c>
      <c r="C75" s="14"/>
      <c r="D75" s="2">
        <f>SUM(OSRRefD22_10x_0)</f>
        <v>476.65</v>
      </c>
      <c r="E75" s="2"/>
      <c r="F75" s="6">
        <f t="shared" si="20"/>
        <v>2.0818665124575676E-2</v>
      </c>
      <c r="G75" s="2"/>
      <c r="H75" s="2">
        <f>SUM(OSRRefH22_10x_0)</f>
        <v>300</v>
      </c>
      <c r="I75" s="2"/>
      <c r="J75" s="6">
        <f t="shared" si="21"/>
        <v>1.5603058199407084E-2</v>
      </c>
      <c r="K75" s="2"/>
      <c r="L75" s="2">
        <f t="shared" si="22"/>
        <v>176.64999999999998</v>
      </c>
      <c r="M75" s="2"/>
      <c r="N75" s="6">
        <f t="shared" si="23"/>
        <v>0.58883333333333321</v>
      </c>
      <c r="O75" s="14"/>
      <c r="P75" s="2">
        <f>SUM(OSRRefP22_10x_0)</f>
        <v>2422.1</v>
      </c>
      <c r="Q75" s="2"/>
      <c r="R75" s="6">
        <f t="shared" si="24"/>
        <v>1.125843281415988E-3</v>
      </c>
      <c r="S75" s="2"/>
      <c r="T75" s="2">
        <f>SUM(OSRRefT22_10x_0)</f>
        <v>4600</v>
      </c>
      <c r="U75" s="2"/>
      <c r="V75" s="6">
        <f t="shared" si="25"/>
        <v>9.8401657597313886E-4</v>
      </c>
      <c r="W75" s="2"/>
      <c r="X75" s="2">
        <f t="shared" si="26"/>
        <v>-2177.9</v>
      </c>
      <c r="Y75" s="2"/>
      <c r="Z75" s="6">
        <f t="shared" si="27"/>
        <v>-0.47345652173913044</v>
      </c>
    </row>
    <row r="76" spans="1:26" s="70" customFormat="1" ht="15" hidden="1" customHeight="1" outlineLevel="2" x14ac:dyDescent="0.3">
      <c r="A76" s="26"/>
      <c r="B76" s="12" t="str">
        <f>CONCATENATE("          ","6258"," - ","MEMBERSHIP DUES")</f>
        <v xml:space="preserve">          6258 - MEMBERSHIP DUES</v>
      </c>
      <c r="C76" s="12"/>
      <c r="D76" s="7">
        <v>476.65</v>
      </c>
      <c r="E76" s="3"/>
      <c r="F76" s="8">
        <f t="shared" si="20"/>
        <v>2.0818665124575676E-2</v>
      </c>
      <c r="G76" s="3"/>
      <c r="H76" s="7">
        <v>300</v>
      </c>
      <c r="I76" s="3"/>
      <c r="J76" s="8">
        <f t="shared" si="21"/>
        <v>1.5603058199407084E-2</v>
      </c>
      <c r="K76" s="3"/>
      <c r="L76" s="7">
        <f t="shared" si="22"/>
        <v>176.64999999999998</v>
      </c>
      <c r="M76" s="3"/>
      <c r="N76" s="8">
        <f t="shared" si="23"/>
        <v>0.58883333333333321</v>
      </c>
      <c r="O76" s="12"/>
      <c r="P76" s="7">
        <v>2422.1</v>
      </c>
      <c r="Q76" s="3"/>
      <c r="R76" s="8">
        <f t="shared" si="24"/>
        <v>1.125843281415988E-3</v>
      </c>
      <c r="S76" s="3"/>
      <c r="T76" s="7">
        <v>2700</v>
      </c>
      <c r="U76" s="3"/>
      <c r="V76" s="8">
        <f t="shared" si="25"/>
        <v>5.7757494676684241E-4</v>
      </c>
      <c r="W76" s="3"/>
      <c r="X76" s="7">
        <f t="shared" si="26"/>
        <v>-277.90000000000009</v>
      </c>
      <c r="Y76" s="3"/>
      <c r="Z76" s="8">
        <f t="shared" si="27"/>
        <v>-0.10292592592592596</v>
      </c>
    </row>
    <row r="77" spans="1:26" s="70" customFormat="1" ht="15" hidden="1" customHeight="1" outlineLevel="2" x14ac:dyDescent="0.3">
      <c r="A77" s="26"/>
      <c r="B77" s="12" t="str">
        <f>CONCATENATE("          ","6275"," - ","SUBSCRIPTIONS")</f>
        <v xml:space="preserve">          6275 - SUBSCRIPTIONS</v>
      </c>
      <c r="C77" s="12"/>
      <c r="D77" s="7"/>
      <c r="E77" s="3"/>
      <c r="F77" s="8">
        <f t="shared" si="20"/>
        <v>0</v>
      </c>
      <c r="G77" s="3"/>
      <c r="H77" s="7"/>
      <c r="I77" s="3"/>
      <c r="J77" s="8">
        <f t="shared" si="21"/>
        <v>0</v>
      </c>
      <c r="K77" s="3"/>
      <c r="L77" s="7">
        <f t="shared" si="22"/>
        <v>0</v>
      </c>
      <c r="M77" s="3"/>
      <c r="N77" s="8">
        <f t="shared" si="23"/>
        <v>0</v>
      </c>
      <c r="O77" s="12"/>
      <c r="P77" s="7"/>
      <c r="Q77" s="3"/>
      <c r="R77" s="8">
        <f t="shared" si="24"/>
        <v>0</v>
      </c>
      <c r="S77" s="3"/>
      <c r="T77" s="7">
        <v>1900</v>
      </c>
      <c r="U77" s="3"/>
      <c r="V77" s="8">
        <f t="shared" si="25"/>
        <v>4.064416292062965E-4</v>
      </c>
      <c r="W77" s="3"/>
      <c r="X77" s="7">
        <f t="shared" si="26"/>
        <v>-1900</v>
      </c>
      <c r="Y77" s="3"/>
      <c r="Z77" s="8">
        <f t="shared" si="27"/>
        <v>-1</v>
      </c>
    </row>
    <row r="78" spans="1:26" s="69" customFormat="1" ht="15" customHeight="1" outlineLevel="1" collapsed="1" x14ac:dyDescent="0.3">
      <c r="A78" s="25"/>
      <c r="B78" s="14" t="str">
        <f>CONCATENATE("     ","Supplies                                          ")</f>
        <v xml:space="preserve">     Supplies                                          </v>
      </c>
      <c r="C78" s="14"/>
      <c r="D78" s="2">
        <f>SUM(OSRRefD22_11x_0)</f>
        <v>282.11</v>
      </c>
      <c r="E78" s="2"/>
      <c r="F78" s="6">
        <f t="shared" si="20"/>
        <v>1.232173212691502E-2</v>
      </c>
      <c r="G78" s="2"/>
      <c r="H78" s="2">
        <f>SUM(OSRRefH22_11x_0)</f>
        <v>700</v>
      </c>
      <c r="I78" s="2"/>
      <c r="J78" s="6">
        <f t="shared" si="21"/>
        <v>3.6407135798616527E-2</v>
      </c>
      <c r="K78" s="2"/>
      <c r="L78" s="2">
        <f t="shared" si="22"/>
        <v>-417.89</v>
      </c>
      <c r="M78" s="2"/>
      <c r="N78" s="6">
        <f t="shared" si="23"/>
        <v>-0.59698571428571423</v>
      </c>
      <c r="O78" s="14"/>
      <c r="P78" s="2">
        <f>SUM(OSRRefP22_11x_0)</f>
        <v>1480.36</v>
      </c>
      <c r="Q78" s="2"/>
      <c r="R78" s="6">
        <f t="shared" si="24"/>
        <v>6.8810262172369933E-4</v>
      </c>
      <c r="S78" s="2"/>
      <c r="T78" s="2">
        <f>SUM(OSRRefT22_11x_0)</f>
        <v>8000</v>
      </c>
      <c r="U78" s="2"/>
      <c r="V78" s="6">
        <f t="shared" si="25"/>
        <v>1.711333175605459E-3</v>
      </c>
      <c r="W78" s="2"/>
      <c r="X78" s="2">
        <f t="shared" si="26"/>
        <v>-6519.64</v>
      </c>
      <c r="Y78" s="2"/>
      <c r="Z78" s="6">
        <f t="shared" si="27"/>
        <v>-0.8149550000000001</v>
      </c>
    </row>
    <row r="79" spans="1:26" s="70" customFormat="1" ht="15" hidden="1" customHeight="1" outlineLevel="2" x14ac:dyDescent="0.3">
      <c r="A79" s="26"/>
      <c r="B79" s="12" t="str">
        <f>CONCATENATE("          ","6241"," - ","OFFICE EXPENSE")</f>
        <v xml:space="preserve">          6241 - OFFICE EXPENSE</v>
      </c>
      <c r="C79" s="12"/>
      <c r="D79" s="7">
        <v>93.57</v>
      </c>
      <c r="E79" s="3"/>
      <c r="F79" s="8">
        <f t="shared" si="20"/>
        <v>4.0868614197137228E-3</v>
      </c>
      <c r="G79" s="3"/>
      <c r="H79" s="7">
        <v>300</v>
      </c>
      <c r="I79" s="3"/>
      <c r="J79" s="8">
        <f t="shared" si="21"/>
        <v>1.5603058199407084E-2</v>
      </c>
      <c r="K79" s="3"/>
      <c r="L79" s="7">
        <f t="shared" si="22"/>
        <v>-206.43</v>
      </c>
      <c r="M79" s="3"/>
      <c r="N79" s="8">
        <f t="shared" si="23"/>
        <v>-0.68810000000000004</v>
      </c>
      <c r="O79" s="12"/>
      <c r="P79" s="7">
        <v>1285.33</v>
      </c>
      <c r="Q79" s="3"/>
      <c r="R79" s="8">
        <f t="shared" si="24"/>
        <v>5.9744855493266665E-4</v>
      </c>
      <c r="S79" s="3"/>
      <c r="T79" s="7">
        <v>3900</v>
      </c>
      <c r="U79" s="3"/>
      <c r="V79" s="8">
        <f t="shared" si="25"/>
        <v>8.3427492310766125E-4</v>
      </c>
      <c r="W79" s="3"/>
      <c r="X79" s="7">
        <f t="shared" si="26"/>
        <v>-2614.67</v>
      </c>
      <c r="Y79" s="3"/>
      <c r="Z79" s="8">
        <f t="shared" si="27"/>
        <v>-0.67042820512820511</v>
      </c>
    </row>
    <row r="80" spans="1:26" s="70" customFormat="1" ht="15" hidden="1" customHeight="1" outlineLevel="2" x14ac:dyDescent="0.3">
      <c r="A80" s="26"/>
      <c r="B80" s="12" t="str">
        <f>CONCATENATE("          ","6247"," - ","STORE SUPPLIES")</f>
        <v xml:space="preserve">          6247 - STORE SUPPLIES</v>
      </c>
      <c r="C80" s="12"/>
      <c r="D80" s="7">
        <v>188.54</v>
      </c>
      <c r="E80" s="3"/>
      <c r="F80" s="8">
        <f t="shared" si="20"/>
        <v>8.2348707072012976E-3</v>
      </c>
      <c r="G80" s="3"/>
      <c r="H80" s="7">
        <v>400</v>
      </c>
      <c r="I80" s="3"/>
      <c r="J80" s="8">
        <f t="shared" si="21"/>
        <v>2.0804077599209447E-2</v>
      </c>
      <c r="K80" s="3"/>
      <c r="L80" s="7">
        <f t="shared" si="22"/>
        <v>-211.46</v>
      </c>
      <c r="M80" s="3"/>
      <c r="N80" s="8">
        <f t="shared" si="23"/>
        <v>-0.52865000000000006</v>
      </c>
      <c r="O80" s="12"/>
      <c r="P80" s="7">
        <v>195.03</v>
      </c>
      <c r="Q80" s="3"/>
      <c r="R80" s="8">
        <f t="shared" si="24"/>
        <v>9.0654066791032642E-5</v>
      </c>
      <c r="S80" s="3"/>
      <c r="T80" s="7">
        <v>4100</v>
      </c>
      <c r="U80" s="3"/>
      <c r="V80" s="8">
        <f t="shared" si="25"/>
        <v>8.7705825249779774E-4</v>
      </c>
      <c r="W80" s="3"/>
      <c r="X80" s="7">
        <f t="shared" si="26"/>
        <v>-3904.97</v>
      </c>
      <c r="Y80" s="3"/>
      <c r="Z80" s="8">
        <f t="shared" si="27"/>
        <v>-0.95243170731707316</v>
      </c>
    </row>
    <row r="81" spans="1:26" s="69" customFormat="1" ht="15" customHeight="1" outlineLevel="1" collapsed="1" x14ac:dyDescent="0.3">
      <c r="A81" s="25"/>
      <c r="B81" s="14" t="str">
        <f>CONCATENATE("     ","Telephone/Data Lines                              ")</f>
        <v xml:space="preserve">     Telephone/Data Lines                              </v>
      </c>
      <c r="C81" s="14"/>
      <c r="D81" s="2">
        <f>SUM(OSRRefD22_12x_0)</f>
        <v>473.5</v>
      </c>
      <c r="E81" s="2"/>
      <c r="F81" s="6">
        <f t="shared" si="20"/>
        <v>2.0681082422084513E-2</v>
      </c>
      <c r="G81" s="2"/>
      <c r="H81" s="2">
        <f>SUM(OSRRefH22_12x_0)</f>
        <v>350</v>
      </c>
      <c r="I81" s="2"/>
      <c r="J81" s="6">
        <f t="shared" si="21"/>
        <v>1.8203567899308264E-2</v>
      </c>
      <c r="K81" s="2"/>
      <c r="L81" s="2">
        <f t="shared" si="22"/>
        <v>123.5</v>
      </c>
      <c r="M81" s="2"/>
      <c r="N81" s="6">
        <f t="shared" si="23"/>
        <v>0.35285714285714287</v>
      </c>
      <c r="O81" s="14"/>
      <c r="P81" s="2">
        <f>SUM(OSRRefP22_12x_0)</f>
        <v>4950.05</v>
      </c>
      <c r="Q81" s="2"/>
      <c r="R81" s="6">
        <f t="shared" si="24"/>
        <v>2.3008878804232744E-3</v>
      </c>
      <c r="S81" s="2"/>
      <c r="T81" s="2">
        <f>SUM(OSRRefT22_12x_0)</f>
        <v>3750</v>
      </c>
      <c r="U81" s="2"/>
      <c r="V81" s="6">
        <f t="shared" si="25"/>
        <v>8.0218742606505888E-4</v>
      </c>
      <c r="W81" s="2"/>
      <c r="X81" s="2">
        <f t="shared" si="26"/>
        <v>1200.0500000000002</v>
      </c>
      <c r="Y81" s="2"/>
      <c r="Z81" s="6">
        <f t="shared" si="27"/>
        <v>0.32001333333333337</v>
      </c>
    </row>
    <row r="82" spans="1:26" s="70" customFormat="1" ht="15" hidden="1" customHeight="1" outlineLevel="2" x14ac:dyDescent="0.3">
      <c r="A82" s="26"/>
      <c r="B82" s="12" t="str">
        <f>CONCATENATE("          ","6303"," - ","DATA PHONE LINES")</f>
        <v xml:space="preserve">          6303 - DATA PHONE LINES</v>
      </c>
      <c r="C82" s="12"/>
      <c r="D82" s="7"/>
      <c r="E82" s="3"/>
      <c r="F82" s="8">
        <f t="shared" si="20"/>
        <v>0</v>
      </c>
      <c r="G82" s="3"/>
      <c r="H82" s="7">
        <v>0</v>
      </c>
      <c r="I82" s="3"/>
      <c r="J82" s="8">
        <f t="shared" si="21"/>
        <v>0</v>
      </c>
      <c r="K82" s="3"/>
      <c r="L82" s="7">
        <f t="shared" si="22"/>
        <v>0</v>
      </c>
      <c r="M82" s="3"/>
      <c r="N82" s="8">
        <f t="shared" si="23"/>
        <v>0</v>
      </c>
      <c r="O82" s="12"/>
      <c r="P82" s="7">
        <v>295</v>
      </c>
      <c r="Q82" s="3"/>
      <c r="R82" s="8">
        <f t="shared" si="24"/>
        <v>1.3712223608344681E-4</v>
      </c>
      <c r="S82" s="3"/>
      <c r="T82" s="7">
        <v>0</v>
      </c>
      <c r="U82" s="3"/>
      <c r="V82" s="8">
        <f t="shared" si="25"/>
        <v>0</v>
      </c>
      <c r="W82" s="3"/>
      <c r="X82" s="7">
        <f t="shared" si="26"/>
        <v>295</v>
      </c>
      <c r="Y82" s="3"/>
      <c r="Z82" s="8">
        <f t="shared" si="27"/>
        <v>0</v>
      </c>
    </row>
    <row r="83" spans="1:26" s="70" customFormat="1" ht="15" hidden="1" customHeight="1" outlineLevel="2" x14ac:dyDescent="0.3">
      <c r="A83" s="26"/>
      <c r="B83" s="12" t="str">
        <f>CONCATENATE("          ","6309"," - ","TELEPHONE")</f>
        <v xml:space="preserve">          6309 - TELEPHONE</v>
      </c>
      <c r="C83" s="12"/>
      <c r="D83" s="7">
        <v>473.5</v>
      </c>
      <c r="E83" s="3"/>
      <c r="F83" s="8">
        <f t="shared" si="20"/>
        <v>2.0681082422084513E-2</v>
      </c>
      <c r="G83" s="3"/>
      <c r="H83" s="7">
        <v>350</v>
      </c>
      <c r="I83" s="3"/>
      <c r="J83" s="8">
        <f t="shared" si="21"/>
        <v>1.8203567899308264E-2</v>
      </c>
      <c r="K83" s="3"/>
      <c r="L83" s="7">
        <f t="shared" si="22"/>
        <v>123.5</v>
      </c>
      <c r="M83" s="3"/>
      <c r="N83" s="8">
        <f t="shared" si="23"/>
        <v>0.35285714285714287</v>
      </c>
      <c r="O83" s="12"/>
      <c r="P83" s="7">
        <v>4655.05</v>
      </c>
      <c r="Q83" s="3"/>
      <c r="R83" s="8">
        <f t="shared" si="24"/>
        <v>2.1637656443398274E-3</v>
      </c>
      <c r="S83" s="3"/>
      <c r="T83" s="7">
        <v>3750</v>
      </c>
      <c r="U83" s="3"/>
      <c r="V83" s="8">
        <f t="shared" si="25"/>
        <v>8.0218742606505888E-4</v>
      </c>
      <c r="W83" s="3"/>
      <c r="X83" s="7">
        <f t="shared" si="26"/>
        <v>905.05000000000018</v>
      </c>
      <c r="Y83" s="3"/>
      <c r="Z83" s="8">
        <f t="shared" si="27"/>
        <v>0.24134666666666671</v>
      </c>
    </row>
    <row r="84" spans="1:26" s="69" customFormat="1" ht="15" customHeight="1" outlineLevel="1" collapsed="1" x14ac:dyDescent="0.3">
      <c r="A84" s="25"/>
      <c r="B84" s="14" t="str">
        <f>CONCATENATE("     ","Training                                          ")</f>
        <v xml:space="preserve">     Training                                          </v>
      </c>
      <c r="C84" s="14"/>
      <c r="D84" s="2">
        <f>SUM(OSRRefD22_13x_0)</f>
        <v>0</v>
      </c>
      <c r="E84" s="2"/>
      <c r="F84" s="6">
        <f t="shared" si="20"/>
        <v>0</v>
      </c>
      <c r="G84" s="2"/>
      <c r="H84" s="2">
        <f>SUM(OSRRefH22_13x_0)</f>
        <v>0</v>
      </c>
      <c r="I84" s="2"/>
      <c r="J84" s="6">
        <f t="shared" si="21"/>
        <v>0</v>
      </c>
      <c r="K84" s="2"/>
      <c r="L84" s="2">
        <f t="shared" si="22"/>
        <v>0</v>
      </c>
      <c r="M84" s="2"/>
      <c r="N84" s="6">
        <f t="shared" si="23"/>
        <v>0</v>
      </c>
      <c r="O84" s="14"/>
      <c r="P84" s="2">
        <f>SUM(OSRRefP22_13x_0)</f>
        <v>0</v>
      </c>
      <c r="Q84" s="2"/>
      <c r="R84" s="6">
        <f t="shared" si="24"/>
        <v>0</v>
      </c>
      <c r="S84" s="2"/>
      <c r="T84" s="2">
        <f>SUM(OSRRefT22_13x_0)</f>
        <v>0</v>
      </c>
      <c r="U84" s="2"/>
      <c r="V84" s="6">
        <f t="shared" si="25"/>
        <v>0</v>
      </c>
      <c r="W84" s="2"/>
      <c r="X84" s="2">
        <f t="shared" si="26"/>
        <v>0</v>
      </c>
      <c r="Y84" s="2"/>
      <c r="Z84" s="6">
        <f t="shared" si="27"/>
        <v>0</v>
      </c>
    </row>
    <row r="85" spans="1:26" s="70" customFormat="1" ht="15" hidden="1" customHeight="1" outlineLevel="2" x14ac:dyDescent="0.3">
      <c r="A85" s="26"/>
      <c r="B85" s="12" t="str">
        <f>CONCATENATE("          ","6376"," - ","TRAINING")</f>
        <v xml:space="preserve">          6376 - TRAINING</v>
      </c>
      <c r="C85" s="12"/>
      <c r="D85" s="7"/>
      <c r="E85" s="3"/>
      <c r="F85" s="8">
        <f t="shared" si="20"/>
        <v>0</v>
      </c>
      <c r="G85" s="3"/>
      <c r="H85" s="7">
        <v>0</v>
      </c>
      <c r="I85" s="3"/>
      <c r="J85" s="8">
        <f t="shared" si="21"/>
        <v>0</v>
      </c>
      <c r="K85" s="3"/>
      <c r="L85" s="7">
        <f t="shared" si="22"/>
        <v>0</v>
      </c>
      <c r="M85" s="3"/>
      <c r="N85" s="8">
        <f t="shared" si="23"/>
        <v>0</v>
      </c>
      <c r="O85" s="12"/>
      <c r="P85" s="7"/>
      <c r="Q85" s="3"/>
      <c r="R85" s="8">
        <f t="shared" si="24"/>
        <v>0</v>
      </c>
      <c r="S85" s="3"/>
      <c r="T85" s="7">
        <v>0</v>
      </c>
      <c r="U85" s="3"/>
      <c r="V85" s="8">
        <f t="shared" si="25"/>
        <v>0</v>
      </c>
      <c r="W85" s="3"/>
      <c r="X85" s="7">
        <f t="shared" si="26"/>
        <v>0</v>
      </c>
      <c r="Y85" s="3"/>
      <c r="Z85" s="8">
        <f t="shared" si="27"/>
        <v>0</v>
      </c>
    </row>
    <row r="86" spans="1:26" s="65" customFormat="1" ht="15" customHeight="1" x14ac:dyDescent="0.3">
      <c r="A86" s="35"/>
      <c r="B86" s="35"/>
      <c r="C86" s="35"/>
      <c r="D86" s="2"/>
      <c r="E86" s="2"/>
      <c r="F86" s="6"/>
      <c r="G86" s="2"/>
      <c r="H86" s="2"/>
      <c r="I86" s="2"/>
      <c r="J86" s="6"/>
      <c r="K86" s="2"/>
      <c r="L86" s="2"/>
      <c r="M86" s="2"/>
      <c r="N86" s="6"/>
      <c r="O86" s="35"/>
      <c r="P86" s="2"/>
      <c r="Q86" s="2"/>
      <c r="R86" s="6"/>
      <c r="S86" s="2"/>
      <c r="T86" s="2"/>
      <c r="U86" s="2"/>
      <c r="V86" s="6"/>
      <c r="W86" s="2"/>
      <c r="X86" s="2"/>
      <c r="Y86" s="2"/>
      <c r="Z86" s="6"/>
    </row>
    <row r="87" spans="1:26" s="63" customFormat="1" ht="15" customHeight="1" collapsed="1" x14ac:dyDescent="0.3">
      <c r="A87" s="11"/>
      <c r="B87" s="28" t="s">
        <v>291</v>
      </c>
      <c r="C87" s="11"/>
      <c r="D87" s="5">
        <f>SUM(OSRRefD25x_0)</f>
        <v>516.89</v>
      </c>
      <c r="E87" s="5"/>
      <c r="F87" s="13">
        <f>IF(D$12=0,0,D87/D$12)</f>
        <v>2.2576229552589786E-2</v>
      </c>
      <c r="G87" s="5"/>
      <c r="H87" s="5">
        <f>SUM(OSRRefH25x_0)</f>
        <v>459</v>
      </c>
      <c r="I87" s="5"/>
      <c r="J87" s="13">
        <f>IF(H$12=0,0,H87/H$12)</f>
        <v>2.3872679045092837E-2</v>
      </c>
      <c r="K87" s="5"/>
      <c r="L87" s="5">
        <f>+D87-H87</f>
        <v>57.889999999999986</v>
      </c>
      <c r="M87" s="5"/>
      <c r="N87" s="13">
        <f>IF(H87=0,0,L87/H87)</f>
        <v>0.12612200435729845</v>
      </c>
      <c r="O87" s="11"/>
      <c r="P87" s="5">
        <f>SUM(OSRRefP25x_0)</f>
        <v>350404.44000000006</v>
      </c>
      <c r="Q87" s="5"/>
      <c r="R87" s="13">
        <f>IF(P$12=0,0,P87/P$12)</f>
        <v>0.16287539100463722</v>
      </c>
      <c r="S87" s="5"/>
      <c r="T87" s="5">
        <f>SUM(OSRRefT25x_0)</f>
        <v>360101.23</v>
      </c>
      <c r="U87" s="5"/>
      <c r="V87" s="13">
        <f>IF(T$12=0,0,T87/T$12)</f>
        <v>7.7031647684416463E-2</v>
      </c>
      <c r="W87" s="5"/>
      <c r="X87" s="5">
        <f>+P87-T87</f>
        <v>-9696.7899999999208</v>
      </c>
      <c r="Y87" s="5"/>
      <c r="Z87" s="13">
        <f>IF(T87=0,0,X87/T87)</f>
        <v>-2.6927955786210232E-2</v>
      </c>
    </row>
    <row r="88" spans="1:26" s="70" customFormat="1" ht="15" hidden="1" customHeight="1" outlineLevel="1" x14ac:dyDescent="0.3">
      <c r="A88" s="42"/>
      <c r="B88" s="12" t="str">
        <f>CONCATENATE("          ","9150"," - ","MISC. INCOME")</f>
        <v xml:space="preserve">          9150 - MISC. INCOME</v>
      </c>
      <c r="C88" s="12"/>
      <c r="D88" s="3">
        <f>0</f>
        <v>0</v>
      </c>
      <c r="E88" s="3"/>
      <c r="F88" s="20">
        <f>IF(D$12=0,0,D88/D$12)</f>
        <v>0</v>
      </c>
      <c r="G88" s="3"/>
      <c r="H88" s="3">
        <v>459</v>
      </c>
      <c r="I88" s="3"/>
      <c r="J88" s="20">
        <f>IF(H$12=0,0,H88/H$12)</f>
        <v>2.3872679045092837E-2</v>
      </c>
      <c r="K88" s="3"/>
      <c r="L88" s="3">
        <f>+D88-H88</f>
        <v>-459</v>
      </c>
      <c r="M88" s="3"/>
      <c r="N88" s="20">
        <f>IF(H88=0,0,L88/H88)</f>
        <v>-1</v>
      </c>
      <c r="O88" s="12"/>
      <c r="P88" s="3">
        <f>--22258.22</f>
        <v>22258.22</v>
      </c>
      <c r="Q88" s="3"/>
      <c r="R88" s="20">
        <f>IF(P$12=0,0,P88/P$12)</f>
        <v>1.0346091178431518E-2</v>
      </c>
      <c r="S88" s="3"/>
      <c r="T88" s="3">
        <v>32239</v>
      </c>
      <c r="U88" s="3"/>
      <c r="V88" s="20">
        <f>IF(T$12=0,0,T88/T$12)</f>
        <v>6.8964587810430491E-3</v>
      </c>
      <c r="W88" s="3"/>
      <c r="X88" s="3">
        <f>+P88-T88</f>
        <v>-9980.7799999999988</v>
      </c>
      <c r="Y88" s="3"/>
      <c r="Z88" s="20">
        <f>IF(T88=0,0,X88/T88)</f>
        <v>-0.30958714600328791</v>
      </c>
    </row>
    <row r="89" spans="1:26" s="70" customFormat="1" ht="15" hidden="1" customHeight="1" outlineLevel="1" x14ac:dyDescent="0.3">
      <c r="A89" s="42"/>
      <c r="B89" s="12" t="str">
        <f>CONCATENATE("          ","9151"," - ","MISC. INCOME")</f>
        <v xml:space="preserve">          9151 - MISC. INCOME</v>
      </c>
      <c r="C89" s="12"/>
      <c r="D89" s="3">
        <f>0</f>
        <v>0</v>
      </c>
      <c r="E89" s="3"/>
      <c r="F89" s="20">
        <f>IF(D$12=0,0,D89/D$12)</f>
        <v>0</v>
      </c>
      <c r="G89" s="3"/>
      <c r="H89" s="3"/>
      <c r="I89" s="3"/>
      <c r="J89" s="20">
        <f>IF(H$12=0,0,H89/H$12)</f>
        <v>0</v>
      </c>
      <c r="K89" s="3"/>
      <c r="L89" s="3">
        <f>+D89-H89</f>
        <v>0</v>
      </c>
      <c r="M89" s="3"/>
      <c r="N89" s="20">
        <f>IF(H89=0,0,L89/H89)</f>
        <v>0</v>
      </c>
      <c r="O89" s="12"/>
      <c r="P89" s="3">
        <f>--323761.7</f>
        <v>323761.7</v>
      </c>
      <c r="Q89" s="3"/>
      <c r="R89" s="20">
        <f>IF(P$12=0,0,P89/P$12)</f>
        <v>0.15049128224467145</v>
      </c>
      <c r="S89" s="3"/>
      <c r="T89" s="3">
        <v>327862.23</v>
      </c>
      <c r="U89" s="3"/>
      <c r="V89" s="20">
        <f>IF(T$12=0,0,T89/T$12)</f>
        <v>7.0135188903373419E-2</v>
      </c>
      <c r="W89" s="3"/>
      <c r="X89" s="3">
        <f>+P89-T89</f>
        <v>-4100.5299999999697</v>
      </c>
      <c r="Y89" s="3"/>
      <c r="Z89" s="20">
        <f>IF(T89=0,0,X89/T89)</f>
        <v>-1.2506869119995828E-2</v>
      </c>
    </row>
    <row r="90" spans="1:26" s="70" customFormat="1" ht="15" hidden="1" customHeight="1" outlineLevel="1" x14ac:dyDescent="0.3">
      <c r="A90" s="42"/>
      <c r="B90" s="12" t="str">
        <f>CONCATENATE("          ","9152"," - ","MISC. INCOME")</f>
        <v xml:space="preserve">          9152 - MISC. INCOME</v>
      </c>
      <c r="C90" s="12"/>
      <c r="D90" s="3">
        <f>--516.89</f>
        <v>516.89</v>
      </c>
      <c r="E90" s="3"/>
      <c r="F90" s="20">
        <f>IF(D$12=0,0,D90/D$12)</f>
        <v>2.2576229552589786E-2</v>
      </c>
      <c r="G90" s="3"/>
      <c r="H90" s="3"/>
      <c r="I90" s="3"/>
      <c r="J90" s="20">
        <f>IF(H$12=0,0,H90/H$12)</f>
        <v>0</v>
      </c>
      <c r="K90" s="3"/>
      <c r="L90" s="3">
        <f>+D90-H90</f>
        <v>516.89</v>
      </c>
      <c r="M90" s="3"/>
      <c r="N90" s="20">
        <f>IF(H90=0,0,L90/H90)</f>
        <v>0</v>
      </c>
      <c r="O90" s="12"/>
      <c r="P90" s="3">
        <f>--4384.52</f>
        <v>4384.5200000000004</v>
      </c>
      <c r="Q90" s="3"/>
      <c r="R90" s="20">
        <f>IF(P$12=0,0,P90/P$12)</f>
        <v>2.038017581534218E-3</v>
      </c>
      <c r="S90" s="3"/>
      <c r="T90" s="3"/>
      <c r="U90" s="3"/>
      <c r="V90" s="20">
        <f>IF(T$12=0,0,T90/T$12)</f>
        <v>0</v>
      </c>
      <c r="W90" s="3"/>
      <c r="X90" s="3">
        <f>+P90-T90</f>
        <v>4384.5200000000004</v>
      </c>
      <c r="Y90" s="3"/>
      <c r="Z90" s="20">
        <f>IF(T90=0,0,X90/T90)</f>
        <v>0</v>
      </c>
    </row>
    <row r="91" spans="1:26" s="70" customFormat="1" ht="15" hidden="1" customHeight="1" outlineLevel="1" x14ac:dyDescent="0.3">
      <c r="A91" s="42"/>
      <c r="B91" s="12" t="str">
        <f>CONCATENATE("          ","9160"," - ","MISC. INCOME")</f>
        <v xml:space="preserve">          9160 - MISC. INCOME</v>
      </c>
      <c r="C91" s="12"/>
      <c r="D91" s="3">
        <f>0</f>
        <v>0</v>
      </c>
      <c r="E91" s="3"/>
      <c r="F91" s="20">
        <f>IF(D$12=0,0,D91/D$12)</f>
        <v>0</v>
      </c>
      <c r="G91" s="3"/>
      <c r="H91" s="3">
        <v>0</v>
      </c>
      <c r="I91" s="3"/>
      <c r="J91" s="20">
        <f>IF(H$12=0,0,H91/H$12)</f>
        <v>0</v>
      </c>
      <c r="K91" s="3"/>
      <c r="L91" s="3">
        <f>+D91-H91</f>
        <v>0</v>
      </c>
      <c r="M91" s="3"/>
      <c r="N91" s="20">
        <f>IF(H91=0,0,L91/H91)</f>
        <v>0</v>
      </c>
      <c r="O91" s="12"/>
      <c r="P91" s="3">
        <f>0</f>
        <v>0</v>
      </c>
      <c r="Q91" s="3"/>
      <c r="R91" s="20">
        <f>IF(P$12=0,0,P91/P$12)</f>
        <v>0</v>
      </c>
      <c r="S91" s="3"/>
      <c r="T91" s="3">
        <v>0</v>
      </c>
      <c r="U91" s="3"/>
      <c r="V91" s="20">
        <f>IF(T$12=0,0,T91/T$12)</f>
        <v>0</v>
      </c>
      <c r="W91" s="3"/>
      <c r="X91" s="3">
        <f>+P91-T91</f>
        <v>0</v>
      </c>
      <c r="Y91" s="3"/>
      <c r="Z91" s="20">
        <f>IF(T91=0,0,X91/T91)</f>
        <v>0</v>
      </c>
    </row>
    <row r="92" spans="1:26" ht="15" customHeight="1" x14ac:dyDescent="0.3">
      <c r="A92" s="10"/>
      <c r="B92" s="11"/>
      <c r="C92" s="11"/>
      <c r="D92" s="4"/>
      <c r="E92" s="4"/>
      <c r="F92" s="9"/>
      <c r="G92" s="4"/>
      <c r="H92" s="4"/>
      <c r="I92" s="4"/>
      <c r="J92" s="9"/>
      <c r="K92" s="4"/>
      <c r="L92" s="4"/>
      <c r="M92" s="4"/>
      <c r="N92" s="9"/>
      <c r="O92" s="11"/>
      <c r="P92" s="4"/>
      <c r="Q92" s="4"/>
      <c r="R92" s="9"/>
      <c r="S92" s="4"/>
      <c r="T92" s="4"/>
      <c r="U92" s="4"/>
      <c r="V92" s="9"/>
      <c r="W92" s="4"/>
      <c r="X92" s="4"/>
      <c r="Y92" s="4"/>
      <c r="Z92" s="9"/>
    </row>
    <row r="93" spans="1:26" s="63" customFormat="1" ht="15" customHeight="1" x14ac:dyDescent="0.3">
      <c r="A93" s="11"/>
      <c r="B93" s="27" t="s">
        <v>292</v>
      </c>
      <c r="C93" s="27"/>
      <c r="D93" s="21">
        <f>+D31-D33+D87</f>
        <v>-29422.199999999979</v>
      </c>
      <c r="E93" s="15"/>
      <c r="F93" s="23">
        <f>IF(D$12=0,0,D93/D$12)</f>
        <v>-1.2850748537255641</v>
      </c>
      <c r="G93" s="15"/>
      <c r="H93" s="21">
        <f>+H31-H33+H87</f>
        <v>-39694.229754989719</v>
      </c>
      <c r="I93" s="15"/>
      <c r="J93" s="23">
        <f>IF(H$12=0,0,H93/H$12)</f>
        <v>-2.0645045901591366</v>
      </c>
      <c r="K93" s="16"/>
      <c r="L93" s="21">
        <f>+D93-H93</f>
        <v>10272.02975498974</v>
      </c>
      <c r="M93" s="16"/>
      <c r="N93" s="23">
        <f>IF(H93=0,0,L93/H93)</f>
        <v>-0.25877891618991566</v>
      </c>
      <c r="O93" s="28"/>
      <c r="P93" s="21">
        <f>+P31-P33+P87</f>
        <v>449526.64000000042</v>
      </c>
      <c r="Q93" s="15"/>
      <c r="R93" s="23">
        <f>IF(P$12=0,0,P93/P$12)</f>
        <v>0.2089494849351819</v>
      </c>
      <c r="S93" s="15"/>
      <c r="T93" s="21">
        <f>+T31-T33+T87</f>
        <v>1157647.9323863497</v>
      </c>
      <c r="U93" s="15"/>
      <c r="V93" s="23">
        <f>IF(T$12=0,0,T93/T$12)</f>
        <v>0.24764016404547817</v>
      </c>
      <c r="W93" s="16"/>
      <c r="X93" s="21">
        <f>+P93-T93</f>
        <v>-708121.29238634929</v>
      </c>
      <c r="Y93" s="16"/>
      <c r="Z93" s="23">
        <f>IF(T93=0,0,X93/T93)</f>
        <v>-0.61168967919861772</v>
      </c>
    </row>
    <row r="94" spans="1:26" ht="15" customHeight="1" x14ac:dyDescent="0.3">
      <c r="A94" s="10"/>
      <c r="B94" s="11"/>
      <c r="C94" s="10"/>
      <c r="D94" s="4"/>
      <c r="E94" s="4"/>
      <c r="F94" s="9"/>
      <c r="G94" s="4"/>
      <c r="H94" s="4"/>
      <c r="I94" s="4"/>
      <c r="J94" s="9"/>
      <c r="K94" s="4"/>
      <c r="L94" s="4"/>
      <c r="M94" s="4"/>
      <c r="N94" s="9"/>
      <c r="P94" s="4"/>
      <c r="Q94" s="4"/>
      <c r="R94" s="9"/>
      <c r="S94" s="4"/>
      <c r="T94" s="4"/>
      <c r="U94" s="4"/>
      <c r="V94" s="9"/>
      <c r="W94" s="4"/>
      <c r="X94" s="4"/>
      <c r="Y94" s="4"/>
      <c r="Z94" s="9"/>
    </row>
    <row r="95" spans="1:26" s="63" customFormat="1" ht="15" customHeight="1" x14ac:dyDescent="0.3">
      <c r="A95" s="49"/>
      <c r="B95" s="11" t="s">
        <v>293</v>
      </c>
      <c r="C95" s="11"/>
      <c r="D95" s="5">
        <v>-8921.2099999999991</v>
      </c>
      <c r="E95" s="5"/>
      <c r="F95" s="13">
        <f>IF(D$12=0,0,D95/D$12)</f>
        <v>-0.38965212104482483</v>
      </c>
      <c r="G95" s="5"/>
      <c r="H95" s="5">
        <v>171</v>
      </c>
      <c r="I95" s="5"/>
      <c r="J95" s="13">
        <f>IF(H$12=0,0,H95/H$12)</f>
        <v>8.893743173662037E-3</v>
      </c>
      <c r="K95" s="5"/>
      <c r="L95" s="5">
        <f>+D95-H95</f>
        <v>-9092.2099999999991</v>
      </c>
      <c r="M95" s="5"/>
      <c r="N95" s="13">
        <f>IF(H95=0,0,L95/H95)</f>
        <v>-53.170818713450288</v>
      </c>
      <c r="O95" s="11"/>
      <c r="P95" s="5">
        <v>256760.15</v>
      </c>
      <c r="Q95" s="5"/>
      <c r="R95" s="13">
        <f>IF(P$12=0,0,P95/P$12)</f>
        <v>0.11934754544108886</v>
      </c>
      <c r="S95" s="5"/>
      <c r="T95" s="5">
        <v>569293</v>
      </c>
      <c r="U95" s="5"/>
      <c r="V95" s="13">
        <f>IF(T$12=0,0,T95/T$12)</f>
        <v>0.12178124969249482</v>
      </c>
      <c r="W95" s="5"/>
      <c r="X95" s="5">
        <f>+P95-T95</f>
        <v>-312532.84999999998</v>
      </c>
      <c r="Y95" s="5"/>
      <c r="Z95" s="13">
        <f>IF(T95=0,0,X95/T95)</f>
        <v>-0.54898417862155335</v>
      </c>
    </row>
    <row r="96" spans="1:26" ht="15" customHeight="1" x14ac:dyDescent="0.3">
      <c r="A96" s="10"/>
      <c r="B96" s="11"/>
      <c r="C96" s="11"/>
      <c r="D96" s="4"/>
      <c r="E96" s="4"/>
      <c r="F96" s="9"/>
      <c r="G96" s="4"/>
      <c r="H96" s="4"/>
      <c r="I96" s="4"/>
      <c r="J96" s="9"/>
      <c r="K96" s="4"/>
      <c r="L96" s="4"/>
      <c r="M96" s="4"/>
      <c r="N96" s="9"/>
      <c r="O96" s="11"/>
      <c r="P96" s="4"/>
      <c r="Q96" s="4"/>
      <c r="R96" s="9"/>
      <c r="S96" s="4"/>
      <c r="T96" s="4"/>
      <c r="U96" s="4"/>
      <c r="V96" s="9"/>
      <c r="W96" s="4"/>
      <c r="X96" s="4"/>
      <c r="Y96" s="4"/>
      <c r="Z96" s="9"/>
    </row>
    <row r="97" spans="1:26" s="63" customFormat="1" ht="15" customHeight="1" x14ac:dyDescent="0.3">
      <c r="A97" s="11"/>
      <c r="B97" s="27" t="s">
        <v>294</v>
      </c>
      <c r="C97" s="27"/>
      <c r="D97" s="34">
        <f>+D93-D95</f>
        <v>-20500.98999999998</v>
      </c>
      <c r="E97" s="15"/>
      <c r="F97" s="29">
        <f>IF(D$12=0,0,D97/D$12)</f>
        <v>-0.89542273268073913</v>
      </c>
      <c r="G97" s="15"/>
      <c r="H97" s="34">
        <f>+H93-H95</f>
        <v>-39865.229754989719</v>
      </c>
      <c r="I97" s="15"/>
      <c r="J97" s="29">
        <f>IF(H$12=0,0,H97/H$12)</f>
        <v>-2.0733983333327988</v>
      </c>
      <c r="K97" s="16"/>
      <c r="L97" s="34">
        <f>D97-H97</f>
        <v>19364.23975498974</v>
      </c>
      <c r="M97" s="16"/>
      <c r="N97" s="29">
        <f>IF(H97=0,0,L97/H97)</f>
        <v>-0.48574258505473733</v>
      </c>
      <c r="O97" s="28"/>
      <c r="P97" s="34">
        <f>+P93-P95</f>
        <v>192766.49000000043</v>
      </c>
      <c r="Q97" s="15"/>
      <c r="R97" s="29">
        <f>IF(P$12=0,0,P97/P$12)</f>
        <v>8.9601939494093036E-2</v>
      </c>
      <c r="S97" s="15"/>
      <c r="T97" s="34">
        <f>+T93-T95</f>
        <v>588354.93238634965</v>
      </c>
      <c r="U97" s="15"/>
      <c r="V97" s="29">
        <f>IF(T$12=0,0,T97/T$12)</f>
        <v>0.12585891435298335</v>
      </c>
      <c r="W97" s="16"/>
      <c r="X97" s="34">
        <f>P97-T97</f>
        <v>-395588.4423863492</v>
      </c>
      <c r="Y97" s="16"/>
      <c r="Z97" s="29">
        <f>IF(T97=0,0,X97/T97)</f>
        <v>-0.6723636033471404</v>
      </c>
    </row>
    <row r="98" spans="1:26" ht="15" customHeight="1" x14ac:dyDescent="0.3">
      <c r="A98" s="10"/>
      <c r="B98" s="10"/>
      <c r="C98" s="10"/>
      <c r="D98" s="4"/>
      <c r="E98" s="4"/>
      <c r="F98" s="9"/>
      <c r="G98" s="4"/>
      <c r="H98" s="4"/>
      <c r="I98" s="4"/>
      <c r="J98" s="9"/>
      <c r="K98" s="4"/>
      <c r="L98" s="4"/>
      <c r="M98" s="4"/>
      <c r="N98" s="9"/>
      <c r="P98" s="4"/>
      <c r="Q98" s="4"/>
      <c r="R98" s="9"/>
      <c r="S98" s="4"/>
      <c r="T98" s="4"/>
      <c r="U98" s="4"/>
      <c r="V98" s="9"/>
      <c r="W98" s="4"/>
      <c r="X98" s="4"/>
      <c r="Y98" s="4"/>
      <c r="Z98" s="9"/>
    </row>
    <row r="99" spans="1:26" ht="15" customHeight="1" x14ac:dyDescent="0.3">
      <c r="A99" s="10"/>
      <c r="B99" s="10"/>
      <c r="C99" s="10"/>
      <c r="D99" s="4"/>
      <c r="E99" s="4"/>
      <c r="F99" s="9"/>
      <c r="G99" s="4"/>
      <c r="H99" s="4"/>
      <c r="I99" s="4"/>
      <c r="J99" s="9"/>
      <c r="K99" s="4"/>
      <c r="L99" s="4"/>
      <c r="M99" s="4"/>
      <c r="N99" s="9"/>
      <c r="P99" s="4"/>
      <c r="Q99" s="4"/>
      <c r="R99" s="9"/>
      <c r="S99" s="4"/>
      <c r="T99" s="4"/>
      <c r="U99" s="4"/>
      <c r="V99" s="9"/>
      <c r="W99" s="4"/>
      <c r="X99" s="4"/>
      <c r="Y99" s="4"/>
      <c r="Z99" s="9"/>
    </row>
    <row r="100" spans="1:26" s="63" customFormat="1" ht="15" customHeight="1" x14ac:dyDescent="0.3">
      <c r="A100" s="11"/>
      <c r="B100" s="27" t="s">
        <v>297</v>
      </c>
      <c r="C100" s="27"/>
      <c r="D100" s="32">
        <f>SUM(D97:D99)</f>
        <v>-20500.98999999998</v>
      </c>
      <c r="E100" s="15"/>
      <c r="F100" s="31">
        <f>IF(D$12=0,0,D100/D$12)</f>
        <v>-0.89542273268073913</v>
      </c>
      <c r="G100" s="15"/>
      <c r="H100" s="32">
        <f>SUM(H97:H99)</f>
        <v>-39865.229754989719</v>
      </c>
      <c r="I100" s="15"/>
      <c r="J100" s="31">
        <f>IF(H$12=0,0,H100/H$12)</f>
        <v>-2.0733983333327988</v>
      </c>
      <c r="K100" s="16"/>
      <c r="L100" s="32">
        <f>+D100-H100</f>
        <v>19364.23975498974</v>
      </c>
      <c r="M100" s="16"/>
      <c r="N100" s="31">
        <f>IF(H100=0,0,L100/H100)</f>
        <v>-0.48574258505473733</v>
      </c>
      <c r="O100" s="28"/>
      <c r="P100" s="32">
        <f>SUM(P97:P99)</f>
        <v>192766.49000000043</v>
      </c>
      <c r="Q100" s="15"/>
      <c r="R100" s="31">
        <f>IF(P$12=0,0,P100/P$12)</f>
        <v>8.9601939494093036E-2</v>
      </c>
      <c r="S100" s="15"/>
      <c r="T100" s="32">
        <f>SUM(T97:T99)</f>
        <v>588354.93238634965</v>
      </c>
      <c r="U100" s="15"/>
      <c r="V100" s="31">
        <f>IF(T$12=0,0,T100/T$12)</f>
        <v>0.12585891435298335</v>
      </c>
      <c r="W100" s="16"/>
      <c r="X100" s="32">
        <f>+P100-T100</f>
        <v>-395588.4423863492</v>
      </c>
      <c r="Y100" s="16"/>
      <c r="Z100" s="31">
        <f>IF(T100=0,0,X100/T100)</f>
        <v>-0.6723636033471404</v>
      </c>
    </row>
    <row r="101" spans="1:26" ht="15" customHeight="1" x14ac:dyDescent="0.3">
      <c r="A101" s="10"/>
      <c r="C101" s="10"/>
      <c r="D101" s="19"/>
      <c r="E101" s="19"/>
      <c r="G101" s="19"/>
      <c r="H101" s="19"/>
      <c r="I101" s="19"/>
      <c r="J101" s="40"/>
      <c r="K101" s="19"/>
      <c r="L101" s="19"/>
      <c r="M101" s="19"/>
      <c r="P101" s="19"/>
      <c r="Q101" s="19"/>
      <c r="R101" s="40"/>
      <c r="S101" s="19"/>
      <c r="T101" s="19"/>
      <c r="U101" s="19"/>
      <c r="V101" s="40"/>
      <c r="W101" s="19"/>
      <c r="X101" s="19"/>
    </row>
    <row r="102" spans="1:26" ht="15" customHeight="1" x14ac:dyDescent="0.3">
      <c r="A102" s="10"/>
      <c r="B102" s="51">
        <v>44663.047643483798</v>
      </c>
      <c r="D102" s="19"/>
      <c r="E102" s="19"/>
      <c r="G102" s="19"/>
      <c r="H102" s="19"/>
      <c r="I102" s="19"/>
      <c r="J102" s="40"/>
      <c r="K102" s="19"/>
      <c r="L102" s="19"/>
      <c r="M102" s="19"/>
      <c r="P102" s="19"/>
      <c r="Q102" s="19"/>
      <c r="R102" s="40"/>
      <c r="S102" s="19"/>
      <c r="T102" s="19"/>
      <c r="U102" s="19"/>
      <c r="V102" s="40"/>
      <c r="W102" s="19"/>
      <c r="X102" s="19"/>
    </row>
    <row r="103" spans="1:26" ht="15" customHeight="1" x14ac:dyDescent="0.3">
      <c r="A103" s="10"/>
      <c r="B103" s="58" t="s">
        <v>298</v>
      </c>
      <c r="D103" s="19"/>
      <c r="E103" s="19"/>
      <c r="G103" s="19"/>
      <c r="H103" s="19"/>
      <c r="I103" s="19"/>
      <c r="J103" s="40"/>
      <c r="K103" s="19"/>
      <c r="L103" s="19"/>
      <c r="M103" s="19"/>
      <c r="P103" s="19"/>
      <c r="Q103" s="19"/>
      <c r="R103" s="40"/>
      <c r="S103" s="19"/>
      <c r="T103" s="19"/>
      <c r="U103" s="19"/>
      <c r="V103" s="40"/>
      <c r="W103" s="19"/>
      <c r="X103" s="19"/>
    </row>
    <row r="104" spans="1:26" ht="15" customHeight="1" x14ac:dyDescent="0.3">
      <c r="A104" s="10"/>
      <c r="B104" s="50"/>
      <c r="D104" s="19"/>
      <c r="E104" s="19"/>
      <c r="G104" s="19"/>
      <c r="H104" s="19"/>
      <c r="I104" s="19"/>
      <c r="J104" s="40"/>
      <c r="K104" s="19"/>
      <c r="L104" s="19"/>
      <c r="M104" s="19"/>
      <c r="P104" s="19"/>
      <c r="Q104" s="19"/>
      <c r="R104" s="40"/>
      <c r="S104" s="19"/>
      <c r="T104" s="19"/>
      <c r="U104" s="19"/>
      <c r="V104" s="40"/>
      <c r="W104" s="19"/>
      <c r="X104" s="19"/>
    </row>
    <row r="105" spans="1:26" ht="15" customHeight="1" x14ac:dyDescent="0.3">
      <c r="D105" s="19"/>
      <c r="E105" s="19"/>
      <c r="G105" s="19"/>
      <c r="H105" s="19"/>
      <c r="I105" s="19"/>
      <c r="J105" s="40"/>
      <c r="K105" s="19"/>
      <c r="L105" s="19"/>
      <c r="M105" s="19"/>
      <c r="P105" s="19"/>
      <c r="Q105" s="19"/>
      <c r="R105" s="40"/>
      <c r="S105" s="19"/>
      <c r="T105" s="19"/>
      <c r="U105" s="19"/>
      <c r="V105" s="40"/>
      <c r="W105" s="19"/>
      <c r="X105" s="19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0DE4E2-3DEC-C36F-9E24-2929A328E9CB}">
  <sheetPr>
    <tabColor rgb="FF92D050"/>
    <outlinePr summaryBelow="0" summaryRight="0"/>
  </sheetPr>
  <dimension ref="A2:Z105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6" customWidth="1"/>
    <col min="2" max="2" width="33.44140625" style="66" customWidth="1"/>
    <col min="3" max="3" width="1.88671875" style="66" customWidth="1"/>
    <col min="4" max="4" width="15" style="66" customWidth="1"/>
    <col min="5" max="5" width="1.88671875" style="66" customWidth="1" outlineLevel="1"/>
    <col min="6" max="6" width="15" style="67" customWidth="1" outlineLevel="1"/>
    <col min="7" max="7" width="1.88671875" style="66" customWidth="1" outlineLevel="1"/>
    <col min="8" max="8" width="15" style="66" customWidth="1" outlineLevel="1"/>
    <col min="9" max="9" width="1.88671875" style="66" customWidth="1" outlineLevel="1"/>
    <col min="10" max="10" width="15" style="68" customWidth="1" outlineLevel="1"/>
    <col min="11" max="11" width="1.88671875" style="66" customWidth="1" outlineLevel="1"/>
    <col min="12" max="12" width="15" style="66" customWidth="1" outlineLevel="1"/>
    <col min="13" max="13" width="1.88671875" style="66" customWidth="1" outlineLevel="1"/>
    <col min="14" max="14" width="15" style="67" customWidth="1" outlineLevel="1"/>
    <col min="15" max="15" width="1.88671875" style="64" customWidth="1"/>
    <col min="16" max="16" width="15" style="66" customWidth="1"/>
    <col min="17" max="17" width="1.88671875" style="66" customWidth="1" outlineLevel="1"/>
    <col min="18" max="18" width="15" style="68" customWidth="1" outlineLevel="1"/>
    <col min="19" max="19" width="1.88671875" style="66" customWidth="1" outlineLevel="1"/>
    <col min="20" max="20" width="15" style="66" customWidth="1" outlineLevel="1"/>
    <col min="21" max="21" width="1.88671875" style="66" customWidth="1" outlineLevel="1"/>
    <col min="22" max="22" width="15" style="68" customWidth="1" outlineLevel="1"/>
    <col min="23" max="23" width="1.88671875" style="66" customWidth="1" outlineLevel="1"/>
    <col min="24" max="24" width="15" style="66" customWidth="1" outlineLevel="1"/>
    <col min="25" max="25" width="1.88671875" style="66" customWidth="1" outlineLevel="1"/>
    <col min="26" max="26" width="15" style="68" customWidth="1" outlineLevel="1"/>
  </cols>
  <sheetData>
    <row r="2" spans="1:26" ht="15" customHeight="1" x14ac:dyDescent="0.3">
      <c r="D2" s="54" t="s">
        <v>276</v>
      </c>
    </row>
    <row r="3" spans="1:26" ht="15" customHeight="1" x14ac:dyDescent="0.3">
      <c r="D3" s="54" t="s">
        <v>277</v>
      </c>
      <c r="E3" s="18"/>
      <c r="F3" s="44"/>
      <c r="G3" s="18"/>
      <c r="H3" s="18"/>
      <c r="I3" s="18"/>
      <c r="J3" s="38"/>
      <c r="K3" s="18"/>
      <c r="L3" s="18"/>
      <c r="M3" s="18"/>
      <c r="N3" s="44"/>
      <c r="O3" s="53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ht="15" customHeight="1" x14ac:dyDescent="0.3">
      <c r="D4" s="54" t="str">
        <f>CONCATENATE("Period ",RIGHT(202209,2),", ",2022)</f>
        <v>Period 09, 2022</v>
      </c>
      <c r="E4" s="18"/>
      <c r="F4" s="44"/>
      <c r="G4" s="18"/>
      <c r="H4" s="18"/>
      <c r="I4" s="18"/>
      <c r="J4" s="38"/>
      <c r="K4" s="18"/>
      <c r="L4" s="18"/>
      <c r="M4" s="18"/>
      <c r="N4" s="44"/>
      <c r="O4" s="53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ht="15" customHeight="1" x14ac:dyDescent="0.3">
      <c r="A5" s="24"/>
      <c r="D5" s="60">
        <v>44646</v>
      </c>
      <c r="E5" s="18"/>
      <c r="F5" s="44"/>
      <c r="G5" s="18"/>
      <c r="H5" s="18"/>
      <c r="I5" s="18"/>
      <c r="J5" s="38"/>
      <c r="K5" s="18"/>
      <c r="L5" s="18"/>
      <c r="M5" s="18"/>
      <c r="N5" s="44"/>
      <c r="O5" s="53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ht="15" customHeight="1" x14ac:dyDescent="0.3">
      <c r="A6" s="24"/>
      <c r="B6" s="47"/>
      <c r="C6" s="47"/>
      <c r="D6" s="24" t="str">
        <f>CONCATENATE("Department ","311"," - ","Textbooks")</f>
        <v>Department 311 - Textbooks</v>
      </c>
      <c r="E6" s="18"/>
      <c r="F6" s="44"/>
      <c r="G6" s="18"/>
      <c r="H6" s="18"/>
      <c r="I6" s="18"/>
      <c r="J6" s="38"/>
      <c r="K6" s="18"/>
      <c r="L6" s="18"/>
      <c r="M6" s="18"/>
      <c r="N6" s="44"/>
      <c r="O6" s="59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ht="15" customHeight="1" x14ac:dyDescent="0.3">
      <c r="B7" s="52"/>
    </row>
    <row r="8" spans="1:26" ht="15" customHeight="1" x14ac:dyDescent="0.3">
      <c r="B8" s="52"/>
    </row>
    <row r="9" spans="1:26" ht="15" customHeight="1" x14ac:dyDescent="0.3">
      <c r="B9" s="10"/>
      <c r="C9" s="10"/>
      <c r="D9" s="17" t="s">
        <v>279</v>
      </c>
      <c r="E9" s="17"/>
      <c r="F9" s="36"/>
      <c r="G9" s="17"/>
      <c r="H9" s="17"/>
      <c r="I9" s="17"/>
      <c r="J9" s="43"/>
      <c r="K9" s="17"/>
      <c r="L9" s="17"/>
      <c r="M9" s="17"/>
      <c r="N9" s="36"/>
      <c r="P9" s="17" t="s">
        <v>280</v>
      </c>
      <c r="Q9" s="17"/>
      <c r="R9" s="36"/>
      <c r="S9" s="17"/>
      <c r="T9" s="17"/>
      <c r="U9" s="17"/>
      <c r="V9" s="43"/>
      <c r="W9" s="17"/>
      <c r="X9" s="17"/>
      <c r="Y9" s="17"/>
      <c r="Z9" s="36"/>
    </row>
    <row r="10" spans="1:26" ht="15" customHeight="1" x14ac:dyDescent="0.3">
      <c r="A10" s="11"/>
      <c r="B10" s="57"/>
      <c r="C10" s="11"/>
      <c r="D10" s="41" t="s">
        <v>281</v>
      </c>
      <c r="E10" s="33"/>
      <c r="F10" s="37" t="s">
        <v>282</v>
      </c>
      <c r="G10" s="33"/>
      <c r="H10" s="48" t="s">
        <v>283</v>
      </c>
      <c r="I10" s="33"/>
      <c r="J10" s="45" t="s">
        <v>284</v>
      </c>
      <c r="K10" s="11"/>
      <c r="L10" s="41" t="s">
        <v>285</v>
      </c>
      <c r="M10" s="11"/>
      <c r="N10" s="37" t="s">
        <v>286</v>
      </c>
      <c r="O10" s="11"/>
      <c r="P10" s="56" t="s">
        <v>281</v>
      </c>
      <c r="Q10" s="33"/>
      <c r="R10" s="37" t="s">
        <v>282</v>
      </c>
      <c r="S10" s="33"/>
      <c r="T10" s="48" t="s">
        <v>283</v>
      </c>
      <c r="U10" s="33"/>
      <c r="V10" s="45" t="s">
        <v>284</v>
      </c>
      <c r="W10" s="11"/>
      <c r="X10" s="41" t="s">
        <v>285</v>
      </c>
      <c r="Y10" s="11"/>
      <c r="Z10" s="37" t="s">
        <v>286</v>
      </c>
    </row>
    <row r="11" spans="1:26" ht="16.5" customHeight="1" x14ac:dyDescent="0.3">
      <c r="A11" s="10"/>
      <c r="B11" s="55"/>
      <c r="C11" s="10"/>
      <c r="D11" s="10"/>
      <c r="E11" s="10"/>
      <c r="F11" s="9"/>
      <c r="G11" s="10"/>
      <c r="H11" s="10"/>
      <c r="I11" s="10"/>
      <c r="J11" s="46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6"/>
      <c r="W11" s="10"/>
      <c r="X11" s="10"/>
      <c r="Y11" s="10"/>
      <c r="Z11" s="9"/>
    </row>
    <row r="12" spans="1:26" s="63" customFormat="1" ht="15" customHeight="1" collapsed="1" x14ac:dyDescent="0.3">
      <c r="A12" s="11"/>
      <c r="B12" s="28" t="s">
        <v>287</v>
      </c>
      <c r="C12" s="11"/>
      <c r="D12" s="5">
        <f>SUM(OSRRefD13x_0)</f>
        <v>20115.46</v>
      </c>
      <c r="E12" s="5"/>
      <c r="F12" s="13"/>
      <c r="G12" s="5"/>
      <c r="H12" s="5">
        <f>SUM(OSRRefH13x_0)</f>
        <v>17156</v>
      </c>
      <c r="I12" s="5"/>
      <c r="J12" s="13"/>
      <c r="K12" s="5"/>
      <c r="L12" s="5">
        <f t="shared" ref="L12:L17" si="0">+D12-H12</f>
        <v>2959.4599999999991</v>
      </c>
      <c r="M12" s="5"/>
      <c r="N12" s="13">
        <f t="shared" ref="N12:N17" si="1">IF(H12=0,0,L12/H12)</f>
        <v>0.17250291443226853</v>
      </c>
      <c r="O12" s="11"/>
      <c r="P12" s="5">
        <f>SUM(OSRRefP13x_0)</f>
        <v>1712553.5100000002</v>
      </c>
      <c r="Q12" s="5"/>
      <c r="R12" s="13"/>
      <c r="S12" s="5"/>
      <c r="T12" s="5">
        <f>SUM(OSRRefT13x_0)</f>
        <v>3142332</v>
      </c>
      <c r="U12" s="5"/>
      <c r="V12" s="13"/>
      <c r="W12" s="5"/>
      <c r="X12" s="5">
        <f t="shared" ref="X12:X17" si="2">+P12-T12</f>
        <v>-1429778.4899999998</v>
      </c>
      <c r="Y12" s="5"/>
      <c r="Z12" s="13">
        <f t="shared" ref="Z12:Z17" si="3">IF(T12=0,0,X12/T12)</f>
        <v>-0.45500554683591671</v>
      </c>
    </row>
    <row r="13" spans="1:26" s="70" customFormat="1" ht="15" hidden="1" customHeight="1" outlineLevel="1" x14ac:dyDescent="0.3">
      <c r="A13" s="42"/>
      <c r="B13" s="12" t="str">
        <f>CONCATENATE("          ","4000"," - ","TAXABLE SALES")</f>
        <v xml:space="preserve">          4000 - TAXABLE SALES</v>
      </c>
      <c r="C13" s="12"/>
      <c r="D13" s="3">
        <f>--24567.88</f>
        <v>24567.88</v>
      </c>
      <c r="E13" s="3"/>
      <c r="F13" s="20"/>
      <c r="G13" s="3"/>
      <c r="H13" s="3">
        <v>17156</v>
      </c>
      <c r="I13" s="3"/>
      <c r="J13" s="20"/>
      <c r="K13" s="3"/>
      <c r="L13" s="3">
        <f t="shared" si="0"/>
        <v>7411.880000000001</v>
      </c>
      <c r="M13" s="3"/>
      <c r="N13" s="20">
        <f t="shared" si="1"/>
        <v>0.43202844485894154</v>
      </c>
      <c r="O13" s="12"/>
      <c r="P13" s="3">
        <f>--1355608.84</f>
        <v>1355608.84</v>
      </c>
      <c r="Q13" s="3"/>
      <c r="R13" s="20"/>
      <c r="S13" s="3"/>
      <c r="T13" s="3">
        <v>3142332</v>
      </c>
      <c r="U13" s="3"/>
      <c r="V13" s="20"/>
      <c r="W13" s="3"/>
      <c r="X13" s="3">
        <f t="shared" si="2"/>
        <v>-1786723.16</v>
      </c>
      <c r="Y13" s="3"/>
      <c r="Z13" s="20">
        <f t="shared" si="3"/>
        <v>-0.56859783116488005</v>
      </c>
    </row>
    <row r="14" spans="1:26" s="70" customFormat="1" ht="15" hidden="1" customHeight="1" outlineLevel="1" x14ac:dyDescent="0.3">
      <c r="A14" s="42"/>
      <c r="B14" s="12" t="str">
        <f>CONCATENATE("          ","4100"," - ","NON-TAXABLE SALES")</f>
        <v xml:space="preserve">          4100 - NON-TAXABLE SALES</v>
      </c>
      <c r="C14" s="12"/>
      <c r="D14" s="3">
        <f>--443.3</f>
        <v>443.3</v>
      </c>
      <c r="E14" s="3"/>
      <c r="F14" s="20"/>
      <c r="G14" s="3"/>
      <c r="H14" s="3">
        <v>0</v>
      </c>
      <c r="I14" s="3"/>
      <c r="J14" s="20"/>
      <c r="K14" s="3"/>
      <c r="L14" s="3">
        <f t="shared" si="0"/>
        <v>443.3</v>
      </c>
      <c r="M14" s="3"/>
      <c r="N14" s="20">
        <f t="shared" si="1"/>
        <v>0</v>
      </c>
      <c r="O14" s="12"/>
      <c r="P14" s="3">
        <f>--449234.59</f>
        <v>449234.59</v>
      </c>
      <c r="Q14" s="3"/>
      <c r="R14" s="20"/>
      <c r="S14" s="3"/>
      <c r="T14" s="3">
        <v>0</v>
      </c>
      <c r="U14" s="3"/>
      <c r="V14" s="20"/>
      <c r="W14" s="3"/>
      <c r="X14" s="3">
        <f t="shared" si="2"/>
        <v>449234.59</v>
      </c>
      <c r="Y14" s="3"/>
      <c r="Z14" s="20">
        <f t="shared" si="3"/>
        <v>0</v>
      </c>
    </row>
    <row r="15" spans="1:26" s="70" customFormat="1" ht="15" hidden="1" customHeight="1" outlineLevel="1" x14ac:dyDescent="0.3">
      <c r="A15" s="42"/>
      <c r="B15" s="12" t="str">
        <f>CONCATENATE("          ","4200"," - ","TAXABLE RETURNS")</f>
        <v xml:space="preserve">          4200 - TAXABLE RETURNS</v>
      </c>
      <c r="C15" s="12"/>
      <c r="D15" s="3">
        <f>-4679.48</f>
        <v>-4679.4799999999996</v>
      </c>
      <c r="E15" s="3"/>
      <c r="F15" s="20"/>
      <c r="G15" s="3"/>
      <c r="H15" s="3"/>
      <c r="I15" s="3"/>
      <c r="J15" s="20"/>
      <c r="K15" s="3"/>
      <c r="L15" s="3">
        <f t="shared" si="0"/>
        <v>-4679.4799999999996</v>
      </c>
      <c r="M15" s="3"/>
      <c r="N15" s="20">
        <f t="shared" si="1"/>
        <v>0</v>
      </c>
      <c r="O15" s="12"/>
      <c r="P15" s="3">
        <f>-55512.29</f>
        <v>-55512.29</v>
      </c>
      <c r="Q15" s="3"/>
      <c r="R15" s="20"/>
      <c r="S15" s="3"/>
      <c r="T15" s="3"/>
      <c r="U15" s="3"/>
      <c r="V15" s="20"/>
      <c r="W15" s="3"/>
      <c r="X15" s="3">
        <f t="shared" si="2"/>
        <v>-55512.29</v>
      </c>
      <c r="Y15" s="3"/>
      <c r="Z15" s="20">
        <f t="shared" si="3"/>
        <v>0</v>
      </c>
    </row>
    <row r="16" spans="1:26" s="70" customFormat="1" ht="15" hidden="1" customHeight="1" outlineLevel="1" x14ac:dyDescent="0.3">
      <c r="A16" s="42"/>
      <c r="B16" s="12" t="str">
        <f>CONCATENATE("          ","4300"," - ","NON-TAX RETURNS")</f>
        <v xml:space="preserve">          4300 - NON-TAX RETURNS</v>
      </c>
      <c r="C16" s="12"/>
      <c r="D16" s="3">
        <f>0</f>
        <v>0</v>
      </c>
      <c r="E16" s="3"/>
      <c r="F16" s="20"/>
      <c r="G16" s="3"/>
      <c r="H16" s="3"/>
      <c r="I16" s="3"/>
      <c r="J16" s="20"/>
      <c r="K16" s="3"/>
      <c r="L16" s="3">
        <f t="shared" si="0"/>
        <v>0</v>
      </c>
      <c r="M16" s="3"/>
      <c r="N16" s="20">
        <f t="shared" si="1"/>
        <v>0</v>
      </c>
      <c r="O16" s="12"/>
      <c r="P16" s="3">
        <f>-29348.67</f>
        <v>-29348.67</v>
      </c>
      <c r="Q16" s="3"/>
      <c r="R16" s="20"/>
      <c r="S16" s="3"/>
      <c r="T16" s="3"/>
      <c r="U16" s="3"/>
      <c r="V16" s="20"/>
      <c r="W16" s="3"/>
      <c r="X16" s="3">
        <f t="shared" si="2"/>
        <v>-29348.67</v>
      </c>
      <c r="Y16" s="3"/>
      <c r="Z16" s="20">
        <f t="shared" si="3"/>
        <v>0</v>
      </c>
    </row>
    <row r="17" spans="1:26" s="70" customFormat="1" ht="15" hidden="1" customHeight="1" outlineLevel="1" x14ac:dyDescent="0.3">
      <c r="A17" s="42"/>
      <c r="B17" s="12" t="str">
        <f>CONCATENATE("          ","4500"," - ","SALES DISCOUNT")</f>
        <v xml:space="preserve">          4500 - SALES DISCOUNT</v>
      </c>
      <c r="C17" s="12"/>
      <c r="D17" s="3">
        <f>-216.24</f>
        <v>-216.24</v>
      </c>
      <c r="E17" s="3"/>
      <c r="F17" s="20"/>
      <c r="G17" s="3"/>
      <c r="H17" s="3"/>
      <c r="I17" s="3"/>
      <c r="J17" s="20"/>
      <c r="K17" s="3"/>
      <c r="L17" s="3">
        <f t="shared" si="0"/>
        <v>-216.24</v>
      </c>
      <c r="M17" s="3"/>
      <c r="N17" s="20">
        <f t="shared" si="1"/>
        <v>0</v>
      </c>
      <c r="O17" s="12"/>
      <c r="P17" s="3">
        <f>-7428.96</f>
        <v>-7428.96</v>
      </c>
      <c r="Q17" s="3"/>
      <c r="R17" s="20"/>
      <c r="S17" s="3"/>
      <c r="T17" s="3"/>
      <c r="U17" s="3"/>
      <c r="V17" s="20"/>
      <c r="W17" s="3"/>
      <c r="X17" s="3">
        <f t="shared" si="2"/>
        <v>-7428.96</v>
      </c>
      <c r="Y17" s="3"/>
      <c r="Z17" s="20">
        <f t="shared" si="3"/>
        <v>0</v>
      </c>
    </row>
    <row r="18" spans="1:26" ht="15" customHeight="1" x14ac:dyDescent="0.3">
      <c r="A18" s="10"/>
      <c r="B18" s="11"/>
      <c r="C18" s="10"/>
      <c r="D18" s="4"/>
      <c r="E18" s="4"/>
      <c r="F18" s="9"/>
      <c r="G18" s="4"/>
      <c r="H18" s="4"/>
      <c r="I18" s="4"/>
      <c r="J18" s="9"/>
      <c r="K18" s="4"/>
      <c r="L18" s="4"/>
      <c r="M18" s="4"/>
      <c r="N18" s="9"/>
      <c r="P18" s="4"/>
      <c r="Q18" s="4"/>
      <c r="R18" s="9"/>
      <c r="S18" s="4"/>
      <c r="T18" s="4"/>
      <c r="U18" s="4"/>
      <c r="V18" s="9"/>
      <c r="W18" s="4"/>
      <c r="X18" s="4"/>
      <c r="Y18" s="4"/>
      <c r="Z18" s="9"/>
    </row>
    <row r="19" spans="1:26" s="63" customFormat="1" ht="15" customHeight="1" collapsed="1" x14ac:dyDescent="0.3">
      <c r="A19" s="11"/>
      <c r="B19" s="28" t="s">
        <v>288</v>
      </c>
      <c r="C19" s="11"/>
      <c r="D19" s="5">
        <f>SUM(OSRRefD16x_0)</f>
        <v>14302.289999999968</v>
      </c>
      <c r="E19" s="5"/>
      <c r="F19" s="13">
        <f t="shared" ref="F19:F29" si="4">IF(D$12=0,0,D19/D$12)</f>
        <v>0.71100984019256674</v>
      </c>
      <c r="G19" s="5"/>
      <c r="H19" s="5">
        <f>SUM(OSRRefH16x_0)</f>
        <v>12395</v>
      </c>
      <c r="I19" s="5"/>
      <c r="J19" s="13">
        <f t="shared" ref="J19:J29" si="5">IF(H$12=0,0,H19/H$12)</f>
        <v>0.72248775938447185</v>
      </c>
      <c r="K19" s="5"/>
      <c r="L19" s="5">
        <f t="shared" ref="L19:L29" si="6">+D19-H19</f>
        <v>1907.2899999999681</v>
      </c>
      <c r="M19" s="5"/>
      <c r="N19" s="13">
        <f t="shared" ref="N19:N29" si="7">IF(H19=0,0,L19/H19)</f>
        <v>0.15387575635336573</v>
      </c>
      <c r="O19" s="11"/>
      <c r="P19" s="5">
        <f>SUM(OSRRefP16x_0)</f>
        <v>1329172.8400000001</v>
      </c>
      <c r="Q19" s="5"/>
      <c r="R19" s="13">
        <f t="shared" ref="R19:R29" si="8">IF(P$12=0,0,P19/P$12)</f>
        <v>0.77613507095611856</v>
      </c>
      <c r="S19" s="5"/>
      <c r="T19" s="5">
        <f>SUM(OSRRefT16x_0)</f>
        <v>2270333</v>
      </c>
      <c r="U19" s="5"/>
      <c r="V19" s="13">
        <f t="shared" ref="V19:V29" si="9">IF(T$12=0,0,T19/T$12)</f>
        <v>0.7224994049005643</v>
      </c>
      <c r="W19" s="5"/>
      <c r="X19" s="5">
        <f t="shared" ref="X19:X29" si="10">+P19-T19</f>
        <v>-941160.15999999992</v>
      </c>
      <c r="Y19" s="5"/>
      <c r="Z19" s="13">
        <f t="shared" ref="Z19:Z29" si="11">IF(T19=0,0,X19/T19)</f>
        <v>-0.41454718757116243</v>
      </c>
    </row>
    <row r="20" spans="1:26" s="70" customFormat="1" ht="15" hidden="1" customHeight="1" outlineLevel="1" x14ac:dyDescent="0.3">
      <c r="A20" s="42"/>
      <c r="B20" s="12" t="str">
        <f>CONCATENATE("          ","5000"," - ","PURCHASES @ COST")</f>
        <v xml:space="preserve">          5000 - PURCHASES @ COST</v>
      </c>
      <c r="C20" s="12"/>
      <c r="D20" s="3">
        <v>-273544.65000000002</v>
      </c>
      <c r="E20" s="3"/>
      <c r="F20" s="20">
        <f t="shared" si="4"/>
        <v>-13.598727048747582</v>
      </c>
      <c r="G20" s="3"/>
      <c r="H20" s="3">
        <v>12395</v>
      </c>
      <c r="I20" s="3"/>
      <c r="J20" s="20">
        <f t="shared" si="5"/>
        <v>0.72248775938447185</v>
      </c>
      <c r="K20" s="3"/>
      <c r="L20" s="3">
        <f t="shared" si="6"/>
        <v>-285939.65000000002</v>
      </c>
      <c r="M20" s="3"/>
      <c r="N20" s="20">
        <f t="shared" si="7"/>
        <v>-23.068951189995968</v>
      </c>
      <c r="O20" s="12"/>
      <c r="P20" s="3">
        <v>1285298.54</v>
      </c>
      <c r="Q20" s="3"/>
      <c r="R20" s="20">
        <f t="shared" si="8"/>
        <v>0.75051584227578372</v>
      </c>
      <c r="S20" s="3"/>
      <c r="T20" s="3">
        <v>2270333</v>
      </c>
      <c r="U20" s="3"/>
      <c r="V20" s="20">
        <f t="shared" si="9"/>
        <v>0.7224994049005643</v>
      </c>
      <c r="W20" s="3"/>
      <c r="X20" s="3">
        <f t="shared" si="10"/>
        <v>-985034.46</v>
      </c>
      <c r="Y20" s="3"/>
      <c r="Z20" s="20">
        <f t="shared" si="11"/>
        <v>-0.43387223812542036</v>
      </c>
    </row>
    <row r="21" spans="1:26" s="70" customFormat="1" ht="15" hidden="1" customHeight="1" outlineLevel="1" x14ac:dyDescent="0.3">
      <c r="A21" s="42"/>
      <c r="B21" s="12" t="str">
        <f>CONCATENATE("          ","5001"," - ","PURCHASES @ COST-NEW TEXT")</f>
        <v xml:space="preserve">          5001 - PURCHASES @ COST-NEW TEXT</v>
      </c>
      <c r="C21" s="12"/>
      <c r="D21" s="3"/>
      <c r="E21" s="3"/>
      <c r="F21" s="20">
        <f t="shared" si="4"/>
        <v>0</v>
      </c>
      <c r="G21" s="3"/>
      <c r="H21" s="3"/>
      <c r="I21" s="3"/>
      <c r="J21" s="20">
        <f t="shared" si="5"/>
        <v>0</v>
      </c>
      <c r="K21" s="3"/>
      <c r="L21" s="3">
        <f t="shared" si="6"/>
        <v>0</v>
      </c>
      <c r="M21" s="3"/>
      <c r="N21" s="20">
        <f t="shared" si="7"/>
        <v>0</v>
      </c>
      <c r="O21" s="12"/>
      <c r="P21" s="3">
        <v>0</v>
      </c>
      <c r="Q21" s="3"/>
      <c r="R21" s="20">
        <f t="shared" si="8"/>
        <v>0</v>
      </c>
      <c r="S21" s="3"/>
      <c r="T21" s="3"/>
      <c r="U21" s="3"/>
      <c r="V21" s="20">
        <f t="shared" si="9"/>
        <v>0</v>
      </c>
      <c r="W21" s="3"/>
      <c r="X21" s="3">
        <f t="shared" si="10"/>
        <v>0</v>
      </c>
      <c r="Y21" s="3"/>
      <c r="Z21" s="20">
        <f t="shared" si="11"/>
        <v>0</v>
      </c>
    </row>
    <row r="22" spans="1:26" s="70" customFormat="1" ht="15" hidden="1" customHeight="1" outlineLevel="1" x14ac:dyDescent="0.3">
      <c r="A22" s="42"/>
      <c r="B22" s="12" t="str">
        <f>CONCATENATE("          ","5002"," - ","PURCHASES @ COST-USED TEXT")</f>
        <v xml:space="preserve">          5002 - PURCHASES @ COST-USED TEXT</v>
      </c>
      <c r="C22" s="12"/>
      <c r="D22" s="3"/>
      <c r="E22" s="3"/>
      <c r="F22" s="20">
        <f t="shared" si="4"/>
        <v>0</v>
      </c>
      <c r="G22" s="3"/>
      <c r="H22" s="3"/>
      <c r="I22" s="3"/>
      <c r="J22" s="20">
        <f t="shared" si="5"/>
        <v>0</v>
      </c>
      <c r="K22" s="3"/>
      <c r="L22" s="3">
        <f t="shared" si="6"/>
        <v>0</v>
      </c>
      <c r="M22" s="3"/>
      <c r="N22" s="20">
        <f t="shared" si="7"/>
        <v>0</v>
      </c>
      <c r="O22" s="12"/>
      <c r="P22" s="3">
        <v>0</v>
      </c>
      <c r="Q22" s="3"/>
      <c r="R22" s="20">
        <f t="shared" si="8"/>
        <v>0</v>
      </c>
      <c r="S22" s="3"/>
      <c r="T22" s="3"/>
      <c r="U22" s="3"/>
      <c r="V22" s="20">
        <f t="shared" si="9"/>
        <v>0</v>
      </c>
      <c r="W22" s="3"/>
      <c r="X22" s="3">
        <f t="shared" si="10"/>
        <v>0</v>
      </c>
      <c r="Y22" s="3"/>
      <c r="Z22" s="20">
        <f t="shared" si="11"/>
        <v>0</v>
      </c>
    </row>
    <row r="23" spans="1:26" s="70" customFormat="1" ht="15" hidden="1" customHeight="1" outlineLevel="1" x14ac:dyDescent="0.3">
      <c r="A23" s="42"/>
      <c r="B23" s="12" t="str">
        <f>CONCATENATE("          ","5004"," - ","PURCHASES @ COST-DIGITAL TEXT")</f>
        <v xml:space="preserve">          5004 - PURCHASES @ COST-DIGITAL TEXT</v>
      </c>
      <c r="C23" s="12"/>
      <c r="D23" s="3"/>
      <c r="E23" s="3"/>
      <c r="F23" s="20">
        <f t="shared" si="4"/>
        <v>0</v>
      </c>
      <c r="G23" s="3"/>
      <c r="H23" s="3"/>
      <c r="I23" s="3"/>
      <c r="J23" s="20">
        <f t="shared" si="5"/>
        <v>0</v>
      </c>
      <c r="K23" s="3"/>
      <c r="L23" s="3">
        <f t="shared" si="6"/>
        <v>0</v>
      </c>
      <c r="M23" s="3"/>
      <c r="N23" s="20">
        <f t="shared" si="7"/>
        <v>0</v>
      </c>
      <c r="O23" s="12"/>
      <c r="P23" s="3">
        <v>0</v>
      </c>
      <c r="Q23" s="3"/>
      <c r="R23" s="20">
        <f t="shared" si="8"/>
        <v>0</v>
      </c>
      <c r="S23" s="3"/>
      <c r="T23" s="3"/>
      <c r="U23" s="3"/>
      <c r="V23" s="20">
        <f t="shared" si="9"/>
        <v>0</v>
      </c>
      <c r="W23" s="3"/>
      <c r="X23" s="3">
        <f t="shared" si="10"/>
        <v>0</v>
      </c>
      <c r="Y23" s="3"/>
      <c r="Z23" s="20">
        <f t="shared" si="11"/>
        <v>0</v>
      </c>
    </row>
    <row r="24" spans="1:26" s="70" customFormat="1" ht="15" hidden="1" customHeight="1" outlineLevel="1" x14ac:dyDescent="0.3">
      <c r="A24" s="42"/>
      <c r="B24" s="12" t="str">
        <f>CONCATENATE("          ","5200"," - ","PURCHASES OFFSET")</f>
        <v xml:space="preserve">          5200 - PURCHASES OFFSET</v>
      </c>
      <c r="C24" s="12"/>
      <c r="D24" s="3">
        <v>267392.68</v>
      </c>
      <c r="E24" s="3"/>
      <c r="F24" s="20">
        <f t="shared" si="4"/>
        <v>13.292894122232353</v>
      </c>
      <c r="G24" s="3"/>
      <c r="H24" s="3"/>
      <c r="I24" s="3"/>
      <c r="J24" s="20">
        <f t="shared" si="5"/>
        <v>0</v>
      </c>
      <c r="K24" s="3"/>
      <c r="L24" s="3">
        <f t="shared" si="6"/>
        <v>267392.68</v>
      </c>
      <c r="M24" s="3"/>
      <c r="N24" s="20">
        <f t="shared" si="7"/>
        <v>0</v>
      </c>
      <c r="O24" s="12"/>
      <c r="P24" s="3">
        <v>-1361905.52</v>
      </c>
      <c r="Q24" s="3"/>
      <c r="R24" s="20">
        <f t="shared" si="8"/>
        <v>-0.79524844744851209</v>
      </c>
      <c r="S24" s="3"/>
      <c r="T24" s="3"/>
      <c r="U24" s="3"/>
      <c r="V24" s="20">
        <f t="shared" si="9"/>
        <v>0</v>
      </c>
      <c r="W24" s="3"/>
      <c r="X24" s="3">
        <f t="shared" si="10"/>
        <v>-1361905.52</v>
      </c>
      <c r="Y24" s="3"/>
      <c r="Z24" s="20">
        <f t="shared" si="11"/>
        <v>0</v>
      </c>
    </row>
    <row r="25" spans="1:26" s="70" customFormat="1" ht="15" hidden="1" customHeight="1" outlineLevel="1" x14ac:dyDescent="0.3">
      <c r="A25" s="42"/>
      <c r="B25" s="12" t="str">
        <f>CONCATENATE("          ","5300"," - ","COG$ OFFSET")</f>
        <v xml:space="preserve">          5300 - COG$ OFFSET</v>
      </c>
      <c r="C25" s="12"/>
      <c r="D25" s="3">
        <v>14415.48</v>
      </c>
      <c r="E25" s="3"/>
      <c r="F25" s="20">
        <f t="shared" si="4"/>
        <v>0.71663685543358191</v>
      </c>
      <c r="G25" s="3"/>
      <c r="H25" s="3"/>
      <c r="I25" s="3"/>
      <c r="J25" s="20">
        <f t="shared" si="5"/>
        <v>0</v>
      </c>
      <c r="K25" s="3"/>
      <c r="L25" s="3">
        <f t="shared" si="6"/>
        <v>14415.48</v>
      </c>
      <c r="M25" s="3"/>
      <c r="N25" s="20">
        <f t="shared" si="7"/>
        <v>0</v>
      </c>
      <c r="O25" s="12"/>
      <c r="P25" s="3">
        <v>1329286.03</v>
      </c>
      <c r="Q25" s="3"/>
      <c r="R25" s="20">
        <f t="shared" si="8"/>
        <v>0.77620116524125415</v>
      </c>
      <c r="S25" s="3"/>
      <c r="T25" s="3"/>
      <c r="U25" s="3"/>
      <c r="V25" s="20">
        <f t="shared" si="9"/>
        <v>0</v>
      </c>
      <c r="W25" s="3"/>
      <c r="X25" s="3">
        <f t="shared" si="10"/>
        <v>1329286.03</v>
      </c>
      <c r="Y25" s="3"/>
      <c r="Z25" s="20">
        <f t="shared" si="11"/>
        <v>0</v>
      </c>
    </row>
    <row r="26" spans="1:26" s="70" customFormat="1" ht="15" hidden="1" customHeight="1" outlineLevel="1" x14ac:dyDescent="0.3">
      <c r="A26" s="42"/>
      <c r="B26" s="12" t="str">
        <f>CONCATENATE("          ","5500"," - ","FREIGHT-IN")</f>
        <v xml:space="preserve">          5500 - FREIGHT-IN</v>
      </c>
      <c r="C26" s="12"/>
      <c r="D26" s="3">
        <v>6038.78</v>
      </c>
      <c r="E26" s="3"/>
      <c r="F26" s="20">
        <f t="shared" si="4"/>
        <v>0.30020591127421398</v>
      </c>
      <c r="G26" s="3"/>
      <c r="H26" s="3"/>
      <c r="I26" s="3"/>
      <c r="J26" s="20">
        <f t="shared" si="5"/>
        <v>0</v>
      </c>
      <c r="K26" s="3"/>
      <c r="L26" s="3">
        <f t="shared" si="6"/>
        <v>6038.78</v>
      </c>
      <c r="M26" s="3"/>
      <c r="N26" s="20">
        <f t="shared" si="7"/>
        <v>0</v>
      </c>
      <c r="O26" s="12"/>
      <c r="P26" s="3">
        <v>76493.789999999994</v>
      </c>
      <c r="Q26" s="3"/>
      <c r="R26" s="20">
        <f t="shared" si="8"/>
        <v>4.4666510887592638E-2</v>
      </c>
      <c r="S26" s="3"/>
      <c r="T26" s="3"/>
      <c r="U26" s="3"/>
      <c r="V26" s="20">
        <f t="shared" si="9"/>
        <v>0</v>
      </c>
      <c r="W26" s="3"/>
      <c r="X26" s="3">
        <f t="shared" si="10"/>
        <v>76493.789999999994</v>
      </c>
      <c r="Y26" s="3"/>
      <c r="Z26" s="20">
        <f t="shared" si="11"/>
        <v>0</v>
      </c>
    </row>
    <row r="27" spans="1:26" s="70" customFormat="1" ht="15" hidden="1" customHeight="1" outlineLevel="1" x14ac:dyDescent="0.3">
      <c r="A27" s="42"/>
      <c r="B27" s="12" t="str">
        <f>CONCATENATE("          ","5501"," - ","FREIGHT-IN-NEW TEXT")</f>
        <v xml:space="preserve">          5501 - FREIGHT-IN-NEW TEXT</v>
      </c>
      <c r="C27" s="12"/>
      <c r="D27" s="3"/>
      <c r="E27" s="3"/>
      <c r="F27" s="20">
        <f t="shared" si="4"/>
        <v>0</v>
      </c>
      <c r="G27" s="3"/>
      <c r="H27" s="3"/>
      <c r="I27" s="3"/>
      <c r="J27" s="20">
        <f t="shared" si="5"/>
        <v>0</v>
      </c>
      <c r="K27" s="3"/>
      <c r="L27" s="3">
        <f t="shared" si="6"/>
        <v>0</v>
      </c>
      <c r="M27" s="3"/>
      <c r="N27" s="20">
        <f t="shared" si="7"/>
        <v>0</v>
      </c>
      <c r="O27" s="12"/>
      <c r="P27" s="3">
        <v>0</v>
      </c>
      <c r="Q27" s="3"/>
      <c r="R27" s="20">
        <f t="shared" si="8"/>
        <v>0</v>
      </c>
      <c r="S27" s="3"/>
      <c r="T27" s="3"/>
      <c r="U27" s="3"/>
      <c r="V27" s="20">
        <f t="shared" si="9"/>
        <v>0</v>
      </c>
      <c r="W27" s="3"/>
      <c r="X27" s="3">
        <f t="shared" si="10"/>
        <v>0</v>
      </c>
      <c r="Y27" s="3"/>
      <c r="Z27" s="20">
        <f t="shared" si="11"/>
        <v>0</v>
      </c>
    </row>
    <row r="28" spans="1:26" s="70" customFormat="1" ht="15" hidden="1" customHeight="1" outlineLevel="1" x14ac:dyDescent="0.3">
      <c r="A28" s="42"/>
      <c r="B28" s="12" t="str">
        <f>CONCATENATE("          ","5502"," - ","FREIGHT-IN-USED TEXT")</f>
        <v xml:space="preserve">          5502 - FREIGHT-IN-USED TEXT</v>
      </c>
      <c r="C28" s="12"/>
      <c r="D28" s="3"/>
      <c r="E28" s="3"/>
      <c r="F28" s="20">
        <f t="shared" si="4"/>
        <v>0</v>
      </c>
      <c r="G28" s="3"/>
      <c r="H28" s="3"/>
      <c r="I28" s="3"/>
      <c r="J28" s="20">
        <f t="shared" si="5"/>
        <v>0</v>
      </c>
      <c r="K28" s="3"/>
      <c r="L28" s="3">
        <f t="shared" si="6"/>
        <v>0</v>
      </c>
      <c r="M28" s="3"/>
      <c r="N28" s="20">
        <f t="shared" si="7"/>
        <v>0</v>
      </c>
      <c r="O28" s="12"/>
      <c r="P28" s="3">
        <v>0</v>
      </c>
      <c r="Q28" s="3"/>
      <c r="R28" s="20">
        <f t="shared" si="8"/>
        <v>0</v>
      </c>
      <c r="S28" s="3"/>
      <c r="T28" s="3"/>
      <c r="U28" s="3"/>
      <c r="V28" s="20">
        <f t="shared" si="9"/>
        <v>0</v>
      </c>
      <c r="W28" s="3"/>
      <c r="X28" s="3">
        <f t="shared" si="10"/>
        <v>0</v>
      </c>
      <c r="Y28" s="3"/>
      <c r="Z28" s="20">
        <f t="shared" si="11"/>
        <v>0</v>
      </c>
    </row>
    <row r="29" spans="1:26" s="70" customFormat="1" ht="15" hidden="1" customHeight="1" outlineLevel="1" x14ac:dyDescent="0.3">
      <c r="A29" s="42"/>
      <c r="B29" s="12" t="str">
        <f>CONCATENATE("          ","5518"," - ","FREIGHT-IN-STUDY GUIDES")</f>
        <v xml:space="preserve">          5518 - FREIGHT-IN-STUDY GUIDES</v>
      </c>
      <c r="C29" s="12"/>
      <c r="D29" s="3"/>
      <c r="E29" s="3"/>
      <c r="F29" s="20">
        <f t="shared" si="4"/>
        <v>0</v>
      </c>
      <c r="G29" s="3"/>
      <c r="H29" s="3"/>
      <c r="I29" s="3"/>
      <c r="J29" s="20">
        <f t="shared" si="5"/>
        <v>0</v>
      </c>
      <c r="K29" s="3"/>
      <c r="L29" s="3">
        <f t="shared" si="6"/>
        <v>0</v>
      </c>
      <c r="M29" s="3"/>
      <c r="N29" s="20">
        <f t="shared" si="7"/>
        <v>0</v>
      </c>
      <c r="O29" s="12"/>
      <c r="P29" s="3">
        <v>0</v>
      </c>
      <c r="Q29" s="3"/>
      <c r="R29" s="20">
        <f t="shared" si="8"/>
        <v>0</v>
      </c>
      <c r="S29" s="3"/>
      <c r="T29" s="3"/>
      <c r="U29" s="3"/>
      <c r="V29" s="20">
        <f t="shared" si="9"/>
        <v>0</v>
      </c>
      <c r="W29" s="3"/>
      <c r="X29" s="3">
        <f t="shared" si="10"/>
        <v>0</v>
      </c>
      <c r="Y29" s="3"/>
      <c r="Z29" s="20">
        <f t="shared" si="11"/>
        <v>0</v>
      </c>
    </row>
    <row r="30" spans="1:26" ht="15" customHeight="1" x14ac:dyDescent="0.3">
      <c r="A30" s="10"/>
      <c r="B30" s="11"/>
      <c r="C30" s="11"/>
      <c r="D30" s="4"/>
      <c r="E30" s="4"/>
      <c r="F30" s="9"/>
      <c r="G30" s="4"/>
      <c r="H30" s="4"/>
      <c r="I30" s="4"/>
      <c r="J30" s="9"/>
      <c r="K30" s="4"/>
      <c r="L30" s="4"/>
      <c r="M30" s="4"/>
      <c r="N30" s="9"/>
      <c r="O30" s="11"/>
      <c r="P30" s="4"/>
      <c r="Q30" s="4"/>
      <c r="R30" s="9"/>
      <c r="S30" s="4"/>
      <c r="T30" s="4"/>
      <c r="U30" s="4"/>
      <c r="V30" s="9"/>
      <c r="W30" s="4"/>
      <c r="X30" s="4"/>
      <c r="Y30" s="4"/>
      <c r="Z30" s="9"/>
    </row>
    <row r="31" spans="1:26" s="63" customFormat="1" ht="15" customHeight="1" x14ac:dyDescent="0.3">
      <c r="A31" s="11"/>
      <c r="B31" s="27" t="s">
        <v>289</v>
      </c>
      <c r="C31" s="27"/>
      <c r="D31" s="21">
        <f>D12-D19</f>
        <v>5813.170000000031</v>
      </c>
      <c r="E31" s="15"/>
      <c r="F31" s="23">
        <f>IF(D$12=0,0,D31/D$12)</f>
        <v>0.28899015980743326</v>
      </c>
      <c r="G31" s="15"/>
      <c r="H31" s="21">
        <f>H12-H19</f>
        <v>4761</v>
      </c>
      <c r="I31" s="15"/>
      <c r="J31" s="23">
        <f>IF(H$12=0,0,H31/H$12)</f>
        <v>0.27751224061552809</v>
      </c>
      <c r="K31" s="16"/>
      <c r="L31" s="21">
        <f>+D31-H31</f>
        <v>1052.170000000031</v>
      </c>
      <c r="M31" s="16"/>
      <c r="N31" s="23">
        <f>IF(H31=0,0,L31/H31)</f>
        <v>0.22099768956102311</v>
      </c>
      <c r="O31" s="28"/>
      <c r="P31" s="21">
        <f>P12-P19</f>
        <v>383380.67000000016</v>
      </c>
      <c r="Q31" s="15"/>
      <c r="R31" s="23">
        <f>IF(P$12=0,0,P31/P$12)</f>
        <v>0.22386492904388144</v>
      </c>
      <c r="S31" s="15"/>
      <c r="T31" s="21">
        <f>T12-T19</f>
        <v>871999</v>
      </c>
      <c r="U31" s="15"/>
      <c r="V31" s="23">
        <f>IF(T$12=0,0,T31/T$12)</f>
        <v>0.2775005950994357</v>
      </c>
      <c r="W31" s="16"/>
      <c r="X31" s="21">
        <f>+P31-T31</f>
        <v>-488618.32999999984</v>
      </c>
      <c r="Y31" s="16"/>
      <c r="Z31" s="23">
        <f>IF(T31=0,0,X31/T31)</f>
        <v>-0.56034276415454587</v>
      </c>
    </row>
    <row r="32" spans="1:26" ht="15" customHeight="1" x14ac:dyDescent="0.3">
      <c r="A32" s="10"/>
      <c r="B32" s="11"/>
      <c r="C32" s="10"/>
      <c r="D32" s="2"/>
      <c r="E32" s="2"/>
      <c r="F32" s="6"/>
      <c r="G32" s="2"/>
      <c r="H32" s="2"/>
      <c r="I32" s="2"/>
      <c r="J32" s="6"/>
      <c r="K32" s="2"/>
      <c r="L32" s="2"/>
      <c r="M32" s="2"/>
      <c r="N32" s="6"/>
      <c r="O32" s="35"/>
      <c r="P32" s="2"/>
      <c r="Q32" s="2"/>
      <c r="R32" s="6"/>
      <c r="S32" s="2"/>
      <c r="T32" s="2"/>
      <c r="U32" s="2"/>
      <c r="V32" s="6"/>
      <c r="W32" s="2"/>
      <c r="X32" s="2"/>
      <c r="Y32" s="2"/>
      <c r="Z32" s="6"/>
    </row>
    <row r="33" spans="1:26" s="63" customFormat="1" ht="15" customHeight="1" x14ac:dyDescent="0.3">
      <c r="A33" s="11"/>
      <c r="B33" s="28" t="s">
        <v>290</v>
      </c>
      <c r="C33" s="11"/>
      <c r="D33" s="22" cm="1">
        <f t="array" ref="D33">SUM(OSRRefD22x_0)</f>
        <v>36411.789999999994</v>
      </c>
      <c r="E33" s="22"/>
      <c r="F33" s="30">
        <f t="shared" ref="F33:F64" si="12">IF(D$12=0,0,D33/D$12)</f>
        <v>1.8101395642953229</v>
      </c>
      <c r="G33" s="22"/>
      <c r="H33" s="22" cm="1">
        <f t="array" ref="H33">SUM(OSRRefH22x_0)</f>
        <v>45484.229754989719</v>
      </c>
      <c r="I33" s="22"/>
      <c r="J33" s="30">
        <f t="shared" ref="J33:J64" si="13">IF(H$12=0,0,H33/H$12)</f>
        <v>2.6512141382017789</v>
      </c>
      <c r="K33" s="5"/>
      <c r="L33" s="22">
        <f t="shared" ref="L33:L64" si="14">+D33-H33</f>
        <v>-9072.4397549897258</v>
      </c>
      <c r="M33" s="5"/>
      <c r="N33" s="30">
        <f t="shared" ref="N33:N64" si="15">IF(H33=0,0,L33/H33)</f>
        <v>-0.19946341410770971</v>
      </c>
      <c r="O33" s="11"/>
      <c r="P33" s="22" cm="1">
        <f t="array" ref="P33">SUM(OSRRefP22x_0)</f>
        <v>397843.93</v>
      </c>
      <c r="Q33" s="22"/>
      <c r="R33" s="30">
        <f t="shared" ref="R33:R64" si="16">IF(P$12=0,0,P33/P$12)</f>
        <v>0.23231036442183925</v>
      </c>
      <c r="S33" s="22"/>
      <c r="T33" s="22" cm="1">
        <f t="array" ref="T33">SUM(OSRRefT22x_0)</f>
        <v>495858.29761365033</v>
      </c>
      <c r="U33" s="22"/>
      <c r="V33" s="30">
        <f t="shared" ref="V33:V64" si="17">IF(T$12=0,0,T33/T$12)</f>
        <v>0.15779946155073696</v>
      </c>
      <c r="W33" s="5"/>
      <c r="X33" s="22">
        <f t="shared" ref="X33:X64" si="18">+P33-T33</f>
        <v>-98014.367613650335</v>
      </c>
      <c r="Y33" s="5"/>
      <c r="Z33" s="30">
        <f t="shared" ref="Z33:Z64" si="19">IF(T33=0,0,X33/T33)</f>
        <v>-0.1976660834059866</v>
      </c>
    </row>
    <row r="34" spans="1:26" s="69" customFormat="1" ht="15" customHeight="1" outlineLevel="1" collapsed="1" x14ac:dyDescent="0.3">
      <c r="A34" s="25"/>
      <c r="B34" s="14" t="str">
        <f>CONCATENATE("     ","*Benefits                                         ")</f>
        <v xml:space="preserve">     *Benefits                                         </v>
      </c>
      <c r="C34" s="14"/>
      <c r="D34" s="2">
        <f>SUM(OSRRefD22_0x_0)</f>
        <v>12084.51</v>
      </c>
      <c r="E34" s="2"/>
      <c r="F34" s="6">
        <f t="shared" si="12"/>
        <v>0.60075732794576908</v>
      </c>
      <c r="G34" s="2"/>
      <c r="H34" s="2">
        <f>SUM(OSRRefH22_0x_0)</f>
        <v>13462.866209735916</v>
      </c>
      <c r="I34" s="2"/>
      <c r="J34" s="6">
        <f t="shared" si="13"/>
        <v>0.784732234188384</v>
      </c>
      <c r="K34" s="2"/>
      <c r="L34" s="2">
        <f t="shared" si="14"/>
        <v>-1378.3562097359154</v>
      </c>
      <c r="M34" s="2"/>
      <c r="N34" s="6">
        <f t="shared" si="15"/>
        <v>-0.10238207735728162</v>
      </c>
      <c r="O34" s="14"/>
      <c r="P34" s="2">
        <f>SUM(OSRRefP22_0x_0)</f>
        <v>92778.760000000024</v>
      </c>
      <c r="Q34" s="2"/>
      <c r="R34" s="6">
        <f t="shared" si="16"/>
        <v>5.417568528997381E-2</v>
      </c>
      <c r="S34" s="2"/>
      <c r="T34" s="2">
        <f>SUM(OSRRefT22_0x_0)</f>
        <v>132241.30304742529</v>
      </c>
      <c r="U34" s="2"/>
      <c r="V34" s="6">
        <f t="shared" si="17"/>
        <v>4.2083810064444269E-2</v>
      </c>
      <c r="W34" s="2"/>
      <c r="X34" s="2">
        <f t="shared" si="18"/>
        <v>-39462.543047425264</v>
      </c>
      <c r="Y34" s="2"/>
      <c r="Z34" s="6">
        <f t="shared" si="19"/>
        <v>-0.29841314429027471</v>
      </c>
    </row>
    <row r="35" spans="1:26" s="70" customFormat="1" ht="15" hidden="1" customHeight="1" outlineLevel="2" x14ac:dyDescent="0.3">
      <c r="A35" s="26"/>
      <c r="B35" s="12" t="str">
        <f>CONCATENATE("          ","6111"," - ","F.I.C.A.")</f>
        <v xml:space="preserve">          6111 - F.I.C.A.</v>
      </c>
      <c r="C35" s="12"/>
      <c r="D35" s="7">
        <v>1676.61</v>
      </c>
      <c r="E35" s="3"/>
      <c r="F35" s="8">
        <f t="shared" si="12"/>
        <v>8.3349324350524417E-2</v>
      </c>
      <c r="G35" s="3"/>
      <c r="H35" s="7">
        <v>1967.82450197977</v>
      </c>
      <c r="I35" s="3"/>
      <c r="J35" s="8">
        <f t="shared" si="13"/>
        <v>0.11470182454999825</v>
      </c>
      <c r="K35" s="3"/>
      <c r="L35" s="7">
        <f t="shared" si="14"/>
        <v>-291.21450197977015</v>
      </c>
      <c r="M35" s="3"/>
      <c r="N35" s="8">
        <f t="shared" si="15"/>
        <v>-0.14798804552275258</v>
      </c>
      <c r="O35" s="12"/>
      <c r="P35" s="7">
        <v>19481.27</v>
      </c>
      <c r="Q35" s="3"/>
      <c r="R35" s="8">
        <f t="shared" si="16"/>
        <v>1.1375568638436294E-2</v>
      </c>
      <c r="S35" s="3"/>
      <c r="T35" s="7">
        <v>21194.9144068028</v>
      </c>
      <c r="U35" s="3"/>
      <c r="V35" s="8">
        <f t="shared" si="17"/>
        <v>6.7449634242348674E-3</v>
      </c>
      <c r="W35" s="3"/>
      <c r="X35" s="7">
        <f t="shared" si="18"/>
        <v>-1713.6444068027995</v>
      </c>
      <c r="Y35" s="3"/>
      <c r="Z35" s="8">
        <f t="shared" si="19"/>
        <v>-8.0851678563645515E-2</v>
      </c>
    </row>
    <row r="36" spans="1:26" s="70" customFormat="1" ht="15" hidden="1" customHeight="1" outlineLevel="2" x14ac:dyDescent="0.3">
      <c r="A36" s="26"/>
      <c r="B36" s="12" t="str">
        <f>CONCATENATE("          ","6112"," - ","COMPENSATION INSURANCE")</f>
        <v xml:space="preserve">          6112 - COMPENSATION INSURANCE</v>
      </c>
      <c r="C36" s="12"/>
      <c r="D36" s="7">
        <v>320.72000000000003</v>
      </c>
      <c r="E36" s="3"/>
      <c r="F36" s="8">
        <f t="shared" si="12"/>
        <v>1.594395554464079E-2</v>
      </c>
      <c r="G36" s="3"/>
      <c r="H36" s="7">
        <v>446.66220348000002</v>
      </c>
      <c r="I36" s="3"/>
      <c r="J36" s="8">
        <f t="shared" si="13"/>
        <v>2.603533477966892E-2</v>
      </c>
      <c r="K36" s="3"/>
      <c r="L36" s="7">
        <f t="shared" si="14"/>
        <v>-125.94220347999999</v>
      </c>
      <c r="M36" s="3"/>
      <c r="N36" s="8">
        <f t="shared" si="15"/>
        <v>-0.28196297447773472</v>
      </c>
      <c r="O36" s="12"/>
      <c r="P36" s="7">
        <v>3765.97</v>
      </c>
      <c r="Q36" s="3"/>
      <c r="R36" s="8">
        <f t="shared" si="16"/>
        <v>2.1990378566331624E-3</v>
      </c>
      <c r="S36" s="3"/>
      <c r="T36" s="7">
        <v>5278.7682039299998</v>
      </c>
      <c r="U36" s="3"/>
      <c r="V36" s="8">
        <f t="shared" si="17"/>
        <v>1.6798887590267356E-3</v>
      </c>
      <c r="W36" s="3"/>
      <c r="X36" s="7">
        <f t="shared" si="18"/>
        <v>-1512.79820393</v>
      </c>
      <c r="Y36" s="3"/>
      <c r="Z36" s="8">
        <f t="shared" si="19"/>
        <v>-0.28658166933788343</v>
      </c>
    </row>
    <row r="37" spans="1:26" s="70" customFormat="1" ht="15" hidden="1" customHeight="1" outlineLevel="2" x14ac:dyDescent="0.3">
      <c r="A37" s="26"/>
      <c r="B37" s="12" t="str">
        <f>CONCATENATE("          ","6113"," - ","GROUP INSURANCE")</f>
        <v xml:space="preserve">          6113 - GROUP INSURANCE</v>
      </c>
      <c r="C37" s="12"/>
      <c r="D37" s="7">
        <v>4253.97</v>
      </c>
      <c r="E37" s="3"/>
      <c r="F37" s="8">
        <f t="shared" si="12"/>
        <v>0.21147763958666621</v>
      </c>
      <c r="G37" s="3"/>
      <c r="H37" s="7">
        <v>5314</v>
      </c>
      <c r="I37" s="3"/>
      <c r="J37" s="8">
        <f t="shared" si="13"/>
        <v>0.30974586150617861</v>
      </c>
      <c r="K37" s="3"/>
      <c r="L37" s="7">
        <f t="shared" si="14"/>
        <v>-1060.0299999999997</v>
      </c>
      <c r="M37" s="3"/>
      <c r="N37" s="8">
        <f t="shared" si="15"/>
        <v>-0.19947873541588251</v>
      </c>
      <c r="O37" s="12"/>
      <c r="P37" s="7">
        <v>39343.72</v>
      </c>
      <c r="Q37" s="3"/>
      <c r="R37" s="8">
        <f t="shared" si="16"/>
        <v>2.2973717183295484E-2</v>
      </c>
      <c r="S37" s="3"/>
      <c r="T37" s="7">
        <v>48744</v>
      </c>
      <c r="U37" s="3"/>
      <c r="V37" s="8">
        <f t="shared" si="17"/>
        <v>1.5512046467400644E-2</v>
      </c>
      <c r="W37" s="3"/>
      <c r="X37" s="7">
        <f t="shared" si="18"/>
        <v>-9400.2799999999988</v>
      </c>
      <c r="Y37" s="3"/>
      <c r="Z37" s="8">
        <f t="shared" si="19"/>
        <v>-0.19284999179386178</v>
      </c>
    </row>
    <row r="38" spans="1:26" s="70" customFormat="1" ht="15" hidden="1" customHeight="1" outlineLevel="2" x14ac:dyDescent="0.3">
      <c r="A38" s="26"/>
      <c r="B38" s="12" t="str">
        <f>CONCATENATE("          ","6114"," - ","STATE UNEMPLOYMENT INSURANCE")</f>
        <v xml:space="preserve">          6114 - STATE UNEMPLOYMENT INSURANCE</v>
      </c>
      <c r="C38" s="12"/>
      <c r="D38" s="7">
        <v>63.38</v>
      </c>
      <c r="E38" s="3"/>
      <c r="F38" s="8">
        <f t="shared" si="12"/>
        <v>3.1508103717240374E-3</v>
      </c>
      <c r="G38" s="3"/>
      <c r="H38" s="7">
        <v>60.127604314615397</v>
      </c>
      <c r="I38" s="3"/>
      <c r="J38" s="8">
        <f t="shared" si="13"/>
        <v>3.5047566049554325E-3</v>
      </c>
      <c r="K38" s="3"/>
      <c r="L38" s="7">
        <f t="shared" si="14"/>
        <v>3.2523956853846059</v>
      </c>
      <c r="M38" s="3"/>
      <c r="N38" s="8">
        <f t="shared" si="15"/>
        <v>5.4091556157244675E-2</v>
      </c>
      <c r="O38" s="12"/>
      <c r="P38" s="7">
        <v>747.3</v>
      </c>
      <c r="Q38" s="3"/>
      <c r="R38" s="8">
        <f t="shared" si="16"/>
        <v>4.3636592704189423E-4</v>
      </c>
      <c r="S38" s="3"/>
      <c r="T38" s="7">
        <v>710.60341206749899</v>
      </c>
      <c r="U38" s="3"/>
      <c r="V38" s="8">
        <f t="shared" si="17"/>
        <v>2.2613887140744484E-4</v>
      </c>
      <c r="W38" s="3"/>
      <c r="X38" s="7">
        <f t="shared" si="18"/>
        <v>36.696587932500961</v>
      </c>
      <c r="Y38" s="3"/>
      <c r="Z38" s="8">
        <f t="shared" si="19"/>
        <v>5.1641446282578808E-2</v>
      </c>
    </row>
    <row r="39" spans="1:26" s="70" customFormat="1" ht="15" hidden="1" customHeight="1" outlineLevel="2" x14ac:dyDescent="0.3">
      <c r="A39" s="26"/>
      <c r="B39" s="12" t="str">
        <f>CONCATENATE("          ","6115"," - ","P.E.R.S.")</f>
        <v xml:space="preserve">          6115 - P.E.R.S.</v>
      </c>
      <c r="C39" s="12"/>
      <c r="D39" s="7">
        <v>1474.56</v>
      </c>
      <c r="E39" s="3"/>
      <c r="F39" s="8">
        <f t="shared" si="12"/>
        <v>7.3304811324225241E-2</v>
      </c>
      <c r="G39" s="3"/>
      <c r="H39" s="7">
        <v>1664.68278164615</v>
      </c>
      <c r="I39" s="3"/>
      <c r="J39" s="8">
        <f t="shared" si="13"/>
        <v>9.7032104316049778E-2</v>
      </c>
      <c r="K39" s="3"/>
      <c r="L39" s="7">
        <f t="shared" si="14"/>
        <v>-190.12278164615009</v>
      </c>
      <c r="M39" s="3"/>
      <c r="N39" s="8">
        <f t="shared" si="15"/>
        <v>-0.11420961623579955</v>
      </c>
      <c r="O39" s="12"/>
      <c r="P39" s="7">
        <v>16846.04</v>
      </c>
      <c r="Q39" s="3"/>
      <c r="R39" s="8">
        <f t="shared" si="16"/>
        <v>9.8367962820618653E-3</v>
      </c>
      <c r="S39" s="3"/>
      <c r="T39" s="7">
        <v>16230.657121050001</v>
      </c>
      <c r="U39" s="3"/>
      <c r="V39" s="8">
        <f t="shared" si="17"/>
        <v>5.1651630448501309E-3</v>
      </c>
      <c r="W39" s="3"/>
      <c r="X39" s="7">
        <f t="shared" si="18"/>
        <v>615.3828789500003</v>
      </c>
      <c r="Y39" s="3"/>
      <c r="Z39" s="8">
        <f t="shared" si="19"/>
        <v>3.7914846845719684E-2</v>
      </c>
    </row>
    <row r="40" spans="1:26" s="70" customFormat="1" ht="15" hidden="1" customHeight="1" outlineLevel="2" x14ac:dyDescent="0.3">
      <c r="A40" s="26"/>
      <c r="B40" s="12" t="str">
        <f>CONCATENATE("          ","6116"," - ","EDUCATIONAL BENEFITS")</f>
        <v xml:space="preserve">          6116 - EDUCATIONAL BENEFITS</v>
      </c>
      <c r="C40" s="12"/>
      <c r="D40" s="7"/>
      <c r="E40" s="3"/>
      <c r="F40" s="8">
        <f t="shared" si="12"/>
        <v>0</v>
      </c>
      <c r="G40" s="3"/>
      <c r="H40" s="7">
        <v>0</v>
      </c>
      <c r="I40" s="3"/>
      <c r="J40" s="8">
        <f t="shared" si="13"/>
        <v>0</v>
      </c>
      <c r="K40" s="3"/>
      <c r="L40" s="7">
        <f t="shared" si="14"/>
        <v>0</v>
      </c>
      <c r="M40" s="3"/>
      <c r="N40" s="8">
        <f t="shared" si="15"/>
        <v>0</v>
      </c>
      <c r="O40" s="12"/>
      <c r="P40" s="7"/>
      <c r="Q40" s="3"/>
      <c r="R40" s="8">
        <f t="shared" si="16"/>
        <v>0</v>
      </c>
      <c r="S40" s="3"/>
      <c r="T40" s="7">
        <v>0</v>
      </c>
      <c r="U40" s="3"/>
      <c r="V40" s="8">
        <f t="shared" si="17"/>
        <v>0</v>
      </c>
      <c r="W40" s="3"/>
      <c r="X40" s="7">
        <f t="shared" si="18"/>
        <v>0</v>
      </c>
      <c r="Y40" s="3"/>
      <c r="Z40" s="8">
        <f t="shared" si="19"/>
        <v>0</v>
      </c>
    </row>
    <row r="41" spans="1:26" s="70" customFormat="1" ht="15" hidden="1" customHeight="1" outlineLevel="2" x14ac:dyDescent="0.3">
      <c r="A41" s="26"/>
      <c r="B41" s="12" t="str">
        <f>CONCATENATE("          ","6117"," - ","RETIREMENT STAFF HOURLY")</f>
        <v xml:space="preserve">          6117 - RETIREMENT STAFF HOURLY</v>
      </c>
      <c r="C41" s="12"/>
      <c r="D41" s="7">
        <v>362.45</v>
      </c>
      <c r="E41" s="3"/>
      <c r="F41" s="8">
        <f t="shared" si="12"/>
        <v>1.8018479318892038E-2</v>
      </c>
      <c r="G41" s="3"/>
      <c r="H41" s="7"/>
      <c r="I41" s="3"/>
      <c r="J41" s="8">
        <f t="shared" si="13"/>
        <v>0</v>
      </c>
      <c r="K41" s="3"/>
      <c r="L41" s="7">
        <f t="shared" si="14"/>
        <v>362.45</v>
      </c>
      <c r="M41" s="3"/>
      <c r="N41" s="8">
        <f t="shared" si="15"/>
        <v>0</v>
      </c>
      <c r="O41" s="12"/>
      <c r="P41" s="7">
        <v>2956.71</v>
      </c>
      <c r="Q41" s="3"/>
      <c r="R41" s="8">
        <f t="shared" si="16"/>
        <v>1.7264920381962253E-3</v>
      </c>
      <c r="S41" s="3"/>
      <c r="T41" s="7"/>
      <c r="U41" s="3"/>
      <c r="V41" s="8">
        <f t="shared" si="17"/>
        <v>0</v>
      </c>
      <c r="W41" s="3"/>
      <c r="X41" s="7">
        <f t="shared" si="18"/>
        <v>2956.71</v>
      </c>
      <c r="Y41" s="3"/>
      <c r="Z41" s="8">
        <f t="shared" si="19"/>
        <v>0</v>
      </c>
    </row>
    <row r="42" spans="1:26" s="70" customFormat="1" ht="15" hidden="1" customHeight="1" outlineLevel="2" x14ac:dyDescent="0.3">
      <c r="A42" s="26"/>
      <c r="B42" s="12" t="str">
        <f>CONCATENATE("          ","6118"," - ","VACATION")</f>
        <v xml:space="preserve">          6118 - VACATION</v>
      </c>
      <c r="C42" s="12"/>
      <c r="D42" s="7">
        <v>1691.08</v>
      </c>
      <c r="E42" s="3"/>
      <c r="F42" s="8">
        <f t="shared" si="12"/>
        <v>8.4068671559089383E-2</v>
      </c>
      <c r="G42" s="3"/>
      <c r="H42" s="7">
        <v>1689.1935418999999</v>
      </c>
      <c r="I42" s="3"/>
      <c r="J42" s="8">
        <f t="shared" si="13"/>
        <v>9.8460803328281651E-2</v>
      </c>
      <c r="K42" s="3"/>
      <c r="L42" s="7">
        <f t="shared" si="14"/>
        <v>1.8864581000000271</v>
      </c>
      <c r="M42" s="3"/>
      <c r="N42" s="8">
        <f t="shared" si="15"/>
        <v>1.1167803174751336E-3</v>
      </c>
      <c r="O42" s="12"/>
      <c r="P42" s="7">
        <v>17006.080000000002</v>
      </c>
      <c r="Q42" s="3"/>
      <c r="R42" s="8">
        <f t="shared" si="16"/>
        <v>9.930247376620658E-3</v>
      </c>
      <c r="S42" s="3"/>
      <c r="T42" s="7">
        <v>16469.637033524999</v>
      </c>
      <c r="U42" s="3"/>
      <c r="V42" s="8">
        <f t="shared" si="17"/>
        <v>5.241214815469848E-3</v>
      </c>
      <c r="W42" s="3"/>
      <c r="X42" s="7">
        <f t="shared" si="18"/>
        <v>536.44296647500232</v>
      </c>
      <c r="Y42" s="3"/>
      <c r="Z42" s="8">
        <f t="shared" si="19"/>
        <v>3.2571632597794255E-2</v>
      </c>
    </row>
    <row r="43" spans="1:26" s="70" customFormat="1" ht="15" hidden="1" customHeight="1" outlineLevel="2" x14ac:dyDescent="0.3">
      <c r="A43" s="26"/>
      <c r="B43" s="12" t="str">
        <f>CONCATENATE("          ","6119"," - ","SICK LEAVE")</f>
        <v xml:space="preserve">          6119 - SICK LEAVE</v>
      </c>
      <c r="C43" s="12"/>
      <c r="D43" s="7">
        <v>1158.1500000000001</v>
      </c>
      <c r="E43" s="3"/>
      <c r="F43" s="8">
        <f t="shared" si="12"/>
        <v>5.7575118838942792E-2</v>
      </c>
      <c r="G43" s="3"/>
      <c r="H43" s="7">
        <v>1270.37557641538</v>
      </c>
      <c r="I43" s="3"/>
      <c r="J43" s="8">
        <f t="shared" si="13"/>
        <v>7.4048471462775711E-2</v>
      </c>
      <c r="K43" s="3"/>
      <c r="L43" s="7">
        <f t="shared" si="14"/>
        <v>-112.22557641537992</v>
      </c>
      <c r="M43" s="3"/>
      <c r="N43" s="8">
        <f t="shared" si="15"/>
        <v>-8.8340470722876249E-2</v>
      </c>
      <c r="O43" s="12"/>
      <c r="P43" s="7">
        <v>-15330.09</v>
      </c>
      <c r="Q43" s="3"/>
      <c r="R43" s="8">
        <f t="shared" si="16"/>
        <v>-8.9515976642388223E-3</v>
      </c>
      <c r="S43" s="3"/>
      <c r="T43" s="7">
        <v>14162.72287005</v>
      </c>
      <c r="U43" s="3"/>
      <c r="V43" s="8">
        <f t="shared" si="17"/>
        <v>4.5070740042904445E-3</v>
      </c>
      <c r="W43" s="3"/>
      <c r="X43" s="7">
        <f t="shared" si="18"/>
        <v>-29492.812870050002</v>
      </c>
      <c r="Y43" s="3"/>
      <c r="Z43" s="8">
        <f t="shared" si="19"/>
        <v>-2.0824253316725305</v>
      </c>
    </row>
    <row r="44" spans="1:26" s="70" customFormat="1" ht="15" hidden="1" customHeight="1" outlineLevel="2" x14ac:dyDescent="0.3">
      <c r="A44" s="26"/>
      <c r="B44" s="12" t="str">
        <f>CONCATENATE("          ","6156"," - ","EMPLOYEE MEALS")</f>
        <v xml:space="preserve">          6156 - EMPLOYEE MEALS</v>
      </c>
      <c r="C44" s="12"/>
      <c r="D44" s="7">
        <v>1083.5899999999999</v>
      </c>
      <c r="E44" s="3"/>
      <c r="F44" s="8">
        <f t="shared" si="12"/>
        <v>5.3868517051064206E-2</v>
      </c>
      <c r="G44" s="3"/>
      <c r="H44" s="7">
        <v>1050</v>
      </c>
      <c r="I44" s="3"/>
      <c r="J44" s="8">
        <f t="shared" si="13"/>
        <v>6.1203077640475632E-2</v>
      </c>
      <c r="K44" s="3"/>
      <c r="L44" s="7">
        <f t="shared" si="14"/>
        <v>33.589999999999918</v>
      </c>
      <c r="M44" s="3"/>
      <c r="N44" s="8">
        <f t="shared" si="15"/>
        <v>3.1990476190476111E-2</v>
      </c>
      <c r="O44" s="12"/>
      <c r="P44" s="7">
        <v>7961.76</v>
      </c>
      <c r="Q44" s="3"/>
      <c r="R44" s="8">
        <f t="shared" si="16"/>
        <v>4.649057651927033E-3</v>
      </c>
      <c r="S44" s="3"/>
      <c r="T44" s="7">
        <v>9450</v>
      </c>
      <c r="U44" s="3"/>
      <c r="V44" s="8">
        <f t="shared" si="17"/>
        <v>3.0073206777641573E-3</v>
      </c>
      <c r="W44" s="3"/>
      <c r="X44" s="7">
        <f t="shared" si="18"/>
        <v>-1488.2399999999998</v>
      </c>
      <c r="Y44" s="3"/>
      <c r="Z44" s="8">
        <f t="shared" si="19"/>
        <v>-0.15748571428571426</v>
      </c>
    </row>
    <row r="45" spans="1:26" s="69" customFormat="1" ht="15" customHeight="1" outlineLevel="1" collapsed="1" x14ac:dyDescent="0.3">
      <c r="A45" s="25"/>
      <c r="B45" s="14" t="str">
        <f>CONCATENATE("     ","*Payroll                                          ")</f>
        <v xml:space="preserve">     *Payroll                                          </v>
      </c>
      <c r="C45" s="14"/>
      <c r="D45" s="2">
        <f>SUM(OSRRefD22_1x_0)</f>
        <v>21854.46</v>
      </c>
      <c r="E45" s="2"/>
      <c r="F45" s="6">
        <f t="shared" si="12"/>
        <v>1.0864509188455049</v>
      </c>
      <c r="G45" s="2"/>
      <c r="H45" s="2">
        <f>SUM(OSRRefH22_1x_0)</f>
        <v>26141.3635452538</v>
      </c>
      <c r="I45" s="2"/>
      <c r="J45" s="6">
        <f t="shared" si="13"/>
        <v>1.5237446692267311</v>
      </c>
      <c r="K45" s="2"/>
      <c r="L45" s="2">
        <f t="shared" si="14"/>
        <v>-4286.903545253801</v>
      </c>
      <c r="M45" s="2"/>
      <c r="N45" s="6">
        <f t="shared" si="15"/>
        <v>-0.16398928609185448</v>
      </c>
      <c r="O45" s="14"/>
      <c r="P45" s="2">
        <f>SUM(OSRRefP22_1x_0)</f>
        <v>269883.86</v>
      </c>
      <c r="Q45" s="2"/>
      <c r="R45" s="6">
        <f t="shared" si="16"/>
        <v>0.15759149038210196</v>
      </c>
      <c r="S45" s="2"/>
      <c r="T45" s="2">
        <f>SUM(OSRRefT22_1x_0)</f>
        <v>314096.99456622498</v>
      </c>
      <c r="U45" s="2"/>
      <c r="V45" s="6">
        <f t="shared" si="17"/>
        <v>9.9956654664823757E-2</v>
      </c>
      <c r="W45" s="2"/>
      <c r="X45" s="2">
        <f t="shared" si="18"/>
        <v>-44213.134566224995</v>
      </c>
      <c r="Y45" s="2"/>
      <c r="Z45" s="6">
        <f t="shared" si="19"/>
        <v>-0.14076267946238813</v>
      </c>
    </row>
    <row r="46" spans="1:26" s="70" customFormat="1" ht="15" hidden="1" customHeight="1" outlineLevel="2" x14ac:dyDescent="0.3">
      <c r="A46" s="26"/>
      <c r="B46" s="12" t="str">
        <f>CONCATENATE("          ","6001"," - ","ADMINISTRATIVE SALARIES")</f>
        <v xml:space="preserve">          6001 - ADMINISTRATIVE SALARIES</v>
      </c>
      <c r="C46" s="12"/>
      <c r="D46" s="7"/>
      <c r="E46" s="3"/>
      <c r="F46" s="8">
        <f t="shared" si="12"/>
        <v>0</v>
      </c>
      <c r="G46" s="3"/>
      <c r="H46" s="7">
        <v>0</v>
      </c>
      <c r="I46" s="3"/>
      <c r="J46" s="8">
        <f t="shared" si="13"/>
        <v>0</v>
      </c>
      <c r="K46" s="3"/>
      <c r="L46" s="7">
        <f t="shared" si="14"/>
        <v>0</v>
      </c>
      <c r="M46" s="3"/>
      <c r="N46" s="8">
        <f t="shared" si="15"/>
        <v>0</v>
      </c>
      <c r="O46" s="12"/>
      <c r="P46" s="7"/>
      <c r="Q46" s="3"/>
      <c r="R46" s="8">
        <f t="shared" si="16"/>
        <v>0</v>
      </c>
      <c r="S46" s="3"/>
      <c r="T46" s="7">
        <v>0</v>
      </c>
      <c r="U46" s="3"/>
      <c r="V46" s="8">
        <f t="shared" si="17"/>
        <v>0</v>
      </c>
      <c r="W46" s="3"/>
      <c r="X46" s="7">
        <f t="shared" si="18"/>
        <v>0</v>
      </c>
      <c r="Y46" s="3"/>
      <c r="Z46" s="8">
        <f t="shared" si="19"/>
        <v>0</v>
      </c>
    </row>
    <row r="47" spans="1:26" s="70" customFormat="1" ht="15" hidden="1" customHeight="1" outlineLevel="2" x14ac:dyDescent="0.3">
      <c r="A47" s="26"/>
      <c r="B47" s="12" t="str">
        <f>CONCATENATE("          ","6002"," - ","STAFF SALARIES")</f>
        <v xml:space="preserve">          6002 - STAFF SALARIES</v>
      </c>
      <c r="C47" s="12"/>
      <c r="D47" s="7">
        <v>14828.41</v>
      </c>
      <c r="E47" s="3"/>
      <c r="F47" s="8">
        <f t="shared" si="12"/>
        <v>0.73716484733632737</v>
      </c>
      <c r="G47" s="3"/>
      <c r="H47" s="7">
        <v>17293.700777253802</v>
      </c>
      <c r="I47" s="3"/>
      <c r="J47" s="8">
        <f t="shared" si="13"/>
        <v>1.0080263917727794</v>
      </c>
      <c r="K47" s="3"/>
      <c r="L47" s="7">
        <f t="shared" si="14"/>
        <v>-2465.2907772538019</v>
      </c>
      <c r="M47" s="3"/>
      <c r="N47" s="8">
        <f t="shared" si="15"/>
        <v>-0.1425542634862961</v>
      </c>
      <c r="O47" s="12"/>
      <c r="P47" s="7">
        <v>169997.34</v>
      </c>
      <c r="Q47" s="3"/>
      <c r="R47" s="8">
        <f t="shared" si="16"/>
        <v>9.9265417989771287E-2</v>
      </c>
      <c r="S47" s="3"/>
      <c r="T47" s="7">
        <v>168613.582578225</v>
      </c>
      <c r="U47" s="3"/>
      <c r="V47" s="8">
        <f t="shared" si="17"/>
        <v>5.3658742162898447E-2</v>
      </c>
      <c r="W47" s="3"/>
      <c r="X47" s="7">
        <f t="shared" si="18"/>
        <v>1383.7574217749934</v>
      </c>
      <c r="Y47" s="3"/>
      <c r="Z47" s="8">
        <f t="shared" si="19"/>
        <v>8.2066782557865762E-3</v>
      </c>
    </row>
    <row r="48" spans="1:26" s="70" customFormat="1" ht="15" hidden="1" customHeight="1" outlineLevel="2" x14ac:dyDescent="0.3">
      <c r="A48" s="26"/>
      <c r="B48" s="12" t="str">
        <f>CONCATENATE("          ","6003"," - ","STAFF HOURLY-9 MONTH")</f>
        <v xml:space="preserve">          6003 - STAFF HOURLY-9 MONTH</v>
      </c>
      <c r="C48" s="12"/>
      <c r="D48" s="7"/>
      <c r="E48" s="3"/>
      <c r="F48" s="8">
        <f t="shared" si="12"/>
        <v>0</v>
      </c>
      <c r="G48" s="3"/>
      <c r="H48" s="7">
        <v>0</v>
      </c>
      <c r="I48" s="3"/>
      <c r="J48" s="8">
        <f t="shared" si="13"/>
        <v>0</v>
      </c>
      <c r="K48" s="3"/>
      <c r="L48" s="7">
        <f t="shared" si="14"/>
        <v>0</v>
      </c>
      <c r="M48" s="3"/>
      <c r="N48" s="8">
        <f t="shared" si="15"/>
        <v>0</v>
      </c>
      <c r="O48" s="12"/>
      <c r="P48" s="7"/>
      <c r="Q48" s="3"/>
      <c r="R48" s="8">
        <f t="shared" si="16"/>
        <v>0</v>
      </c>
      <c r="S48" s="3"/>
      <c r="T48" s="7">
        <v>0</v>
      </c>
      <c r="U48" s="3"/>
      <c r="V48" s="8">
        <f t="shared" si="17"/>
        <v>0</v>
      </c>
      <c r="W48" s="3"/>
      <c r="X48" s="7">
        <f t="shared" si="18"/>
        <v>0</v>
      </c>
      <c r="Y48" s="3"/>
      <c r="Z48" s="8">
        <f t="shared" si="19"/>
        <v>0</v>
      </c>
    </row>
    <row r="49" spans="1:26" s="70" customFormat="1" ht="15" hidden="1" customHeight="1" outlineLevel="2" x14ac:dyDescent="0.3">
      <c r="A49" s="26"/>
      <c r="B49" s="12" t="str">
        <f>CONCATENATE("          ","6004"," - ","STAFF HOURLY")</f>
        <v xml:space="preserve">          6004 - STAFF HOURLY</v>
      </c>
      <c r="C49" s="12"/>
      <c r="D49" s="7">
        <v>4726.37</v>
      </c>
      <c r="E49" s="3"/>
      <c r="F49" s="8">
        <f t="shared" si="12"/>
        <v>0.23496206400450201</v>
      </c>
      <c r="G49" s="3"/>
      <c r="H49" s="7">
        <v>5928.5827680000002</v>
      </c>
      <c r="I49" s="3"/>
      <c r="J49" s="8">
        <f t="shared" si="13"/>
        <v>0.34556905852179998</v>
      </c>
      <c r="K49" s="3"/>
      <c r="L49" s="7">
        <f t="shared" si="14"/>
        <v>-1202.2127680000003</v>
      </c>
      <c r="M49" s="3"/>
      <c r="N49" s="8">
        <f t="shared" si="15"/>
        <v>-0.20278248867318507</v>
      </c>
      <c r="O49" s="12"/>
      <c r="P49" s="7">
        <v>55351.68</v>
      </c>
      <c r="Q49" s="3"/>
      <c r="R49" s="8">
        <f t="shared" si="16"/>
        <v>3.232113897568082E-2</v>
      </c>
      <c r="S49" s="3"/>
      <c r="T49" s="7">
        <v>57803.681987999997</v>
      </c>
      <c r="U49" s="3"/>
      <c r="V49" s="8">
        <f t="shared" si="17"/>
        <v>1.8395154295599573E-2</v>
      </c>
      <c r="W49" s="3"/>
      <c r="X49" s="7">
        <f t="shared" si="18"/>
        <v>-2452.0019879999963</v>
      </c>
      <c r="Y49" s="3"/>
      <c r="Z49" s="8">
        <f t="shared" si="19"/>
        <v>-4.2419477508526711E-2</v>
      </c>
    </row>
    <row r="50" spans="1:26" s="70" customFormat="1" ht="15" hidden="1" customHeight="1" outlineLevel="2" x14ac:dyDescent="0.3">
      <c r="A50" s="26"/>
      <c r="B50" s="12" t="str">
        <f>CONCATENATE("          ","6005"," - ","TEMPORARY WAGES-HOURLY")</f>
        <v xml:space="preserve">          6005 - TEMPORARY WAGES-HOURLY</v>
      </c>
      <c r="C50" s="12"/>
      <c r="D50" s="7"/>
      <c r="E50" s="3"/>
      <c r="F50" s="8">
        <f t="shared" si="12"/>
        <v>0</v>
      </c>
      <c r="G50" s="3"/>
      <c r="H50" s="7">
        <v>1802</v>
      </c>
      <c r="I50" s="3"/>
      <c r="J50" s="8">
        <f t="shared" si="13"/>
        <v>0.10503613896013057</v>
      </c>
      <c r="K50" s="3"/>
      <c r="L50" s="7">
        <f t="shared" si="14"/>
        <v>-1802</v>
      </c>
      <c r="M50" s="3"/>
      <c r="N50" s="8">
        <f t="shared" si="15"/>
        <v>-1</v>
      </c>
      <c r="O50" s="12"/>
      <c r="P50" s="7">
        <v>14698.31</v>
      </c>
      <c r="Q50" s="3"/>
      <c r="R50" s="8">
        <f t="shared" si="16"/>
        <v>8.5826865637617343E-3</v>
      </c>
      <c r="S50" s="3"/>
      <c r="T50" s="7">
        <v>28982.34</v>
      </c>
      <c r="U50" s="3"/>
      <c r="V50" s="8">
        <f t="shared" si="17"/>
        <v>9.2231947483588615E-3</v>
      </c>
      <c r="W50" s="3"/>
      <c r="X50" s="7">
        <f t="shared" si="18"/>
        <v>-14284.03</v>
      </c>
      <c r="Y50" s="3"/>
      <c r="Z50" s="8">
        <f t="shared" si="19"/>
        <v>-0.49285288903518487</v>
      </c>
    </row>
    <row r="51" spans="1:26" s="70" customFormat="1" ht="15" hidden="1" customHeight="1" outlineLevel="2" x14ac:dyDescent="0.3">
      <c r="A51" s="26"/>
      <c r="B51" s="12" t="str">
        <f>CONCATENATE("          ","6006"," - ","TEMPORARY PART TIME")</f>
        <v xml:space="preserve">          6006 - TEMPORARY PART TIME</v>
      </c>
      <c r="C51" s="12"/>
      <c r="D51" s="7"/>
      <c r="E51" s="3"/>
      <c r="F51" s="8">
        <f t="shared" si="12"/>
        <v>0</v>
      </c>
      <c r="G51" s="3"/>
      <c r="H51" s="7">
        <v>0</v>
      </c>
      <c r="I51" s="3"/>
      <c r="J51" s="8">
        <f t="shared" si="13"/>
        <v>0</v>
      </c>
      <c r="K51" s="3"/>
      <c r="L51" s="7">
        <f t="shared" si="14"/>
        <v>0</v>
      </c>
      <c r="M51" s="3"/>
      <c r="N51" s="8">
        <f t="shared" si="15"/>
        <v>0</v>
      </c>
      <c r="O51" s="12"/>
      <c r="P51" s="7"/>
      <c r="Q51" s="3"/>
      <c r="R51" s="8">
        <f t="shared" si="16"/>
        <v>0</v>
      </c>
      <c r="S51" s="3"/>
      <c r="T51" s="7">
        <v>0</v>
      </c>
      <c r="U51" s="3"/>
      <c r="V51" s="8">
        <f t="shared" si="17"/>
        <v>0</v>
      </c>
      <c r="W51" s="3"/>
      <c r="X51" s="7">
        <f t="shared" si="18"/>
        <v>0</v>
      </c>
      <c r="Y51" s="3"/>
      <c r="Z51" s="8">
        <f t="shared" si="19"/>
        <v>0</v>
      </c>
    </row>
    <row r="52" spans="1:26" s="70" customFormat="1" ht="15" hidden="1" customHeight="1" outlineLevel="2" x14ac:dyDescent="0.3">
      <c r="A52" s="26"/>
      <c r="B52" s="12" t="str">
        <f>CONCATENATE("          ","6007"," - ","STUDENT HOURLY")</f>
        <v xml:space="preserve">          6007 - STUDENT HOURLY</v>
      </c>
      <c r="C52" s="12"/>
      <c r="D52" s="7">
        <v>2299.6799999999998</v>
      </c>
      <c r="E52" s="3"/>
      <c r="F52" s="8">
        <f t="shared" si="12"/>
        <v>0.1143240075046755</v>
      </c>
      <c r="G52" s="3"/>
      <c r="H52" s="7">
        <v>0</v>
      </c>
      <c r="I52" s="3"/>
      <c r="J52" s="8">
        <f t="shared" si="13"/>
        <v>0</v>
      </c>
      <c r="K52" s="3"/>
      <c r="L52" s="7">
        <f t="shared" si="14"/>
        <v>2299.6799999999998</v>
      </c>
      <c r="M52" s="3"/>
      <c r="N52" s="8">
        <f t="shared" si="15"/>
        <v>0</v>
      </c>
      <c r="O52" s="12"/>
      <c r="P52" s="7">
        <v>25870.05</v>
      </c>
      <c r="Q52" s="3"/>
      <c r="R52" s="8">
        <f t="shared" si="16"/>
        <v>1.5106126523310793E-2</v>
      </c>
      <c r="S52" s="3"/>
      <c r="T52" s="7">
        <v>26246.25</v>
      </c>
      <c r="U52" s="3"/>
      <c r="V52" s="8">
        <f t="shared" si="17"/>
        <v>8.3524751681235462E-3</v>
      </c>
      <c r="W52" s="3"/>
      <c r="X52" s="7">
        <f t="shared" si="18"/>
        <v>-376.20000000000073</v>
      </c>
      <c r="Y52" s="3"/>
      <c r="Z52" s="8">
        <f t="shared" si="19"/>
        <v>-1.4333476210887297E-2</v>
      </c>
    </row>
    <row r="53" spans="1:26" s="70" customFormat="1" ht="15" hidden="1" customHeight="1" outlineLevel="2" x14ac:dyDescent="0.3">
      <c r="A53" s="26"/>
      <c r="B53" s="12" t="str">
        <f>CONCATENATE("          ","6008"," - ","STUDENT HOURLY-FICA EXEMPT")</f>
        <v xml:space="preserve">          6008 - STUDENT HOURLY-FICA EXEMPT</v>
      </c>
      <c r="C53" s="12"/>
      <c r="D53" s="7"/>
      <c r="E53" s="3"/>
      <c r="F53" s="8">
        <f t="shared" si="12"/>
        <v>0</v>
      </c>
      <c r="G53" s="3"/>
      <c r="H53" s="7">
        <v>1117.08</v>
      </c>
      <c r="I53" s="3"/>
      <c r="J53" s="8">
        <f t="shared" si="13"/>
        <v>6.511307997202144E-2</v>
      </c>
      <c r="K53" s="3"/>
      <c r="L53" s="7">
        <f t="shared" si="14"/>
        <v>-1117.08</v>
      </c>
      <c r="M53" s="3"/>
      <c r="N53" s="8">
        <f t="shared" si="15"/>
        <v>-1</v>
      </c>
      <c r="O53" s="12"/>
      <c r="P53" s="7">
        <v>3966.48</v>
      </c>
      <c r="Q53" s="3"/>
      <c r="R53" s="8">
        <f t="shared" si="16"/>
        <v>2.3161203295773221E-3</v>
      </c>
      <c r="S53" s="3"/>
      <c r="T53" s="7">
        <v>32451.14</v>
      </c>
      <c r="U53" s="3"/>
      <c r="V53" s="8">
        <f t="shared" si="17"/>
        <v>1.0327088289843338E-2</v>
      </c>
      <c r="W53" s="3"/>
      <c r="X53" s="7">
        <f t="shared" si="18"/>
        <v>-28484.66</v>
      </c>
      <c r="Y53" s="3"/>
      <c r="Z53" s="8">
        <f t="shared" si="19"/>
        <v>-0.87777070389514822</v>
      </c>
    </row>
    <row r="54" spans="1:26" s="70" customFormat="1" ht="15" hidden="1" customHeight="1" outlineLevel="2" x14ac:dyDescent="0.3">
      <c r="A54" s="26"/>
      <c r="B54" s="12" t="str">
        <f>CONCATENATE("          ","6009"," - ","TEMPORARY-SEASONAL")</f>
        <v xml:space="preserve">          6009 - TEMPORARY-SEASONAL</v>
      </c>
      <c r="C54" s="12"/>
      <c r="D54" s="7"/>
      <c r="E54" s="3"/>
      <c r="F54" s="8">
        <f t="shared" si="12"/>
        <v>0</v>
      </c>
      <c r="G54" s="3"/>
      <c r="H54" s="7">
        <v>0</v>
      </c>
      <c r="I54" s="3"/>
      <c r="J54" s="8">
        <f t="shared" si="13"/>
        <v>0</v>
      </c>
      <c r="K54" s="3"/>
      <c r="L54" s="7">
        <f t="shared" si="14"/>
        <v>0</v>
      </c>
      <c r="M54" s="3"/>
      <c r="N54" s="8">
        <f t="shared" si="15"/>
        <v>0</v>
      </c>
      <c r="O54" s="12"/>
      <c r="P54" s="7"/>
      <c r="Q54" s="3"/>
      <c r="R54" s="8">
        <f t="shared" si="16"/>
        <v>0</v>
      </c>
      <c r="S54" s="3"/>
      <c r="T54" s="7">
        <v>0</v>
      </c>
      <c r="U54" s="3"/>
      <c r="V54" s="8">
        <f t="shared" si="17"/>
        <v>0</v>
      </c>
      <c r="W54" s="3"/>
      <c r="X54" s="7">
        <f t="shared" si="18"/>
        <v>0</v>
      </c>
      <c r="Y54" s="3"/>
      <c r="Z54" s="8">
        <f t="shared" si="19"/>
        <v>0</v>
      </c>
    </row>
    <row r="55" spans="1:26" s="70" customFormat="1" ht="15" hidden="1" customHeight="1" outlineLevel="2" x14ac:dyDescent="0.3">
      <c r="A55" s="26"/>
      <c r="B55" s="12" t="str">
        <f>CONCATENATE("          ","6010"," - ","GRATUITY")</f>
        <v xml:space="preserve">          6010 - GRATUITY</v>
      </c>
      <c r="C55" s="12"/>
      <c r="D55" s="7"/>
      <c r="E55" s="3"/>
      <c r="F55" s="8">
        <f t="shared" si="12"/>
        <v>0</v>
      </c>
      <c r="G55" s="3"/>
      <c r="H55" s="7">
        <v>0</v>
      </c>
      <c r="I55" s="3"/>
      <c r="J55" s="8">
        <f t="shared" si="13"/>
        <v>0</v>
      </c>
      <c r="K55" s="3"/>
      <c r="L55" s="7">
        <f t="shared" si="14"/>
        <v>0</v>
      </c>
      <c r="M55" s="3"/>
      <c r="N55" s="8">
        <f t="shared" si="15"/>
        <v>0</v>
      </c>
      <c r="O55" s="12"/>
      <c r="P55" s="7"/>
      <c r="Q55" s="3"/>
      <c r="R55" s="8">
        <f t="shared" si="16"/>
        <v>0</v>
      </c>
      <c r="S55" s="3"/>
      <c r="T55" s="7">
        <v>0</v>
      </c>
      <c r="U55" s="3"/>
      <c r="V55" s="8">
        <f t="shared" si="17"/>
        <v>0</v>
      </c>
      <c r="W55" s="3"/>
      <c r="X55" s="7">
        <f t="shared" si="18"/>
        <v>0</v>
      </c>
      <c r="Y55" s="3"/>
      <c r="Z55" s="8">
        <f t="shared" si="19"/>
        <v>0</v>
      </c>
    </row>
    <row r="56" spans="1:26" s="69" customFormat="1" ht="15" customHeight="1" outlineLevel="1" collapsed="1" x14ac:dyDescent="0.3">
      <c r="A56" s="25"/>
      <c r="B56" s="14" t="str">
        <f>CONCATENATE("     ","Advertising/Promo                                 ")</f>
        <v xml:space="preserve">     Advertising/Promo                                 </v>
      </c>
      <c r="C56" s="14"/>
      <c r="D56" s="2">
        <f>SUM(OSRRefD22_2x_0)</f>
        <v>0</v>
      </c>
      <c r="E56" s="2"/>
      <c r="F56" s="6">
        <f t="shared" si="12"/>
        <v>0</v>
      </c>
      <c r="G56" s="2"/>
      <c r="H56" s="2">
        <f>SUM(OSRRefH22_2x_0)</f>
        <v>100</v>
      </c>
      <c r="I56" s="2"/>
      <c r="J56" s="6">
        <f t="shared" si="13"/>
        <v>5.8288645371881555E-3</v>
      </c>
      <c r="K56" s="2"/>
      <c r="L56" s="2">
        <f t="shared" si="14"/>
        <v>-100</v>
      </c>
      <c r="M56" s="2"/>
      <c r="N56" s="6">
        <f t="shared" si="15"/>
        <v>-1</v>
      </c>
      <c r="O56" s="14"/>
      <c r="P56" s="2">
        <f>SUM(OSRRefP22_2x_0)</f>
        <v>837.79</v>
      </c>
      <c r="Q56" s="2"/>
      <c r="R56" s="6">
        <f t="shared" si="16"/>
        <v>4.8920515190208557E-4</v>
      </c>
      <c r="S56" s="2"/>
      <c r="T56" s="2">
        <f>SUM(OSRRefT22_2x_0)</f>
        <v>2900</v>
      </c>
      <c r="U56" s="2"/>
      <c r="V56" s="6">
        <f t="shared" si="17"/>
        <v>9.228814778323869E-4</v>
      </c>
      <c r="W56" s="2"/>
      <c r="X56" s="2">
        <f t="shared" si="18"/>
        <v>-2062.21</v>
      </c>
      <c r="Y56" s="2"/>
      <c r="Z56" s="6">
        <f t="shared" si="19"/>
        <v>-0.7111068965517241</v>
      </c>
    </row>
    <row r="57" spans="1:26" s="70" customFormat="1" ht="15" hidden="1" customHeight="1" outlineLevel="2" x14ac:dyDescent="0.3">
      <c r="A57" s="26"/>
      <c r="B57" s="12" t="str">
        <f>CONCATENATE("          ","6362"," - ","ADVERTISING EXPENSE")</f>
        <v xml:space="preserve">          6362 - ADVERTISING EXPENSE</v>
      </c>
      <c r="C57" s="12"/>
      <c r="D57" s="7"/>
      <c r="E57" s="3"/>
      <c r="F57" s="8">
        <f t="shared" si="12"/>
        <v>0</v>
      </c>
      <c r="G57" s="3"/>
      <c r="H57" s="7">
        <v>100</v>
      </c>
      <c r="I57" s="3"/>
      <c r="J57" s="8">
        <f t="shared" si="13"/>
        <v>5.8288645371881555E-3</v>
      </c>
      <c r="K57" s="3"/>
      <c r="L57" s="7">
        <f t="shared" si="14"/>
        <v>-100</v>
      </c>
      <c r="M57" s="3"/>
      <c r="N57" s="8">
        <f t="shared" si="15"/>
        <v>-1</v>
      </c>
      <c r="O57" s="12"/>
      <c r="P57" s="7">
        <v>837.79</v>
      </c>
      <c r="Q57" s="3"/>
      <c r="R57" s="8">
        <f t="shared" si="16"/>
        <v>4.8920515190208557E-4</v>
      </c>
      <c r="S57" s="3"/>
      <c r="T57" s="7">
        <v>2900</v>
      </c>
      <c r="U57" s="3"/>
      <c r="V57" s="8">
        <f t="shared" si="17"/>
        <v>9.228814778323869E-4</v>
      </c>
      <c r="W57" s="3"/>
      <c r="X57" s="7">
        <f t="shared" si="18"/>
        <v>-2062.21</v>
      </c>
      <c r="Y57" s="3"/>
      <c r="Z57" s="8">
        <f t="shared" si="19"/>
        <v>-0.7111068965517241</v>
      </c>
    </row>
    <row r="58" spans="1:26" s="69" customFormat="1" ht="15" customHeight="1" outlineLevel="1" collapsed="1" x14ac:dyDescent="0.3">
      <c r="A58" s="25"/>
      <c r="B58" s="14" t="str">
        <f>CONCATENATE("     ","Discounts and Markdowns                           ")</f>
        <v xml:space="preserve">     Discounts and Markdowns                           </v>
      </c>
      <c r="C58" s="14"/>
      <c r="D58" s="2">
        <f>SUM(OSRRefD22_3x_0)</f>
        <v>0</v>
      </c>
      <c r="E58" s="2"/>
      <c r="F58" s="6">
        <f t="shared" si="12"/>
        <v>0</v>
      </c>
      <c r="G58" s="2"/>
      <c r="H58" s="2">
        <f>SUM(OSRRefH22_3x_0)</f>
        <v>0</v>
      </c>
      <c r="I58" s="2"/>
      <c r="J58" s="6">
        <f t="shared" si="13"/>
        <v>0</v>
      </c>
      <c r="K58" s="2"/>
      <c r="L58" s="2">
        <f t="shared" si="14"/>
        <v>0</v>
      </c>
      <c r="M58" s="2"/>
      <c r="N58" s="6">
        <f t="shared" si="15"/>
        <v>0</v>
      </c>
      <c r="O58" s="14"/>
      <c r="P58" s="2">
        <f>SUM(OSRRefP22_3x_0)</f>
        <v>1.35</v>
      </c>
      <c r="Q58" s="2"/>
      <c r="R58" s="6">
        <f t="shared" si="16"/>
        <v>7.8829653620575041E-7</v>
      </c>
      <c r="S58" s="2"/>
      <c r="T58" s="2">
        <f>SUM(OSRRefT22_3x_0)</f>
        <v>0</v>
      </c>
      <c r="U58" s="2"/>
      <c r="V58" s="6">
        <f t="shared" si="17"/>
        <v>0</v>
      </c>
      <c r="W58" s="2"/>
      <c r="X58" s="2">
        <f t="shared" si="18"/>
        <v>1.35</v>
      </c>
      <c r="Y58" s="2"/>
      <c r="Z58" s="6">
        <f t="shared" si="19"/>
        <v>0</v>
      </c>
    </row>
    <row r="59" spans="1:26" s="70" customFormat="1" ht="15" hidden="1" customHeight="1" outlineLevel="2" x14ac:dyDescent="0.3">
      <c r="A59" s="26"/>
      <c r="B59" s="12" t="str">
        <f>CONCATENATE("          ","6382"," - ","DISCOUNTS/MARK DOWNS")</f>
        <v xml:space="preserve">          6382 - DISCOUNTS/MARK DOWNS</v>
      </c>
      <c r="C59" s="12"/>
      <c r="D59" s="7"/>
      <c r="E59" s="3"/>
      <c r="F59" s="8">
        <f t="shared" si="12"/>
        <v>0</v>
      </c>
      <c r="G59" s="3"/>
      <c r="H59" s="7"/>
      <c r="I59" s="3"/>
      <c r="J59" s="8">
        <f t="shared" si="13"/>
        <v>0</v>
      </c>
      <c r="K59" s="3"/>
      <c r="L59" s="7">
        <f t="shared" si="14"/>
        <v>0</v>
      </c>
      <c r="M59" s="3"/>
      <c r="N59" s="8">
        <f t="shared" si="15"/>
        <v>0</v>
      </c>
      <c r="O59" s="12"/>
      <c r="P59" s="7">
        <v>1.35</v>
      </c>
      <c r="Q59" s="3"/>
      <c r="R59" s="8">
        <f t="shared" si="16"/>
        <v>7.8829653620575041E-7</v>
      </c>
      <c r="S59" s="3"/>
      <c r="T59" s="7"/>
      <c r="U59" s="3"/>
      <c r="V59" s="8">
        <f t="shared" si="17"/>
        <v>0</v>
      </c>
      <c r="W59" s="3"/>
      <c r="X59" s="7">
        <f t="shared" si="18"/>
        <v>1.35</v>
      </c>
      <c r="Y59" s="3"/>
      <c r="Z59" s="8">
        <f t="shared" si="19"/>
        <v>0</v>
      </c>
    </row>
    <row r="60" spans="1:26" s="69" customFormat="1" ht="15" customHeight="1" outlineLevel="1" collapsed="1" x14ac:dyDescent="0.3">
      <c r="A60" s="25"/>
      <c r="B60" s="14" t="str">
        <f>CONCATENATE("     ","Employees' Appreciation                           ")</f>
        <v xml:space="preserve">     Employees' Appreciation                           </v>
      </c>
      <c r="C60" s="14"/>
      <c r="D60" s="2">
        <f>SUM(OSRRefD22_4x_0)</f>
        <v>0</v>
      </c>
      <c r="E60" s="2"/>
      <c r="F60" s="6">
        <f t="shared" si="12"/>
        <v>0</v>
      </c>
      <c r="G60" s="2"/>
      <c r="H60" s="2">
        <f>SUM(OSRRefH22_4x_0)</f>
        <v>50</v>
      </c>
      <c r="I60" s="2"/>
      <c r="J60" s="6">
        <f t="shared" si="13"/>
        <v>2.9144322685940778E-3</v>
      </c>
      <c r="K60" s="2"/>
      <c r="L60" s="2">
        <f t="shared" si="14"/>
        <v>-50</v>
      </c>
      <c r="M60" s="2"/>
      <c r="N60" s="6">
        <f t="shared" si="15"/>
        <v>-1</v>
      </c>
      <c r="O60" s="14"/>
      <c r="P60" s="2">
        <f>SUM(OSRRefP22_4x_0)</f>
        <v>0</v>
      </c>
      <c r="Q60" s="2"/>
      <c r="R60" s="6">
        <f t="shared" si="16"/>
        <v>0</v>
      </c>
      <c r="S60" s="2"/>
      <c r="T60" s="2">
        <f>SUM(OSRRefT22_4x_0)</f>
        <v>450</v>
      </c>
      <c r="U60" s="2"/>
      <c r="V60" s="6">
        <f t="shared" si="17"/>
        <v>1.4320574656019797E-4</v>
      </c>
      <c r="W60" s="2"/>
      <c r="X60" s="2">
        <f t="shared" si="18"/>
        <v>-450</v>
      </c>
      <c r="Y60" s="2"/>
      <c r="Z60" s="6">
        <f t="shared" si="19"/>
        <v>-1</v>
      </c>
    </row>
    <row r="61" spans="1:26" s="70" customFormat="1" ht="15" hidden="1" customHeight="1" outlineLevel="2" x14ac:dyDescent="0.3">
      <c r="A61" s="26"/>
      <c r="B61" s="12" t="str">
        <f>CONCATENATE("          ","6277"," - ","EMPLOYEE APPRECIATION")</f>
        <v xml:space="preserve">          6277 - EMPLOYEE APPRECIATION</v>
      </c>
      <c r="C61" s="12"/>
      <c r="D61" s="7"/>
      <c r="E61" s="3"/>
      <c r="F61" s="8">
        <f t="shared" si="12"/>
        <v>0</v>
      </c>
      <c r="G61" s="3"/>
      <c r="H61" s="7">
        <v>50</v>
      </c>
      <c r="I61" s="3"/>
      <c r="J61" s="8">
        <f t="shared" si="13"/>
        <v>2.9144322685940778E-3</v>
      </c>
      <c r="K61" s="3"/>
      <c r="L61" s="7">
        <f t="shared" si="14"/>
        <v>-50</v>
      </c>
      <c r="M61" s="3"/>
      <c r="N61" s="8">
        <f t="shared" si="15"/>
        <v>-1</v>
      </c>
      <c r="O61" s="12"/>
      <c r="P61" s="7"/>
      <c r="Q61" s="3"/>
      <c r="R61" s="8">
        <f t="shared" si="16"/>
        <v>0</v>
      </c>
      <c r="S61" s="3"/>
      <c r="T61" s="7">
        <v>450</v>
      </c>
      <c r="U61" s="3"/>
      <c r="V61" s="8">
        <f t="shared" si="17"/>
        <v>1.4320574656019797E-4</v>
      </c>
      <c r="W61" s="3"/>
      <c r="X61" s="7">
        <f t="shared" si="18"/>
        <v>-450</v>
      </c>
      <c r="Y61" s="3"/>
      <c r="Z61" s="8">
        <f t="shared" si="19"/>
        <v>-1</v>
      </c>
    </row>
    <row r="62" spans="1:26" s="69" customFormat="1" ht="15" customHeight="1" outlineLevel="1" collapsed="1" x14ac:dyDescent="0.3">
      <c r="A62" s="25"/>
      <c r="B62" s="14" t="str">
        <f>CONCATENATE("     ","Equipment Rental                                  ")</f>
        <v xml:space="preserve">     Equipment Rental                                  </v>
      </c>
      <c r="C62" s="14"/>
      <c r="D62" s="2">
        <f>SUM(OSRRefD22_5x_0)</f>
        <v>91.26</v>
      </c>
      <c r="E62" s="2"/>
      <c r="F62" s="6">
        <f t="shared" si="12"/>
        <v>4.5368090016335702E-3</v>
      </c>
      <c r="G62" s="2"/>
      <c r="H62" s="2">
        <f>SUM(OSRRefH22_5x_0)</f>
        <v>100</v>
      </c>
      <c r="I62" s="2"/>
      <c r="J62" s="6">
        <f t="shared" si="13"/>
        <v>5.8288645371881555E-3</v>
      </c>
      <c r="K62" s="2"/>
      <c r="L62" s="2">
        <f t="shared" si="14"/>
        <v>-8.7399999999999949</v>
      </c>
      <c r="M62" s="2"/>
      <c r="N62" s="6">
        <f t="shared" si="15"/>
        <v>-8.739999999999995E-2</v>
      </c>
      <c r="O62" s="14"/>
      <c r="P62" s="2">
        <f>SUM(OSRRefP22_5x_0)</f>
        <v>821.34</v>
      </c>
      <c r="Q62" s="2"/>
      <c r="R62" s="6">
        <f t="shared" si="16"/>
        <v>4.7959961262757854E-4</v>
      </c>
      <c r="S62" s="2"/>
      <c r="T62" s="2">
        <f>SUM(OSRRefT22_5x_0)</f>
        <v>900</v>
      </c>
      <c r="U62" s="2"/>
      <c r="V62" s="6">
        <f t="shared" si="17"/>
        <v>2.8641149312039595E-4</v>
      </c>
      <c r="W62" s="2"/>
      <c r="X62" s="2">
        <f t="shared" si="18"/>
        <v>-78.659999999999968</v>
      </c>
      <c r="Y62" s="2"/>
      <c r="Z62" s="6">
        <f t="shared" si="19"/>
        <v>-8.7399999999999964E-2</v>
      </c>
    </row>
    <row r="63" spans="1:26" s="70" customFormat="1" ht="15" hidden="1" customHeight="1" outlineLevel="2" x14ac:dyDescent="0.3">
      <c r="A63" s="26"/>
      <c r="B63" s="12" t="str">
        <f>CONCATENATE("          ","6351"," - ","EQUIPMENT RENTAL")</f>
        <v xml:space="preserve">          6351 - EQUIPMENT RENTAL</v>
      </c>
      <c r="C63" s="12"/>
      <c r="D63" s="7">
        <v>91.26</v>
      </c>
      <c r="E63" s="3"/>
      <c r="F63" s="8">
        <f t="shared" si="12"/>
        <v>4.5368090016335702E-3</v>
      </c>
      <c r="G63" s="3"/>
      <c r="H63" s="7">
        <v>100</v>
      </c>
      <c r="I63" s="3"/>
      <c r="J63" s="8">
        <f t="shared" si="13"/>
        <v>5.8288645371881555E-3</v>
      </c>
      <c r="K63" s="3"/>
      <c r="L63" s="7">
        <f t="shared" si="14"/>
        <v>-8.7399999999999949</v>
      </c>
      <c r="M63" s="3"/>
      <c r="N63" s="8">
        <f t="shared" si="15"/>
        <v>-8.739999999999995E-2</v>
      </c>
      <c r="O63" s="12"/>
      <c r="P63" s="7">
        <v>821.34</v>
      </c>
      <c r="Q63" s="3"/>
      <c r="R63" s="8">
        <f t="shared" si="16"/>
        <v>4.7959961262757854E-4</v>
      </c>
      <c r="S63" s="3"/>
      <c r="T63" s="7">
        <v>900</v>
      </c>
      <c r="U63" s="3"/>
      <c r="V63" s="8">
        <f t="shared" si="17"/>
        <v>2.8641149312039595E-4</v>
      </c>
      <c r="W63" s="3"/>
      <c r="X63" s="7">
        <f t="shared" si="18"/>
        <v>-78.659999999999968</v>
      </c>
      <c r="Y63" s="3"/>
      <c r="Z63" s="8">
        <f t="shared" si="19"/>
        <v>-8.7399999999999964E-2</v>
      </c>
    </row>
    <row r="64" spans="1:26" s="69" customFormat="1" ht="15" customHeight="1" outlineLevel="1" collapsed="1" x14ac:dyDescent="0.3">
      <c r="A64" s="25"/>
      <c r="B64" s="14" t="str">
        <f>CONCATENATE("     ","Freight out/Postage                               ")</f>
        <v xml:space="preserve">     Freight out/Postage                               </v>
      </c>
      <c r="C64" s="14"/>
      <c r="D64" s="2">
        <f>SUM(OSRRefD22_6x_0)</f>
        <v>0</v>
      </c>
      <c r="E64" s="2"/>
      <c r="F64" s="6">
        <f t="shared" si="12"/>
        <v>0</v>
      </c>
      <c r="G64" s="2"/>
      <c r="H64" s="2">
        <f>SUM(OSRRefH22_6x_0)</f>
        <v>3200</v>
      </c>
      <c r="I64" s="2"/>
      <c r="J64" s="6">
        <f t="shared" si="13"/>
        <v>0.18652366519002098</v>
      </c>
      <c r="K64" s="2"/>
      <c r="L64" s="2">
        <f t="shared" si="14"/>
        <v>-3200</v>
      </c>
      <c r="M64" s="2"/>
      <c r="N64" s="6">
        <f t="shared" si="15"/>
        <v>-1</v>
      </c>
      <c r="O64" s="14"/>
      <c r="P64" s="2">
        <f>SUM(OSRRefP22_6x_0)</f>
        <v>5623.17</v>
      </c>
      <c r="Q64" s="2"/>
      <c r="R64" s="6">
        <f t="shared" si="16"/>
        <v>3.2835003211082142E-3</v>
      </c>
      <c r="S64" s="2"/>
      <c r="T64" s="2">
        <f>SUM(OSRRefT22_6x_0)</f>
        <v>13700</v>
      </c>
      <c r="U64" s="2"/>
      <c r="V64" s="6">
        <f t="shared" si="17"/>
        <v>4.3598193952771383E-3</v>
      </c>
      <c r="W64" s="2"/>
      <c r="X64" s="2">
        <f t="shared" si="18"/>
        <v>-8076.83</v>
      </c>
      <c r="Y64" s="2"/>
      <c r="Z64" s="6">
        <f t="shared" si="19"/>
        <v>-0.58954963503649638</v>
      </c>
    </row>
    <row r="65" spans="1:26" s="70" customFormat="1" ht="15" hidden="1" customHeight="1" outlineLevel="2" x14ac:dyDescent="0.3">
      <c r="A65" s="26"/>
      <c r="B65" s="12" t="str">
        <f>CONCATENATE("          ","6305"," - ","FREIGHT OUT")</f>
        <v xml:space="preserve">          6305 - FREIGHT OUT</v>
      </c>
      <c r="C65" s="12"/>
      <c r="D65" s="7">
        <v>0</v>
      </c>
      <c r="E65" s="3"/>
      <c r="F65" s="8">
        <f t="shared" ref="F65:F85" si="20">IF(D$12=0,0,D65/D$12)</f>
        <v>0</v>
      </c>
      <c r="G65" s="3"/>
      <c r="H65" s="7">
        <v>3200</v>
      </c>
      <c r="I65" s="3"/>
      <c r="J65" s="8">
        <f t="shared" ref="J65:J85" si="21">IF(H$12=0,0,H65/H$12)</f>
        <v>0.18652366519002098</v>
      </c>
      <c r="K65" s="3"/>
      <c r="L65" s="7">
        <f t="shared" ref="L65:L85" si="22">+D65-H65</f>
        <v>-3200</v>
      </c>
      <c r="M65" s="3"/>
      <c r="N65" s="8">
        <f t="shared" ref="N65:N85" si="23">IF(H65=0,0,L65/H65)</f>
        <v>-1</v>
      </c>
      <c r="O65" s="12"/>
      <c r="P65" s="7">
        <v>5621.58</v>
      </c>
      <c r="Q65" s="3"/>
      <c r="R65" s="8">
        <f t="shared" ref="R65:R85" si="24">IF(P$12=0,0,P65/P$12)</f>
        <v>3.2825718829655719E-3</v>
      </c>
      <c r="S65" s="3"/>
      <c r="T65" s="7">
        <v>13700</v>
      </c>
      <c r="U65" s="3"/>
      <c r="V65" s="8">
        <f t="shared" ref="V65:V85" si="25">IF(T$12=0,0,T65/T$12)</f>
        <v>4.3598193952771383E-3</v>
      </c>
      <c r="W65" s="3"/>
      <c r="X65" s="7">
        <f t="shared" ref="X65:X85" si="26">+P65-T65</f>
        <v>-8078.42</v>
      </c>
      <c r="Y65" s="3"/>
      <c r="Z65" s="8">
        <f t="shared" ref="Z65:Z85" si="27">IF(T65=0,0,X65/T65)</f>
        <v>-0.58966569343065689</v>
      </c>
    </row>
    <row r="66" spans="1:26" s="70" customFormat="1" ht="15" hidden="1" customHeight="1" outlineLevel="2" x14ac:dyDescent="0.3">
      <c r="A66" s="26"/>
      <c r="B66" s="12" t="str">
        <f>CONCATENATE("          ","6307"," - ","POSTAGE")</f>
        <v xml:space="preserve">          6307 - POSTAGE</v>
      </c>
      <c r="C66" s="12"/>
      <c r="D66" s="7"/>
      <c r="E66" s="3"/>
      <c r="F66" s="8">
        <f t="shared" si="20"/>
        <v>0</v>
      </c>
      <c r="G66" s="3"/>
      <c r="H66" s="7"/>
      <c r="I66" s="3"/>
      <c r="J66" s="8">
        <f t="shared" si="21"/>
        <v>0</v>
      </c>
      <c r="K66" s="3"/>
      <c r="L66" s="7">
        <f t="shared" si="22"/>
        <v>0</v>
      </c>
      <c r="M66" s="3"/>
      <c r="N66" s="8">
        <f t="shared" si="23"/>
        <v>0</v>
      </c>
      <c r="O66" s="12"/>
      <c r="P66" s="7">
        <v>1.59</v>
      </c>
      <c r="Q66" s="3"/>
      <c r="R66" s="8">
        <f t="shared" si="24"/>
        <v>9.2843814264232822E-7</v>
      </c>
      <c r="S66" s="3"/>
      <c r="T66" s="7"/>
      <c r="U66" s="3"/>
      <c r="V66" s="8">
        <f t="shared" si="25"/>
        <v>0</v>
      </c>
      <c r="W66" s="3"/>
      <c r="X66" s="7">
        <f t="shared" si="26"/>
        <v>1.59</v>
      </c>
      <c r="Y66" s="3"/>
      <c r="Z66" s="8">
        <f t="shared" si="27"/>
        <v>0</v>
      </c>
    </row>
    <row r="67" spans="1:26" s="69" customFormat="1" ht="15" customHeight="1" outlineLevel="1" collapsed="1" x14ac:dyDescent="0.3">
      <c r="A67" s="25"/>
      <c r="B67" s="14" t="str">
        <f>CONCATENATE("     ","General                                           ")</f>
        <v xml:space="preserve">     General                                           </v>
      </c>
      <c r="C67" s="14"/>
      <c r="D67" s="2">
        <f>SUM(OSRRefD22_7x_0)</f>
        <v>0</v>
      </c>
      <c r="E67" s="2"/>
      <c r="F67" s="6">
        <f t="shared" si="20"/>
        <v>0</v>
      </c>
      <c r="G67" s="2"/>
      <c r="H67" s="2">
        <f>SUM(OSRRefH22_7x_0)</f>
        <v>0</v>
      </c>
      <c r="I67" s="2"/>
      <c r="J67" s="6">
        <f t="shared" si="21"/>
        <v>0</v>
      </c>
      <c r="K67" s="2"/>
      <c r="L67" s="2">
        <f t="shared" si="22"/>
        <v>0</v>
      </c>
      <c r="M67" s="2"/>
      <c r="N67" s="6">
        <f t="shared" si="23"/>
        <v>0</v>
      </c>
      <c r="O67" s="14"/>
      <c r="P67" s="2">
        <f>SUM(OSRRefP22_7x_0)</f>
        <v>0</v>
      </c>
      <c r="Q67" s="2"/>
      <c r="R67" s="6">
        <f t="shared" si="24"/>
        <v>0</v>
      </c>
      <c r="S67" s="2"/>
      <c r="T67" s="2">
        <f>SUM(OSRRefT22_7x_0)</f>
        <v>1500</v>
      </c>
      <c r="U67" s="2"/>
      <c r="V67" s="6">
        <f t="shared" si="25"/>
        <v>4.7735248853399321E-4</v>
      </c>
      <c r="W67" s="2"/>
      <c r="X67" s="2">
        <f t="shared" si="26"/>
        <v>-1500</v>
      </c>
      <c r="Y67" s="2"/>
      <c r="Z67" s="6">
        <f t="shared" si="27"/>
        <v>-1</v>
      </c>
    </row>
    <row r="68" spans="1:26" s="70" customFormat="1" ht="15" hidden="1" customHeight="1" outlineLevel="2" x14ac:dyDescent="0.3">
      <c r="A68" s="26"/>
      <c r="B68" s="12" t="str">
        <f>CONCATENATE("          ","6279"," - ","GENERAL EXPENSE")</f>
        <v xml:space="preserve">          6279 - GENERAL EXPENSE</v>
      </c>
      <c r="C68" s="12"/>
      <c r="D68" s="7"/>
      <c r="E68" s="3"/>
      <c r="F68" s="8">
        <f t="shared" si="20"/>
        <v>0</v>
      </c>
      <c r="G68" s="3"/>
      <c r="H68" s="7">
        <v>0</v>
      </c>
      <c r="I68" s="3"/>
      <c r="J68" s="8">
        <f t="shared" si="21"/>
        <v>0</v>
      </c>
      <c r="K68" s="3"/>
      <c r="L68" s="7">
        <f t="shared" si="22"/>
        <v>0</v>
      </c>
      <c r="M68" s="3"/>
      <c r="N68" s="8">
        <f t="shared" si="23"/>
        <v>0</v>
      </c>
      <c r="O68" s="12"/>
      <c r="P68" s="7"/>
      <c r="Q68" s="3"/>
      <c r="R68" s="8">
        <f t="shared" si="24"/>
        <v>0</v>
      </c>
      <c r="S68" s="3"/>
      <c r="T68" s="7">
        <v>1500</v>
      </c>
      <c r="U68" s="3"/>
      <c r="V68" s="8">
        <f t="shared" si="25"/>
        <v>4.7735248853399321E-4</v>
      </c>
      <c r="W68" s="3"/>
      <c r="X68" s="7">
        <f t="shared" si="26"/>
        <v>-1500</v>
      </c>
      <c r="Y68" s="3"/>
      <c r="Z68" s="8">
        <f t="shared" si="27"/>
        <v>-1</v>
      </c>
    </row>
    <row r="69" spans="1:26" s="69" customFormat="1" ht="15" customHeight="1" outlineLevel="1" collapsed="1" x14ac:dyDescent="0.3">
      <c r="A69" s="25"/>
      <c r="B69" s="14" t="str">
        <f>CONCATENATE("     ","Inventory Adjustment                              ")</f>
        <v xml:space="preserve">     Inventory Adjustment                              </v>
      </c>
      <c r="C69" s="14"/>
      <c r="D69" s="2">
        <f>SUM(OSRRefD22_8x_0)</f>
        <v>1000</v>
      </c>
      <c r="E69" s="2"/>
      <c r="F69" s="6">
        <f t="shared" si="20"/>
        <v>4.9713006811676196E-2</v>
      </c>
      <c r="G69" s="2"/>
      <c r="H69" s="2">
        <f>SUM(OSRRefH22_8x_0)</f>
        <v>1000</v>
      </c>
      <c r="I69" s="2"/>
      <c r="J69" s="6">
        <f t="shared" si="21"/>
        <v>5.828864537188156E-2</v>
      </c>
      <c r="K69" s="2"/>
      <c r="L69" s="2">
        <f t="shared" si="22"/>
        <v>0</v>
      </c>
      <c r="M69" s="2"/>
      <c r="N69" s="6">
        <f t="shared" si="23"/>
        <v>0</v>
      </c>
      <c r="O69" s="14"/>
      <c r="P69" s="2">
        <f>SUM(OSRRefP22_8x_0)</f>
        <v>13000</v>
      </c>
      <c r="Q69" s="2"/>
      <c r="R69" s="6">
        <f t="shared" si="24"/>
        <v>7.5910036819812994E-3</v>
      </c>
      <c r="S69" s="2"/>
      <c r="T69" s="2">
        <f>SUM(OSRRefT22_8x_0)</f>
        <v>13000</v>
      </c>
      <c r="U69" s="2"/>
      <c r="V69" s="6">
        <f t="shared" si="25"/>
        <v>4.1370549006279414E-3</v>
      </c>
      <c r="W69" s="2"/>
      <c r="X69" s="2">
        <f t="shared" si="26"/>
        <v>0</v>
      </c>
      <c r="Y69" s="2"/>
      <c r="Z69" s="6">
        <f t="shared" si="27"/>
        <v>0</v>
      </c>
    </row>
    <row r="70" spans="1:26" s="70" customFormat="1" ht="15" hidden="1" customHeight="1" outlineLevel="2" x14ac:dyDescent="0.3">
      <c r="A70" s="26"/>
      <c r="B70" s="12" t="str">
        <f>CONCATENATE("          ","6408"," - ","INVENTORY ADJUSTMENT")</f>
        <v xml:space="preserve">          6408 - INVENTORY ADJUSTMENT</v>
      </c>
      <c r="C70" s="12"/>
      <c r="D70" s="7">
        <v>1000</v>
      </c>
      <c r="E70" s="3"/>
      <c r="F70" s="8">
        <f t="shared" si="20"/>
        <v>4.9713006811676196E-2</v>
      </c>
      <c r="G70" s="3"/>
      <c r="H70" s="7">
        <v>1000</v>
      </c>
      <c r="I70" s="3"/>
      <c r="J70" s="8">
        <f t="shared" si="21"/>
        <v>5.828864537188156E-2</v>
      </c>
      <c r="K70" s="3"/>
      <c r="L70" s="7">
        <f t="shared" si="22"/>
        <v>0</v>
      </c>
      <c r="M70" s="3"/>
      <c r="N70" s="8">
        <f t="shared" si="23"/>
        <v>0</v>
      </c>
      <c r="O70" s="12"/>
      <c r="P70" s="7">
        <v>13000</v>
      </c>
      <c r="Q70" s="3"/>
      <c r="R70" s="8">
        <f t="shared" si="24"/>
        <v>7.5910036819812994E-3</v>
      </c>
      <c r="S70" s="3"/>
      <c r="T70" s="7">
        <v>13000</v>
      </c>
      <c r="U70" s="3"/>
      <c r="V70" s="8">
        <f t="shared" si="25"/>
        <v>4.1370549006279414E-3</v>
      </c>
      <c r="W70" s="3"/>
      <c r="X70" s="7">
        <f t="shared" si="26"/>
        <v>0</v>
      </c>
      <c r="Y70" s="3"/>
      <c r="Z70" s="8">
        <f t="shared" si="27"/>
        <v>0</v>
      </c>
    </row>
    <row r="71" spans="1:26" s="69" customFormat="1" ht="15" customHeight="1" outlineLevel="1" collapsed="1" x14ac:dyDescent="0.3">
      <c r="A71" s="25"/>
      <c r="B71" s="14" t="str">
        <f>CONCATENATE("     ","Repair and Maintenance                            ")</f>
        <v xml:space="preserve">     Repair and Maintenance                            </v>
      </c>
      <c r="C71" s="14"/>
      <c r="D71" s="2">
        <f>SUM(OSRRefD22_9x_0)</f>
        <v>149.29999999999998</v>
      </c>
      <c r="E71" s="2"/>
      <c r="F71" s="6">
        <f t="shared" si="20"/>
        <v>7.422151916983255E-3</v>
      </c>
      <c r="G71" s="2"/>
      <c r="H71" s="2">
        <f>SUM(OSRRefH22_9x_0)</f>
        <v>80</v>
      </c>
      <c r="I71" s="2"/>
      <c r="J71" s="6">
        <f t="shared" si="21"/>
        <v>4.6630916297505246E-3</v>
      </c>
      <c r="K71" s="2"/>
      <c r="L71" s="2">
        <f t="shared" si="22"/>
        <v>69.299999999999983</v>
      </c>
      <c r="M71" s="2"/>
      <c r="N71" s="6">
        <f t="shared" si="23"/>
        <v>0.86624999999999974</v>
      </c>
      <c r="O71" s="14"/>
      <c r="P71" s="2">
        <f>SUM(OSRRefP22_9x_0)</f>
        <v>6045.15</v>
      </c>
      <c r="Q71" s="2"/>
      <c r="R71" s="6">
        <f t="shared" si="24"/>
        <v>3.5299043006253271E-3</v>
      </c>
      <c r="S71" s="2"/>
      <c r="T71" s="2">
        <f>SUM(OSRRefT22_9x_0)</f>
        <v>720</v>
      </c>
      <c r="U71" s="2"/>
      <c r="V71" s="6">
        <f t="shared" si="25"/>
        <v>2.2912919449631674E-4</v>
      </c>
      <c r="W71" s="2"/>
      <c r="X71" s="2">
        <f t="shared" si="26"/>
        <v>5325.15</v>
      </c>
      <c r="Y71" s="2"/>
      <c r="Z71" s="6">
        <f t="shared" si="27"/>
        <v>7.3960416666666662</v>
      </c>
    </row>
    <row r="72" spans="1:26" s="70" customFormat="1" ht="15" hidden="1" customHeight="1" outlineLevel="2" x14ac:dyDescent="0.3">
      <c r="A72" s="26"/>
      <c r="B72" s="12" t="str">
        <f>CONCATENATE("          ","6371"," - ","COMPUTER SOFTWARE MAINTENANCE")</f>
        <v xml:space="preserve">          6371 - COMPUTER SOFTWARE MAINTENANCE</v>
      </c>
      <c r="C72" s="12"/>
      <c r="D72" s="7"/>
      <c r="E72" s="3"/>
      <c r="F72" s="8">
        <f t="shared" si="20"/>
        <v>0</v>
      </c>
      <c r="G72" s="3"/>
      <c r="H72" s="7"/>
      <c r="I72" s="3"/>
      <c r="J72" s="8">
        <f t="shared" si="21"/>
        <v>0</v>
      </c>
      <c r="K72" s="3"/>
      <c r="L72" s="7">
        <f t="shared" si="22"/>
        <v>0</v>
      </c>
      <c r="M72" s="3"/>
      <c r="N72" s="8">
        <f t="shared" si="23"/>
        <v>0</v>
      </c>
      <c r="O72" s="12"/>
      <c r="P72" s="7">
        <v>5775</v>
      </c>
      <c r="Q72" s="3"/>
      <c r="R72" s="8">
        <f t="shared" si="24"/>
        <v>3.3721574048801543E-3</v>
      </c>
      <c r="S72" s="3"/>
      <c r="T72" s="7"/>
      <c r="U72" s="3"/>
      <c r="V72" s="8">
        <f t="shared" si="25"/>
        <v>0</v>
      </c>
      <c r="W72" s="3"/>
      <c r="X72" s="7">
        <f t="shared" si="26"/>
        <v>5775</v>
      </c>
      <c r="Y72" s="3"/>
      <c r="Z72" s="8">
        <f t="shared" si="27"/>
        <v>0</v>
      </c>
    </row>
    <row r="73" spans="1:26" s="70" customFormat="1" ht="15" hidden="1" customHeight="1" outlineLevel="2" x14ac:dyDescent="0.3">
      <c r="A73" s="26"/>
      <c r="B73" s="12" t="str">
        <f>CONCATENATE("          ","6373"," - ","MAINTENANCE CONTRACTS")</f>
        <v xml:space="preserve">          6373 - MAINTENANCE CONTRACTS</v>
      </c>
      <c r="C73" s="12"/>
      <c r="D73" s="7">
        <v>11.88</v>
      </c>
      <c r="E73" s="3"/>
      <c r="F73" s="8">
        <f t="shared" si="20"/>
        <v>5.9059052092271327E-4</v>
      </c>
      <c r="G73" s="3"/>
      <c r="H73" s="7">
        <v>40</v>
      </c>
      <c r="I73" s="3"/>
      <c r="J73" s="8">
        <f t="shared" si="21"/>
        <v>2.3315458148752623E-3</v>
      </c>
      <c r="K73" s="3"/>
      <c r="L73" s="7">
        <f t="shared" si="22"/>
        <v>-28.119999999999997</v>
      </c>
      <c r="M73" s="3"/>
      <c r="N73" s="8">
        <f t="shared" si="23"/>
        <v>-0.70299999999999996</v>
      </c>
      <c r="O73" s="12"/>
      <c r="P73" s="7">
        <v>132.72999999999999</v>
      </c>
      <c r="Q73" s="3"/>
      <c r="R73" s="8">
        <f t="shared" si="24"/>
        <v>7.7504147593029062E-5</v>
      </c>
      <c r="S73" s="3"/>
      <c r="T73" s="7">
        <v>360</v>
      </c>
      <c r="U73" s="3"/>
      <c r="V73" s="8">
        <f t="shared" si="25"/>
        <v>1.1456459724815837E-4</v>
      </c>
      <c r="W73" s="3"/>
      <c r="X73" s="7">
        <f t="shared" si="26"/>
        <v>-227.27</v>
      </c>
      <c r="Y73" s="3"/>
      <c r="Z73" s="8">
        <f t="shared" si="27"/>
        <v>-0.63130555555555556</v>
      </c>
    </row>
    <row r="74" spans="1:26" s="70" customFormat="1" ht="15" hidden="1" customHeight="1" outlineLevel="2" x14ac:dyDescent="0.3">
      <c r="A74" s="26"/>
      <c r="B74" s="12" t="str">
        <f>CONCATENATE("          ","6375"," - ","OUTSIDE REPAIRS &amp; MAINTENANCE")</f>
        <v xml:space="preserve">          6375 - OUTSIDE REPAIRS &amp; MAINTENANCE</v>
      </c>
      <c r="C74" s="12"/>
      <c r="D74" s="7">
        <v>137.41999999999999</v>
      </c>
      <c r="E74" s="3"/>
      <c r="F74" s="8">
        <f t="shared" si="20"/>
        <v>6.8315613960605419E-3</v>
      </c>
      <c r="G74" s="3"/>
      <c r="H74" s="7">
        <v>40</v>
      </c>
      <c r="I74" s="3"/>
      <c r="J74" s="8">
        <f t="shared" si="21"/>
        <v>2.3315458148752623E-3</v>
      </c>
      <c r="K74" s="3"/>
      <c r="L74" s="7">
        <f t="shared" si="22"/>
        <v>97.419999999999987</v>
      </c>
      <c r="M74" s="3"/>
      <c r="N74" s="8">
        <f t="shared" si="23"/>
        <v>2.4354999999999998</v>
      </c>
      <c r="O74" s="12"/>
      <c r="P74" s="7">
        <v>137.41999999999999</v>
      </c>
      <c r="Q74" s="3"/>
      <c r="R74" s="8">
        <f t="shared" si="24"/>
        <v>8.0242748152143856E-5</v>
      </c>
      <c r="S74" s="3"/>
      <c r="T74" s="7">
        <v>360</v>
      </c>
      <c r="U74" s="3"/>
      <c r="V74" s="8">
        <f t="shared" si="25"/>
        <v>1.1456459724815837E-4</v>
      </c>
      <c r="W74" s="3"/>
      <c r="X74" s="7">
        <f t="shared" si="26"/>
        <v>-222.58</v>
      </c>
      <c r="Y74" s="3"/>
      <c r="Z74" s="8">
        <f t="shared" si="27"/>
        <v>-0.61827777777777781</v>
      </c>
    </row>
    <row r="75" spans="1:26" s="69" customFormat="1" ht="15" customHeight="1" outlineLevel="1" collapsed="1" x14ac:dyDescent="0.3">
      <c r="A75" s="25"/>
      <c r="B75" s="14" t="str">
        <f>CONCATENATE("     ","Subscriptions &amp; Dues                              ")</f>
        <v xml:space="preserve">     Subscriptions &amp; Dues                              </v>
      </c>
      <c r="C75" s="14"/>
      <c r="D75" s="2">
        <f>SUM(OSRRefD22_10x_0)</f>
        <v>476.65</v>
      </c>
      <c r="E75" s="2"/>
      <c r="F75" s="6">
        <f t="shared" si="20"/>
        <v>2.3695704696785457E-2</v>
      </c>
      <c r="G75" s="2"/>
      <c r="H75" s="2">
        <f>SUM(OSRRefH22_10x_0)</f>
        <v>300</v>
      </c>
      <c r="I75" s="2"/>
      <c r="J75" s="6">
        <f t="shared" si="21"/>
        <v>1.7486593611564467E-2</v>
      </c>
      <c r="K75" s="2"/>
      <c r="L75" s="2">
        <f t="shared" si="22"/>
        <v>176.64999999999998</v>
      </c>
      <c r="M75" s="2"/>
      <c r="N75" s="6">
        <f t="shared" si="23"/>
        <v>0.58883333333333321</v>
      </c>
      <c r="O75" s="14"/>
      <c r="P75" s="2">
        <f>SUM(OSRRefP22_10x_0)</f>
        <v>2422.1</v>
      </c>
      <c r="Q75" s="2"/>
      <c r="R75" s="6">
        <f t="shared" si="24"/>
        <v>1.4143207706251465E-3</v>
      </c>
      <c r="S75" s="2"/>
      <c r="T75" s="2">
        <f>SUM(OSRRefT22_10x_0)</f>
        <v>4600</v>
      </c>
      <c r="U75" s="2"/>
      <c r="V75" s="6">
        <f t="shared" si="25"/>
        <v>1.4638809648375793E-3</v>
      </c>
      <c r="W75" s="2"/>
      <c r="X75" s="2">
        <f t="shared" si="26"/>
        <v>-2177.9</v>
      </c>
      <c r="Y75" s="2"/>
      <c r="Z75" s="6">
        <f t="shared" si="27"/>
        <v>-0.47345652173913044</v>
      </c>
    </row>
    <row r="76" spans="1:26" s="70" customFormat="1" ht="15" hidden="1" customHeight="1" outlineLevel="2" x14ac:dyDescent="0.3">
      <c r="A76" s="26"/>
      <c r="B76" s="12" t="str">
        <f>CONCATENATE("          ","6258"," - ","MEMBERSHIP DUES")</f>
        <v xml:space="preserve">          6258 - MEMBERSHIP DUES</v>
      </c>
      <c r="C76" s="12"/>
      <c r="D76" s="7">
        <v>476.65</v>
      </c>
      <c r="E76" s="3"/>
      <c r="F76" s="8">
        <f t="shared" si="20"/>
        <v>2.3695704696785457E-2</v>
      </c>
      <c r="G76" s="3"/>
      <c r="H76" s="7">
        <v>300</v>
      </c>
      <c r="I76" s="3"/>
      <c r="J76" s="8">
        <f t="shared" si="21"/>
        <v>1.7486593611564467E-2</v>
      </c>
      <c r="K76" s="3"/>
      <c r="L76" s="7">
        <f t="shared" si="22"/>
        <v>176.64999999999998</v>
      </c>
      <c r="M76" s="3"/>
      <c r="N76" s="8">
        <f t="shared" si="23"/>
        <v>0.58883333333333321</v>
      </c>
      <c r="O76" s="12"/>
      <c r="P76" s="7">
        <v>2422.1</v>
      </c>
      <c r="Q76" s="3"/>
      <c r="R76" s="8">
        <f t="shared" si="24"/>
        <v>1.4143207706251465E-3</v>
      </c>
      <c r="S76" s="3"/>
      <c r="T76" s="7">
        <v>2700</v>
      </c>
      <c r="U76" s="3"/>
      <c r="V76" s="8">
        <f t="shared" si="25"/>
        <v>8.5923447936118785E-4</v>
      </c>
      <c r="W76" s="3"/>
      <c r="X76" s="7">
        <f t="shared" si="26"/>
        <v>-277.90000000000009</v>
      </c>
      <c r="Y76" s="3"/>
      <c r="Z76" s="8">
        <f t="shared" si="27"/>
        <v>-0.10292592592592596</v>
      </c>
    </row>
    <row r="77" spans="1:26" s="70" customFormat="1" ht="15" hidden="1" customHeight="1" outlineLevel="2" x14ac:dyDescent="0.3">
      <c r="A77" s="26"/>
      <c r="B77" s="12" t="str">
        <f>CONCATENATE("          ","6275"," - ","SUBSCRIPTIONS")</f>
        <v xml:space="preserve">          6275 - SUBSCRIPTIONS</v>
      </c>
      <c r="C77" s="12"/>
      <c r="D77" s="7"/>
      <c r="E77" s="3"/>
      <c r="F77" s="8">
        <f t="shared" si="20"/>
        <v>0</v>
      </c>
      <c r="G77" s="3"/>
      <c r="H77" s="7"/>
      <c r="I77" s="3"/>
      <c r="J77" s="8">
        <f t="shared" si="21"/>
        <v>0</v>
      </c>
      <c r="K77" s="3"/>
      <c r="L77" s="7">
        <f t="shared" si="22"/>
        <v>0</v>
      </c>
      <c r="M77" s="3"/>
      <c r="N77" s="8">
        <f t="shared" si="23"/>
        <v>0</v>
      </c>
      <c r="O77" s="12"/>
      <c r="P77" s="7"/>
      <c r="Q77" s="3"/>
      <c r="R77" s="8">
        <f t="shared" si="24"/>
        <v>0</v>
      </c>
      <c r="S77" s="3"/>
      <c r="T77" s="7">
        <v>1900</v>
      </c>
      <c r="U77" s="3"/>
      <c r="V77" s="8">
        <f t="shared" si="25"/>
        <v>6.0464648547639143E-4</v>
      </c>
      <c r="W77" s="3"/>
      <c r="X77" s="7">
        <f t="shared" si="26"/>
        <v>-1900</v>
      </c>
      <c r="Y77" s="3"/>
      <c r="Z77" s="8">
        <f t="shared" si="27"/>
        <v>-1</v>
      </c>
    </row>
    <row r="78" spans="1:26" s="69" customFormat="1" ht="15" customHeight="1" outlineLevel="1" collapsed="1" x14ac:dyDescent="0.3">
      <c r="A78" s="25"/>
      <c r="B78" s="14" t="str">
        <f>CONCATENATE("     ","Supplies                                          ")</f>
        <v xml:space="preserve">     Supplies                                          </v>
      </c>
      <c r="C78" s="14"/>
      <c r="D78" s="2">
        <f>SUM(OSRRefD22_11x_0)</f>
        <v>282.11</v>
      </c>
      <c r="E78" s="2"/>
      <c r="F78" s="6">
        <f t="shared" si="20"/>
        <v>1.4024536351641971E-2</v>
      </c>
      <c r="G78" s="2"/>
      <c r="H78" s="2">
        <f>SUM(OSRRefH22_11x_0)</f>
        <v>700</v>
      </c>
      <c r="I78" s="2"/>
      <c r="J78" s="6">
        <f t="shared" si="21"/>
        <v>4.0802051760317093E-2</v>
      </c>
      <c r="K78" s="2"/>
      <c r="L78" s="2">
        <f t="shared" si="22"/>
        <v>-417.89</v>
      </c>
      <c r="M78" s="2"/>
      <c r="N78" s="6">
        <f t="shared" si="23"/>
        <v>-0.59698571428571423</v>
      </c>
      <c r="O78" s="14"/>
      <c r="P78" s="2">
        <f>SUM(OSRRefP22_11x_0)</f>
        <v>1480.36</v>
      </c>
      <c r="Q78" s="2"/>
      <c r="R78" s="6">
        <f t="shared" si="24"/>
        <v>8.6441678543521818E-4</v>
      </c>
      <c r="S78" s="2"/>
      <c r="T78" s="2">
        <f>SUM(OSRRefT22_11x_0)</f>
        <v>8000</v>
      </c>
      <c r="U78" s="2"/>
      <c r="V78" s="6">
        <f t="shared" si="25"/>
        <v>2.5458799388479638E-3</v>
      </c>
      <c r="W78" s="2"/>
      <c r="X78" s="2">
        <f t="shared" si="26"/>
        <v>-6519.64</v>
      </c>
      <c r="Y78" s="2"/>
      <c r="Z78" s="6">
        <f t="shared" si="27"/>
        <v>-0.8149550000000001</v>
      </c>
    </row>
    <row r="79" spans="1:26" s="70" customFormat="1" ht="15" hidden="1" customHeight="1" outlineLevel="2" x14ac:dyDescent="0.3">
      <c r="A79" s="26"/>
      <c r="B79" s="12" t="str">
        <f>CONCATENATE("          ","6241"," - ","OFFICE EXPENSE")</f>
        <v xml:space="preserve">          6241 - OFFICE EXPENSE</v>
      </c>
      <c r="C79" s="12"/>
      <c r="D79" s="7">
        <v>93.57</v>
      </c>
      <c r="E79" s="3"/>
      <c r="F79" s="8">
        <f t="shared" si="20"/>
        <v>4.6516460473685411E-3</v>
      </c>
      <c r="G79" s="3"/>
      <c r="H79" s="7">
        <v>300</v>
      </c>
      <c r="I79" s="3"/>
      <c r="J79" s="8">
        <f t="shared" si="21"/>
        <v>1.7486593611564467E-2</v>
      </c>
      <c r="K79" s="3"/>
      <c r="L79" s="7">
        <f t="shared" si="22"/>
        <v>-206.43</v>
      </c>
      <c r="M79" s="3"/>
      <c r="N79" s="8">
        <f t="shared" si="23"/>
        <v>-0.68810000000000004</v>
      </c>
      <c r="O79" s="12"/>
      <c r="P79" s="7">
        <v>1285.33</v>
      </c>
      <c r="Q79" s="3"/>
      <c r="R79" s="8">
        <f t="shared" si="24"/>
        <v>7.5053421250469404E-4</v>
      </c>
      <c r="S79" s="3"/>
      <c r="T79" s="7">
        <v>3900</v>
      </c>
      <c r="U79" s="3"/>
      <c r="V79" s="8">
        <f t="shared" si="25"/>
        <v>1.2411164701883824E-3</v>
      </c>
      <c r="W79" s="3"/>
      <c r="X79" s="7">
        <f t="shared" si="26"/>
        <v>-2614.67</v>
      </c>
      <c r="Y79" s="3"/>
      <c r="Z79" s="8">
        <f t="shared" si="27"/>
        <v>-0.67042820512820511</v>
      </c>
    </row>
    <row r="80" spans="1:26" s="70" customFormat="1" ht="15" hidden="1" customHeight="1" outlineLevel="2" x14ac:dyDescent="0.3">
      <c r="A80" s="26"/>
      <c r="B80" s="12" t="str">
        <f>CONCATENATE("          ","6247"," - ","STORE SUPPLIES")</f>
        <v xml:space="preserve">          6247 - STORE SUPPLIES</v>
      </c>
      <c r="C80" s="12"/>
      <c r="D80" s="7">
        <v>188.54</v>
      </c>
      <c r="E80" s="3"/>
      <c r="F80" s="8">
        <f t="shared" si="20"/>
        <v>9.3728903042734294E-3</v>
      </c>
      <c r="G80" s="3"/>
      <c r="H80" s="7">
        <v>400</v>
      </c>
      <c r="I80" s="3"/>
      <c r="J80" s="8">
        <f t="shared" si="21"/>
        <v>2.3315458148752622E-2</v>
      </c>
      <c r="K80" s="3"/>
      <c r="L80" s="7">
        <f t="shared" si="22"/>
        <v>-211.46</v>
      </c>
      <c r="M80" s="3"/>
      <c r="N80" s="8">
        <f t="shared" si="23"/>
        <v>-0.52865000000000006</v>
      </c>
      <c r="O80" s="12"/>
      <c r="P80" s="7">
        <v>195.03</v>
      </c>
      <c r="Q80" s="3"/>
      <c r="R80" s="8">
        <f t="shared" si="24"/>
        <v>1.1388257293052406E-4</v>
      </c>
      <c r="S80" s="3"/>
      <c r="T80" s="7">
        <v>4100</v>
      </c>
      <c r="U80" s="3"/>
      <c r="V80" s="8">
        <f t="shared" si="25"/>
        <v>1.3047634686595814E-3</v>
      </c>
      <c r="W80" s="3"/>
      <c r="X80" s="7">
        <f t="shared" si="26"/>
        <v>-3904.97</v>
      </c>
      <c r="Y80" s="3"/>
      <c r="Z80" s="8">
        <f t="shared" si="27"/>
        <v>-0.95243170731707316</v>
      </c>
    </row>
    <row r="81" spans="1:26" s="69" customFormat="1" ht="15" customHeight="1" outlineLevel="1" collapsed="1" x14ac:dyDescent="0.3">
      <c r="A81" s="25"/>
      <c r="B81" s="14" t="str">
        <f>CONCATENATE("     ","Telephone/Data Lines                              ")</f>
        <v xml:space="preserve">     Telephone/Data Lines                              </v>
      </c>
      <c r="C81" s="14"/>
      <c r="D81" s="2">
        <f>SUM(OSRRefD22_12x_0)</f>
        <v>473.5</v>
      </c>
      <c r="E81" s="2"/>
      <c r="F81" s="6">
        <f t="shared" si="20"/>
        <v>2.3539108725328679E-2</v>
      </c>
      <c r="G81" s="2"/>
      <c r="H81" s="2">
        <f>SUM(OSRRefH22_12x_0)</f>
        <v>350</v>
      </c>
      <c r="I81" s="2"/>
      <c r="J81" s="6">
        <f t="shared" si="21"/>
        <v>2.0401025880158546E-2</v>
      </c>
      <c r="K81" s="2"/>
      <c r="L81" s="2">
        <f t="shared" si="22"/>
        <v>123.5</v>
      </c>
      <c r="M81" s="2"/>
      <c r="N81" s="6">
        <f t="shared" si="23"/>
        <v>0.35285714285714287</v>
      </c>
      <c r="O81" s="14"/>
      <c r="P81" s="2">
        <f>SUM(OSRRefP22_12x_0)</f>
        <v>4950.05</v>
      </c>
      <c r="Q81" s="2"/>
      <c r="R81" s="6">
        <f t="shared" si="24"/>
        <v>2.8904498289224257E-3</v>
      </c>
      <c r="S81" s="2"/>
      <c r="T81" s="2">
        <f>SUM(OSRRefT22_12x_0)</f>
        <v>3750</v>
      </c>
      <c r="U81" s="2"/>
      <c r="V81" s="6">
        <f t="shared" si="25"/>
        <v>1.193381221334983E-3</v>
      </c>
      <c r="W81" s="2"/>
      <c r="X81" s="2">
        <f t="shared" si="26"/>
        <v>1200.0500000000002</v>
      </c>
      <c r="Y81" s="2"/>
      <c r="Z81" s="6">
        <f t="shared" si="27"/>
        <v>0.32001333333333337</v>
      </c>
    </row>
    <row r="82" spans="1:26" s="70" customFormat="1" ht="15" hidden="1" customHeight="1" outlineLevel="2" x14ac:dyDescent="0.3">
      <c r="A82" s="26"/>
      <c r="B82" s="12" t="str">
        <f>CONCATENATE("          ","6303"," - ","DATA PHONE LINES")</f>
        <v xml:space="preserve">          6303 - DATA PHONE LINES</v>
      </c>
      <c r="C82" s="12"/>
      <c r="D82" s="7"/>
      <c r="E82" s="3"/>
      <c r="F82" s="8">
        <f t="shared" si="20"/>
        <v>0</v>
      </c>
      <c r="G82" s="3"/>
      <c r="H82" s="7">
        <v>0</v>
      </c>
      <c r="I82" s="3"/>
      <c r="J82" s="8">
        <f t="shared" si="21"/>
        <v>0</v>
      </c>
      <c r="K82" s="3"/>
      <c r="L82" s="7">
        <f t="shared" si="22"/>
        <v>0</v>
      </c>
      <c r="M82" s="3"/>
      <c r="N82" s="8">
        <f t="shared" si="23"/>
        <v>0</v>
      </c>
      <c r="O82" s="12"/>
      <c r="P82" s="7">
        <v>295</v>
      </c>
      <c r="Q82" s="3"/>
      <c r="R82" s="8">
        <f t="shared" si="24"/>
        <v>1.7225739124496024E-4</v>
      </c>
      <c r="S82" s="3"/>
      <c r="T82" s="7">
        <v>0</v>
      </c>
      <c r="U82" s="3"/>
      <c r="V82" s="8">
        <f t="shared" si="25"/>
        <v>0</v>
      </c>
      <c r="W82" s="3"/>
      <c r="X82" s="7">
        <f t="shared" si="26"/>
        <v>295</v>
      </c>
      <c r="Y82" s="3"/>
      <c r="Z82" s="8">
        <f t="shared" si="27"/>
        <v>0</v>
      </c>
    </row>
    <row r="83" spans="1:26" s="70" customFormat="1" ht="15" hidden="1" customHeight="1" outlineLevel="2" x14ac:dyDescent="0.3">
      <c r="A83" s="26"/>
      <c r="B83" s="12" t="str">
        <f>CONCATENATE("          ","6309"," - ","TELEPHONE")</f>
        <v xml:space="preserve">          6309 - TELEPHONE</v>
      </c>
      <c r="C83" s="12"/>
      <c r="D83" s="7">
        <v>473.5</v>
      </c>
      <c r="E83" s="3"/>
      <c r="F83" s="8">
        <f t="shared" si="20"/>
        <v>2.3539108725328679E-2</v>
      </c>
      <c r="G83" s="3"/>
      <c r="H83" s="7">
        <v>350</v>
      </c>
      <c r="I83" s="3"/>
      <c r="J83" s="8">
        <f t="shared" si="21"/>
        <v>2.0401025880158546E-2</v>
      </c>
      <c r="K83" s="3"/>
      <c r="L83" s="7">
        <f t="shared" si="22"/>
        <v>123.5</v>
      </c>
      <c r="M83" s="3"/>
      <c r="N83" s="8">
        <f t="shared" si="23"/>
        <v>0.35285714285714287</v>
      </c>
      <c r="O83" s="12"/>
      <c r="P83" s="7">
        <v>4655.05</v>
      </c>
      <c r="Q83" s="3"/>
      <c r="R83" s="8">
        <f t="shared" si="24"/>
        <v>2.7181924376774654E-3</v>
      </c>
      <c r="S83" s="3"/>
      <c r="T83" s="7">
        <v>3750</v>
      </c>
      <c r="U83" s="3"/>
      <c r="V83" s="8">
        <f t="shared" si="25"/>
        <v>1.193381221334983E-3</v>
      </c>
      <c r="W83" s="3"/>
      <c r="X83" s="7">
        <f t="shared" si="26"/>
        <v>905.05000000000018</v>
      </c>
      <c r="Y83" s="3"/>
      <c r="Z83" s="8">
        <f t="shared" si="27"/>
        <v>0.24134666666666671</v>
      </c>
    </row>
    <row r="84" spans="1:26" s="69" customFormat="1" ht="15" customHeight="1" outlineLevel="1" collapsed="1" x14ac:dyDescent="0.3">
      <c r="A84" s="25"/>
      <c r="B84" s="14" t="str">
        <f>CONCATENATE("     ","Training                                          ")</f>
        <v xml:space="preserve">     Training                                          </v>
      </c>
      <c r="C84" s="14"/>
      <c r="D84" s="2">
        <f>SUM(OSRRefD22_13x_0)</f>
        <v>0</v>
      </c>
      <c r="E84" s="2"/>
      <c r="F84" s="6">
        <f t="shared" si="20"/>
        <v>0</v>
      </c>
      <c r="G84" s="2"/>
      <c r="H84" s="2">
        <f>SUM(OSRRefH22_13x_0)</f>
        <v>0</v>
      </c>
      <c r="I84" s="2"/>
      <c r="J84" s="6">
        <f t="shared" si="21"/>
        <v>0</v>
      </c>
      <c r="K84" s="2"/>
      <c r="L84" s="2">
        <f t="shared" si="22"/>
        <v>0</v>
      </c>
      <c r="M84" s="2"/>
      <c r="N84" s="6">
        <f t="shared" si="23"/>
        <v>0</v>
      </c>
      <c r="O84" s="14"/>
      <c r="P84" s="2">
        <f>SUM(OSRRefP22_13x_0)</f>
        <v>0</v>
      </c>
      <c r="Q84" s="2"/>
      <c r="R84" s="6">
        <f t="shared" si="24"/>
        <v>0</v>
      </c>
      <c r="S84" s="2"/>
      <c r="T84" s="2">
        <f>SUM(OSRRefT22_13x_0)</f>
        <v>0</v>
      </c>
      <c r="U84" s="2"/>
      <c r="V84" s="6">
        <f t="shared" si="25"/>
        <v>0</v>
      </c>
      <c r="W84" s="2"/>
      <c r="X84" s="2">
        <f t="shared" si="26"/>
        <v>0</v>
      </c>
      <c r="Y84" s="2"/>
      <c r="Z84" s="6">
        <f t="shared" si="27"/>
        <v>0</v>
      </c>
    </row>
    <row r="85" spans="1:26" s="70" customFormat="1" ht="15" hidden="1" customHeight="1" outlineLevel="2" x14ac:dyDescent="0.3">
      <c r="A85" s="26"/>
      <c r="B85" s="12" t="str">
        <f>CONCATENATE("          ","6376"," - ","TRAINING")</f>
        <v xml:space="preserve">          6376 - TRAINING</v>
      </c>
      <c r="C85" s="12"/>
      <c r="D85" s="7"/>
      <c r="E85" s="3"/>
      <c r="F85" s="8">
        <f t="shared" si="20"/>
        <v>0</v>
      </c>
      <c r="G85" s="3"/>
      <c r="H85" s="7">
        <v>0</v>
      </c>
      <c r="I85" s="3"/>
      <c r="J85" s="8">
        <f t="shared" si="21"/>
        <v>0</v>
      </c>
      <c r="K85" s="3"/>
      <c r="L85" s="7">
        <f t="shared" si="22"/>
        <v>0</v>
      </c>
      <c r="M85" s="3"/>
      <c r="N85" s="8">
        <f t="shared" si="23"/>
        <v>0</v>
      </c>
      <c r="O85" s="12"/>
      <c r="P85" s="7"/>
      <c r="Q85" s="3"/>
      <c r="R85" s="8">
        <f t="shared" si="24"/>
        <v>0</v>
      </c>
      <c r="S85" s="3"/>
      <c r="T85" s="7">
        <v>0</v>
      </c>
      <c r="U85" s="3"/>
      <c r="V85" s="8">
        <f t="shared" si="25"/>
        <v>0</v>
      </c>
      <c r="W85" s="3"/>
      <c r="X85" s="7">
        <f t="shared" si="26"/>
        <v>0</v>
      </c>
      <c r="Y85" s="3"/>
      <c r="Z85" s="8">
        <f t="shared" si="27"/>
        <v>0</v>
      </c>
    </row>
    <row r="86" spans="1:26" s="65" customFormat="1" ht="15" customHeight="1" x14ac:dyDescent="0.3">
      <c r="A86" s="35"/>
      <c r="B86" s="35"/>
      <c r="C86" s="35"/>
      <c r="D86" s="2"/>
      <c r="E86" s="2"/>
      <c r="F86" s="6"/>
      <c r="G86" s="2"/>
      <c r="H86" s="2"/>
      <c r="I86" s="2"/>
      <c r="J86" s="6"/>
      <c r="K86" s="2"/>
      <c r="L86" s="2"/>
      <c r="M86" s="2"/>
      <c r="N86" s="6"/>
      <c r="O86" s="35"/>
      <c r="P86" s="2"/>
      <c r="Q86" s="2"/>
      <c r="R86" s="6"/>
      <c r="S86" s="2"/>
      <c r="T86" s="2"/>
      <c r="U86" s="2"/>
      <c r="V86" s="6"/>
      <c r="W86" s="2"/>
      <c r="X86" s="2"/>
      <c r="Y86" s="2"/>
      <c r="Z86" s="6"/>
    </row>
    <row r="87" spans="1:26" s="63" customFormat="1" ht="15" customHeight="1" collapsed="1" x14ac:dyDescent="0.3">
      <c r="A87" s="11"/>
      <c r="B87" s="28" t="s">
        <v>291</v>
      </c>
      <c r="C87" s="11"/>
      <c r="D87" s="5">
        <f>SUM(OSRRefD25x_0)</f>
        <v>516.89</v>
      </c>
      <c r="E87" s="5"/>
      <c r="F87" s="13">
        <f>IF(D$12=0,0,D87/D$12)</f>
        <v>2.5696156090887309E-2</v>
      </c>
      <c r="G87" s="5"/>
      <c r="H87" s="5">
        <f>SUM(OSRRefH25x_0)</f>
        <v>459</v>
      </c>
      <c r="I87" s="5"/>
      <c r="J87" s="13">
        <f>IF(H$12=0,0,H87/H$12)</f>
        <v>2.6754488225693634E-2</v>
      </c>
      <c r="K87" s="5"/>
      <c r="L87" s="5">
        <f>+D87-H87</f>
        <v>57.889999999999986</v>
      </c>
      <c r="M87" s="5"/>
      <c r="N87" s="13">
        <f>IF(H87=0,0,L87/H87)</f>
        <v>0.12612200435729845</v>
      </c>
      <c r="O87" s="11"/>
      <c r="P87" s="5">
        <f>SUM(OSRRefP25x_0)</f>
        <v>350404.44000000006</v>
      </c>
      <c r="Q87" s="5"/>
      <c r="R87" s="13">
        <f>IF(P$12=0,0,P87/P$12)</f>
        <v>0.20460933801712275</v>
      </c>
      <c r="S87" s="5"/>
      <c r="T87" s="5">
        <f>SUM(OSRRefT25x_0)</f>
        <v>360101.23</v>
      </c>
      <c r="U87" s="5"/>
      <c r="V87" s="13">
        <f>IF(T$12=0,0,T87/T$12)</f>
        <v>0.11459681217643457</v>
      </c>
      <c r="W87" s="5"/>
      <c r="X87" s="5">
        <f>+P87-T87</f>
        <v>-9696.7899999999208</v>
      </c>
      <c r="Y87" s="5"/>
      <c r="Z87" s="13">
        <f>IF(T87=0,0,X87/T87)</f>
        <v>-2.6927955786210232E-2</v>
      </c>
    </row>
    <row r="88" spans="1:26" s="70" customFormat="1" ht="15" hidden="1" customHeight="1" outlineLevel="1" x14ac:dyDescent="0.3">
      <c r="A88" s="42"/>
      <c r="B88" s="12" t="str">
        <f>CONCATENATE("          ","9150"," - ","MISC. INCOME")</f>
        <v xml:space="preserve">          9150 - MISC. INCOME</v>
      </c>
      <c r="C88" s="12"/>
      <c r="D88" s="3">
        <f>0</f>
        <v>0</v>
      </c>
      <c r="E88" s="3"/>
      <c r="F88" s="20">
        <f>IF(D$12=0,0,D88/D$12)</f>
        <v>0</v>
      </c>
      <c r="G88" s="3"/>
      <c r="H88" s="3">
        <v>459</v>
      </c>
      <c r="I88" s="3"/>
      <c r="J88" s="20">
        <f>IF(H$12=0,0,H88/H$12)</f>
        <v>2.6754488225693634E-2</v>
      </c>
      <c r="K88" s="3"/>
      <c r="L88" s="3">
        <f>+D88-H88</f>
        <v>-459</v>
      </c>
      <c r="M88" s="3"/>
      <c r="N88" s="20">
        <f>IF(H88=0,0,L88/H88)</f>
        <v>-1</v>
      </c>
      <c r="O88" s="12"/>
      <c r="P88" s="3">
        <f>--22258.22</f>
        <v>22258.22</v>
      </c>
      <c r="Q88" s="3"/>
      <c r="R88" s="20">
        <f>IF(P$12=0,0,P88/P$12)</f>
        <v>1.2997094613411524E-2</v>
      </c>
      <c r="S88" s="3"/>
      <c r="T88" s="3">
        <v>32239</v>
      </c>
      <c r="U88" s="3"/>
      <c r="V88" s="20">
        <f>IF(T$12=0,0,T88/T$12)</f>
        <v>1.0259577918564938E-2</v>
      </c>
      <c r="W88" s="3"/>
      <c r="X88" s="3">
        <f>+P88-T88</f>
        <v>-9980.7799999999988</v>
      </c>
      <c r="Y88" s="3"/>
      <c r="Z88" s="20">
        <f>IF(T88=0,0,X88/T88)</f>
        <v>-0.30958714600328791</v>
      </c>
    </row>
    <row r="89" spans="1:26" s="70" customFormat="1" ht="15" hidden="1" customHeight="1" outlineLevel="1" x14ac:dyDescent="0.3">
      <c r="A89" s="42"/>
      <c r="B89" s="12" t="str">
        <f>CONCATENATE("          ","9151"," - ","MISC. INCOME")</f>
        <v xml:space="preserve">          9151 - MISC. INCOME</v>
      </c>
      <c r="C89" s="12"/>
      <c r="D89" s="3">
        <f>0</f>
        <v>0</v>
      </c>
      <c r="E89" s="3"/>
      <c r="F89" s="20">
        <f>IF(D$12=0,0,D89/D$12)</f>
        <v>0</v>
      </c>
      <c r="G89" s="3"/>
      <c r="H89" s="3"/>
      <c r="I89" s="3"/>
      <c r="J89" s="20">
        <f>IF(H$12=0,0,H89/H$12)</f>
        <v>0</v>
      </c>
      <c r="K89" s="3"/>
      <c r="L89" s="3">
        <f>+D89-H89</f>
        <v>0</v>
      </c>
      <c r="M89" s="3"/>
      <c r="N89" s="20">
        <f>IF(H89=0,0,L89/H89)</f>
        <v>0</v>
      </c>
      <c r="O89" s="12"/>
      <c r="P89" s="3">
        <f>--323761.7</f>
        <v>323761.7</v>
      </c>
      <c r="Q89" s="3"/>
      <c r="R89" s="20">
        <f>IF(P$12=0,0,P89/P$12)</f>
        <v>0.18905201975265576</v>
      </c>
      <c r="S89" s="3"/>
      <c r="T89" s="3">
        <v>327862.23</v>
      </c>
      <c r="U89" s="3"/>
      <c r="V89" s="20">
        <f>IF(T$12=0,0,T89/T$12)</f>
        <v>0.10433723425786963</v>
      </c>
      <c r="W89" s="3"/>
      <c r="X89" s="3">
        <f>+P89-T89</f>
        <v>-4100.5299999999697</v>
      </c>
      <c r="Y89" s="3"/>
      <c r="Z89" s="20">
        <f>IF(T89=0,0,X89/T89)</f>
        <v>-1.2506869119995828E-2</v>
      </c>
    </row>
    <row r="90" spans="1:26" s="70" customFormat="1" ht="15" hidden="1" customHeight="1" outlineLevel="1" x14ac:dyDescent="0.3">
      <c r="A90" s="42"/>
      <c r="B90" s="12" t="str">
        <f>CONCATENATE("          ","9152"," - ","MISC. INCOME")</f>
        <v xml:space="preserve">          9152 - MISC. INCOME</v>
      </c>
      <c r="C90" s="12"/>
      <c r="D90" s="3">
        <f>--516.89</f>
        <v>516.89</v>
      </c>
      <c r="E90" s="3"/>
      <c r="F90" s="20">
        <f>IF(D$12=0,0,D90/D$12)</f>
        <v>2.5696156090887309E-2</v>
      </c>
      <c r="G90" s="3"/>
      <c r="H90" s="3"/>
      <c r="I90" s="3"/>
      <c r="J90" s="20">
        <f>IF(H$12=0,0,H90/H$12)</f>
        <v>0</v>
      </c>
      <c r="K90" s="3"/>
      <c r="L90" s="3">
        <f>+D90-H90</f>
        <v>516.89</v>
      </c>
      <c r="M90" s="3"/>
      <c r="N90" s="20">
        <f>IF(H90=0,0,L90/H90)</f>
        <v>0</v>
      </c>
      <c r="O90" s="12"/>
      <c r="P90" s="3">
        <f>--4384.52</f>
        <v>4384.5200000000004</v>
      </c>
      <c r="Q90" s="3"/>
      <c r="R90" s="20">
        <f>IF(P$12=0,0,P90/P$12)</f>
        <v>2.5602236510554348E-3</v>
      </c>
      <c r="S90" s="3"/>
      <c r="T90" s="3"/>
      <c r="U90" s="3"/>
      <c r="V90" s="20">
        <f>IF(T$12=0,0,T90/T$12)</f>
        <v>0</v>
      </c>
      <c r="W90" s="3"/>
      <c r="X90" s="3">
        <f>+P90-T90</f>
        <v>4384.5200000000004</v>
      </c>
      <c r="Y90" s="3"/>
      <c r="Z90" s="20">
        <f>IF(T90=0,0,X90/T90)</f>
        <v>0</v>
      </c>
    </row>
    <row r="91" spans="1:26" s="70" customFormat="1" ht="15" hidden="1" customHeight="1" outlineLevel="1" x14ac:dyDescent="0.3">
      <c r="A91" s="42"/>
      <c r="B91" s="12" t="str">
        <f>CONCATENATE("          ","9160"," - ","MISC. INCOME")</f>
        <v xml:space="preserve">          9160 - MISC. INCOME</v>
      </c>
      <c r="C91" s="12"/>
      <c r="D91" s="3">
        <f>0</f>
        <v>0</v>
      </c>
      <c r="E91" s="3"/>
      <c r="F91" s="20">
        <f>IF(D$12=0,0,D91/D$12)</f>
        <v>0</v>
      </c>
      <c r="G91" s="3"/>
      <c r="H91" s="3">
        <v>0</v>
      </c>
      <c r="I91" s="3"/>
      <c r="J91" s="20">
        <f>IF(H$12=0,0,H91/H$12)</f>
        <v>0</v>
      </c>
      <c r="K91" s="3"/>
      <c r="L91" s="3">
        <f>+D91-H91</f>
        <v>0</v>
      </c>
      <c r="M91" s="3"/>
      <c r="N91" s="20">
        <f>IF(H91=0,0,L91/H91)</f>
        <v>0</v>
      </c>
      <c r="O91" s="12"/>
      <c r="P91" s="3">
        <f>0</f>
        <v>0</v>
      </c>
      <c r="Q91" s="3"/>
      <c r="R91" s="20">
        <f>IF(P$12=0,0,P91/P$12)</f>
        <v>0</v>
      </c>
      <c r="S91" s="3"/>
      <c r="T91" s="3">
        <v>0</v>
      </c>
      <c r="U91" s="3"/>
      <c r="V91" s="20">
        <f>IF(T$12=0,0,T91/T$12)</f>
        <v>0</v>
      </c>
      <c r="W91" s="3"/>
      <c r="X91" s="3">
        <f>+P91-T91</f>
        <v>0</v>
      </c>
      <c r="Y91" s="3"/>
      <c r="Z91" s="20">
        <f>IF(T91=0,0,X91/T91)</f>
        <v>0</v>
      </c>
    </row>
    <row r="92" spans="1:26" ht="15" customHeight="1" x14ac:dyDescent="0.3">
      <c r="A92" s="10"/>
      <c r="B92" s="11"/>
      <c r="C92" s="11"/>
      <c r="D92" s="4"/>
      <c r="E92" s="4"/>
      <c r="F92" s="9"/>
      <c r="G92" s="4"/>
      <c r="H92" s="4"/>
      <c r="I92" s="4"/>
      <c r="J92" s="9"/>
      <c r="K92" s="4"/>
      <c r="L92" s="4"/>
      <c r="M92" s="4"/>
      <c r="N92" s="9"/>
      <c r="O92" s="11"/>
      <c r="P92" s="4"/>
      <c r="Q92" s="4"/>
      <c r="R92" s="9"/>
      <c r="S92" s="4"/>
      <c r="T92" s="4"/>
      <c r="U92" s="4"/>
      <c r="V92" s="9"/>
      <c r="W92" s="4"/>
      <c r="X92" s="4"/>
      <c r="Y92" s="4"/>
      <c r="Z92" s="9"/>
    </row>
    <row r="93" spans="1:26" s="63" customFormat="1" ht="15" customHeight="1" x14ac:dyDescent="0.3">
      <c r="A93" s="11"/>
      <c r="B93" s="27" t="s">
        <v>292</v>
      </c>
      <c r="C93" s="27"/>
      <c r="D93" s="21">
        <f>+D31-D33+D87</f>
        <v>-30081.729999999963</v>
      </c>
      <c r="E93" s="15"/>
      <c r="F93" s="23">
        <f>IF(D$12=0,0,D93/D$12)</f>
        <v>-1.4954532483970022</v>
      </c>
      <c r="G93" s="15"/>
      <c r="H93" s="21">
        <f>+H31-H33+H87</f>
        <v>-40264.229754989719</v>
      </c>
      <c r="I93" s="15"/>
      <c r="J93" s="23">
        <f>IF(H$12=0,0,H93/H$12)</f>
        <v>-2.3469474093605571</v>
      </c>
      <c r="K93" s="16"/>
      <c r="L93" s="21">
        <f>+D93-H93</f>
        <v>10182.499754989756</v>
      </c>
      <c r="M93" s="16"/>
      <c r="N93" s="23">
        <f>IF(H93=0,0,L93/H93)</f>
        <v>-0.25289195439602064</v>
      </c>
      <c r="O93" s="28"/>
      <c r="P93" s="21">
        <f>+P31-P33+P87</f>
        <v>335941.18000000023</v>
      </c>
      <c r="Q93" s="15"/>
      <c r="R93" s="23">
        <f>IF(P$12=0,0,P93/P$12)</f>
        <v>0.19616390263916494</v>
      </c>
      <c r="S93" s="15"/>
      <c r="T93" s="21">
        <f>+T31-T33+T87</f>
        <v>736241.93238634965</v>
      </c>
      <c r="U93" s="15"/>
      <c r="V93" s="23">
        <f>IF(T$12=0,0,T93/T$12)</f>
        <v>0.23429794572513332</v>
      </c>
      <c r="W93" s="16"/>
      <c r="X93" s="21">
        <f>+P93-T93</f>
        <v>-400300.75238634943</v>
      </c>
      <c r="Y93" s="16"/>
      <c r="Z93" s="23">
        <f>IF(T93=0,0,X93/T93)</f>
        <v>-0.54370816816813416</v>
      </c>
    </row>
    <row r="94" spans="1:26" ht="15" customHeight="1" x14ac:dyDescent="0.3">
      <c r="A94" s="10"/>
      <c r="B94" s="11"/>
      <c r="C94" s="10"/>
      <c r="D94" s="4"/>
      <c r="E94" s="4"/>
      <c r="F94" s="9"/>
      <c r="G94" s="4"/>
      <c r="H94" s="4"/>
      <c r="I94" s="4"/>
      <c r="J94" s="9"/>
      <c r="K94" s="4"/>
      <c r="L94" s="4"/>
      <c r="M94" s="4"/>
      <c r="N94" s="9"/>
      <c r="P94" s="4"/>
      <c r="Q94" s="4"/>
      <c r="R94" s="9"/>
      <c r="S94" s="4"/>
      <c r="T94" s="4"/>
      <c r="U94" s="4"/>
      <c r="V94" s="9"/>
      <c r="W94" s="4"/>
      <c r="X94" s="4"/>
      <c r="Y94" s="4"/>
      <c r="Z94" s="9"/>
    </row>
    <row r="95" spans="1:26" s="63" customFormat="1" ht="15" customHeight="1" x14ac:dyDescent="0.3">
      <c r="A95" s="49"/>
      <c r="B95" s="11" t="s">
        <v>293</v>
      </c>
      <c r="C95" s="11"/>
      <c r="D95" s="5">
        <v>-6865.63</v>
      </c>
      <c r="E95" s="5"/>
      <c r="F95" s="13">
        <f>IF(D$12=0,0,D95/D$12)</f>
        <v>-0.34131111095644845</v>
      </c>
      <c r="G95" s="5"/>
      <c r="H95" s="5">
        <v>632</v>
      </c>
      <c r="I95" s="5"/>
      <c r="J95" s="13">
        <f>IF(H$12=0,0,H95/H$12)</f>
        <v>3.6838423875029142E-2</v>
      </c>
      <c r="K95" s="5"/>
      <c r="L95" s="5">
        <f>+D95-H95</f>
        <v>-7497.63</v>
      </c>
      <c r="M95" s="5"/>
      <c r="N95" s="13">
        <f>IF(H95=0,0,L95/H95)</f>
        <v>-11.863338607594937</v>
      </c>
      <c r="O95" s="11"/>
      <c r="P95" s="5">
        <v>204389.06</v>
      </c>
      <c r="Q95" s="5"/>
      <c r="R95" s="13">
        <f>IF(P$12=0,0,P95/P$12)</f>
        <v>0.11934754669359206</v>
      </c>
      <c r="S95" s="5"/>
      <c r="T95" s="5">
        <v>382677</v>
      </c>
      <c r="U95" s="5"/>
      <c r="V95" s="13">
        <f>IF(T$12=0,0,T95/T$12)</f>
        <v>0.12178121216981529</v>
      </c>
      <c r="W95" s="5"/>
      <c r="X95" s="5">
        <f>+P95-T95</f>
        <v>-178287.94</v>
      </c>
      <c r="Y95" s="5"/>
      <c r="Z95" s="13">
        <f>IF(T95=0,0,X95/T95)</f>
        <v>-0.46589667003765578</v>
      </c>
    </row>
    <row r="96" spans="1:26" ht="15" customHeight="1" x14ac:dyDescent="0.3">
      <c r="A96" s="10"/>
      <c r="B96" s="11"/>
      <c r="C96" s="11"/>
      <c r="D96" s="4"/>
      <c r="E96" s="4"/>
      <c r="F96" s="9"/>
      <c r="G96" s="4"/>
      <c r="H96" s="4"/>
      <c r="I96" s="4"/>
      <c r="J96" s="9"/>
      <c r="K96" s="4"/>
      <c r="L96" s="4"/>
      <c r="M96" s="4"/>
      <c r="N96" s="9"/>
      <c r="O96" s="11"/>
      <c r="P96" s="4"/>
      <c r="Q96" s="4"/>
      <c r="R96" s="9"/>
      <c r="S96" s="4"/>
      <c r="T96" s="4"/>
      <c r="U96" s="4"/>
      <c r="V96" s="9"/>
      <c r="W96" s="4"/>
      <c r="X96" s="4"/>
      <c r="Y96" s="4"/>
      <c r="Z96" s="9"/>
    </row>
    <row r="97" spans="1:26" s="63" customFormat="1" ht="15" customHeight="1" x14ac:dyDescent="0.3">
      <c r="A97" s="11"/>
      <c r="B97" s="27" t="s">
        <v>294</v>
      </c>
      <c r="C97" s="27"/>
      <c r="D97" s="34">
        <f>+D93-D95</f>
        <v>-23216.099999999962</v>
      </c>
      <c r="E97" s="15"/>
      <c r="F97" s="29">
        <f>IF(D$12=0,0,D97/D$12)</f>
        <v>-1.1541421374405538</v>
      </c>
      <c r="G97" s="15"/>
      <c r="H97" s="34">
        <f>+H93-H95</f>
        <v>-40896.229754989719</v>
      </c>
      <c r="I97" s="15"/>
      <c r="J97" s="29">
        <f>IF(H$12=0,0,H97/H$12)</f>
        <v>-2.3837858332355863</v>
      </c>
      <c r="K97" s="16"/>
      <c r="L97" s="34">
        <f>D97-H97</f>
        <v>17680.129754989757</v>
      </c>
      <c r="M97" s="16"/>
      <c r="N97" s="29">
        <f>IF(H97=0,0,L97/H97)</f>
        <v>-0.43231686297029903</v>
      </c>
      <c r="O97" s="28"/>
      <c r="P97" s="34">
        <f>+P93-P95</f>
        <v>131552.12000000023</v>
      </c>
      <c r="Q97" s="15"/>
      <c r="R97" s="29">
        <f>IF(P$12=0,0,P97/P$12)</f>
        <v>7.6816355945572887E-2</v>
      </c>
      <c r="S97" s="15"/>
      <c r="T97" s="34">
        <f>+T93-T95</f>
        <v>353564.93238634965</v>
      </c>
      <c r="U97" s="15"/>
      <c r="V97" s="29">
        <f>IF(T$12=0,0,T97/T$12)</f>
        <v>0.11251673355531804</v>
      </c>
      <c r="W97" s="16"/>
      <c r="X97" s="34">
        <f>P97-T97</f>
        <v>-222012.81238634943</v>
      </c>
      <c r="Y97" s="16"/>
      <c r="Z97" s="29">
        <f>IF(T97=0,0,X97/T97)</f>
        <v>-0.62792656185639539</v>
      </c>
    </row>
    <row r="98" spans="1:26" ht="15" customHeight="1" x14ac:dyDescent="0.3">
      <c r="A98" s="10"/>
      <c r="B98" s="10"/>
      <c r="C98" s="10"/>
      <c r="D98" s="4"/>
      <c r="E98" s="4"/>
      <c r="F98" s="9"/>
      <c r="G98" s="4"/>
      <c r="H98" s="4"/>
      <c r="I98" s="4"/>
      <c r="J98" s="9"/>
      <c r="K98" s="4"/>
      <c r="L98" s="4"/>
      <c r="M98" s="4"/>
      <c r="N98" s="9"/>
      <c r="P98" s="4"/>
      <c r="Q98" s="4"/>
      <c r="R98" s="9"/>
      <c r="S98" s="4"/>
      <c r="T98" s="4"/>
      <c r="U98" s="4"/>
      <c r="V98" s="9"/>
      <c r="W98" s="4"/>
      <c r="X98" s="4"/>
      <c r="Y98" s="4"/>
      <c r="Z98" s="9"/>
    </row>
    <row r="99" spans="1:26" ht="15" customHeight="1" x14ac:dyDescent="0.3">
      <c r="A99" s="10"/>
      <c r="B99" s="10"/>
      <c r="C99" s="10"/>
      <c r="D99" s="4"/>
      <c r="E99" s="4"/>
      <c r="F99" s="9"/>
      <c r="G99" s="4"/>
      <c r="H99" s="4"/>
      <c r="I99" s="4"/>
      <c r="J99" s="9"/>
      <c r="K99" s="4"/>
      <c r="L99" s="4"/>
      <c r="M99" s="4"/>
      <c r="N99" s="9"/>
      <c r="P99" s="4"/>
      <c r="Q99" s="4"/>
      <c r="R99" s="9"/>
      <c r="S99" s="4"/>
      <c r="T99" s="4"/>
      <c r="U99" s="4"/>
      <c r="V99" s="9"/>
      <c r="W99" s="4"/>
      <c r="X99" s="4"/>
      <c r="Y99" s="4"/>
      <c r="Z99" s="9"/>
    </row>
    <row r="100" spans="1:26" s="63" customFormat="1" ht="15" customHeight="1" x14ac:dyDescent="0.3">
      <c r="A100" s="11"/>
      <c r="B100" s="27" t="s">
        <v>297</v>
      </c>
      <c r="C100" s="27"/>
      <c r="D100" s="32">
        <f>SUM(D97:D99)</f>
        <v>-23216.099999999962</v>
      </c>
      <c r="E100" s="15"/>
      <c r="F100" s="31">
        <f>IF(D$12=0,0,D100/D$12)</f>
        <v>-1.1541421374405538</v>
      </c>
      <c r="G100" s="15"/>
      <c r="H100" s="32">
        <f>SUM(H97:H99)</f>
        <v>-40896.229754989719</v>
      </c>
      <c r="I100" s="15"/>
      <c r="J100" s="31">
        <f>IF(H$12=0,0,H100/H$12)</f>
        <v>-2.3837858332355863</v>
      </c>
      <c r="K100" s="16"/>
      <c r="L100" s="32">
        <f>+D100-H100</f>
        <v>17680.129754989757</v>
      </c>
      <c r="M100" s="16"/>
      <c r="N100" s="31">
        <f>IF(H100=0,0,L100/H100)</f>
        <v>-0.43231686297029903</v>
      </c>
      <c r="O100" s="28"/>
      <c r="P100" s="32">
        <f>SUM(P97:P99)</f>
        <v>131552.12000000023</v>
      </c>
      <c r="Q100" s="15"/>
      <c r="R100" s="31">
        <f>IF(P$12=0,0,P100/P$12)</f>
        <v>7.6816355945572887E-2</v>
      </c>
      <c r="S100" s="15"/>
      <c r="T100" s="32">
        <f>SUM(T97:T99)</f>
        <v>353564.93238634965</v>
      </c>
      <c r="U100" s="15"/>
      <c r="V100" s="31">
        <f>IF(T$12=0,0,T100/T$12)</f>
        <v>0.11251673355531804</v>
      </c>
      <c r="W100" s="16"/>
      <c r="X100" s="32">
        <f>+P100-T100</f>
        <v>-222012.81238634943</v>
      </c>
      <c r="Y100" s="16"/>
      <c r="Z100" s="31">
        <f>IF(T100=0,0,X100/T100)</f>
        <v>-0.62792656185639539</v>
      </c>
    </row>
    <row r="101" spans="1:26" ht="15" customHeight="1" x14ac:dyDescent="0.3">
      <c r="A101" s="10"/>
      <c r="C101" s="10"/>
      <c r="D101" s="19"/>
      <c r="E101" s="19"/>
      <c r="G101" s="19"/>
      <c r="H101" s="19"/>
      <c r="I101" s="19"/>
      <c r="J101" s="40"/>
      <c r="K101" s="19"/>
      <c r="L101" s="19"/>
      <c r="M101" s="19"/>
      <c r="P101" s="19"/>
      <c r="Q101" s="19"/>
      <c r="R101" s="40"/>
      <c r="S101" s="19"/>
      <c r="T101" s="19"/>
      <c r="U101" s="19"/>
      <c r="V101" s="40"/>
      <c r="W101" s="19"/>
      <c r="X101" s="19"/>
    </row>
    <row r="102" spans="1:26" ht="15" customHeight="1" x14ac:dyDescent="0.3">
      <c r="A102" s="10"/>
      <c r="B102" s="51">
        <v>44663.047665428239</v>
      </c>
      <c r="D102" s="19"/>
      <c r="E102" s="19"/>
      <c r="G102" s="19"/>
      <c r="H102" s="19"/>
      <c r="I102" s="19"/>
      <c r="J102" s="40"/>
      <c r="K102" s="19"/>
      <c r="L102" s="19"/>
      <c r="M102" s="19"/>
      <c r="P102" s="19"/>
      <c r="Q102" s="19"/>
      <c r="R102" s="40"/>
      <c r="S102" s="19"/>
      <c r="T102" s="19"/>
      <c r="U102" s="19"/>
      <c r="V102" s="40"/>
      <c r="W102" s="19"/>
      <c r="X102" s="19"/>
    </row>
    <row r="103" spans="1:26" ht="15" customHeight="1" x14ac:dyDescent="0.3">
      <c r="A103" s="10"/>
      <c r="B103" s="58" t="s">
        <v>298</v>
      </c>
      <c r="D103" s="19"/>
      <c r="E103" s="19"/>
      <c r="G103" s="19"/>
      <c r="H103" s="19"/>
      <c r="I103" s="19"/>
      <c r="J103" s="40"/>
      <c r="K103" s="19"/>
      <c r="L103" s="19"/>
      <c r="M103" s="19"/>
      <c r="P103" s="19"/>
      <c r="Q103" s="19"/>
      <c r="R103" s="40"/>
      <c r="S103" s="19"/>
      <c r="T103" s="19"/>
      <c r="U103" s="19"/>
      <c r="V103" s="40"/>
      <c r="W103" s="19"/>
      <c r="X103" s="19"/>
    </row>
    <row r="104" spans="1:26" ht="15" customHeight="1" x14ac:dyDescent="0.3">
      <c r="A104" s="10"/>
      <c r="B104" s="50"/>
      <c r="D104" s="19"/>
      <c r="E104" s="19"/>
      <c r="G104" s="19"/>
      <c r="H104" s="19"/>
      <c r="I104" s="19"/>
      <c r="J104" s="40"/>
      <c r="K104" s="19"/>
      <c r="L104" s="19"/>
      <c r="M104" s="19"/>
      <c r="P104" s="19"/>
      <c r="Q104" s="19"/>
      <c r="R104" s="40"/>
      <c r="S104" s="19"/>
      <c r="T104" s="19"/>
      <c r="U104" s="19"/>
      <c r="V104" s="40"/>
      <c r="W104" s="19"/>
      <c r="X104" s="19"/>
    </row>
    <row r="105" spans="1:26" ht="15" customHeight="1" x14ac:dyDescent="0.3">
      <c r="D105" s="19"/>
      <c r="E105" s="19"/>
      <c r="G105" s="19"/>
      <c r="H105" s="19"/>
      <c r="I105" s="19"/>
      <c r="J105" s="40"/>
      <c r="K105" s="19"/>
      <c r="L105" s="19"/>
      <c r="M105" s="19"/>
      <c r="P105" s="19"/>
      <c r="Q105" s="19"/>
      <c r="R105" s="40"/>
      <c r="S105" s="19"/>
      <c r="T105" s="19"/>
      <c r="U105" s="19"/>
      <c r="V105" s="40"/>
      <c r="W105" s="19"/>
      <c r="X105" s="19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892032-8CB1-82F9-719A-0E9E83B938C3}">
  <sheetPr>
    <tabColor rgb="FF92D050"/>
    <outlinePr summaryBelow="0" summaryRight="0"/>
  </sheetPr>
  <dimension ref="A2:Z37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1" outlineLevelCol="1" x14ac:dyDescent="0.3"/>
  <cols>
    <col min="1" max="1" width="1.88671875" style="66" customWidth="1"/>
    <col min="2" max="2" width="33.44140625" style="66" customWidth="1"/>
    <col min="3" max="3" width="1.88671875" style="66" customWidth="1"/>
    <col min="4" max="4" width="15" style="66" customWidth="1"/>
    <col min="5" max="5" width="1.88671875" style="66" customWidth="1" outlineLevel="1"/>
    <col min="6" max="6" width="15" style="67" customWidth="1" outlineLevel="1"/>
    <col min="7" max="7" width="1.88671875" style="66" customWidth="1" outlineLevel="1"/>
    <col min="8" max="8" width="15" style="66" customWidth="1" outlineLevel="1"/>
    <col min="9" max="9" width="1.88671875" style="66" customWidth="1" outlineLevel="1"/>
    <col min="10" max="10" width="15" style="68" customWidth="1" outlineLevel="1"/>
    <col min="11" max="11" width="1.88671875" style="66" customWidth="1" outlineLevel="1"/>
    <col min="12" max="12" width="15" style="66" customWidth="1" outlineLevel="1"/>
    <col min="13" max="13" width="1.88671875" style="66" customWidth="1" outlineLevel="1"/>
    <col min="14" max="14" width="15" style="67" customWidth="1" outlineLevel="1"/>
    <col min="15" max="15" width="1.88671875" style="64" customWidth="1"/>
    <col min="16" max="16" width="15" style="66" customWidth="1"/>
    <col min="17" max="17" width="1.88671875" style="66" customWidth="1" outlineLevel="1"/>
    <col min="18" max="18" width="15" style="68" customWidth="1" outlineLevel="1"/>
    <col min="19" max="19" width="1.88671875" style="66" customWidth="1" outlineLevel="1"/>
    <col min="20" max="20" width="15" style="66" customWidth="1" outlineLevel="1"/>
    <col min="21" max="21" width="1.88671875" style="66" customWidth="1" outlineLevel="1"/>
    <col min="22" max="22" width="15" style="68" customWidth="1" outlineLevel="1"/>
    <col min="23" max="23" width="1.88671875" style="66" customWidth="1" outlineLevel="1"/>
    <col min="24" max="24" width="15" style="66" customWidth="1" outlineLevel="1"/>
    <col min="25" max="25" width="1.88671875" style="66" customWidth="1" outlineLevel="1"/>
    <col min="26" max="26" width="15" style="68" customWidth="1" outlineLevel="1"/>
  </cols>
  <sheetData>
    <row r="2" spans="1:26" ht="15" customHeight="1" x14ac:dyDescent="0.3">
      <c r="D2" s="54" t="s">
        <v>276</v>
      </c>
    </row>
    <row r="3" spans="1:26" ht="15" customHeight="1" x14ac:dyDescent="0.3">
      <c r="D3" s="54" t="s">
        <v>277</v>
      </c>
      <c r="E3" s="18"/>
      <c r="F3" s="44"/>
      <c r="G3" s="18"/>
      <c r="H3" s="18"/>
      <c r="I3" s="18"/>
      <c r="J3" s="38"/>
      <c r="K3" s="18"/>
      <c r="L3" s="18"/>
      <c r="M3" s="18"/>
      <c r="N3" s="44"/>
      <c r="O3" s="53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ht="15" customHeight="1" x14ac:dyDescent="0.3">
      <c r="D4" s="54" t="str">
        <f>CONCATENATE("Period ",RIGHT(202209,2),", ",2022)</f>
        <v>Period 09, 2022</v>
      </c>
      <c r="E4" s="18"/>
      <c r="F4" s="44"/>
      <c r="G4" s="18"/>
      <c r="H4" s="18"/>
      <c r="I4" s="18"/>
      <c r="J4" s="38"/>
      <c r="K4" s="18"/>
      <c r="L4" s="18"/>
      <c r="M4" s="18"/>
      <c r="N4" s="44"/>
      <c r="O4" s="53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ht="15" customHeight="1" x14ac:dyDescent="0.3">
      <c r="A5" s="24"/>
      <c r="D5" s="60">
        <v>44646</v>
      </c>
      <c r="E5" s="18"/>
      <c r="F5" s="44"/>
      <c r="G5" s="18"/>
      <c r="H5" s="18"/>
      <c r="I5" s="18"/>
      <c r="J5" s="38"/>
      <c r="K5" s="18"/>
      <c r="L5" s="18"/>
      <c r="M5" s="18"/>
      <c r="N5" s="44"/>
      <c r="O5" s="53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ht="15" customHeight="1" x14ac:dyDescent="0.3">
      <c r="A6" s="24"/>
      <c r="B6" s="47"/>
      <c r="C6" s="47"/>
      <c r="D6" s="24" t="str">
        <f>CONCATENATE("Department ","324"," - ","Textbook Rental")</f>
        <v>Department 324 - Textbook Rental</v>
      </c>
      <c r="E6" s="18"/>
      <c r="F6" s="44"/>
      <c r="G6" s="18"/>
      <c r="H6" s="18"/>
      <c r="I6" s="18"/>
      <c r="J6" s="38"/>
      <c r="K6" s="18"/>
      <c r="L6" s="18"/>
      <c r="M6" s="18"/>
      <c r="N6" s="44"/>
      <c r="O6" s="59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ht="15" customHeight="1" x14ac:dyDescent="0.3">
      <c r="B7" s="52"/>
    </row>
    <row r="8" spans="1:26" ht="15" customHeight="1" x14ac:dyDescent="0.3">
      <c r="B8" s="52"/>
    </row>
    <row r="9" spans="1:26" ht="15" customHeight="1" x14ac:dyDescent="0.3">
      <c r="B9" s="10"/>
      <c r="C9" s="10"/>
      <c r="D9" s="17" t="s">
        <v>279</v>
      </c>
      <c r="E9" s="17"/>
      <c r="F9" s="36"/>
      <c r="G9" s="17"/>
      <c r="H9" s="17"/>
      <c r="I9" s="17"/>
      <c r="J9" s="43"/>
      <c r="K9" s="17"/>
      <c r="L9" s="17"/>
      <c r="M9" s="17"/>
      <c r="N9" s="36"/>
      <c r="P9" s="17" t="s">
        <v>280</v>
      </c>
      <c r="Q9" s="17"/>
      <c r="R9" s="36"/>
      <c r="S9" s="17"/>
      <c r="T9" s="17"/>
      <c r="U9" s="17"/>
      <c r="V9" s="43"/>
      <c r="W9" s="17"/>
      <c r="X9" s="17"/>
      <c r="Y9" s="17"/>
      <c r="Z9" s="36"/>
    </row>
    <row r="10" spans="1:26" ht="15" customHeight="1" x14ac:dyDescent="0.3">
      <c r="A10" s="11"/>
      <c r="B10" s="57"/>
      <c r="C10" s="11"/>
      <c r="D10" s="41" t="s">
        <v>281</v>
      </c>
      <c r="E10" s="33"/>
      <c r="F10" s="37" t="s">
        <v>282</v>
      </c>
      <c r="G10" s="33"/>
      <c r="H10" s="48" t="s">
        <v>283</v>
      </c>
      <c r="I10" s="33"/>
      <c r="J10" s="45" t="s">
        <v>284</v>
      </c>
      <c r="K10" s="11"/>
      <c r="L10" s="41" t="s">
        <v>285</v>
      </c>
      <c r="M10" s="11"/>
      <c r="N10" s="37" t="s">
        <v>286</v>
      </c>
      <c r="O10" s="11"/>
      <c r="P10" s="56" t="s">
        <v>281</v>
      </c>
      <c r="Q10" s="33"/>
      <c r="R10" s="37" t="s">
        <v>282</v>
      </c>
      <c r="S10" s="33"/>
      <c r="T10" s="48" t="s">
        <v>283</v>
      </c>
      <c r="U10" s="33"/>
      <c r="V10" s="45" t="s">
        <v>284</v>
      </c>
      <c r="W10" s="11"/>
      <c r="X10" s="41" t="s">
        <v>285</v>
      </c>
      <c r="Y10" s="11"/>
      <c r="Z10" s="37" t="s">
        <v>286</v>
      </c>
    </row>
    <row r="11" spans="1:26" ht="16.5" customHeight="1" x14ac:dyDescent="0.3">
      <c r="A11" s="10"/>
      <c r="B11" s="55"/>
      <c r="C11" s="10"/>
      <c r="D11" s="10"/>
      <c r="E11" s="10"/>
      <c r="F11" s="9"/>
      <c r="G11" s="10"/>
      <c r="H11" s="10"/>
      <c r="I11" s="10"/>
      <c r="J11" s="46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6"/>
      <c r="W11" s="10"/>
      <c r="X11" s="10"/>
      <c r="Y11" s="10"/>
      <c r="Z11" s="9"/>
    </row>
    <row r="12" spans="1:26" s="63" customFormat="1" ht="15" customHeight="1" collapsed="1" x14ac:dyDescent="0.3">
      <c r="A12" s="11"/>
      <c r="B12" s="28" t="s">
        <v>287</v>
      </c>
      <c r="C12" s="11"/>
      <c r="D12" s="5">
        <f>SUM(OSRRefD13x_0)</f>
        <v>2779.8599999999997</v>
      </c>
      <c r="E12" s="5"/>
      <c r="F12" s="13"/>
      <c r="G12" s="5"/>
      <c r="H12" s="5">
        <f>SUM(OSRRefH13x_0)</f>
        <v>2071</v>
      </c>
      <c r="I12" s="5"/>
      <c r="J12" s="13"/>
      <c r="K12" s="5"/>
      <c r="L12" s="5">
        <f>+D12-H12</f>
        <v>708.85999999999967</v>
      </c>
      <c r="M12" s="5"/>
      <c r="N12" s="13">
        <f>IF(H12=0,0,L12/H12)</f>
        <v>0.34227909222597763</v>
      </c>
      <c r="O12" s="11"/>
      <c r="P12" s="5">
        <f>SUM(OSRRefP13x_0)</f>
        <v>438811.64</v>
      </c>
      <c r="Q12" s="5"/>
      <c r="R12" s="13"/>
      <c r="S12" s="5"/>
      <c r="T12" s="5">
        <f>SUM(OSRRefT13x_0)</f>
        <v>1532386</v>
      </c>
      <c r="U12" s="5"/>
      <c r="V12" s="13"/>
      <c r="W12" s="5"/>
      <c r="X12" s="5">
        <f>+P12-T12</f>
        <v>-1093574.3599999999</v>
      </c>
      <c r="Y12" s="5"/>
      <c r="Z12" s="13">
        <f>IF(T12=0,0,X12/T12)</f>
        <v>-0.71364157594757449</v>
      </c>
    </row>
    <row r="13" spans="1:26" s="70" customFormat="1" ht="15" hidden="1" customHeight="1" outlineLevel="1" x14ac:dyDescent="0.3">
      <c r="A13" s="42"/>
      <c r="B13" s="12" t="str">
        <f>CONCATENATE("          ","4000"," - ","TAXABLE SALES")</f>
        <v xml:space="preserve">          4000 - TAXABLE SALES</v>
      </c>
      <c r="C13" s="12"/>
      <c r="D13" s="3">
        <f>--1625.55</f>
        <v>1625.55</v>
      </c>
      <c r="E13" s="3"/>
      <c r="F13" s="20"/>
      <c r="G13" s="3"/>
      <c r="H13" s="3">
        <v>2071</v>
      </c>
      <c r="I13" s="3"/>
      <c r="J13" s="20"/>
      <c r="K13" s="3"/>
      <c r="L13" s="3">
        <f>+D13-H13</f>
        <v>-445.45000000000005</v>
      </c>
      <c r="M13" s="3"/>
      <c r="N13" s="20">
        <f>IF(H13=0,0,L13/H13)</f>
        <v>-0.21508932882665383</v>
      </c>
      <c r="O13" s="12"/>
      <c r="P13" s="3">
        <f>--271103.42</f>
        <v>271103.42</v>
      </c>
      <c r="Q13" s="3"/>
      <c r="R13" s="20"/>
      <c r="S13" s="3"/>
      <c r="T13" s="3">
        <v>1532386</v>
      </c>
      <c r="U13" s="3"/>
      <c r="V13" s="20"/>
      <c r="W13" s="3"/>
      <c r="X13" s="3">
        <f>+P13-T13</f>
        <v>-1261282.58</v>
      </c>
      <c r="Y13" s="3"/>
      <c r="Z13" s="20">
        <f>IF(T13=0,0,X13/T13)</f>
        <v>-0.82308411849233809</v>
      </c>
    </row>
    <row r="14" spans="1:26" s="70" customFormat="1" ht="15" hidden="1" customHeight="1" outlineLevel="1" x14ac:dyDescent="0.3">
      <c r="A14" s="42"/>
      <c r="B14" s="12" t="str">
        <f>CONCATENATE("          ","4100"," - ","NON-TAXABLE SALES")</f>
        <v xml:space="preserve">          4100 - NON-TAXABLE SALES</v>
      </c>
      <c r="C14" s="12"/>
      <c r="D14" s="3">
        <f>--1154.31</f>
        <v>1154.31</v>
      </c>
      <c r="E14" s="3"/>
      <c r="F14" s="20"/>
      <c r="G14" s="3"/>
      <c r="H14" s="3"/>
      <c r="I14" s="3"/>
      <c r="J14" s="20"/>
      <c r="K14" s="3"/>
      <c r="L14" s="3">
        <f>+D14-H14</f>
        <v>1154.31</v>
      </c>
      <c r="M14" s="3"/>
      <c r="N14" s="20">
        <f>IF(H14=0,0,L14/H14)</f>
        <v>0</v>
      </c>
      <c r="O14" s="12"/>
      <c r="P14" s="3">
        <f>--167708.22</f>
        <v>167708.22</v>
      </c>
      <c r="Q14" s="3"/>
      <c r="R14" s="20"/>
      <c r="S14" s="3"/>
      <c r="T14" s="3"/>
      <c r="U14" s="3"/>
      <c r="V14" s="20"/>
      <c r="W14" s="3"/>
      <c r="X14" s="3">
        <f>+P14-T14</f>
        <v>167708.22</v>
      </c>
      <c r="Y14" s="3"/>
      <c r="Z14" s="20">
        <f>IF(T14=0,0,X14/T14)</f>
        <v>0</v>
      </c>
    </row>
    <row r="15" spans="1:26" ht="15" customHeight="1" x14ac:dyDescent="0.3">
      <c r="A15" s="10"/>
      <c r="B15" s="11"/>
      <c r="C15" s="10"/>
      <c r="D15" s="4"/>
      <c r="E15" s="4"/>
      <c r="F15" s="9"/>
      <c r="G15" s="4"/>
      <c r="H15" s="4"/>
      <c r="I15" s="4"/>
      <c r="J15" s="9"/>
      <c r="K15" s="4"/>
      <c r="L15" s="4"/>
      <c r="M15" s="4"/>
      <c r="N15" s="9"/>
      <c r="P15" s="4"/>
      <c r="Q15" s="4"/>
      <c r="R15" s="9"/>
      <c r="S15" s="4"/>
      <c r="T15" s="4"/>
      <c r="U15" s="4"/>
      <c r="V15" s="9"/>
      <c r="W15" s="4"/>
      <c r="X15" s="4"/>
      <c r="Y15" s="4"/>
      <c r="Z15" s="9"/>
    </row>
    <row r="16" spans="1:26" s="63" customFormat="1" ht="15" customHeight="1" collapsed="1" x14ac:dyDescent="0.3">
      <c r="A16" s="11"/>
      <c r="B16" s="28" t="s">
        <v>288</v>
      </c>
      <c r="C16" s="11"/>
      <c r="D16" s="5">
        <f>SUM(OSRRefD16x_0)</f>
        <v>2120.33</v>
      </c>
      <c r="E16" s="5"/>
      <c r="F16" s="13">
        <f>IF(D$12=0,0,D16/D$12)</f>
        <v>0.76274704481520661</v>
      </c>
      <c r="G16" s="5"/>
      <c r="H16" s="5">
        <f>SUM(OSRRefH16x_0)</f>
        <v>1501</v>
      </c>
      <c r="I16" s="5"/>
      <c r="J16" s="13">
        <f>IF(H$12=0,0,H16/H$12)</f>
        <v>0.72477064220183485</v>
      </c>
      <c r="K16" s="5"/>
      <c r="L16" s="5">
        <f>+D16-H16</f>
        <v>619.32999999999993</v>
      </c>
      <c r="M16" s="5"/>
      <c r="N16" s="13">
        <f>IF(H16=0,0,L16/H16)</f>
        <v>0.41261159227181876</v>
      </c>
      <c r="O16" s="11"/>
      <c r="P16" s="5">
        <f>SUM(OSRRefP16x_0)</f>
        <v>325226.18</v>
      </c>
      <c r="Q16" s="5"/>
      <c r="R16" s="13">
        <f>IF(P$12=0,0,P16/P$12)</f>
        <v>0.74115212622892135</v>
      </c>
      <c r="S16" s="5"/>
      <c r="T16" s="5">
        <f>SUM(OSRRefT16x_0)</f>
        <v>1110980</v>
      </c>
      <c r="U16" s="5"/>
      <c r="V16" s="13">
        <f>IF(T$12=0,0,T16/T$12)</f>
        <v>0.72500009788656383</v>
      </c>
      <c r="W16" s="5"/>
      <c r="X16" s="5">
        <f>+P16-T16</f>
        <v>-785753.82000000007</v>
      </c>
      <c r="Y16" s="5"/>
      <c r="Z16" s="13">
        <f>IF(T16=0,0,X16/T16)</f>
        <v>-0.7072618949035987</v>
      </c>
    </row>
    <row r="17" spans="1:26" s="70" customFormat="1" ht="15" hidden="1" customHeight="1" outlineLevel="1" x14ac:dyDescent="0.3">
      <c r="A17" s="42"/>
      <c r="B17" s="12" t="str">
        <f>CONCATENATE("          ","5000"," - ","PURCHASES @ COST")</f>
        <v xml:space="preserve">          5000 - PURCHASES @ COST</v>
      </c>
      <c r="C17" s="12"/>
      <c r="D17" s="3">
        <v>2120.33</v>
      </c>
      <c r="E17" s="3"/>
      <c r="F17" s="20">
        <f>IF(D$12=0,0,D17/D$12)</f>
        <v>0.76274704481520661</v>
      </c>
      <c r="G17" s="3"/>
      <c r="H17" s="3">
        <v>1501</v>
      </c>
      <c r="I17" s="3"/>
      <c r="J17" s="20">
        <f>IF(H$12=0,0,H17/H$12)</f>
        <v>0.72477064220183485</v>
      </c>
      <c r="K17" s="3"/>
      <c r="L17" s="3">
        <f>+D17-H17</f>
        <v>619.32999999999993</v>
      </c>
      <c r="M17" s="3"/>
      <c r="N17" s="20">
        <f>IF(H17=0,0,L17/H17)</f>
        <v>0.41261159227181876</v>
      </c>
      <c r="O17" s="12"/>
      <c r="P17" s="3">
        <v>325226.18</v>
      </c>
      <c r="Q17" s="3"/>
      <c r="R17" s="20">
        <f>IF(P$12=0,0,P17/P$12)</f>
        <v>0.74115212622892135</v>
      </c>
      <c r="S17" s="3"/>
      <c r="T17" s="3">
        <v>1110980</v>
      </c>
      <c r="U17" s="3"/>
      <c r="V17" s="20">
        <f>IF(T$12=0,0,T17/T$12)</f>
        <v>0.72500009788656383</v>
      </c>
      <c r="W17" s="3"/>
      <c r="X17" s="3">
        <f>+P17-T17</f>
        <v>-785753.82000000007</v>
      </c>
      <c r="Y17" s="3"/>
      <c r="Z17" s="20">
        <f>IF(T17=0,0,X17/T17)</f>
        <v>-0.7072618949035987</v>
      </c>
    </row>
    <row r="18" spans="1:26" ht="15" customHeight="1" x14ac:dyDescent="0.3">
      <c r="A18" s="10"/>
      <c r="B18" s="11"/>
      <c r="C18" s="11"/>
      <c r="D18" s="4"/>
      <c r="E18" s="4"/>
      <c r="F18" s="9"/>
      <c r="G18" s="4"/>
      <c r="H18" s="4"/>
      <c r="I18" s="4"/>
      <c r="J18" s="9"/>
      <c r="K18" s="4"/>
      <c r="L18" s="4"/>
      <c r="M18" s="4"/>
      <c r="N18" s="9"/>
      <c r="O18" s="11"/>
      <c r="P18" s="4"/>
      <c r="Q18" s="4"/>
      <c r="R18" s="9"/>
      <c r="S18" s="4"/>
      <c r="T18" s="4"/>
      <c r="U18" s="4"/>
      <c r="V18" s="9"/>
      <c r="W18" s="4"/>
      <c r="X18" s="4"/>
      <c r="Y18" s="4"/>
      <c r="Z18" s="9"/>
    </row>
    <row r="19" spans="1:26" s="63" customFormat="1" ht="15" customHeight="1" x14ac:dyDescent="0.3">
      <c r="A19" s="11"/>
      <c r="B19" s="27" t="s">
        <v>289</v>
      </c>
      <c r="C19" s="27"/>
      <c r="D19" s="21">
        <f>D12-D16</f>
        <v>659.52999999999975</v>
      </c>
      <c r="E19" s="15"/>
      <c r="F19" s="23">
        <f>IF(D$12=0,0,D19/D$12)</f>
        <v>0.23725295518479342</v>
      </c>
      <c r="G19" s="15"/>
      <c r="H19" s="21">
        <f>H12-H16</f>
        <v>570</v>
      </c>
      <c r="I19" s="15"/>
      <c r="J19" s="23">
        <f>IF(H$12=0,0,H19/H$12)</f>
        <v>0.27522935779816515</v>
      </c>
      <c r="K19" s="16"/>
      <c r="L19" s="21">
        <f>+D19-H19</f>
        <v>89.529999999999745</v>
      </c>
      <c r="M19" s="16"/>
      <c r="N19" s="23">
        <f>IF(H19=0,0,L19/H19)</f>
        <v>0.15707017543859605</v>
      </c>
      <c r="O19" s="28"/>
      <c r="P19" s="21">
        <f>P12-P16</f>
        <v>113585.46000000002</v>
      </c>
      <c r="Q19" s="15"/>
      <c r="R19" s="23">
        <f>IF(P$12=0,0,P19/P$12)</f>
        <v>0.25884787377107865</v>
      </c>
      <c r="S19" s="15"/>
      <c r="T19" s="21">
        <f>T12-T16</f>
        <v>421406</v>
      </c>
      <c r="U19" s="15"/>
      <c r="V19" s="23">
        <f>IF(T$12=0,0,T19/T$12)</f>
        <v>0.27499990211343617</v>
      </c>
      <c r="W19" s="16"/>
      <c r="X19" s="21">
        <f>+P19-T19</f>
        <v>-307820.53999999998</v>
      </c>
      <c r="Y19" s="16"/>
      <c r="Z19" s="23">
        <f>IF(T19=0,0,X19/T19)</f>
        <v>-0.73046074332116762</v>
      </c>
    </row>
    <row r="20" spans="1:26" ht="15" customHeight="1" x14ac:dyDescent="0.3">
      <c r="A20" s="10"/>
      <c r="B20" s="11"/>
      <c r="C20" s="10"/>
      <c r="D20" s="2"/>
      <c r="E20" s="2"/>
      <c r="F20" s="6"/>
      <c r="G20" s="2"/>
      <c r="H20" s="2"/>
      <c r="I20" s="2"/>
      <c r="J20" s="6"/>
      <c r="K20" s="2"/>
      <c r="L20" s="2"/>
      <c r="M20" s="2"/>
      <c r="N20" s="6"/>
      <c r="O20" s="35"/>
      <c r="P20" s="2"/>
      <c r="Q20" s="2"/>
      <c r="R20" s="6"/>
      <c r="S20" s="2"/>
      <c r="T20" s="2"/>
      <c r="U20" s="2"/>
      <c r="V20" s="6"/>
      <c r="W20" s="2"/>
      <c r="X20" s="2"/>
      <c r="Y20" s="2"/>
      <c r="Z20" s="6"/>
    </row>
    <row r="21" spans="1:26" s="63" customFormat="1" ht="15" customHeight="1" x14ac:dyDescent="0.3">
      <c r="A21" s="11"/>
      <c r="B21" s="28" t="s">
        <v>290</v>
      </c>
      <c r="C21" s="11"/>
      <c r="D21" s="22">
        <f>SUM(0)</f>
        <v>0</v>
      </c>
      <c r="E21" s="22"/>
      <c r="F21" s="30">
        <f>IF(D$12=0,0,D21/D$12)</f>
        <v>0</v>
      </c>
      <c r="G21" s="22"/>
      <c r="H21" s="22">
        <f>SUM(0)</f>
        <v>0</v>
      </c>
      <c r="I21" s="22"/>
      <c r="J21" s="30">
        <f>IF(H$12=0,0,H21/H$12)</f>
        <v>0</v>
      </c>
      <c r="K21" s="5"/>
      <c r="L21" s="22">
        <f>+D21-H21</f>
        <v>0</v>
      </c>
      <c r="M21" s="5"/>
      <c r="N21" s="30">
        <f>IF(H21=0,0,L21/H21)</f>
        <v>0</v>
      </c>
      <c r="O21" s="11"/>
      <c r="P21" s="22">
        <f>SUM(0)</f>
        <v>0</v>
      </c>
      <c r="Q21" s="22"/>
      <c r="R21" s="30">
        <f>IF(P$12=0,0,P21/P$12)</f>
        <v>0</v>
      </c>
      <c r="S21" s="22"/>
      <c r="T21" s="22">
        <f>SUM(0)</f>
        <v>0</v>
      </c>
      <c r="U21" s="22"/>
      <c r="V21" s="30">
        <f>IF(T$12=0,0,T21/T$12)</f>
        <v>0</v>
      </c>
      <c r="W21" s="5"/>
      <c r="X21" s="22">
        <f>+P21-T21</f>
        <v>0</v>
      </c>
      <c r="Y21" s="5"/>
      <c r="Z21" s="30">
        <f>IF(T21=0,0,X21/T21)</f>
        <v>0</v>
      </c>
    </row>
    <row r="22" spans="1:26" s="65" customFormat="1" ht="15" customHeight="1" x14ac:dyDescent="0.3">
      <c r="A22" s="35"/>
      <c r="B22" s="35"/>
      <c r="C22" s="35"/>
      <c r="D22" s="2"/>
      <c r="E22" s="2"/>
      <c r="F22" s="6"/>
      <c r="G22" s="2"/>
      <c r="H22" s="2"/>
      <c r="I22" s="2"/>
      <c r="J22" s="6"/>
      <c r="K22" s="2"/>
      <c r="L22" s="2"/>
      <c r="M22" s="2"/>
      <c r="N22" s="6"/>
      <c r="O22" s="35"/>
      <c r="P22" s="2"/>
      <c r="Q22" s="2"/>
      <c r="R22" s="6"/>
      <c r="S22" s="2"/>
      <c r="T22" s="2"/>
      <c r="U22" s="2"/>
      <c r="V22" s="6"/>
      <c r="W22" s="2"/>
      <c r="X22" s="2"/>
      <c r="Y22" s="2"/>
      <c r="Z22" s="6"/>
    </row>
    <row r="23" spans="1:26" s="63" customFormat="1" ht="15" customHeight="1" x14ac:dyDescent="0.3">
      <c r="A23" s="11"/>
      <c r="B23" s="28" t="s">
        <v>291</v>
      </c>
      <c r="C23" s="11"/>
      <c r="D23" s="5">
        <f>SUM(0)</f>
        <v>0</v>
      </c>
      <c r="E23" s="5"/>
      <c r="F23" s="13">
        <f>IF(D$12=0,0,D23/D$12)</f>
        <v>0</v>
      </c>
      <c r="G23" s="5"/>
      <c r="H23" s="5">
        <f>SUM(0)</f>
        <v>0</v>
      </c>
      <c r="I23" s="5"/>
      <c r="J23" s="13">
        <f>IF(H$12=0,0,H23/H$12)</f>
        <v>0</v>
      </c>
      <c r="K23" s="5"/>
      <c r="L23" s="5">
        <f>+D23-H23</f>
        <v>0</v>
      </c>
      <c r="M23" s="5"/>
      <c r="N23" s="13">
        <f>IF(H23=0,0,L23/H23)</f>
        <v>0</v>
      </c>
      <c r="O23" s="11"/>
      <c r="P23" s="5">
        <f>SUM(0)</f>
        <v>0</v>
      </c>
      <c r="Q23" s="5"/>
      <c r="R23" s="13">
        <f>IF(P$12=0,0,P23/P$12)</f>
        <v>0</v>
      </c>
      <c r="S23" s="5"/>
      <c r="T23" s="5">
        <f>SUM(0)</f>
        <v>0</v>
      </c>
      <c r="U23" s="5"/>
      <c r="V23" s="13">
        <f>IF(T$12=0,0,T23/T$12)</f>
        <v>0</v>
      </c>
      <c r="W23" s="5"/>
      <c r="X23" s="5">
        <f>+P23-T23</f>
        <v>0</v>
      </c>
      <c r="Y23" s="5"/>
      <c r="Z23" s="13">
        <f>IF(T23=0,0,X23/T23)</f>
        <v>0</v>
      </c>
    </row>
    <row r="24" spans="1:26" ht="15" customHeight="1" x14ac:dyDescent="0.3">
      <c r="A24" s="10"/>
      <c r="B24" s="11"/>
      <c r="C24" s="11"/>
      <c r="D24" s="4"/>
      <c r="E24" s="4"/>
      <c r="F24" s="9"/>
      <c r="G24" s="4"/>
      <c r="H24" s="4"/>
      <c r="I24" s="4"/>
      <c r="J24" s="9"/>
      <c r="K24" s="4"/>
      <c r="L24" s="4"/>
      <c r="M24" s="4"/>
      <c r="N24" s="9"/>
      <c r="O24" s="11"/>
      <c r="P24" s="4"/>
      <c r="Q24" s="4"/>
      <c r="R24" s="9"/>
      <c r="S24" s="4"/>
      <c r="T24" s="4"/>
      <c r="U24" s="4"/>
      <c r="V24" s="9"/>
      <c r="W24" s="4"/>
      <c r="X24" s="4"/>
      <c r="Y24" s="4"/>
      <c r="Z24" s="9"/>
    </row>
    <row r="25" spans="1:26" s="63" customFormat="1" ht="15" customHeight="1" x14ac:dyDescent="0.3">
      <c r="A25" s="11"/>
      <c r="B25" s="27" t="s">
        <v>292</v>
      </c>
      <c r="C25" s="27"/>
      <c r="D25" s="21">
        <f>+D19-D21+D23</f>
        <v>659.52999999999975</v>
      </c>
      <c r="E25" s="15"/>
      <c r="F25" s="23">
        <f>IF(D$12=0,0,D25/D$12)</f>
        <v>0.23725295518479342</v>
      </c>
      <c r="G25" s="15"/>
      <c r="H25" s="21">
        <f>+H19-H21+H23</f>
        <v>570</v>
      </c>
      <c r="I25" s="15"/>
      <c r="J25" s="23">
        <f>IF(H$12=0,0,H25/H$12)</f>
        <v>0.27522935779816515</v>
      </c>
      <c r="K25" s="16"/>
      <c r="L25" s="21">
        <f>+D25-H25</f>
        <v>89.529999999999745</v>
      </c>
      <c r="M25" s="16"/>
      <c r="N25" s="23">
        <f>IF(H25=0,0,L25/H25)</f>
        <v>0.15707017543859605</v>
      </c>
      <c r="O25" s="28"/>
      <c r="P25" s="21">
        <f>+P19-P21+P23</f>
        <v>113585.46000000002</v>
      </c>
      <c r="Q25" s="15"/>
      <c r="R25" s="23">
        <f>IF(P$12=0,0,P25/P$12)</f>
        <v>0.25884787377107865</v>
      </c>
      <c r="S25" s="15"/>
      <c r="T25" s="21">
        <f>+T19-T21+T23</f>
        <v>421406</v>
      </c>
      <c r="U25" s="15"/>
      <c r="V25" s="23">
        <f>IF(T$12=0,0,T25/T$12)</f>
        <v>0.27499990211343617</v>
      </c>
      <c r="W25" s="16"/>
      <c r="X25" s="21">
        <f>+P25-T25</f>
        <v>-307820.53999999998</v>
      </c>
      <c r="Y25" s="16"/>
      <c r="Z25" s="23">
        <f>IF(T25=0,0,X25/T25)</f>
        <v>-0.73046074332116762</v>
      </c>
    </row>
    <row r="26" spans="1:26" ht="15" customHeight="1" x14ac:dyDescent="0.3">
      <c r="A26" s="10"/>
      <c r="B26" s="11"/>
      <c r="C26" s="10"/>
      <c r="D26" s="4"/>
      <c r="E26" s="4"/>
      <c r="F26" s="9"/>
      <c r="G26" s="4"/>
      <c r="H26" s="4"/>
      <c r="I26" s="4"/>
      <c r="J26" s="9"/>
      <c r="K26" s="4"/>
      <c r="L26" s="4"/>
      <c r="M26" s="4"/>
      <c r="N26" s="9"/>
      <c r="P26" s="4"/>
      <c r="Q26" s="4"/>
      <c r="R26" s="9"/>
      <c r="S26" s="4"/>
      <c r="T26" s="4"/>
      <c r="U26" s="4"/>
      <c r="V26" s="9"/>
      <c r="W26" s="4"/>
      <c r="X26" s="4"/>
      <c r="Y26" s="4"/>
      <c r="Z26" s="9"/>
    </row>
    <row r="27" spans="1:26" s="63" customFormat="1" ht="15" customHeight="1" x14ac:dyDescent="0.3">
      <c r="A27" s="49"/>
      <c r="B27" s="11" t="s">
        <v>293</v>
      </c>
      <c r="C27" s="11"/>
      <c r="D27" s="5">
        <v>-2055.58</v>
      </c>
      <c r="E27" s="5"/>
      <c r="F27" s="13">
        <f>IF(D$12=0,0,D27/D$12)</f>
        <v>-0.7394545049031247</v>
      </c>
      <c r="G27" s="5"/>
      <c r="H27" s="5">
        <v>-461</v>
      </c>
      <c r="I27" s="5"/>
      <c r="J27" s="13">
        <f>IF(H$12=0,0,H27/H$12)</f>
        <v>-0.22259777885079671</v>
      </c>
      <c r="K27" s="5"/>
      <c r="L27" s="5">
        <f>+D27-H27</f>
        <v>-1594.58</v>
      </c>
      <c r="M27" s="5"/>
      <c r="N27" s="13">
        <f>IF(H27=0,0,L27/H27)</f>
        <v>3.4589587852494574</v>
      </c>
      <c r="O27" s="11"/>
      <c r="P27" s="5">
        <v>52371.09</v>
      </c>
      <c r="Q27" s="5"/>
      <c r="R27" s="13">
        <f>IF(P$12=0,0,P27/P$12)</f>
        <v>0.11934754055293519</v>
      </c>
      <c r="S27" s="5"/>
      <c r="T27" s="5">
        <v>186616</v>
      </c>
      <c r="U27" s="5"/>
      <c r="V27" s="13">
        <f>IF(T$12=0,0,T27/T$12)</f>
        <v>0.12178132663702226</v>
      </c>
      <c r="W27" s="5"/>
      <c r="X27" s="5">
        <f>+P27-T27</f>
        <v>-134244.91</v>
      </c>
      <c r="Y27" s="5"/>
      <c r="Z27" s="13">
        <f>IF(T27=0,0,X27/T27)</f>
        <v>-0.71936441677026619</v>
      </c>
    </row>
    <row r="28" spans="1:26" ht="15" customHeight="1" x14ac:dyDescent="0.3">
      <c r="A28" s="10"/>
      <c r="B28" s="11"/>
      <c r="C28" s="11"/>
      <c r="D28" s="4"/>
      <c r="E28" s="4"/>
      <c r="F28" s="9"/>
      <c r="G28" s="4"/>
      <c r="H28" s="4"/>
      <c r="I28" s="4"/>
      <c r="J28" s="9"/>
      <c r="K28" s="4"/>
      <c r="L28" s="4"/>
      <c r="M28" s="4"/>
      <c r="N28" s="9"/>
      <c r="O28" s="11"/>
      <c r="P28" s="4"/>
      <c r="Q28" s="4"/>
      <c r="R28" s="9"/>
      <c r="S28" s="4"/>
      <c r="T28" s="4"/>
      <c r="U28" s="4"/>
      <c r="V28" s="9"/>
      <c r="W28" s="4"/>
      <c r="X28" s="4"/>
      <c r="Y28" s="4"/>
      <c r="Z28" s="9"/>
    </row>
    <row r="29" spans="1:26" s="63" customFormat="1" ht="15" customHeight="1" x14ac:dyDescent="0.3">
      <c r="A29" s="11"/>
      <c r="B29" s="27" t="s">
        <v>294</v>
      </c>
      <c r="C29" s="27"/>
      <c r="D29" s="34">
        <f>+D25-D27</f>
        <v>2715.1099999999997</v>
      </c>
      <c r="E29" s="15"/>
      <c r="F29" s="29">
        <f>IF(D$12=0,0,D29/D$12)</f>
        <v>0.97670746008791809</v>
      </c>
      <c r="G29" s="15"/>
      <c r="H29" s="34">
        <f>+H25-H27</f>
        <v>1031</v>
      </c>
      <c r="I29" s="15"/>
      <c r="J29" s="29">
        <f>IF(H$12=0,0,H29/H$12)</f>
        <v>0.49782713664896183</v>
      </c>
      <c r="K29" s="16"/>
      <c r="L29" s="34">
        <f>D29-H29</f>
        <v>1684.1099999999997</v>
      </c>
      <c r="M29" s="16"/>
      <c r="N29" s="29">
        <f>IF(H29=0,0,L29/H29)</f>
        <v>1.6334723569350142</v>
      </c>
      <c r="O29" s="28"/>
      <c r="P29" s="34">
        <f>+P25-P27</f>
        <v>61214.370000000024</v>
      </c>
      <c r="Q29" s="15"/>
      <c r="R29" s="29">
        <f>IF(P$12=0,0,P29/P$12)</f>
        <v>0.13950033321814348</v>
      </c>
      <c r="S29" s="15"/>
      <c r="T29" s="34">
        <f>+T25-T27</f>
        <v>234790</v>
      </c>
      <c r="U29" s="15"/>
      <c r="V29" s="29">
        <f>IF(T$12=0,0,T29/T$12)</f>
        <v>0.1532185754764139</v>
      </c>
      <c r="W29" s="16"/>
      <c r="X29" s="34">
        <f>P29-T29</f>
        <v>-173575.62999999998</v>
      </c>
      <c r="Y29" s="16"/>
      <c r="Z29" s="29">
        <f>IF(T29=0,0,X29/T29)</f>
        <v>-0.7392803356190637</v>
      </c>
    </row>
    <row r="30" spans="1:26" ht="15" customHeight="1" x14ac:dyDescent="0.3">
      <c r="A30" s="10"/>
      <c r="B30" s="10"/>
      <c r="C30" s="10"/>
      <c r="D30" s="4"/>
      <c r="E30" s="4"/>
      <c r="F30" s="9"/>
      <c r="G30" s="4"/>
      <c r="H30" s="4"/>
      <c r="I30" s="4"/>
      <c r="J30" s="9"/>
      <c r="K30" s="4"/>
      <c r="L30" s="4"/>
      <c r="M30" s="4"/>
      <c r="N30" s="9"/>
      <c r="P30" s="4"/>
      <c r="Q30" s="4"/>
      <c r="R30" s="9"/>
      <c r="S30" s="4"/>
      <c r="T30" s="4"/>
      <c r="U30" s="4"/>
      <c r="V30" s="9"/>
      <c r="W30" s="4"/>
      <c r="X30" s="4"/>
      <c r="Y30" s="4"/>
      <c r="Z30" s="9"/>
    </row>
    <row r="31" spans="1:26" ht="15" customHeight="1" x14ac:dyDescent="0.3">
      <c r="A31" s="10"/>
      <c r="B31" s="10"/>
      <c r="C31" s="10"/>
      <c r="D31" s="4"/>
      <c r="E31" s="4"/>
      <c r="F31" s="9"/>
      <c r="G31" s="4"/>
      <c r="H31" s="4"/>
      <c r="I31" s="4"/>
      <c r="J31" s="9"/>
      <c r="K31" s="4"/>
      <c r="L31" s="4"/>
      <c r="M31" s="4"/>
      <c r="N31" s="9"/>
      <c r="P31" s="4"/>
      <c r="Q31" s="4"/>
      <c r="R31" s="9"/>
      <c r="S31" s="4"/>
      <c r="T31" s="4"/>
      <c r="U31" s="4"/>
      <c r="V31" s="9"/>
      <c r="W31" s="4"/>
      <c r="X31" s="4"/>
      <c r="Y31" s="4"/>
      <c r="Z31" s="9"/>
    </row>
    <row r="32" spans="1:26" s="63" customFormat="1" ht="15" customHeight="1" x14ac:dyDescent="0.3">
      <c r="A32" s="11"/>
      <c r="B32" s="27" t="s">
        <v>297</v>
      </c>
      <c r="C32" s="27"/>
      <c r="D32" s="32">
        <f>SUM(D29:D31)</f>
        <v>2715.1099999999997</v>
      </c>
      <c r="E32" s="15"/>
      <c r="F32" s="31">
        <f>IF(D$12=0,0,D32/D$12)</f>
        <v>0.97670746008791809</v>
      </c>
      <c r="G32" s="15"/>
      <c r="H32" s="32">
        <f>SUM(H29:H31)</f>
        <v>1031</v>
      </c>
      <c r="I32" s="15"/>
      <c r="J32" s="31">
        <f>IF(H$12=0,0,H32/H$12)</f>
        <v>0.49782713664896183</v>
      </c>
      <c r="K32" s="16"/>
      <c r="L32" s="32">
        <f>+D32-H32</f>
        <v>1684.1099999999997</v>
      </c>
      <c r="M32" s="16"/>
      <c r="N32" s="31">
        <f>IF(H32=0,0,L32/H32)</f>
        <v>1.6334723569350142</v>
      </c>
      <c r="O32" s="28"/>
      <c r="P32" s="32">
        <f>SUM(P29:P31)</f>
        <v>61214.370000000024</v>
      </c>
      <c r="Q32" s="15"/>
      <c r="R32" s="31">
        <f>IF(P$12=0,0,P32/P$12)</f>
        <v>0.13950033321814348</v>
      </c>
      <c r="S32" s="15"/>
      <c r="T32" s="32">
        <f>SUM(T29:T31)</f>
        <v>234790</v>
      </c>
      <c r="U32" s="15"/>
      <c r="V32" s="31">
        <f>IF(T$12=0,0,T32/T$12)</f>
        <v>0.1532185754764139</v>
      </c>
      <c r="W32" s="16"/>
      <c r="X32" s="32">
        <f>+P32-T32</f>
        <v>-173575.62999999998</v>
      </c>
      <c r="Y32" s="16"/>
      <c r="Z32" s="31">
        <f>IF(T32=0,0,X32/T32)</f>
        <v>-0.7392803356190637</v>
      </c>
    </row>
    <row r="33" spans="1:24" ht="15" customHeight="1" x14ac:dyDescent="0.3">
      <c r="A33" s="10"/>
      <c r="C33" s="10"/>
      <c r="D33" s="19"/>
      <c r="E33" s="19"/>
      <c r="G33" s="19"/>
      <c r="H33" s="19"/>
      <c r="I33" s="19"/>
      <c r="J33" s="40"/>
      <c r="K33" s="19"/>
      <c r="L33" s="19"/>
      <c r="M33" s="19"/>
      <c r="P33" s="19"/>
      <c r="Q33" s="19"/>
      <c r="R33" s="40"/>
      <c r="S33" s="19"/>
      <c r="T33" s="19"/>
      <c r="U33" s="19"/>
      <c r="V33" s="40"/>
      <c r="W33" s="19"/>
      <c r="X33" s="19"/>
    </row>
    <row r="34" spans="1:24" ht="15" customHeight="1" x14ac:dyDescent="0.3">
      <c r="A34" s="10"/>
      <c r="B34" s="51">
        <v>44663.047665428239</v>
      </c>
      <c r="D34" s="19"/>
      <c r="E34" s="19"/>
      <c r="G34" s="19"/>
      <c r="H34" s="19"/>
      <c r="I34" s="19"/>
      <c r="J34" s="40"/>
      <c r="K34" s="19"/>
      <c r="L34" s="19"/>
      <c r="M34" s="19"/>
      <c r="P34" s="19"/>
      <c r="Q34" s="19"/>
      <c r="R34" s="40"/>
      <c r="S34" s="19"/>
      <c r="T34" s="19"/>
      <c r="U34" s="19"/>
      <c r="V34" s="40"/>
      <c r="W34" s="19"/>
      <c r="X34" s="19"/>
    </row>
    <row r="35" spans="1:24" ht="15" customHeight="1" x14ac:dyDescent="0.3">
      <c r="A35" s="10"/>
      <c r="B35" s="58" t="s">
        <v>298</v>
      </c>
      <c r="D35" s="19"/>
      <c r="E35" s="19"/>
      <c r="G35" s="19"/>
      <c r="H35" s="19"/>
      <c r="I35" s="19"/>
      <c r="J35" s="40"/>
      <c r="K35" s="19"/>
      <c r="L35" s="19"/>
      <c r="M35" s="19"/>
      <c r="P35" s="19"/>
      <c r="Q35" s="19"/>
      <c r="R35" s="40"/>
      <c r="S35" s="19"/>
      <c r="T35" s="19"/>
      <c r="U35" s="19"/>
      <c r="V35" s="40"/>
      <c r="W35" s="19"/>
      <c r="X35" s="19"/>
    </row>
    <row r="36" spans="1:24" ht="15" customHeight="1" x14ac:dyDescent="0.3">
      <c r="A36" s="10"/>
      <c r="B36" s="50"/>
      <c r="D36" s="19"/>
      <c r="E36" s="19"/>
      <c r="G36" s="19"/>
      <c r="H36" s="19"/>
      <c r="I36" s="19"/>
      <c r="J36" s="40"/>
      <c r="K36" s="19"/>
      <c r="L36" s="19"/>
      <c r="M36" s="19"/>
      <c r="P36" s="19"/>
      <c r="Q36" s="19"/>
      <c r="R36" s="40"/>
      <c r="S36" s="19"/>
      <c r="T36" s="19"/>
      <c r="U36" s="19"/>
      <c r="V36" s="40"/>
      <c r="W36" s="19"/>
      <c r="X36" s="19"/>
    </row>
    <row r="37" spans="1:24" ht="15" customHeight="1" x14ac:dyDescent="0.3">
      <c r="D37" s="19"/>
      <c r="E37" s="19"/>
      <c r="G37" s="19"/>
      <c r="H37" s="19"/>
      <c r="I37" s="19"/>
      <c r="J37" s="40"/>
      <c r="K37" s="19"/>
      <c r="L37" s="19"/>
      <c r="M37" s="19"/>
      <c r="P37" s="19"/>
      <c r="Q37" s="19"/>
      <c r="R37" s="40"/>
      <c r="S37" s="19"/>
      <c r="T37" s="19"/>
      <c r="U37" s="19"/>
      <c r="V37" s="40"/>
      <c r="W37" s="19"/>
      <c r="X37" s="19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FDE18D-FE8D-0015-789A-43B5B34D9CD5}">
  <sheetPr>
    <tabColor rgb="FFFFFF00"/>
    <outlinePr summaryBelow="0" summaryRight="0"/>
  </sheetPr>
  <dimension ref="A2:Z141"/>
  <sheetViews>
    <sheetView showGridLines="0" defaultGridColor="0" colorId="8"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6" customWidth="1"/>
    <col min="2" max="2" width="33.44140625" style="66" customWidth="1"/>
    <col min="3" max="3" width="1.88671875" style="66" customWidth="1"/>
    <col min="4" max="4" width="15" style="66" customWidth="1"/>
    <col min="5" max="5" width="1.88671875" style="66" customWidth="1" outlineLevel="1"/>
    <col min="6" max="6" width="15" style="67" customWidth="1" outlineLevel="1"/>
    <col min="7" max="7" width="1.88671875" style="66" customWidth="1" outlineLevel="1"/>
    <col min="8" max="8" width="15" style="66" customWidth="1" outlineLevel="1"/>
    <col min="9" max="9" width="1.88671875" style="66" customWidth="1" outlineLevel="1"/>
    <col min="10" max="10" width="15" style="68" customWidth="1" outlineLevel="1"/>
    <col min="11" max="11" width="1.88671875" style="66" customWidth="1" outlineLevel="1"/>
    <col min="12" max="12" width="15" style="66" customWidth="1" outlineLevel="1"/>
    <col min="13" max="13" width="1.88671875" style="66" customWidth="1" outlineLevel="1"/>
    <col min="14" max="14" width="15" style="67" customWidth="1" outlineLevel="1"/>
    <col min="15" max="15" width="1.88671875" style="64" customWidth="1"/>
    <col min="16" max="16" width="15" style="66" customWidth="1"/>
    <col min="17" max="17" width="1.88671875" style="66" customWidth="1" outlineLevel="1"/>
    <col min="18" max="18" width="15" style="68" customWidth="1" outlineLevel="1"/>
    <col min="19" max="19" width="1.88671875" style="66" customWidth="1" outlineLevel="1"/>
    <col min="20" max="20" width="15" style="66" customWidth="1" outlineLevel="1"/>
    <col min="21" max="21" width="1.88671875" style="66" customWidth="1" outlineLevel="1"/>
    <col min="22" max="22" width="15" style="68" customWidth="1" outlineLevel="1"/>
    <col min="23" max="23" width="1.88671875" style="66" customWidth="1" outlineLevel="1"/>
    <col min="24" max="24" width="15" style="66" customWidth="1" outlineLevel="1"/>
    <col min="25" max="25" width="1.88671875" style="66" customWidth="1" outlineLevel="1"/>
    <col min="26" max="26" width="15" style="68" customWidth="1" outlineLevel="1"/>
  </cols>
  <sheetData>
    <row r="2" spans="1:26" ht="15" customHeight="1" x14ac:dyDescent="0.3">
      <c r="D2" s="54" t="s">
        <v>276</v>
      </c>
    </row>
    <row r="3" spans="1:26" ht="15" customHeight="1" x14ac:dyDescent="0.3">
      <c r="D3" s="54" t="s">
        <v>277</v>
      </c>
      <c r="E3" s="18"/>
      <c r="F3" s="44"/>
      <c r="G3" s="18"/>
      <c r="H3" s="18"/>
      <c r="I3" s="18"/>
      <c r="J3" s="38"/>
      <c r="K3" s="18"/>
      <c r="L3" s="18"/>
      <c r="M3" s="18"/>
      <c r="N3" s="44"/>
      <c r="O3" s="53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ht="15" customHeight="1" x14ac:dyDescent="0.3">
      <c r="D4" s="54" t="str">
        <f>CONCATENATE("Period ",RIGHT(202209,2),", ",2022)</f>
        <v>Period 09, 2022</v>
      </c>
      <c r="E4" s="18"/>
      <c r="F4" s="44"/>
      <c r="G4" s="18"/>
      <c r="H4" s="18"/>
      <c r="I4" s="18"/>
      <c r="J4" s="38"/>
      <c r="K4" s="18"/>
      <c r="L4" s="18"/>
      <c r="M4" s="18"/>
      <c r="N4" s="44"/>
      <c r="O4" s="53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ht="15" customHeight="1" x14ac:dyDescent="0.3">
      <c r="A5" s="24"/>
      <c r="D5" s="60">
        <v>44646</v>
      </c>
      <c r="E5" s="18"/>
      <c r="F5" s="44"/>
      <c r="G5" s="18"/>
      <c r="H5" s="18"/>
      <c r="I5" s="18"/>
      <c r="J5" s="38"/>
      <c r="K5" s="18"/>
      <c r="L5" s="18"/>
      <c r="M5" s="18"/>
      <c r="N5" s="44"/>
      <c r="O5" s="53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ht="15" customHeight="1" x14ac:dyDescent="0.3">
      <c r="A6" s="24"/>
      <c r="B6" s="47"/>
      <c r="C6" s="47"/>
      <c r="D6" s="24" t="s">
        <v>309</v>
      </c>
      <c r="E6" s="18"/>
      <c r="F6" s="44"/>
      <c r="G6" s="18"/>
      <c r="H6" s="18"/>
      <c r="I6" s="18"/>
      <c r="J6" s="38"/>
      <c r="K6" s="18"/>
      <c r="L6" s="18"/>
      <c r="M6" s="18"/>
      <c r="N6" s="44"/>
      <c r="O6" s="59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ht="15" customHeight="1" x14ac:dyDescent="0.3">
      <c r="B7" s="52"/>
    </row>
    <row r="8" spans="1:26" ht="15" customHeight="1" x14ac:dyDescent="0.3">
      <c r="B8" s="52"/>
    </row>
    <row r="9" spans="1:26" ht="15" customHeight="1" x14ac:dyDescent="0.3">
      <c r="B9" s="10"/>
      <c r="C9" s="10"/>
      <c r="D9" s="17" t="s">
        <v>279</v>
      </c>
      <c r="E9" s="17"/>
      <c r="F9" s="36"/>
      <c r="G9" s="17"/>
      <c r="H9" s="17"/>
      <c r="I9" s="17"/>
      <c r="J9" s="43"/>
      <c r="K9" s="17"/>
      <c r="L9" s="17"/>
      <c r="M9" s="17"/>
      <c r="N9" s="36"/>
      <c r="P9" s="17" t="s">
        <v>280</v>
      </c>
      <c r="Q9" s="17"/>
      <c r="R9" s="36"/>
      <c r="S9" s="17"/>
      <c r="T9" s="17"/>
      <c r="U9" s="17"/>
      <c r="V9" s="43"/>
      <c r="W9" s="17"/>
      <c r="X9" s="17"/>
      <c r="Y9" s="17"/>
      <c r="Z9" s="36"/>
    </row>
    <row r="10" spans="1:26" ht="15" customHeight="1" x14ac:dyDescent="0.3">
      <c r="A10" s="11"/>
      <c r="B10" s="57"/>
      <c r="C10" s="11"/>
      <c r="D10" s="41" t="s">
        <v>281</v>
      </c>
      <c r="E10" s="33"/>
      <c r="F10" s="37" t="s">
        <v>282</v>
      </c>
      <c r="G10" s="33"/>
      <c r="H10" s="48" t="s">
        <v>283</v>
      </c>
      <c r="I10" s="33"/>
      <c r="J10" s="45" t="s">
        <v>284</v>
      </c>
      <c r="K10" s="11"/>
      <c r="L10" s="41" t="s">
        <v>285</v>
      </c>
      <c r="M10" s="11"/>
      <c r="N10" s="37" t="s">
        <v>286</v>
      </c>
      <c r="O10" s="11"/>
      <c r="P10" s="56" t="s">
        <v>281</v>
      </c>
      <c r="Q10" s="33"/>
      <c r="R10" s="37" t="s">
        <v>282</v>
      </c>
      <c r="S10" s="33"/>
      <c r="T10" s="48" t="s">
        <v>283</v>
      </c>
      <c r="U10" s="33"/>
      <c r="V10" s="45" t="s">
        <v>284</v>
      </c>
      <c r="W10" s="11"/>
      <c r="X10" s="41" t="s">
        <v>285</v>
      </c>
      <c r="Y10" s="11"/>
      <c r="Z10" s="37" t="s">
        <v>286</v>
      </c>
    </row>
    <row r="11" spans="1:26" ht="16.5" customHeight="1" x14ac:dyDescent="0.3">
      <c r="A11" s="10"/>
      <c r="B11" s="55"/>
      <c r="C11" s="10"/>
      <c r="D11" s="10"/>
      <c r="E11" s="10"/>
      <c r="F11" s="9"/>
      <c r="G11" s="10"/>
      <c r="H11" s="10"/>
      <c r="I11" s="10"/>
      <c r="J11" s="46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6"/>
      <c r="W11" s="10"/>
      <c r="X11" s="10"/>
      <c r="Y11" s="10"/>
      <c r="Z11" s="9"/>
    </row>
    <row r="12" spans="1:26" s="63" customFormat="1" ht="15" customHeight="1" collapsed="1" x14ac:dyDescent="0.3">
      <c r="A12" s="11"/>
      <c r="B12" s="28" t="s">
        <v>287</v>
      </c>
      <c r="C12" s="11"/>
      <c r="D12" s="5">
        <f>SUM(OSRRefD13x_0)</f>
        <v>551768.97</v>
      </c>
      <c r="E12" s="5"/>
      <c r="F12" s="13"/>
      <c r="G12" s="5"/>
      <c r="H12" s="5">
        <f>SUM(OSRRefH13x_0)</f>
        <v>294822</v>
      </c>
      <c r="I12" s="5"/>
      <c r="J12" s="13"/>
      <c r="K12" s="5"/>
      <c r="L12" s="5">
        <f t="shared" ref="L12:L17" si="0">+D12-H12</f>
        <v>256946.96999999997</v>
      </c>
      <c r="M12" s="5"/>
      <c r="N12" s="13">
        <f t="shared" ref="N12:N17" si="1">IF(H12=0,0,L12/H12)</f>
        <v>0.87153255184484191</v>
      </c>
      <c r="O12" s="11"/>
      <c r="P12" s="5">
        <f>SUM(OSRRefP13x_0)</f>
        <v>3472233.6</v>
      </c>
      <c r="Q12" s="5"/>
      <c r="R12" s="13"/>
      <c r="S12" s="5"/>
      <c r="T12" s="5">
        <f>SUM(OSRRefT13x_0)</f>
        <v>2868333</v>
      </c>
      <c r="U12" s="5"/>
      <c r="V12" s="13"/>
      <c r="W12" s="5"/>
      <c r="X12" s="5">
        <f t="shared" ref="X12:X17" si="2">+P12-T12</f>
        <v>603900.60000000009</v>
      </c>
      <c r="Y12" s="5"/>
      <c r="Z12" s="13">
        <f t="shared" ref="Z12:Z17" si="3">IF(T12=0,0,X12/T12)</f>
        <v>0.21054061714591718</v>
      </c>
    </row>
    <row r="13" spans="1:26" s="70" customFormat="1" ht="15" hidden="1" customHeight="1" outlineLevel="1" x14ac:dyDescent="0.3">
      <c r="A13" s="42"/>
      <c r="B13" s="12" t="str">
        <f>CONCATENATE("          ","4000"," - ","TAXABLE SALES")</f>
        <v xml:space="preserve">          4000 - TAXABLE SALES</v>
      </c>
      <c r="C13" s="12"/>
      <c r="D13" s="3">
        <f>--488125.03</f>
        <v>488125.03</v>
      </c>
      <c r="E13" s="3"/>
      <c r="F13" s="20"/>
      <c r="G13" s="3"/>
      <c r="H13" s="3">
        <v>274481</v>
      </c>
      <c r="I13" s="3"/>
      <c r="J13" s="20"/>
      <c r="K13" s="3"/>
      <c r="L13" s="3">
        <f t="shared" si="0"/>
        <v>213644.03000000003</v>
      </c>
      <c r="M13" s="3"/>
      <c r="N13" s="20">
        <f t="shared" si="1"/>
        <v>0.77835635253441959</v>
      </c>
      <c r="O13" s="12"/>
      <c r="P13" s="3">
        <f>--3206597.5</f>
        <v>3206597.5</v>
      </c>
      <c r="Q13" s="3"/>
      <c r="R13" s="20"/>
      <c r="S13" s="3"/>
      <c r="T13" s="3">
        <v>2726587</v>
      </c>
      <c r="U13" s="3"/>
      <c r="V13" s="20"/>
      <c r="W13" s="3"/>
      <c r="X13" s="3">
        <f t="shared" si="2"/>
        <v>480010.5</v>
      </c>
      <c r="Y13" s="3"/>
      <c r="Z13" s="20">
        <f t="shared" si="3"/>
        <v>0.17604811436422163</v>
      </c>
    </row>
    <row r="14" spans="1:26" s="70" customFormat="1" ht="15" hidden="1" customHeight="1" outlineLevel="1" x14ac:dyDescent="0.3">
      <c r="A14" s="42"/>
      <c r="B14" s="12" t="str">
        <f>CONCATENATE("          ","4100"," - ","NON-TAXABLE SALES")</f>
        <v xml:space="preserve">          4100 - NON-TAXABLE SALES</v>
      </c>
      <c r="C14" s="12"/>
      <c r="D14" s="3">
        <f>--88000.95</f>
        <v>88000.95</v>
      </c>
      <c r="E14" s="3"/>
      <c r="F14" s="20"/>
      <c r="G14" s="3"/>
      <c r="H14" s="3">
        <v>20341</v>
      </c>
      <c r="I14" s="3"/>
      <c r="J14" s="20"/>
      <c r="K14" s="3"/>
      <c r="L14" s="3">
        <f t="shared" si="0"/>
        <v>67659.95</v>
      </c>
      <c r="M14" s="3"/>
      <c r="N14" s="20">
        <f t="shared" si="1"/>
        <v>3.3262843518017795</v>
      </c>
      <c r="O14" s="12"/>
      <c r="P14" s="3">
        <f>--447219.79</f>
        <v>447219.79</v>
      </c>
      <c r="Q14" s="3"/>
      <c r="R14" s="20"/>
      <c r="S14" s="3"/>
      <c r="T14" s="3">
        <v>141746</v>
      </c>
      <c r="U14" s="3"/>
      <c r="V14" s="20"/>
      <c r="W14" s="3"/>
      <c r="X14" s="3">
        <f t="shared" si="2"/>
        <v>305473.78999999998</v>
      </c>
      <c r="Y14" s="3"/>
      <c r="Z14" s="20">
        <f t="shared" si="3"/>
        <v>2.155078732380455</v>
      </c>
    </row>
    <row r="15" spans="1:26" s="70" customFormat="1" ht="15" hidden="1" customHeight="1" outlineLevel="1" x14ac:dyDescent="0.3">
      <c r="A15" s="42"/>
      <c r="B15" s="12" t="str">
        <f>CONCATENATE("          ","4200"," - ","TAXABLE RETURNS")</f>
        <v xml:space="preserve">          4200 - TAXABLE RETURNS</v>
      </c>
      <c r="C15" s="12"/>
      <c r="D15" s="3">
        <f>-15213.21</f>
        <v>-15213.21</v>
      </c>
      <c r="E15" s="3"/>
      <c r="F15" s="20"/>
      <c r="G15" s="3"/>
      <c r="H15" s="3"/>
      <c r="I15" s="3"/>
      <c r="J15" s="20"/>
      <c r="K15" s="3"/>
      <c r="L15" s="3">
        <f t="shared" si="0"/>
        <v>-15213.21</v>
      </c>
      <c r="M15" s="3"/>
      <c r="N15" s="20">
        <f t="shared" si="1"/>
        <v>0</v>
      </c>
      <c r="O15" s="12"/>
      <c r="P15" s="3">
        <f>-95206.98</f>
        <v>-95206.98</v>
      </c>
      <c r="Q15" s="3"/>
      <c r="R15" s="20"/>
      <c r="S15" s="3"/>
      <c r="T15" s="3"/>
      <c r="U15" s="3"/>
      <c r="V15" s="20"/>
      <c r="W15" s="3"/>
      <c r="X15" s="3">
        <f t="shared" si="2"/>
        <v>-95206.98</v>
      </c>
      <c r="Y15" s="3"/>
      <c r="Z15" s="20">
        <f t="shared" si="3"/>
        <v>0</v>
      </c>
    </row>
    <row r="16" spans="1:26" s="70" customFormat="1" ht="15" hidden="1" customHeight="1" outlineLevel="1" x14ac:dyDescent="0.3">
      <c r="A16" s="42"/>
      <c r="B16" s="12" t="str">
        <f>CONCATENATE("          ","4300"," - ","NON-TAX RETURNS")</f>
        <v xml:space="preserve">          4300 - NON-TAX RETURNS</v>
      </c>
      <c r="C16" s="12"/>
      <c r="D16" s="3">
        <f>0</f>
        <v>0</v>
      </c>
      <c r="E16" s="3"/>
      <c r="F16" s="20"/>
      <c r="G16" s="3"/>
      <c r="H16" s="3"/>
      <c r="I16" s="3"/>
      <c r="J16" s="20"/>
      <c r="K16" s="3"/>
      <c r="L16" s="3">
        <f t="shared" si="0"/>
        <v>0</v>
      </c>
      <c r="M16" s="3"/>
      <c r="N16" s="20">
        <f t="shared" si="1"/>
        <v>0</v>
      </c>
      <c r="O16" s="12"/>
      <c r="P16" s="3">
        <f>-1898.53</f>
        <v>-1898.53</v>
      </c>
      <c r="Q16" s="3"/>
      <c r="R16" s="20"/>
      <c r="S16" s="3"/>
      <c r="T16" s="3"/>
      <c r="U16" s="3"/>
      <c r="V16" s="20"/>
      <c r="W16" s="3"/>
      <c r="X16" s="3">
        <f t="shared" si="2"/>
        <v>-1898.53</v>
      </c>
      <c r="Y16" s="3"/>
      <c r="Z16" s="20">
        <f t="shared" si="3"/>
        <v>0</v>
      </c>
    </row>
    <row r="17" spans="1:26" s="70" customFormat="1" ht="15" hidden="1" customHeight="1" outlineLevel="1" x14ac:dyDescent="0.3">
      <c r="A17" s="42"/>
      <c r="B17" s="12" t="str">
        <f>CONCATENATE("          ","4500"," - ","SALES DISCOUNT")</f>
        <v xml:space="preserve">          4500 - SALES DISCOUNT</v>
      </c>
      <c r="C17" s="12"/>
      <c r="D17" s="3">
        <f>-9143.8</f>
        <v>-9143.7999999999993</v>
      </c>
      <c r="E17" s="3"/>
      <c r="F17" s="20"/>
      <c r="G17" s="3"/>
      <c r="H17" s="3"/>
      <c r="I17" s="3"/>
      <c r="J17" s="20"/>
      <c r="K17" s="3"/>
      <c r="L17" s="3">
        <f t="shared" si="0"/>
        <v>-9143.7999999999993</v>
      </c>
      <c r="M17" s="3"/>
      <c r="N17" s="20">
        <f t="shared" si="1"/>
        <v>0</v>
      </c>
      <c r="O17" s="12"/>
      <c r="P17" s="3">
        <f>-84478.18</f>
        <v>-84478.18</v>
      </c>
      <c r="Q17" s="3"/>
      <c r="R17" s="20"/>
      <c r="S17" s="3"/>
      <c r="T17" s="3"/>
      <c r="U17" s="3"/>
      <c r="V17" s="20"/>
      <c r="W17" s="3"/>
      <c r="X17" s="3">
        <f t="shared" si="2"/>
        <v>-84478.18</v>
      </c>
      <c r="Y17" s="3"/>
      <c r="Z17" s="20">
        <f t="shared" si="3"/>
        <v>0</v>
      </c>
    </row>
    <row r="18" spans="1:26" ht="15" customHeight="1" x14ac:dyDescent="0.3">
      <c r="A18" s="10"/>
      <c r="B18" s="11"/>
      <c r="C18" s="10"/>
      <c r="D18" s="4"/>
      <c r="E18" s="4"/>
      <c r="F18" s="9"/>
      <c r="G18" s="4"/>
      <c r="H18" s="4"/>
      <c r="I18" s="4"/>
      <c r="J18" s="9"/>
      <c r="K18" s="4"/>
      <c r="L18" s="4"/>
      <c r="M18" s="4"/>
      <c r="N18" s="9"/>
      <c r="P18" s="4"/>
      <c r="Q18" s="4"/>
      <c r="R18" s="9"/>
      <c r="S18" s="4"/>
      <c r="T18" s="4"/>
      <c r="U18" s="4"/>
      <c r="V18" s="9"/>
      <c r="W18" s="4"/>
      <c r="X18" s="4"/>
      <c r="Y18" s="4"/>
      <c r="Z18" s="9"/>
    </row>
    <row r="19" spans="1:26" s="63" customFormat="1" ht="15" customHeight="1" collapsed="1" x14ac:dyDescent="0.3">
      <c r="A19" s="11"/>
      <c r="B19" s="28" t="s">
        <v>288</v>
      </c>
      <c r="C19" s="11"/>
      <c r="D19" s="5">
        <f>SUM(OSRRefD16x_0)</f>
        <v>242840.08000000002</v>
      </c>
      <c r="E19" s="5"/>
      <c r="F19" s="13">
        <f t="shared" ref="F19:F40" si="4">IF(D$12=0,0,D19/D$12)</f>
        <v>0.44011188233365139</v>
      </c>
      <c r="G19" s="5"/>
      <c r="H19" s="5">
        <f>SUM(OSRRefH16x_0)</f>
        <v>144668</v>
      </c>
      <c r="I19" s="5"/>
      <c r="J19" s="13">
        <f t="shared" ref="J19:J40" si="5">IF(H$12=0,0,H19/H$12)</f>
        <v>0.49069608102516094</v>
      </c>
      <c r="K19" s="5"/>
      <c r="L19" s="5">
        <f t="shared" ref="L19:L40" si="6">+D19-H19</f>
        <v>98172.080000000016</v>
      </c>
      <c r="M19" s="5"/>
      <c r="N19" s="13">
        <f t="shared" ref="N19:N40" si="7">IF(H19=0,0,L19/H19)</f>
        <v>0.67860259352448371</v>
      </c>
      <c r="O19" s="11"/>
      <c r="P19" s="5">
        <f>SUM(OSRRefP16x_0)</f>
        <v>1665128.0600000003</v>
      </c>
      <c r="Q19" s="5"/>
      <c r="R19" s="13">
        <f t="shared" ref="R19:R40" si="8">IF(P$12=0,0,P19/P$12)</f>
        <v>0.4795553098731607</v>
      </c>
      <c r="S19" s="5"/>
      <c r="T19" s="5">
        <f>SUM(OSRRefT16x_0)</f>
        <v>1483084</v>
      </c>
      <c r="U19" s="5"/>
      <c r="V19" s="13">
        <f t="shared" ref="V19:V40" si="9">IF(T$12=0,0,T19/T$12)</f>
        <v>0.51705433086046848</v>
      </c>
      <c r="W19" s="5"/>
      <c r="X19" s="5">
        <f t="shared" ref="X19:X40" si="10">+P19-T19</f>
        <v>182044.06000000029</v>
      </c>
      <c r="Y19" s="5"/>
      <c r="Z19" s="13">
        <f t="shared" ref="Z19:Z40" si="11">IF(T19=0,0,X19/T19)</f>
        <v>0.12274696510784304</v>
      </c>
    </row>
    <row r="20" spans="1:26" s="70" customFormat="1" ht="15" hidden="1" customHeight="1" outlineLevel="1" x14ac:dyDescent="0.3">
      <c r="A20" s="42"/>
      <c r="B20" s="12" t="str">
        <f>CONCATENATE("          ","5000"," - ","PURCHASES @ COST")</f>
        <v xml:space="preserve">          5000 - PURCHASES @ COST</v>
      </c>
      <c r="C20" s="12"/>
      <c r="D20" s="3">
        <v>387197.84</v>
      </c>
      <c r="E20" s="3"/>
      <c r="F20" s="20">
        <f t="shared" si="4"/>
        <v>0.70173906299950151</v>
      </c>
      <c r="G20" s="3"/>
      <c r="H20" s="3">
        <v>144668</v>
      </c>
      <c r="I20" s="3"/>
      <c r="J20" s="20">
        <f t="shared" si="5"/>
        <v>0.49069608102516094</v>
      </c>
      <c r="K20" s="3"/>
      <c r="L20" s="3">
        <f t="shared" si="6"/>
        <v>242529.84000000003</v>
      </c>
      <c r="M20" s="3"/>
      <c r="N20" s="20">
        <f t="shared" si="7"/>
        <v>1.6764580971603951</v>
      </c>
      <c r="O20" s="12"/>
      <c r="P20" s="3">
        <v>1916618.77</v>
      </c>
      <c r="Q20" s="3"/>
      <c r="R20" s="20">
        <f t="shared" si="8"/>
        <v>0.55198439701752788</v>
      </c>
      <c r="S20" s="3"/>
      <c r="T20" s="3">
        <v>1483084</v>
      </c>
      <c r="U20" s="3"/>
      <c r="V20" s="20">
        <f t="shared" si="9"/>
        <v>0.51705433086046848</v>
      </c>
      <c r="W20" s="3"/>
      <c r="X20" s="3">
        <f t="shared" si="10"/>
        <v>433534.77</v>
      </c>
      <c r="Y20" s="3"/>
      <c r="Z20" s="20">
        <f t="shared" si="11"/>
        <v>0.29231976745754118</v>
      </c>
    </row>
    <row r="21" spans="1:26" s="70" customFormat="1" ht="15" hidden="1" customHeight="1" outlineLevel="1" x14ac:dyDescent="0.3">
      <c r="A21" s="42"/>
      <c r="B21" s="12" t="str">
        <f>CONCATENATE("          ","5026"," - ","PURCHASES @ COST-WRITING INSTR")</f>
        <v xml:space="preserve">          5026 - PURCHASES @ COST-WRITING INSTR</v>
      </c>
      <c r="C21" s="12"/>
      <c r="D21" s="3"/>
      <c r="E21" s="3"/>
      <c r="F21" s="20">
        <f t="shared" si="4"/>
        <v>0</v>
      </c>
      <c r="G21" s="3"/>
      <c r="H21" s="3"/>
      <c r="I21" s="3"/>
      <c r="J21" s="20">
        <f t="shared" si="5"/>
        <v>0</v>
      </c>
      <c r="K21" s="3"/>
      <c r="L21" s="3">
        <f t="shared" si="6"/>
        <v>0</v>
      </c>
      <c r="M21" s="3"/>
      <c r="N21" s="20">
        <f t="shared" si="7"/>
        <v>0</v>
      </c>
      <c r="O21" s="12"/>
      <c r="P21" s="3">
        <v>0</v>
      </c>
      <c r="Q21" s="3"/>
      <c r="R21" s="20">
        <f t="shared" si="8"/>
        <v>0</v>
      </c>
      <c r="S21" s="3"/>
      <c r="T21" s="3"/>
      <c r="U21" s="3"/>
      <c r="V21" s="20">
        <f t="shared" si="9"/>
        <v>0</v>
      </c>
      <c r="W21" s="3"/>
      <c r="X21" s="3">
        <f t="shared" si="10"/>
        <v>0</v>
      </c>
      <c r="Y21" s="3"/>
      <c r="Z21" s="20">
        <f t="shared" si="11"/>
        <v>0</v>
      </c>
    </row>
    <row r="22" spans="1:26" s="70" customFormat="1" ht="15" hidden="1" customHeight="1" outlineLevel="1" x14ac:dyDescent="0.3">
      <c r="A22" s="42"/>
      <c r="B22" s="12" t="str">
        <f>CONCATENATE("          ","5027"," - ","PURCHASES @ COST-SCHOOL SUPPLI")</f>
        <v xml:space="preserve">          5027 - PURCHASES @ COST-SCHOOL SUPPLI</v>
      </c>
      <c r="C22" s="12"/>
      <c r="D22" s="3"/>
      <c r="E22" s="3"/>
      <c r="F22" s="20">
        <f t="shared" si="4"/>
        <v>0</v>
      </c>
      <c r="G22" s="3"/>
      <c r="H22" s="3"/>
      <c r="I22" s="3"/>
      <c r="J22" s="20">
        <f t="shared" si="5"/>
        <v>0</v>
      </c>
      <c r="K22" s="3"/>
      <c r="L22" s="3">
        <f t="shared" si="6"/>
        <v>0</v>
      </c>
      <c r="M22" s="3"/>
      <c r="N22" s="20">
        <f t="shared" si="7"/>
        <v>0</v>
      </c>
      <c r="O22" s="12"/>
      <c r="P22" s="3">
        <v>0</v>
      </c>
      <c r="Q22" s="3"/>
      <c r="R22" s="20">
        <f t="shared" si="8"/>
        <v>0</v>
      </c>
      <c r="S22" s="3"/>
      <c r="T22" s="3"/>
      <c r="U22" s="3"/>
      <c r="V22" s="20">
        <f t="shared" si="9"/>
        <v>0</v>
      </c>
      <c r="W22" s="3"/>
      <c r="X22" s="3">
        <f t="shared" si="10"/>
        <v>0</v>
      </c>
      <c r="Y22" s="3"/>
      <c r="Z22" s="20">
        <f t="shared" si="11"/>
        <v>0</v>
      </c>
    </row>
    <row r="23" spans="1:26" s="70" customFormat="1" ht="15" hidden="1" customHeight="1" outlineLevel="1" x14ac:dyDescent="0.3">
      <c r="A23" s="42"/>
      <c r="B23" s="12" t="str">
        <f>CONCATENATE("          ","5028"," - ","PURCHASES @ COST-ART/TECH")</f>
        <v xml:space="preserve">          5028 - PURCHASES @ COST-ART/TECH</v>
      </c>
      <c r="C23" s="12"/>
      <c r="D23" s="3"/>
      <c r="E23" s="3"/>
      <c r="F23" s="20">
        <f t="shared" si="4"/>
        <v>0</v>
      </c>
      <c r="G23" s="3"/>
      <c r="H23" s="3"/>
      <c r="I23" s="3"/>
      <c r="J23" s="20">
        <f t="shared" si="5"/>
        <v>0</v>
      </c>
      <c r="K23" s="3"/>
      <c r="L23" s="3">
        <f t="shared" si="6"/>
        <v>0</v>
      </c>
      <c r="M23" s="3"/>
      <c r="N23" s="20">
        <f t="shared" si="7"/>
        <v>0</v>
      </c>
      <c r="O23" s="12"/>
      <c r="P23" s="3">
        <v>0</v>
      </c>
      <c r="Q23" s="3"/>
      <c r="R23" s="20">
        <f t="shared" si="8"/>
        <v>0</v>
      </c>
      <c r="S23" s="3"/>
      <c r="T23" s="3"/>
      <c r="U23" s="3"/>
      <c r="V23" s="20">
        <f t="shared" si="9"/>
        <v>0</v>
      </c>
      <c r="W23" s="3"/>
      <c r="X23" s="3">
        <f t="shared" si="10"/>
        <v>0</v>
      </c>
      <c r="Y23" s="3"/>
      <c r="Z23" s="20">
        <f t="shared" si="11"/>
        <v>0</v>
      </c>
    </row>
    <row r="24" spans="1:26" s="70" customFormat="1" ht="15" hidden="1" customHeight="1" outlineLevel="1" x14ac:dyDescent="0.3">
      <c r="A24" s="42"/>
      <c r="B24" s="12" t="str">
        <f>CONCATENATE("          ","5031"," - ","PURCHASES @ COST-FOOD")</f>
        <v xml:space="preserve">          5031 - PURCHASES @ COST-FOOD</v>
      </c>
      <c r="C24" s="12"/>
      <c r="D24" s="3"/>
      <c r="E24" s="3"/>
      <c r="F24" s="20">
        <f t="shared" si="4"/>
        <v>0</v>
      </c>
      <c r="G24" s="3"/>
      <c r="H24" s="3"/>
      <c r="I24" s="3"/>
      <c r="J24" s="20">
        <f t="shared" si="5"/>
        <v>0</v>
      </c>
      <c r="K24" s="3"/>
      <c r="L24" s="3">
        <f t="shared" si="6"/>
        <v>0</v>
      </c>
      <c r="M24" s="3"/>
      <c r="N24" s="20">
        <f t="shared" si="7"/>
        <v>0</v>
      </c>
      <c r="O24" s="12"/>
      <c r="P24" s="3">
        <v>0</v>
      </c>
      <c r="Q24" s="3"/>
      <c r="R24" s="20">
        <f t="shared" si="8"/>
        <v>0</v>
      </c>
      <c r="S24" s="3"/>
      <c r="T24" s="3"/>
      <c r="U24" s="3"/>
      <c r="V24" s="20">
        <f t="shared" si="9"/>
        <v>0</v>
      </c>
      <c r="W24" s="3"/>
      <c r="X24" s="3">
        <f t="shared" si="10"/>
        <v>0</v>
      </c>
      <c r="Y24" s="3"/>
      <c r="Z24" s="20">
        <f t="shared" si="11"/>
        <v>0</v>
      </c>
    </row>
    <row r="25" spans="1:26" s="70" customFormat="1" ht="15" hidden="1" customHeight="1" outlineLevel="1" x14ac:dyDescent="0.3">
      <c r="A25" s="42"/>
      <c r="B25" s="12" t="str">
        <f>CONCATENATE("          ","5040"," - ","PURCHASES @ COST-LOGO CLOTHING")</f>
        <v xml:space="preserve">          5040 - PURCHASES @ COST-LOGO CLOTHING</v>
      </c>
      <c r="C25" s="12"/>
      <c r="D25" s="3"/>
      <c r="E25" s="3"/>
      <c r="F25" s="20">
        <f t="shared" si="4"/>
        <v>0</v>
      </c>
      <c r="G25" s="3"/>
      <c r="H25" s="3"/>
      <c r="I25" s="3"/>
      <c r="J25" s="20">
        <f t="shared" si="5"/>
        <v>0</v>
      </c>
      <c r="K25" s="3"/>
      <c r="L25" s="3">
        <f t="shared" si="6"/>
        <v>0</v>
      </c>
      <c r="M25" s="3"/>
      <c r="N25" s="20">
        <f t="shared" si="7"/>
        <v>0</v>
      </c>
      <c r="O25" s="12"/>
      <c r="P25" s="3">
        <v>0</v>
      </c>
      <c r="Q25" s="3"/>
      <c r="R25" s="20">
        <f t="shared" si="8"/>
        <v>0</v>
      </c>
      <c r="S25" s="3"/>
      <c r="T25" s="3"/>
      <c r="U25" s="3"/>
      <c r="V25" s="20">
        <f t="shared" si="9"/>
        <v>0</v>
      </c>
      <c r="W25" s="3"/>
      <c r="X25" s="3">
        <f t="shared" si="10"/>
        <v>0</v>
      </c>
      <c r="Y25" s="3"/>
      <c r="Z25" s="20">
        <f t="shared" si="11"/>
        <v>0</v>
      </c>
    </row>
    <row r="26" spans="1:26" s="70" customFormat="1" ht="15" hidden="1" customHeight="1" outlineLevel="1" x14ac:dyDescent="0.3">
      <c r="A26" s="42"/>
      <c r="B26" s="12" t="str">
        <f>CONCATENATE("          ","5041"," - ","PURCHASES @ COST-LOGO GIFTS")</f>
        <v xml:space="preserve">          5041 - PURCHASES @ COST-LOGO GIFTS</v>
      </c>
      <c r="C26" s="12"/>
      <c r="D26" s="3"/>
      <c r="E26" s="3"/>
      <c r="F26" s="20">
        <f t="shared" si="4"/>
        <v>0</v>
      </c>
      <c r="G26" s="3"/>
      <c r="H26" s="3"/>
      <c r="I26" s="3"/>
      <c r="J26" s="20">
        <f t="shared" si="5"/>
        <v>0</v>
      </c>
      <c r="K26" s="3"/>
      <c r="L26" s="3">
        <f t="shared" si="6"/>
        <v>0</v>
      </c>
      <c r="M26" s="3"/>
      <c r="N26" s="20">
        <f t="shared" si="7"/>
        <v>0</v>
      </c>
      <c r="O26" s="12"/>
      <c r="P26" s="3">
        <v>0</v>
      </c>
      <c r="Q26" s="3"/>
      <c r="R26" s="20">
        <f t="shared" si="8"/>
        <v>0</v>
      </c>
      <c r="S26" s="3"/>
      <c r="T26" s="3"/>
      <c r="U26" s="3"/>
      <c r="V26" s="20">
        <f t="shared" si="9"/>
        <v>0</v>
      </c>
      <c r="W26" s="3"/>
      <c r="X26" s="3">
        <f t="shared" si="10"/>
        <v>0</v>
      </c>
      <c r="Y26" s="3"/>
      <c r="Z26" s="20">
        <f t="shared" si="11"/>
        <v>0</v>
      </c>
    </row>
    <row r="27" spans="1:26" s="70" customFormat="1" ht="15" hidden="1" customHeight="1" outlineLevel="1" x14ac:dyDescent="0.3">
      <c r="A27" s="42"/>
      <c r="B27" s="12" t="str">
        <f>CONCATENATE("          ","5042"," - ","PURCHASES @ COST-EVERYDAY GIFT")</f>
        <v xml:space="preserve">          5042 - PURCHASES @ COST-EVERYDAY GIFT</v>
      </c>
      <c r="C27" s="12"/>
      <c r="D27" s="3"/>
      <c r="E27" s="3"/>
      <c r="F27" s="20">
        <f t="shared" si="4"/>
        <v>0</v>
      </c>
      <c r="G27" s="3"/>
      <c r="H27" s="3"/>
      <c r="I27" s="3"/>
      <c r="J27" s="20">
        <f t="shared" si="5"/>
        <v>0</v>
      </c>
      <c r="K27" s="3"/>
      <c r="L27" s="3">
        <f t="shared" si="6"/>
        <v>0</v>
      </c>
      <c r="M27" s="3"/>
      <c r="N27" s="20">
        <f t="shared" si="7"/>
        <v>0</v>
      </c>
      <c r="O27" s="12"/>
      <c r="P27" s="3">
        <v>0</v>
      </c>
      <c r="Q27" s="3"/>
      <c r="R27" s="20">
        <f t="shared" si="8"/>
        <v>0</v>
      </c>
      <c r="S27" s="3"/>
      <c r="T27" s="3"/>
      <c r="U27" s="3"/>
      <c r="V27" s="20">
        <f t="shared" si="9"/>
        <v>0</v>
      </c>
      <c r="W27" s="3"/>
      <c r="X27" s="3">
        <f t="shared" si="10"/>
        <v>0</v>
      </c>
      <c r="Y27" s="3"/>
      <c r="Z27" s="20">
        <f t="shared" si="11"/>
        <v>0</v>
      </c>
    </row>
    <row r="28" spans="1:26" s="70" customFormat="1" ht="15" hidden="1" customHeight="1" outlineLevel="1" x14ac:dyDescent="0.3">
      <c r="A28" s="42"/>
      <c r="B28" s="12" t="str">
        <f>CONCATENATE("          ","5043"," - ","PURCHASES @ COST-CARDS")</f>
        <v xml:space="preserve">          5043 - PURCHASES @ COST-CARDS</v>
      </c>
      <c r="C28" s="12"/>
      <c r="D28" s="3"/>
      <c r="E28" s="3"/>
      <c r="F28" s="20">
        <f t="shared" si="4"/>
        <v>0</v>
      </c>
      <c r="G28" s="3"/>
      <c r="H28" s="3"/>
      <c r="I28" s="3"/>
      <c r="J28" s="20">
        <f t="shared" si="5"/>
        <v>0</v>
      </c>
      <c r="K28" s="3"/>
      <c r="L28" s="3">
        <f t="shared" si="6"/>
        <v>0</v>
      </c>
      <c r="M28" s="3"/>
      <c r="N28" s="20">
        <f t="shared" si="7"/>
        <v>0</v>
      </c>
      <c r="O28" s="12"/>
      <c r="P28" s="3">
        <v>0</v>
      </c>
      <c r="Q28" s="3"/>
      <c r="R28" s="20">
        <f t="shared" si="8"/>
        <v>0</v>
      </c>
      <c r="S28" s="3"/>
      <c r="T28" s="3"/>
      <c r="U28" s="3"/>
      <c r="V28" s="20">
        <f t="shared" si="9"/>
        <v>0</v>
      </c>
      <c r="W28" s="3"/>
      <c r="X28" s="3">
        <f t="shared" si="10"/>
        <v>0</v>
      </c>
      <c r="Y28" s="3"/>
      <c r="Z28" s="20">
        <f t="shared" si="11"/>
        <v>0</v>
      </c>
    </row>
    <row r="29" spans="1:26" s="70" customFormat="1" ht="15" hidden="1" customHeight="1" outlineLevel="1" x14ac:dyDescent="0.3">
      <c r="A29" s="42"/>
      <c r="B29" s="12" t="str">
        <f>CONCATENATE("          ","5044"," - ","PURCHASES @ COST-ACCESSORIES")</f>
        <v xml:space="preserve">          5044 - PURCHASES @ COST-ACCESSORIES</v>
      </c>
      <c r="C29" s="12"/>
      <c r="D29" s="3"/>
      <c r="E29" s="3"/>
      <c r="F29" s="20">
        <f t="shared" si="4"/>
        <v>0</v>
      </c>
      <c r="G29" s="3"/>
      <c r="H29" s="3"/>
      <c r="I29" s="3"/>
      <c r="J29" s="20">
        <f t="shared" si="5"/>
        <v>0</v>
      </c>
      <c r="K29" s="3"/>
      <c r="L29" s="3">
        <f t="shared" si="6"/>
        <v>0</v>
      </c>
      <c r="M29" s="3"/>
      <c r="N29" s="20">
        <f t="shared" si="7"/>
        <v>0</v>
      </c>
      <c r="O29" s="12"/>
      <c r="P29" s="3">
        <v>0</v>
      </c>
      <c r="Q29" s="3"/>
      <c r="R29" s="20">
        <f t="shared" si="8"/>
        <v>0</v>
      </c>
      <c r="S29" s="3"/>
      <c r="T29" s="3"/>
      <c r="U29" s="3"/>
      <c r="V29" s="20">
        <f t="shared" si="9"/>
        <v>0</v>
      </c>
      <c r="W29" s="3"/>
      <c r="X29" s="3">
        <f t="shared" si="10"/>
        <v>0</v>
      </c>
      <c r="Y29" s="3"/>
      <c r="Z29" s="20">
        <f t="shared" si="11"/>
        <v>0</v>
      </c>
    </row>
    <row r="30" spans="1:26" s="70" customFormat="1" ht="15" hidden="1" customHeight="1" outlineLevel="1" x14ac:dyDescent="0.3">
      <c r="A30" s="42"/>
      <c r="B30" s="12" t="str">
        <f>CONCATENATE("          ","5045"," - ","PURCHASES @ COST-SPECIAL ORDER")</f>
        <v xml:space="preserve">          5045 - PURCHASES @ COST-SPECIAL ORDER</v>
      </c>
      <c r="C30" s="12"/>
      <c r="D30" s="3"/>
      <c r="E30" s="3"/>
      <c r="F30" s="20">
        <f t="shared" si="4"/>
        <v>0</v>
      </c>
      <c r="G30" s="3"/>
      <c r="H30" s="3"/>
      <c r="I30" s="3"/>
      <c r="J30" s="20">
        <f t="shared" si="5"/>
        <v>0</v>
      </c>
      <c r="K30" s="3"/>
      <c r="L30" s="3">
        <f t="shared" si="6"/>
        <v>0</v>
      </c>
      <c r="M30" s="3"/>
      <c r="N30" s="20">
        <f t="shared" si="7"/>
        <v>0</v>
      </c>
      <c r="O30" s="12"/>
      <c r="P30" s="3">
        <v>0</v>
      </c>
      <c r="Q30" s="3"/>
      <c r="R30" s="20">
        <f t="shared" si="8"/>
        <v>0</v>
      </c>
      <c r="S30" s="3"/>
      <c r="T30" s="3"/>
      <c r="U30" s="3"/>
      <c r="V30" s="20">
        <f t="shared" si="9"/>
        <v>0</v>
      </c>
      <c r="W30" s="3"/>
      <c r="X30" s="3">
        <f t="shared" si="10"/>
        <v>0</v>
      </c>
      <c r="Y30" s="3"/>
      <c r="Z30" s="20">
        <f t="shared" si="11"/>
        <v>0</v>
      </c>
    </row>
    <row r="31" spans="1:26" s="70" customFormat="1" ht="15" hidden="1" customHeight="1" outlineLevel="1" x14ac:dyDescent="0.3">
      <c r="A31" s="42"/>
      <c r="B31" s="12" t="str">
        <f>CONCATENATE("          ","5200"," - ","PURCHASES OFFSET")</f>
        <v xml:space="preserve">          5200 - PURCHASES OFFSET</v>
      </c>
      <c r="C31" s="12"/>
      <c r="D31" s="3">
        <v>-408485.69</v>
      </c>
      <c r="E31" s="3"/>
      <c r="F31" s="20">
        <f t="shared" si="4"/>
        <v>-0.74032015609721591</v>
      </c>
      <c r="G31" s="3"/>
      <c r="H31" s="3"/>
      <c r="I31" s="3"/>
      <c r="J31" s="20">
        <f t="shared" si="5"/>
        <v>0</v>
      </c>
      <c r="K31" s="3"/>
      <c r="L31" s="3">
        <f t="shared" si="6"/>
        <v>-408485.69</v>
      </c>
      <c r="M31" s="3"/>
      <c r="N31" s="20">
        <f t="shared" si="7"/>
        <v>0</v>
      </c>
      <c r="O31" s="12"/>
      <c r="P31" s="3">
        <v>-1991233.13</v>
      </c>
      <c r="Q31" s="3"/>
      <c r="R31" s="20">
        <f t="shared" si="8"/>
        <v>-0.57347326228281414</v>
      </c>
      <c r="S31" s="3"/>
      <c r="T31" s="3"/>
      <c r="U31" s="3"/>
      <c r="V31" s="20">
        <f t="shared" si="9"/>
        <v>0</v>
      </c>
      <c r="W31" s="3"/>
      <c r="X31" s="3">
        <f t="shared" si="10"/>
        <v>-1991233.13</v>
      </c>
      <c r="Y31" s="3"/>
      <c r="Z31" s="20">
        <f t="shared" si="11"/>
        <v>0</v>
      </c>
    </row>
    <row r="32" spans="1:26" s="70" customFormat="1" ht="15" hidden="1" customHeight="1" outlineLevel="1" x14ac:dyDescent="0.3">
      <c r="A32" s="42"/>
      <c r="B32" s="12" t="str">
        <f>CONCATENATE("          ","5300"," - ","COG$ OFFSET")</f>
        <v xml:space="preserve">          5300 - COG$ OFFSET</v>
      </c>
      <c r="C32" s="12"/>
      <c r="D32" s="3">
        <v>245840.08</v>
      </c>
      <c r="E32" s="3"/>
      <c r="F32" s="20">
        <f t="shared" si="4"/>
        <v>0.44554894052849692</v>
      </c>
      <c r="G32" s="3"/>
      <c r="H32" s="3"/>
      <c r="I32" s="3"/>
      <c r="J32" s="20">
        <f t="shared" si="5"/>
        <v>0</v>
      </c>
      <c r="K32" s="3"/>
      <c r="L32" s="3">
        <f t="shared" si="6"/>
        <v>245840.08</v>
      </c>
      <c r="M32" s="3"/>
      <c r="N32" s="20">
        <f t="shared" si="7"/>
        <v>0</v>
      </c>
      <c r="O32" s="12"/>
      <c r="P32" s="3">
        <v>1668128.06</v>
      </c>
      <c r="Q32" s="3"/>
      <c r="R32" s="20">
        <f t="shared" si="8"/>
        <v>0.48041930704201469</v>
      </c>
      <c r="S32" s="3"/>
      <c r="T32" s="3"/>
      <c r="U32" s="3"/>
      <c r="V32" s="20">
        <f t="shared" si="9"/>
        <v>0</v>
      </c>
      <c r="W32" s="3"/>
      <c r="X32" s="3">
        <f t="shared" si="10"/>
        <v>1668128.06</v>
      </c>
      <c r="Y32" s="3"/>
      <c r="Z32" s="20">
        <f t="shared" si="11"/>
        <v>0</v>
      </c>
    </row>
    <row r="33" spans="1:26" s="70" customFormat="1" ht="15" hidden="1" customHeight="1" outlineLevel="1" x14ac:dyDescent="0.3">
      <c r="A33" s="42"/>
      <c r="B33" s="12" t="str">
        <f>CONCATENATE("          ","5500"," - ","FREIGHT-IN")</f>
        <v xml:space="preserve">          5500 - FREIGHT-IN</v>
      </c>
      <c r="C33" s="12"/>
      <c r="D33" s="3">
        <v>18287.849999999999</v>
      </c>
      <c r="E33" s="3"/>
      <c r="F33" s="20">
        <f t="shared" si="4"/>
        <v>3.3144034902868859E-2</v>
      </c>
      <c r="G33" s="3"/>
      <c r="H33" s="3"/>
      <c r="I33" s="3"/>
      <c r="J33" s="20">
        <f t="shared" si="5"/>
        <v>0</v>
      </c>
      <c r="K33" s="3"/>
      <c r="L33" s="3">
        <f t="shared" si="6"/>
        <v>18287.849999999999</v>
      </c>
      <c r="M33" s="3"/>
      <c r="N33" s="20">
        <f t="shared" si="7"/>
        <v>0</v>
      </c>
      <c r="O33" s="12"/>
      <c r="P33" s="3">
        <v>71614.36</v>
      </c>
      <c r="Q33" s="3"/>
      <c r="R33" s="20">
        <f t="shared" si="8"/>
        <v>2.0624868096432221E-2</v>
      </c>
      <c r="S33" s="3"/>
      <c r="T33" s="3"/>
      <c r="U33" s="3"/>
      <c r="V33" s="20">
        <f t="shared" si="9"/>
        <v>0</v>
      </c>
      <c r="W33" s="3"/>
      <c r="X33" s="3">
        <f t="shared" si="10"/>
        <v>71614.36</v>
      </c>
      <c r="Y33" s="3"/>
      <c r="Z33" s="20">
        <f t="shared" si="11"/>
        <v>0</v>
      </c>
    </row>
    <row r="34" spans="1:26" s="70" customFormat="1" ht="15" hidden="1" customHeight="1" outlineLevel="1" x14ac:dyDescent="0.3">
      <c r="A34" s="42"/>
      <c r="B34" s="12" t="str">
        <f>CONCATENATE("          ","5527"," - ","FREIGHT-IN-SCHOOL SUPPLIES")</f>
        <v xml:space="preserve">          5527 - FREIGHT-IN-SCHOOL SUPPLIES</v>
      </c>
      <c r="C34" s="12"/>
      <c r="D34" s="3"/>
      <c r="E34" s="3"/>
      <c r="F34" s="20">
        <f t="shared" si="4"/>
        <v>0</v>
      </c>
      <c r="G34" s="3"/>
      <c r="H34" s="3"/>
      <c r="I34" s="3"/>
      <c r="J34" s="20">
        <f t="shared" si="5"/>
        <v>0</v>
      </c>
      <c r="K34" s="3"/>
      <c r="L34" s="3">
        <f t="shared" si="6"/>
        <v>0</v>
      </c>
      <c r="M34" s="3"/>
      <c r="N34" s="20">
        <f t="shared" si="7"/>
        <v>0</v>
      </c>
      <c r="O34" s="12"/>
      <c r="P34" s="3">
        <v>0</v>
      </c>
      <c r="Q34" s="3"/>
      <c r="R34" s="20">
        <f t="shared" si="8"/>
        <v>0</v>
      </c>
      <c r="S34" s="3"/>
      <c r="T34" s="3"/>
      <c r="U34" s="3"/>
      <c r="V34" s="20">
        <f t="shared" si="9"/>
        <v>0</v>
      </c>
      <c r="W34" s="3"/>
      <c r="X34" s="3">
        <f t="shared" si="10"/>
        <v>0</v>
      </c>
      <c r="Y34" s="3"/>
      <c r="Z34" s="20">
        <f t="shared" si="11"/>
        <v>0</v>
      </c>
    </row>
    <row r="35" spans="1:26" s="70" customFormat="1" ht="15" hidden="1" customHeight="1" outlineLevel="1" x14ac:dyDescent="0.3">
      <c r="A35" s="42"/>
      <c r="B35" s="12" t="str">
        <f>CONCATENATE("          ","5528"," - ","FREIGHT-IN-ART/TECH")</f>
        <v xml:space="preserve">          5528 - FREIGHT-IN-ART/TECH</v>
      </c>
      <c r="C35" s="12"/>
      <c r="D35" s="3"/>
      <c r="E35" s="3"/>
      <c r="F35" s="20">
        <f t="shared" si="4"/>
        <v>0</v>
      </c>
      <c r="G35" s="3"/>
      <c r="H35" s="3"/>
      <c r="I35" s="3"/>
      <c r="J35" s="20">
        <f t="shared" si="5"/>
        <v>0</v>
      </c>
      <c r="K35" s="3"/>
      <c r="L35" s="3">
        <f t="shared" si="6"/>
        <v>0</v>
      </c>
      <c r="M35" s="3"/>
      <c r="N35" s="20">
        <f t="shared" si="7"/>
        <v>0</v>
      </c>
      <c r="O35" s="12"/>
      <c r="P35" s="3">
        <v>0</v>
      </c>
      <c r="Q35" s="3"/>
      <c r="R35" s="20">
        <f t="shared" si="8"/>
        <v>0</v>
      </c>
      <c r="S35" s="3"/>
      <c r="T35" s="3"/>
      <c r="U35" s="3"/>
      <c r="V35" s="20">
        <f t="shared" si="9"/>
        <v>0</v>
      </c>
      <c r="W35" s="3"/>
      <c r="X35" s="3">
        <f t="shared" si="10"/>
        <v>0</v>
      </c>
      <c r="Y35" s="3"/>
      <c r="Z35" s="20">
        <f t="shared" si="11"/>
        <v>0</v>
      </c>
    </row>
    <row r="36" spans="1:26" s="70" customFormat="1" ht="15" hidden="1" customHeight="1" outlineLevel="1" x14ac:dyDescent="0.3">
      <c r="A36" s="42"/>
      <c r="B36" s="12" t="str">
        <f>CONCATENATE("          ","5540"," - ","FREIGHT-IN-LOGO CLOTHING")</f>
        <v xml:space="preserve">          5540 - FREIGHT-IN-LOGO CLOTHING</v>
      </c>
      <c r="C36" s="12"/>
      <c r="D36" s="3"/>
      <c r="E36" s="3"/>
      <c r="F36" s="20">
        <f t="shared" si="4"/>
        <v>0</v>
      </c>
      <c r="G36" s="3"/>
      <c r="H36" s="3"/>
      <c r="I36" s="3"/>
      <c r="J36" s="20">
        <f t="shared" si="5"/>
        <v>0</v>
      </c>
      <c r="K36" s="3"/>
      <c r="L36" s="3">
        <f t="shared" si="6"/>
        <v>0</v>
      </c>
      <c r="M36" s="3"/>
      <c r="N36" s="20">
        <f t="shared" si="7"/>
        <v>0</v>
      </c>
      <c r="O36" s="12"/>
      <c r="P36" s="3">
        <v>0</v>
      </c>
      <c r="Q36" s="3"/>
      <c r="R36" s="20">
        <f t="shared" si="8"/>
        <v>0</v>
      </c>
      <c r="S36" s="3"/>
      <c r="T36" s="3"/>
      <c r="U36" s="3"/>
      <c r="V36" s="20">
        <f t="shared" si="9"/>
        <v>0</v>
      </c>
      <c r="W36" s="3"/>
      <c r="X36" s="3">
        <f t="shared" si="10"/>
        <v>0</v>
      </c>
      <c r="Y36" s="3"/>
      <c r="Z36" s="20">
        <f t="shared" si="11"/>
        <v>0</v>
      </c>
    </row>
    <row r="37" spans="1:26" s="70" customFormat="1" ht="15" hidden="1" customHeight="1" outlineLevel="1" x14ac:dyDescent="0.3">
      <c r="A37" s="42"/>
      <c r="B37" s="12" t="str">
        <f>CONCATENATE("          ","5541"," - ","FREIGHT-IN-LOGO GIFTS")</f>
        <v xml:space="preserve">          5541 - FREIGHT-IN-LOGO GIFTS</v>
      </c>
      <c r="C37" s="12"/>
      <c r="D37" s="3"/>
      <c r="E37" s="3"/>
      <c r="F37" s="20">
        <f t="shared" si="4"/>
        <v>0</v>
      </c>
      <c r="G37" s="3"/>
      <c r="H37" s="3"/>
      <c r="I37" s="3"/>
      <c r="J37" s="20">
        <f t="shared" si="5"/>
        <v>0</v>
      </c>
      <c r="K37" s="3"/>
      <c r="L37" s="3">
        <f t="shared" si="6"/>
        <v>0</v>
      </c>
      <c r="M37" s="3"/>
      <c r="N37" s="20">
        <f t="shared" si="7"/>
        <v>0</v>
      </c>
      <c r="O37" s="12"/>
      <c r="P37" s="3">
        <v>0</v>
      </c>
      <c r="Q37" s="3"/>
      <c r="R37" s="20">
        <f t="shared" si="8"/>
        <v>0</v>
      </c>
      <c r="S37" s="3"/>
      <c r="T37" s="3"/>
      <c r="U37" s="3"/>
      <c r="V37" s="20">
        <f t="shared" si="9"/>
        <v>0</v>
      </c>
      <c r="W37" s="3"/>
      <c r="X37" s="3">
        <f t="shared" si="10"/>
        <v>0</v>
      </c>
      <c r="Y37" s="3"/>
      <c r="Z37" s="20">
        <f t="shared" si="11"/>
        <v>0</v>
      </c>
    </row>
    <row r="38" spans="1:26" s="70" customFormat="1" ht="15" hidden="1" customHeight="1" outlineLevel="1" x14ac:dyDescent="0.3">
      <c r="A38" s="42"/>
      <c r="B38" s="12" t="str">
        <f>CONCATENATE("          ","5542"," - ","FREIGHT-IN-EVERYDAY GIFTS")</f>
        <v xml:space="preserve">          5542 - FREIGHT-IN-EVERYDAY GIFTS</v>
      </c>
      <c r="C38" s="12"/>
      <c r="D38" s="3"/>
      <c r="E38" s="3"/>
      <c r="F38" s="20">
        <f t="shared" si="4"/>
        <v>0</v>
      </c>
      <c r="G38" s="3"/>
      <c r="H38" s="3"/>
      <c r="I38" s="3"/>
      <c r="J38" s="20">
        <f t="shared" si="5"/>
        <v>0</v>
      </c>
      <c r="K38" s="3"/>
      <c r="L38" s="3">
        <f t="shared" si="6"/>
        <v>0</v>
      </c>
      <c r="M38" s="3"/>
      <c r="N38" s="20">
        <f t="shared" si="7"/>
        <v>0</v>
      </c>
      <c r="O38" s="12"/>
      <c r="P38" s="3">
        <v>0</v>
      </c>
      <c r="Q38" s="3"/>
      <c r="R38" s="20">
        <f t="shared" si="8"/>
        <v>0</v>
      </c>
      <c r="S38" s="3"/>
      <c r="T38" s="3"/>
      <c r="U38" s="3"/>
      <c r="V38" s="20">
        <f t="shared" si="9"/>
        <v>0</v>
      </c>
      <c r="W38" s="3"/>
      <c r="X38" s="3">
        <f t="shared" si="10"/>
        <v>0</v>
      </c>
      <c r="Y38" s="3"/>
      <c r="Z38" s="20">
        <f t="shared" si="11"/>
        <v>0</v>
      </c>
    </row>
    <row r="39" spans="1:26" s="70" customFormat="1" ht="15" hidden="1" customHeight="1" outlineLevel="1" x14ac:dyDescent="0.3">
      <c r="A39" s="42"/>
      <c r="B39" s="12" t="str">
        <f>CONCATENATE("          ","5544"," - ","FREIGHT-IN-ACCESSORIES")</f>
        <v xml:space="preserve">          5544 - FREIGHT-IN-ACCESSORIES</v>
      </c>
      <c r="C39" s="12"/>
      <c r="D39" s="3"/>
      <c r="E39" s="3"/>
      <c r="F39" s="20">
        <f t="shared" si="4"/>
        <v>0</v>
      </c>
      <c r="G39" s="3"/>
      <c r="H39" s="3"/>
      <c r="I39" s="3"/>
      <c r="J39" s="20">
        <f t="shared" si="5"/>
        <v>0</v>
      </c>
      <c r="K39" s="3"/>
      <c r="L39" s="3">
        <f t="shared" si="6"/>
        <v>0</v>
      </c>
      <c r="M39" s="3"/>
      <c r="N39" s="20">
        <f t="shared" si="7"/>
        <v>0</v>
      </c>
      <c r="O39" s="12"/>
      <c r="P39" s="3">
        <v>0</v>
      </c>
      <c r="Q39" s="3"/>
      <c r="R39" s="20">
        <f t="shared" si="8"/>
        <v>0</v>
      </c>
      <c r="S39" s="3"/>
      <c r="T39" s="3"/>
      <c r="U39" s="3"/>
      <c r="V39" s="20">
        <f t="shared" si="9"/>
        <v>0</v>
      </c>
      <c r="W39" s="3"/>
      <c r="X39" s="3">
        <f t="shared" si="10"/>
        <v>0</v>
      </c>
      <c r="Y39" s="3"/>
      <c r="Z39" s="20">
        <f t="shared" si="11"/>
        <v>0</v>
      </c>
    </row>
    <row r="40" spans="1:26" s="70" customFormat="1" ht="15" hidden="1" customHeight="1" outlineLevel="1" x14ac:dyDescent="0.3">
      <c r="A40" s="42"/>
      <c r="B40" s="12" t="str">
        <f>CONCATENATE("          ","5545"," - ","FREIGHT-IN-SPECIAL ORDERS")</f>
        <v xml:space="preserve">          5545 - FREIGHT-IN-SPECIAL ORDERS</v>
      </c>
      <c r="C40" s="12"/>
      <c r="D40" s="3"/>
      <c r="E40" s="3"/>
      <c r="F40" s="20">
        <f t="shared" si="4"/>
        <v>0</v>
      </c>
      <c r="G40" s="3"/>
      <c r="H40" s="3"/>
      <c r="I40" s="3"/>
      <c r="J40" s="20">
        <f t="shared" si="5"/>
        <v>0</v>
      </c>
      <c r="K40" s="3"/>
      <c r="L40" s="3">
        <f t="shared" si="6"/>
        <v>0</v>
      </c>
      <c r="M40" s="3"/>
      <c r="N40" s="20">
        <f t="shared" si="7"/>
        <v>0</v>
      </c>
      <c r="O40" s="12"/>
      <c r="P40" s="3">
        <v>0</v>
      </c>
      <c r="Q40" s="3"/>
      <c r="R40" s="20">
        <f t="shared" si="8"/>
        <v>0</v>
      </c>
      <c r="S40" s="3"/>
      <c r="T40" s="3"/>
      <c r="U40" s="3"/>
      <c r="V40" s="20">
        <f t="shared" si="9"/>
        <v>0</v>
      </c>
      <c r="W40" s="3"/>
      <c r="X40" s="3">
        <f t="shared" si="10"/>
        <v>0</v>
      </c>
      <c r="Y40" s="3"/>
      <c r="Z40" s="20">
        <f t="shared" si="11"/>
        <v>0</v>
      </c>
    </row>
    <row r="41" spans="1:26" ht="15" customHeight="1" x14ac:dyDescent="0.3">
      <c r="A41" s="10"/>
      <c r="B41" s="11"/>
      <c r="C41" s="11"/>
      <c r="D41" s="4"/>
      <c r="E41" s="4"/>
      <c r="F41" s="9"/>
      <c r="G41" s="4"/>
      <c r="H41" s="4"/>
      <c r="I41" s="4"/>
      <c r="J41" s="9"/>
      <c r="K41" s="4"/>
      <c r="L41" s="4"/>
      <c r="M41" s="4"/>
      <c r="N41" s="9"/>
      <c r="O41" s="11"/>
      <c r="P41" s="4"/>
      <c r="Q41" s="4"/>
      <c r="R41" s="9"/>
      <c r="S41" s="4"/>
      <c r="T41" s="4"/>
      <c r="U41" s="4"/>
      <c r="V41" s="9"/>
      <c r="W41" s="4"/>
      <c r="X41" s="4"/>
      <c r="Y41" s="4"/>
      <c r="Z41" s="9"/>
    </row>
    <row r="42" spans="1:26" s="63" customFormat="1" ht="15" customHeight="1" x14ac:dyDescent="0.3">
      <c r="A42" s="11"/>
      <c r="B42" s="27" t="s">
        <v>289</v>
      </c>
      <c r="C42" s="27"/>
      <c r="D42" s="21">
        <f>D12-D19</f>
        <v>308928.88999999996</v>
      </c>
      <c r="E42" s="15"/>
      <c r="F42" s="23">
        <f>IF(D$12=0,0,D42/D$12)</f>
        <v>0.55988811766634861</v>
      </c>
      <c r="G42" s="15"/>
      <c r="H42" s="21">
        <f>H12-H19</f>
        <v>150154</v>
      </c>
      <c r="I42" s="15"/>
      <c r="J42" s="23">
        <f>IF(H$12=0,0,H42/H$12)</f>
        <v>0.50930391897483906</v>
      </c>
      <c r="K42" s="16"/>
      <c r="L42" s="21">
        <f>+D42-H42</f>
        <v>158774.88999999996</v>
      </c>
      <c r="M42" s="16"/>
      <c r="N42" s="23">
        <f>IF(H42=0,0,L42/H42)</f>
        <v>1.0574136553138775</v>
      </c>
      <c r="O42" s="28"/>
      <c r="P42" s="21">
        <f>P12-P19</f>
        <v>1807105.5399999998</v>
      </c>
      <c r="Q42" s="15"/>
      <c r="R42" s="23">
        <f>IF(P$12=0,0,P42/P$12)</f>
        <v>0.52044469012683936</v>
      </c>
      <c r="S42" s="15"/>
      <c r="T42" s="21">
        <f>T12-T19</f>
        <v>1385249</v>
      </c>
      <c r="U42" s="15"/>
      <c r="V42" s="23">
        <f>IF(T$12=0,0,T42/T$12)</f>
        <v>0.48294566913953157</v>
      </c>
      <c r="W42" s="16"/>
      <c r="X42" s="21">
        <f>+P42-T42</f>
        <v>421856.5399999998</v>
      </c>
      <c r="Y42" s="16"/>
      <c r="Z42" s="23">
        <f>IF(T42=0,0,X42/T42)</f>
        <v>0.30453480926533771</v>
      </c>
    </row>
    <row r="43" spans="1:26" ht="15" customHeight="1" x14ac:dyDescent="0.3">
      <c r="A43" s="10"/>
      <c r="B43" s="11"/>
      <c r="C43" s="10"/>
      <c r="D43" s="2"/>
      <c r="E43" s="2"/>
      <c r="F43" s="6"/>
      <c r="G43" s="2"/>
      <c r="H43" s="2"/>
      <c r="I43" s="2"/>
      <c r="J43" s="6"/>
      <c r="K43" s="2"/>
      <c r="L43" s="2"/>
      <c r="M43" s="2"/>
      <c r="N43" s="6"/>
      <c r="O43" s="35"/>
      <c r="P43" s="2"/>
      <c r="Q43" s="2"/>
      <c r="R43" s="6"/>
      <c r="S43" s="2"/>
      <c r="T43" s="2"/>
      <c r="U43" s="2"/>
      <c r="V43" s="6"/>
      <c r="W43" s="2"/>
      <c r="X43" s="2"/>
      <c r="Y43" s="2"/>
      <c r="Z43" s="6"/>
    </row>
    <row r="44" spans="1:26" s="63" customFormat="1" ht="15" customHeight="1" x14ac:dyDescent="0.3">
      <c r="A44" s="11"/>
      <c r="B44" s="28" t="s">
        <v>290</v>
      </c>
      <c r="C44" s="11"/>
      <c r="D44" s="22" cm="1">
        <f t="array" ref="D44">SUM(OSRRefD22x_0)</f>
        <v>111062.01000000002</v>
      </c>
      <c r="E44" s="22"/>
      <c r="F44" s="30">
        <f t="shared" ref="F44:F75" si="12">IF(D$12=0,0,D44/D$12)</f>
        <v>0.20128353720217362</v>
      </c>
      <c r="G44" s="22"/>
      <c r="H44" s="22" cm="1">
        <f t="array" ref="H44">SUM(OSRRefH22x_0)</f>
        <v>110710.95143389232</v>
      </c>
      <c r="I44" s="22"/>
      <c r="J44" s="30">
        <f t="shared" ref="J44:J75" si="13">IF(H$12=0,0,H44/H$12)</f>
        <v>0.37551794450174109</v>
      </c>
      <c r="K44" s="5"/>
      <c r="L44" s="22">
        <f t="shared" ref="L44:L75" si="14">+D44-H44</f>
        <v>351.0585661077057</v>
      </c>
      <c r="M44" s="5"/>
      <c r="N44" s="30">
        <f t="shared" ref="N44:N75" si="15">IF(H44=0,0,L44/H44)</f>
        <v>3.1709470613422528E-3</v>
      </c>
      <c r="O44" s="11"/>
      <c r="P44" s="22" cm="1">
        <f t="array" ref="P44">SUM(OSRRefP22x_0)</f>
        <v>946389.46000000008</v>
      </c>
      <c r="Q44" s="22"/>
      <c r="R44" s="30">
        <f t="shared" ref="R44:R75" si="16">IF(P$12=0,0,P44/P$12)</f>
        <v>0.27255927135777963</v>
      </c>
      <c r="S44" s="22"/>
      <c r="T44" s="22" cm="1">
        <f t="array" ref="T44">SUM(OSRRefT22x_0)</f>
        <v>1068109.3646426499</v>
      </c>
      <c r="U44" s="22"/>
      <c r="V44" s="30">
        <f t="shared" ref="V44:V75" si="17">IF(T$12=0,0,T44/T$12)</f>
        <v>0.37237983338846986</v>
      </c>
      <c r="W44" s="5"/>
      <c r="X44" s="22">
        <f t="shared" ref="X44:X75" si="18">+P44-T44</f>
        <v>-121719.90464264981</v>
      </c>
      <c r="Y44" s="5"/>
      <c r="Z44" s="30">
        <f t="shared" ref="Z44:Z75" si="19">IF(T44=0,0,X44/T44)</f>
        <v>-0.11395827868560333</v>
      </c>
    </row>
    <row r="45" spans="1:26" s="69" customFormat="1" ht="15" customHeight="1" outlineLevel="1" collapsed="1" x14ac:dyDescent="0.3">
      <c r="A45" s="25"/>
      <c r="B45" s="14" t="str">
        <f>CONCATENATE("     ","*Benefits                                         ")</f>
        <v xml:space="preserve">     *Benefits                                         </v>
      </c>
      <c r="C45" s="14"/>
      <c r="D45" s="2">
        <f>SUM(OSRRefD22_0x_0)</f>
        <v>12561.02</v>
      </c>
      <c r="E45" s="2"/>
      <c r="F45" s="6">
        <f t="shared" si="12"/>
        <v>2.2764998908873041E-2</v>
      </c>
      <c r="G45" s="2"/>
      <c r="H45" s="2">
        <f>SUM(OSRRefH22_0x_0)</f>
        <v>20909.045741584625</v>
      </c>
      <c r="I45" s="2"/>
      <c r="J45" s="6">
        <f t="shared" si="13"/>
        <v>7.0920914116262099E-2</v>
      </c>
      <c r="K45" s="2"/>
      <c r="L45" s="2">
        <f t="shared" si="14"/>
        <v>-8348.0257415846245</v>
      </c>
      <c r="M45" s="2"/>
      <c r="N45" s="6">
        <f t="shared" si="15"/>
        <v>-0.39925426749542114</v>
      </c>
      <c r="O45" s="14"/>
      <c r="P45" s="2">
        <f>SUM(OSRRefP22_0x_0)</f>
        <v>133140.11000000002</v>
      </c>
      <c r="Q45" s="2"/>
      <c r="R45" s="6">
        <f t="shared" si="16"/>
        <v>3.8344226033640134E-2</v>
      </c>
      <c r="S45" s="2"/>
      <c r="T45" s="2">
        <f>SUM(OSRRefT22_0x_0)</f>
        <v>193670.22114265</v>
      </c>
      <c r="U45" s="2"/>
      <c r="V45" s="6">
        <f t="shared" si="17"/>
        <v>6.7520131429178551E-2</v>
      </c>
      <c r="W45" s="2"/>
      <c r="X45" s="2">
        <f t="shared" si="18"/>
        <v>-60530.111142649985</v>
      </c>
      <c r="Y45" s="2"/>
      <c r="Z45" s="6">
        <f t="shared" si="19"/>
        <v>-0.31254216980557814</v>
      </c>
    </row>
    <row r="46" spans="1:26" s="70" customFormat="1" ht="15" hidden="1" customHeight="1" outlineLevel="2" x14ac:dyDescent="0.3">
      <c r="A46" s="26"/>
      <c r="B46" s="12" t="str">
        <f>CONCATENATE("          ","6111"," - ","F.I.C.A.")</f>
        <v xml:space="preserve">          6111 - F.I.C.A.</v>
      </c>
      <c r="C46" s="12"/>
      <c r="D46" s="7">
        <v>2224.0500000000002</v>
      </c>
      <c r="E46" s="3"/>
      <c r="F46" s="8">
        <f t="shared" si="12"/>
        <v>4.030763092748765E-3</v>
      </c>
      <c r="G46" s="3"/>
      <c r="H46" s="7">
        <v>5186.07617196923</v>
      </c>
      <c r="I46" s="3"/>
      <c r="J46" s="8">
        <f t="shared" si="13"/>
        <v>1.7590533175845868E-2</v>
      </c>
      <c r="K46" s="3"/>
      <c r="L46" s="7">
        <f t="shared" si="14"/>
        <v>-2962.0261719692298</v>
      </c>
      <c r="M46" s="3"/>
      <c r="N46" s="8">
        <f t="shared" si="15"/>
        <v>-0.57114976212246893</v>
      </c>
      <c r="O46" s="12"/>
      <c r="P46" s="7">
        <v>24203.62</v>
      </c>
      <c r="Q46" s="3"/>
      <c r="R46" s="8">
        <f t="shared" si="16"/>
        <v>6.9706197186733057E-3</v>
      </c>
      <c r="S46" s="3"/>
      <c r="T46" s="7">
        <v>46019.967041399999</v>
      </c>
      <c r="U46" s="3"/>
      <c r="V46" s="8">
        <f t="shared" si="17"/>
        <v>1.60441507458862E-2</v>
      </c>
      <c r="W46" s="3"/>
      <c r="X46" s="7">
        <f t="shared" si="18"/>
        <v>-21816.3470414</v>
      </c>
      <c r="Y46" s="3"/>
      <c r="Z46" s="8">
        <f t="shared" si="19"/>
        <v>-0.47406263941418747</v>
      </c>
    </row>
    <row r="47" spans="1:26" s="70" customFormat="1" ht="15" hidden="1" customHeight="1" outlineLevel="2" x14ac:dyDescent="0.3">
      <c r="A47" s="26"/>
      <c r="B47" s="12" t="str">
        <f>CONCATENATE("          ","6112"," - ","COMPENSATION INSURANCE")</f>
        <v xml:space="preserve">          6112 - COMPENSATION INSURANCE</v>
      </c>
      <c r="C47" s="12"/>
      <c r="D47" s="7">
        <v>1190.46</v>
      </c>
      <c r="E47" s="3"/>
      <c r="F47" s="8">
        <f t="shared" si="12"/>
        <v>2.1575334328786198E-3</v>
      </c>
      <c r="G47" s="3"/>
      <c r="H47" s="7">
        <v>1198.0687800000001</v>
      </c>
      <c r="I47" s="3"/>
      <c r="J47" s="8">
        <f t="shared" si="13"/>
        <v>4.0637020982151944E-3</v>
      </c>
      <c r="K47" s="3"/>
      <c r="L47" s="7">
        <f t="shared" si="14"/>
        <v>-7.6087800000000243</v>
      </c>
      <c r="M47" s="3"/>
      <c r="N47" s="8">
        <f t="shared" si="15"/>
        <v>-6.3508707738799634E-3</v>
      </c>
      <c r="O47" s="12"/>
      <c r="P47" s="7">
        <v>9092.75</v>
      </c>
      <c r="Q47" s="3"/>
      <c r="R47" s="8">
        <f t="shared" si="16"/>
        <v>2.6187034190326363E-3</v>
      </c>
      <c r="S47" s="3"/>
      <c r="T47" s="7">
        <v>11381.567535</v>
      </c>
      <c r="U47" s="3"/>
      <c r="V47" s="8">
        <f t="shared" si="17"/>
        <v>3.9680077365494178E-3</v>
      </c>
      <c r="W47" s="3"/>
      <c r="X47" s="7">
        <f t="shared" si="18"/>
        <v>-2288.8175350000001</v>
      </c>
      <c r="Y47" s="3"/>
      <c r="Z47" s="8">
        <f t="shared" si="19"/>
        <v>-0.20109862090274896</v>
      </c>
    </row>
    <row r="48" spans="1:26" s="70" customFormat="1" ht="15" hidden="1" customHeight="1" outlineLevel="2" x14ac:dyDescent="0.3">
      <c r="A48" s="26"/>
      <c r="B48" s="12" t="str">
        <f>CONCATENATE("          ","6113"," - ","GROUP INSURANCE")</f>
        <v xml:space="preserve">          6113 - GROUP INSURANCE</v>
      </c>
      <c r="C48" s="12"/>
      <c r="D48" s="7">
        <v>3834.79</v>
      </c>
      <c r="E48" s="3"/>
      <c r="F48" s="8">
        <f t="shared" si="12"/>
        <v>6.9499921316706157E-3</v>
      </c>
      <c r="G48" s="3"/>
      <c r="H48" s="7">
        <v>7772.9230769230799</v>
      </c>
      <c r="I48" s="3"/>
      <c r="J48" s="8">
        <f t="shared" si="13"/>
        <v>2.6364800038406494E-2</v>
      </c>
      <c r="K48" s="3"/>
      <c r="L48" s="7">
        <f t="shared" si="14"/>
        <v>-3938.1330769230799</v>
      </c>
      <c r="M48" s="3"/>
      <c r="N48" s="8">
        <f t="shared" si="15"/>
        <v>-0.5066476328081706</v>
      </c>
      <c r="O48" s="12"/>
      <c r="P48" s="7">
        <v>42156.82</v>
      </c>
      <c r="Q48" s="3"/>
      <c r="R48" s="8">
        <f t="shared" si="16"/>
        <v>1.2141124375963645E-2</v>
      </c>
      <c r="S48" s="3"/>
      <c r="T48" s="7">
        <v>71784</v>
      </c>
      <c r="U48" s="3"/>
      <c r="V48" s="8">
        <f t="shared" si="17"/>
        <v>2.5026382919974773E-2</v>
      </c>
      <c r="W48" s="3"/>
      <c r="X48" s="7">
        <f t="shared" si="18"/>
        <v>-29627.18</v>
      </c>
      <c r="Y48" s="3"/>
      <c r="Z48" s="8">
        <f t="shared" si="19"/>
        <v>-0.41272679148556785</v>
      </c>
    </row>
    <row r="49" spans="1:26" s="70" customFormat="1" ht="15" hidden="1" customHeight="1" outlineLevel="2" x14ac:dyDescent="0.3">
      <c r="A49" s="26"/>
      <c r="B49" s="12" t="str">
        <f>CONCATENATE("          ","6114"," - ","STATE UNEMPLOYMENT INSURANCE")</f>
        <v xml:space="preserve">          6114 - STATE UNEMPLOYMENT INSURANCE</v>
      </c>
      <c r="C49" s="12"/>
      <c r="D49" s="7">
        <v>209.34</v>
      </c>
      <c r="E49" s="3"/>
      <c r="F49" s="8">
        <f t="shared" si="12"/>
        <v>3.7939792083632398E-4</v>
      </c>
      <c r="G49" s="3"/>
      <c r="H49" s="7">
        <v>161.27848961538501</v>
      </c>
      <c r="I49" s="3"/>
      <c r="J49" s="8">
        <f t="shared" si="13"/>
        <v>5.4703682091358514E-4</v>
      </c>
      <c r="K49" s="3"/>
      <c r="L49" s="7">
        <f t="shared" si="14"/>
        <v>48.061510384614991</v>
      </c>
      <c r="M49" s="3"/>
      <c r="N49" s="8">
        <f t="shared" si="15"/>
        <v>0.29800322720798972</v>
      </c>
      <c r="O49" s="12"/>
      <c r="P49" s="7">
        <v>1598.52</v>
      </c>
      <c r="Q49" s="3"/>
      <c r="R49" s="8">
        <f t="shared" si="16"/>
        <v>4.603722514522064E-4</v>
      </c>
      <c r="S49" s="3"/>
      <c r="T49" s="7">
        <v>1532.13409125</v>
      </c>
      <c r="U49" s="3"/>
      <c r="V49" s="8">
        <f t="shared" si="17"/>
        <v>5.3415488761242161E-4</v>
      </c>
      <c r="W49" s="3"/>
      <c r="X49" s="7">
        <f t="shared" si="18"/>
        <v>66.385908749999999</v>
      </c>
      <c r="Y49" s="3"/>
      <c r="Z49" s="8">
        <f t="shared" si="19"/>
        <v>4.3329046151462297E-2</v>
      </c>
    </row>
    <row r="50" spans="1:26" s="70" customFormat="1" ht="15" hidden="1" customHeight="1" outlineLevel="2" x14ac:dyDescent="0.3">
      <c r="A50" s="26"/>
      <c r="B50" s="12" t="str">
        <f>CONCATENATE("          ","6115"," - ","P.E.R.S.")</f>
        <v xml:space="preserve">          6115 - P.E.R.S.</v>
      </c>
      <c r="C50" s="12"/>
      <c r="D50" s="7">
        <v>1145.3499999999999</v>
      </c>
      <c r="E50" s="3"/>
      <c r="F50" s="8">
        <f t="shared" si="12"/>
        <v>2.0757782011554581E-3</v>
      </c>
      <c r="G50" s="3"/>
      <c r="H50" s="7">
        <v>1413.3438461538501</v>
      </c>
      <c r="I50" s="3"/>
      <c r="J50" s="8">
        <f t="shared" si="13"/>
        <v>4.7938886723305927E-3</v>
      </c>
      <c r="K50" s="3"/>
      <c r="L50" s="7">
        <f t="shared" si="14"/>
        <v>-267.9938461538502</v>
      </c>
      <c r="M50" s="3"/>
      <c r="N50" s="8">
        <f t="shared" si="15"/>
        <v>-0.18961687694268109</v>
      </c>
      <c r="O50" s="12"/>
      <c r="P50" s="7">
        <v>14584.98</v>
      </c>
      <c r="Q50" s="3"/>
      <c r="R50" s="8">
        <f t="shared" si="16"/>
        <v>4.2004604759311118E-3</v>
      </c>
      <c r="S50" s="3"/>
      <c r="T50" s="7">
        <v>13780.102500000001</v>
      </c>
      <c r="U50" s="3"/>
      <c r="V50" s="8">
        <f t="shared" si="17"/>
        <v>4.8042199075211981E-3</v>
      </c>
      <c r="W50" s="3"/>
      <c r="X50" s="7">
        <f t="shared" si="18"/>
        <v>804.87749999999869</v>
      </c>
      <c r="Y50" s="3"/>
      <c r="Z50" s="8">
        <f t="shared" si="19"/>
        <v>5.840867293984197E-2</v>
      </c>
    </row>
    <row r="51" spans="1:26" s="70" customFormat="1" ht="15" hidden="1" customHeight="1" outlineLevel="2" x14ac:dyDescent="0.3">
      <c r="A51" s="26"/>
      <c r="B51" s="12" t="str">
        <f>CONCATENATE("          ","6116"," - ","EDUCATIONAL BENEFITS")</f>
        <v xml:space="preserve">          6116 - EDUCATIONAL BENEFITS</v>
      </c>
      <c r="C51" s="12"/>
      <c r="D51" s="7"/>
      <c r="E51" s="3"/>
      <c r="F51" s="8">
        <f t="shared" si="12"/>
        <v>0</v>
      </c>
      <c r="G51" s="3"/>
      <c r="H51" s="7">
        <v>0</v>
      </c>
      <c r="I51" s="3"/>
      <c r="J51" s="8">
        <f t="shared" si="13"/>
        <v>0</v>
      </c>
      <c r="K51" s="3"/>
      <c r="L51" s="7">
        <f t="shared" si="14"/>
        <v>0</v>
      </c>
      <c r="M51" s="3"/>
      <c r="N51" s="8">
        <f t="shared" si="15"/>
        <v>0</v>
      </c>
      <c r="O51" s="12"/>
      <c r="P51" s="7"/>
      <c r="Q51" s="3"/>
      <c r="R51" s="8">
        <f t="shared" si="16"/>
        <v>0</v>
      </c>
      <c r="S51" s="3"/>
      <c r="T51" s="7">
        <v>0</v>
      </c>
      <c r="U51" s="3"/>
      <c r="V51" s="8">
        <f t="shared" si="17"/>
        <v>0</v>
      </c>
      <c r="W51" s="3"/>
      <c r="X51" s="7">
        <f t="shared" si="18"/>
        <v>0</v>
      </c>
      <c r="Y51" s="3"/>
      <c r="Z51" s="8">
        <f t="shared" si="19"/>
        <v>0</v>
      </c>
    </row>
    <row r="52" spans="1:26" s="70" customFormat="1" ht="15" hidden="1" customHeight="1" outlineLevel="2" x14ac:dyDescent="0.3">
      <c r="A52" s="26"/>
      <c r="B52" s="12" t="str">
        <f>CONCATENATE("          ","6118"," - ","VACATION")</f>
        <v xml:space="preserve">          6118 - VACATION</v>
      </c>
      <c r="C52" s="12"/>
      <c r="D52" s="7">
        <v>1656.97</v>
      </c>
      <c r="E52" s="3"/>
      <c r="F52" s="8">
        <f t="shared" si="12"/>
        <v>3.0030141057044222E-3</v>
      </c>
      <c r="G52" s="3"/>
      <c r="H52" s="7">
        <v>1233.7115384615399</v>
      </c>
      <c r="I52" s="3"/>
      <c r="J52" s="8">
        <f t="shared" si="13"/>
        <v>4.1845979555852003E-3</v>
      </c>
      <c r="K52" s="3"/>
      <c r="L52" s="7">
        <f t="shared" si="14"/>
        <v>423.2584615384601</v>
      </c>
      <c r="M52" s="3"/>
      <c r="N52" s="8">
        <f t="shared" si="15"/>
        <v>0.34307733075615948</v>
      </c>
      <c r="O52" s="12"/>
      <c r="P52" s="7">
        <v>18247.03</v>
      </c>
      <c r="Q52" s="3"/>
      <c r="R52" s="8">
        <f t="shared" si="16"/>
        <v>5.2551274199984701E-3</v>
      </c>
      <c r="S52" s="3"/>
      <c r="T52" s="7">
        <v>12028.6875</v>
      </c>
      <c r="U52" s="3"/>
      <c r="V52" s="8">
        <f t="shared" si="17"/>
        <v>4.1936161177938544E-3</v>
      </c>
      <c r="W52" s="3"/>
      <c r="X52" s="7">
        <f t="shared" si="18"/>
        <v>6218.3424999999988</v>
      </c>
      <c r="Y52" s="3"/>
      <c r="Z52" s="8">
        <f t="shared" si="19"/>
        <v>0.51695935238154611</v>
      </c>
    </row>
    <row r="53" spans="1:26" s="70" customFormat="1" ht="15" hidden="1" customHeight="1" outlineLevel="2" x14ac:dyDescent="0.3">
      <c r="A53" s="26"/>
      <c r="B53" s="12" t="str">
        <f>CONCATENATE("          ","6119"," - ","SICK LEAVE")</f>
        <v xml:space="preserve">          6119 - SICK LEAVE</v>
      </c>
      <c r="C53" s="12"/>
      <c r="D53" s="7">
        <v>1237.52</v>
      </c>
      <c r="E53" s="3"/>
      <c r="F53" s="8">
        <f t="shared" si="12"/>
        <v>2.2428227524284305E-3</v>
      </c>
      <c r="G53" s="3"/>
      <c r="H53" s="7">
        <v>3068.6438384615399</v>
      </c>
      <c r="I53" s="3"/>
      <c r="J53" s="8">
        <f t="shared" si="13"/>
        <v>1.0408462863902762E-2</v>
      </c>
      <c r="K53" s="3"/>
      <c r="L53" s="7">
        <f t="shared" si="14"/>
        <v>-1831.1238384615399</v>
      </c>
      <c r="M53" s="3"/>
      <c r="N53" s="8">
        <f t="shared" si="15"/>
        <v>-0.59672087568805998</v>
      </c>
      <c r="O53" s="12"/>
      <c r="P53" s="7">
        <v>15837.88</v>
      </c>
      <c r="Q53" s="3"/>
      <c r="R53" s="8">
        <f t="shared" si="16"/>
        <v>4.5612944935502029E-3</v>
      </c>
      <c r="S53" s="3"/>
      <c r="T53" s="7">
        <v>29268.762475</v>
      </c>
      <c r="U53" s="3"/>
      <c r="V53" s="8">
        <f t="shared" si="17"/>
        <v>1.0204101990598721E-2</v>
      </c>
      <c r="W53" s="3"/>
      <c r="X53" s="7">
        <f t="shared" si="18"/>
        <v>-13430.882475</v>
      </c>
      <c r="Y53" s="3"/>
      <c r="Z53" s="8">
        <f t="shared" si="19"/>
        <v>-0.45888111895649941</v>
      </c>
    </row>
    <row r="54" spans="1:26" s="70" customFormat="1" ht="15" hidden="1" customHeight="1" outlineLevel="2" x14ac:dyDescent="0.3">
      <c r="A54" s="26"/>
      <c r="B54" s="12" t="str">
        <f>CONCATENATE("          ","6156"," - ","EMPLOYEE MEALS")</f>
        <v xml:space="preserve">          6156 - EMPLOYEE MEALS</v>
      </c>
      <c r="C54" s="12"/>
      <c r="D54" s="7">
        <v>1062.54</v>
      </c>
      <c r="E54" s="3"/>
      <c r="F54" s="8">
        <f t="shared" si="12"/>
        <v>1.9256972714504043E-3</v>
      </c>
      <c r="G54" s="3"/>
      <c r="H54" s="7">
        <v>875</v>
      </c>
      <c r="I54" s="3"/>
      <c r="J54" s="8">
        <f t="shared" si="13"/>
        <v>2.9678924910624036E-3</v>
      </c>
      <c r="K54" s="3"/>
      <c r="L54" s="7">
        <f t="shared" si="14"/>
        <v>187.53999999999996</v>
      </c>
      <c r="M54" s="3"/>
      <c r="N54" s="8">
        <f t="shared" si="15"/>
        <v>0.21433142857142853</v>
      </c>
      <c r="O54" s="12"/>
      <c r="P54" s="7">
        <v>7418.51</v>
      </c>
      <c r="Q54" s="3"/>
      <c r="R54" s="8">
        <f t="shared" si="16"/>
        <v>2.1365238790385533E-3</v>
      </c>
      <c r="S54" s="3"/>
      <c r="T54" s="7">
        <v>7875</v>
      </c>
      <c r="U54" s="3"/>
      <c r="V54" s="8">
        <f t="shared" si="17"/>
        <v>2.7454971232419665E-3</v>
      </c>
      <c r="W54" s="3"/>
      <c r="X54" s="7">
        <f t="shared" si="18"/>
        <v>-456.48999999999978</v>
      </c>
      <c r="Y54" s="3"/>
      <c r="Z54" s="8">
        <f t="shared" si="19"/>
        <v>-5.7966984126984096E-2</v>
      </c>
    </row>
    <row r="55" spans="1:26" s="69" customFormat="1" ht="15" customHeight="1" outlineLevel="1" collapsed="1" x14ac:dyDescent="0.3">
      <c r="A55" s="25"/>
      <c r="B55" s="14" t="str">
        <f>CONCATENATE("     ","*Payroll                                          ")</f>
        <v xml:space="preserve">     *Payroll                                          </v>
      </c>
      <c r="C55" s="14"/>
      <c r="D55" s="2">
        <f>SUM(OSRRefD22_1x_0)</f>
        <v>80599.600000000006</v>
      </c>
      <c r="E55" s="2"/>
      <c r="F55" s="6">
        <f t="shared" si="12"/>
        <v>0.14607490522709171</v>
      </c>
      <c r="G55" s="2"/>
      <c r="H55" s="2">
        <f>SUM(OSRRefH22_1x_0)</f>
        <v>73653.905692307701</v>
      </c>
      <c r="I55" s="2"/>
      <c r="J55" s="6">
        <f t="shared" si="13"/>
        <v>0.24982499844756395</v>
      </c>
      <c r="K55" s="2"/>
      <c r="L55" s="2">
        <f t="shared" si="14"/>
        <v>6945.6943076923053</v>
      </c>
      <c r="M55" s="2"/>
      <c r="N55" s="6">
        <f t="shared" si="15"/>
        <v>9.4301778600964309E-2</v>
      </c>
      <c r="O55" s="14"/>
      <c r="P55" s="2">
        <f>SUM(OSRRefP22_1x_0)</f>
        <v>621703.37000000011</v>
      </c>
      <c r="Q55" s="2"/>
      <c r="R55" s="6">
        <f t="shared" si="16"/>
        <v>0.17904998384901294</v>
      </c>
      <c r="S55" s="2"/>
      <c r="T55" s="2">
        <f>SUM(OSRRefT22_1x_0)</f>
        <v>699106.14350000001</v>
      </c>
      <c r="U55" s="2"/>
      <c r="V55" s="6">
        <f t="shared" si="17"/>
        <v>0.24373255946921085</v>
      </c>
      <c r="W55" s="2"/>
      <c r="X55" s="2">
        <f t="shared" si="18"/>
        <v>-77402.773499999894</v>
      </c>
      <c r="Y55" s="2"/>
      <c r="Z55" s="6">
        <f t="shared" si="19"/>
        <v>-0.11071676914823149</v>
      </c>
    </row>
    <row r="56" spans="1:26" s="70" customFormat="1" ht="15" hidden="1" customHeight="1" outlineLevel="2" x14ac:dyDescent="0.3">
      <c r="A56" s="26"/>
      <c r="B56" s="12" t="str">
        <f>CONCATENATE("          ","6001"," - ","ADMINISTRATIVE SALARIES")</f>
        <v xml:space="preserve">          6001 - ADMINISTRATIVE SALARIES</v>
      </c>
      <c r="C56" s="12"/>
      <c r="D56" s="7"/>
      <c r="E56" s="3"/>
      <c r="F56" s="8">
        <f t="shared" si="12"/>
        <v>0</v>
      </c>
      <c r="G56" s="3"/>
      <c r="H56" s="7">
        <v>0</v>
      </c>
      <c r="I56" s="3"/>
      <c r="J56" s="8">
        <f t="shared" si="13"/>
        <v>0</v>
      </c>
      <c r="K56" s="3"/>
      <c r="L56" s="7">
        <f t="shared" si="14"/>
        <v>0</v>
      </c>
      <c r="M56" s="3"/>
      <c r="N56" s="8">
        <f t="shared" si="15"/>
        <v>0</v>
      </c>
      <c r="O56" s="12"/>
      <c r="P56" s="7"/>
      <c r="Q56" s="3"/>
      <c r="R56" s="8">
        <f t="shared" si="16"/>
        <v>0</v>
      </c>
      <c r="S56" s="3"/>
      <c r="T56" s="7">
        <v>0</v>
      </c>
      <c r="U56" s="3"/>
      <c r="V56" s="8">
        <f t="shared" si="17"/>
        <v>0</v>
      </c>
      <c r="W56" s="3"/>
      <c r="X56" s="7">
        <f t="shared" si="18"/>
        <v>0</v>
      </c>
      <c r="Y56" s="3"/>
      <c r="Z56" s="8">
        <f t="shared" si="19"/>
        <v>0</v>
      </c>
    </row>
    <row r="57" spans="1:26" s="70" customFormat="1" ht="15" hidden="1" customHeight="1" outlineLevel="2" x14ac:dyDescent="0.3">
      <c r="A57" s="26"/>
      <c r="B57" s="12" t="str">
        <f>CONCATENATE("          ","6002"," - ","STAFF SALARIES")</f>
        <v xml:space="preserve">          6002 - STAFF SALARIES</v>
      </c>
      <c r="C57" s="12"/>
      <c r="D57" s="7">
        <v>11334.67</v>
      </c>
      <c r="E57" s="3"/>
      <c r="F57" s="8">
        <f t="shared" si="12"/>
        <v>2.0542420136456751E-2</v>
      </c>
      <c r="G57" s="3"/>
      <c r="H57" s="7">
        <v>14790.807692307701</v>
      </c>
      <c r="I57" s="3"/>
      <c r="J57" s="8">
        <f t="shared" si="13"/>
        <v>5.0168602384854932E-2</v>
      </c>
      <c r="K57" s="3"/>
      <c r="L57" s="7">
        <f t="shared" si="14"/>
        <v>-3456.1376923077005</v>
      </c>
      <c r="M57" s="3"/>
      <c r="N57" s="8">
        <f t="shared" si="15"/>
        <v>-0.23366794864793924</v>
      </c>
      <c r="O57" s="12"/>
      <c r="P57" s="7">
        <v>143653.14000000001</v>
      </c>
      <c r="Q57" s="3"/>
      <c r="R57" s="8">
        <f t="shared" si="16"/>
        <v>4.1371968752332795E-2</v>
      </c>
      <c r="S57" s="3"/>
      <c r="T57" s="7">
        <v>144210.375</v>
      </c>
      <c r="U57" s="3"/>
      <c r="V57" s="8">
        <f t="shared" si="17"/>
        <v>5.0276719962431139E-2</v>
      </c>
      <c r="W57" s="3"/>
      <c r="X57" s="7">
        <f t="shared" si="18"/>
        <v>-557.23499999998603</v>
      </c>
      <c r="Y57" s="3"/>
      <c r="Z57" s="8">
        <f t="shared" si="19"/>
        <v>-3.8640423755918118E-3</v>
      </c>
    </row>
    <row r="58" spans="1:26" s="70" customFormat="1" ht="15" hidden="1" customHeight="1" outlineLevel="2" x14ac:dyDescent="0.3">
      <c r="A58" s="26"/>
      <c r="B58" s="12" t="str">
        <f>CONCATENATE("          ","6003"," - ","STAFF HOURLY-9 MONTH")</f>
        <v xml:space="preserve">          6003 - STAFF HOURLY-9 MONTH</v>
      </c>
      <c r="C58" s="12"/>
      <c r="D58" s="7"/>
      <c r="E58" s="3"/>
      <c r="F58" s="8">
        <f t="shared" si="12"/>
        <v>0</v>
      </c>
      <c r="G58" s="3"/>
      <c r="H58" s="7">
        <v>0</v>
      </c>
      <c r="I58" s="3"/>
      <c r="J58" s="8">
        <f t="shared" si="13"/>
        <v>0</v>
      </c>
      <c r="K58" s="3"/>
      <c r="L58" s="7">
        <f t="shared" si="14"/>
        <v>0</v>
      </c>
      <c r="M58" s="3"/>
      <c r="N58" s="8">
        <f t="shared" si="15"/>
        <v>0</v>
      </c>
      <c r="O58" s="12"/>
      <c r="P58" s="7"/>
      <c r="Q58" s="3"/>
      <c r="R58" s="8">
        <f t="shared" si="16"/>
        <v>0</v>
      </c>
      <c r="S58" s="3"/>
      <c r="T58" s="7">
        <v>0</v>
      </c>
      <c r="U58" s="3"/>
      <c r="V58" s="8">
        <f t="shared" si="17"/>
        <v>0</v>
      </c>
      <c r="W58" s="3"/>
      <c r="X58" s="7">
        <f t="shared" si="18"/>
        <v>0</v>
      </c>
      <c r="Y58" s="3"/>
      <c r="Z58" s="8">
        <f t="shared" si="19"/>
        <v>0</v>
      </c>
    </row>
    <row r="59" spans="1:26" s="70" customFormat="1" ht="15" hidden="1" customHeight="1" outlineLevel="2" x14ac:dyDescent="0.3">
      <c r="A59" s="26"/>
      <c r="B59" s="12" t="str">
        <f>CONCATENATE("          ","6004"," - ","STAFF HOURLY")</f>
        <v xml:space="preserve">          6004 - STAFF HOURLY</v>
      </c>
      <c r="C59" s="12"/>
      <c r="D59" s="7">
        <v>9796.66</v>
      </c>
      <c r="E59" s="3"/>
      <c r="F59" s="8">
        <f t="shared" si="12"/>
        <v>1.775500351170527E-2</v>
      </c>
      <c r="G59" s="3"/>
      <c r="H59" s="7">
        <v>20297.088</v>
      </c>
      <c r="I59" s="3"/>
      <c r="J59" s="8">
        <f t="shared" si="13"/>
        <v>6.8845228646437509E-2</v>
      </c>
      <c r="K59" s="3"/>
      <c r="L59" s="7">
        <f t="shared" si="14"/>
        <v>-10500.428</v>
      </c>
      <c r="M59" s="3"/>
      <c r="N59" s="8">
        <f t="shared" si="15"/>
        <v>-0.51733667410812822</v>
      </c>
      <c r="O59" s="12"/>
      <c r="P59" s="7">
        <v>84348.81</v>
      </c>
      <c r="Q59" s="3"/>
      <c r="R59" s="8">
        <f t="shared" si="16"/>
        <v>2.4292377678736821E-2</v>
      </c>
      <c r="S59" s="3"/>
      <c r="T59" s="7">
        <v>194364.736</v>
      </c>
      <c r="U59" s="3"/>
      <c r="V59" s="8">
        <f t="shared" si="17"/>
        <v>6.7762263307642456E-2</v>
      </c>
      <c r="W59" s="3"/>
      <c r="X59" s="7">
        <f t="shared" si="18"/>
        <v>-110015.92600000001</v>
      </c>
      <c r="Y59" s="3"/>
      <c r="Z59" s="8">
        <f t="shared" si="19"/>
        <v>-0.56602822232115191</v>
      </c>
    </row>
    <row r="60" spans="1:26" s="70" customFormat="1" ht="15" hidden="1" customHeight="1" outlineLevel="2" x14ac:dyDescent="0.3">
      <c r="A60" s="26"/>
      <c r="B60" s="12" t="str">
        <f>CONCATENATE("          ","6005"," - ","TEMPORARY WAGES-HOURLY")</f>
        <v xml:space="preserve">          6005 - TEMPORARY WAGES-HOURLY</v>
      </c>
      <c r="C60" s="12"/>
      <c r="D60" s="7">
        <v>3483.62</v>
      </c>
      <c r="E60" s="3"/>
      <c r="F60" s="8">
        <f t="shared" si="12"/>
        <v>6.3135482229093095E-3</v>
      </c>
      <c r="G60" s="3"/>
      <c r="H60" s="7">
        <v>0</v>
      </c>
      <c r="I60" s="3"/>
      <c r="J60" s="8">
        <f t="shared" si="13"/>
        <v>0</v>
      </c>
      <c r="K60" s="3"/>
      <c r="L60" s="7">
        <f t="shared" si="14"/>
        <v>3483.62</v>
      </c>
      <c r="M60" s="3"/>
      <c r="N60" s="8">
        <f t="shared" si="15"/>
        <v>0</v>
      </c>
      <c r="O60" s="12"/>
      <c r="P60" s="7">
        <v>32651.89</v>
      </c>
      <c r="Q60" s="3"/>
      <c r="R60" s="8">
        <f t="shared" si="16"/>
        <v>9.4037135059115828E-3</v>
      </c>
      <c r="S60" s="3"/>
      <c r="T60" s="7">
        <v>0</v>
      </c>
      <c r="U60" s="3"/>
      <c r="V60" s="8">
        <f t="shared" si="17"/>
        <v>0</v>
      </c>
      <c r="W60" s="3"/>
      <c r="X60" s="7">
        <f t="shared" si="18"/>
        <v>32651.89</v>
      </c>
      <c r="Y60" s="3"/>
      <c r="Z60" s="8">
        <f t="shared" si="19"/>
        <v>0</v>
      </c>
    </row>
    <row r="61" spans="1:26" s="70" customFormat="1" ht="15" hidden="1" customHeight="1" outlineLevel="2" x14ac:dyDescent="0.3">
      <c r="A61" s="26"/>
      <c r="B61" s="12" t="str">
        <f>CONCATENATE("          ","6006"," - ","TEMPORARY PART TIME")</f>
        <v xml:space="preserve">          6006 - TEMPORARY PART TIME</v>
      </c>
      <c r="C61" s="12"/>
      <c r="D61" s="7"/>
      <c r="E61" s="3"/>
      <c r="F61" s="8">
        <f t="shared" si="12"/>
        <v>0</v>
      </c>
      <c r="G61" s="3"/>
      <c r="H61" s="7">
        <v>0</v>
      </c>
      <c r="I61" s="3"/>
      <c r="J61" s="8">
        <f t="shared" si="13"/>
        <v>0</v>
      </c>
      <c r="K61" s="3"/>
      <c r="L61" s="7">
        <f t="shared" si="14"/>
        <v>0</v>
      </c>
      <c r="M61" s="3"/>
      <c r="N61" s="8">
        <f t="shared" si="15"/>
        <v>0</v>
      </c>
      <c r="O61" s="12"/>
      <c r="P61" s="7"/>
      <c r="Q61" s="3"/>
      <c r="R61" s="8">
        <f t="shared" si="16"/>
        <v>0</v>
      </c>
      <c r="S61" s="3"/>
      <c r="T61" s="7">
        <v>0</v>
      </c>
      <c r="U61" s="3"/>
      <c r="V61" s="8">
        <f t="shared" si="17"/>
        <v>0</v>
      </c>
      <c r="W61" s="3"/>
      <c r="X61" s="7">
        <f t="shared" si="18"/>
        <v>0</v>
      </c>
      <c r="Y61" s="3"/>
      <c r="Z61" s="8">
        <f t="shared" si="19"/>
        <v>0</v>
      </c>
    </row>
    <row r="62" spans="1:26" s="70" customFormat="1" ht="15" hidden="1" customHeight="1" outlineLevel="2" x14ac:dyDescent="0.3">
      <c r="A62" s="26"/>
      <c r="B62" s="12" t="str">
        <f>CONCATENATE("          ","6007"," - ","STUDENT HOURLY")</f>
        <v xml:space="preserve">          6007 - STUDENT HOURLY</v>
      </c>
      <c r="C62" s="12"/>
      <c r="D62" s="7">
        <v>46824.38</v>
      </c>
      <c r="E62" s="3"/>
      <c r="F62" s="8">
        <f t="shared" si="12"/>
        <v>8.4862292999187683E-2</v>
      </c>
      <c r="G62" s="3"/>
      <c r="H62" s="7">
        <v>29532</v>
      </c>
      <c r="I62" s="3"/>
      <c r="J62" s="8">
        <f t="shared" si="13"/>
        <v>0.10016891548120561</v>
      </c>
      <c r="K62" s="3"/>
      <c r="L62" s="7">
        <f t="shared" si="14"/>
        <v>17292.379999999997</v>
      </c>
      <c r="M62" s="3"/>
      <c r="N62" s="8">
        <f t="shared" si="15"/>
        <v>0.58554720303399688</v>
      </c>
      <c r="O62" s="12"/>
      <c r="P62" s="7">
        <v>291211.27</v>
      </c>
      <c r="Q62" s="3"/>
      <c r="R62" s="8">
        <f t="shared" si="16"/>
        <v>8.3868570939466744E-2</v>
      </c>
      <c r="S62" s="3"/>
      <c r="T62" s="7">
        <v>232275.75</v>
      </c>
      <c r="U62" s="3"/>
      <c r="V62" s="8">
        <f t="shared" si="17"/>
        <v>8.0979352815729558E-2</v>
      </c>
      <c r="W62" s="3"/>
      <c r="X62" s="7">
        <f t="shared" si="18"/>
        <v>58935.520000000019</v>
      </c>
      <c r="Y62" s="3"/>
      <c r="Z62" s="8">
        <f t="shared" si="19"/>
        <v>0.25373083500968147</v>
      </c>
    </row>
    <row r="63" spans="1:26" s="70" customFormat="1" ht="15" hidden="1" customHeight="1" outlineLevel="2" x14ac:dyDescent="0.3">
      <c r="A63" s="26"/>
      <c r="B63" s="12" t="str">
        <f>CONCATENATE("          ","6008"," - ","STUDENT HOURLY-FICA EXEMPT")</f>
        <v xml:space="preserve">          6008 - STUDENT HOURLY-FICA EXEMPT</v>
      </c>
      <c r="C63" s="12"/>
      <c r="D63" s="7">
        <v>9160.27</v>
      </c>
      <c r="E63" s="3"/>
      <c r="F63" s="8">
        <f t="shared" si="12"/>
        <v>1.6601640356832682E-2</v>
      </c>
      <c r="G63" s="3"/>
      <c r="H63" s="7">
        <v>9034.01</v>
      </c>
      <c r="I63" s="3"/>
      <c r="J63" s="8">
        <f t="shared" si="13"/>
        <v>3.0642251935065905E-2</v>
      </c>
      <c r="K63" s="3"/>
      <c r="L63" s="7">
        <f t="shared" si="14"/>
        <v>126.26000000000022</v>
      </c>
      <c r="M63" s="3"/>
      <c r="N63" s="8">
        <f t="shared" si="15"/>
        <v>1.3976074854909416E-2</v>
      </c>
      <c r="O63" s="12"/>
      <c r="P63" s="7">
        <v>69838.259999999995</v>
      </c>
      <c r="Q63" s="3"/>
      <c r="R63" s="8">
        <f t="shared" si="16"/>
        <v>2.0113352972564977E-2</v>
      </c>
      <c r="S63" s="3"/>
      <c r="T63" s="7">
        <v>128255.2825</v>
      </c>
      <c r="U63" s="3"/>
      <c r="V63" s="8">
        <f t="shared" si="17"/>
        <v>4.4714223383407713E-2</v>
      </c>
      <c r="W63" s="3"/>
      <c r="X63" s="7">
        <f t="shared" si="18"/>
        <v>-58417.022500000006</v>
      </c>
      <c r="Y63" s="3"/>
      <c r="Z63" s="8">
        <f t="shared" si="19"/>
        <v>-0.45547459224535258</v>
      </c>
    </row>
    <row r="64" spans="1:26" s="70" customFormat="1" ht="15" hidden="1" customHeight="1" outlineLevel="2" x14ac:dyDescent="0.3">
      <c r="A64" s="26"/>
      <c r="B64" s="12" t="str">
        <f>CONCATENATE("          ","6009"," - ","TEMPORARY-SEASONAL")</f>
        <v xml:space="preserve">          6009 - TEMPORARY-SEASONAL</v>
      </c>
      <c r="C64" s="12"/>
      <c r="D64" s="7"/>
      <c r="E64" s="3"/>
      <c r="F64" s="8">
        <f t="shared" si="12"/>
        <v>0</v>
      </c>
      <c r="G64" s="3"/>
      <c r="H64" s="7">
        <v>0</v>
      </c>
      <c r="I64" s="3"/>
      <c r="J64" s="8">
        <f t="shared" si="13"/>
        <v>0</v>
      </c>
      <c r="K64" s="3"/>
      <c r="L64" s="7">
        <f t="shared" si="14"/>
        <v>0</v>
      </c>
      <c r="M64" s="3"/>
      <c r="N64" s="8">
        <f t="shared" si="15"/>
        <v>0</v>
      </c>
      <c r="O64" s="12"/>
      <c r="P64" s="7"/>
      <c r="Q64" s="3"/>
      <c r="R64" s="8">
        <f t="shared" si="16"/>
        <v>0</v>
      </c>
      <c r="S64" s="3"/>
      <c r="T64" s="7">
        <v>0</v>
      </c>
      <c r="U64" s="3"/>
      <c r="V64" s="8">
        <f t="shared" si="17"/>
        <v>0</v>
      </c>
      <c r="W64" s="3"/>
      <c r="X64" s="7">
        <f t="shared" si="18"/>
        <v>0</v>
      </c>
      <c r="Y64" s="3"/>
      <c r="Z64" s="8">
        <f t="shared" si="19"/>
        <v>0</v>
      </c>
    </row>
    <row r="65" spans="1:26" s="70" customFormat="1" ht="15" hidden="1" customHeight="1" outlineLevel="2" x14ac:dyDescent="0.3">
      <c r="A65" s="26"/>
      <c r="B65" s="12" t="str">
        <f>CONCATENATE("          ","6010"," - ","GRATUITY")</f>
        <v xml:space="preserve">          6010 - GRATUITY</v>
      </c>
      <c r="C65" s="12"/>
      <c r="D65" s="7"/>
      <c r="E65" s="3"/>
      <c r="F65" s="8">
        <f t="shared" si="12"/>
        <v>0</v>
      </c>
      <c r="G65" s="3"/>
      <c r="H65" s="7">
        <v>0</v>
      </c>
      <c r="I65" s="3"/>
      <c r="J65" s="8">
        <f t="shared" si="13"/>
        <v>0</v>
      </c>
      <c r="K65" s="3"/>
      <c r="L65" s="7">
        <f t="shared" si="14"/>
        <v>0</v>
      </c>
      <c r="M65" s="3"/>
      <c r="N65" s="8">
        <f t="shared" si="15"/>
        <v>0</v>
      </c>
      <c r="O65" s="12"/>
      <c r="P65" s="7"/>
      <c r="Q65" s="3"/>
      <c r="R65" s="8">
        <f t="shared" si="16"/>
        <v>0</v>
      </c>
      <c r="S65" s="3"/>
      <c r="T65" s="7">
        <v>0</v>
      </c>
      <c r="U65" s="3"/>
      <c r="V65" s="8">
        <f t="shared" si="17"/>
        <v>0</v>
      </c>
      <c r="W65" s="3"/>
      <c r="X65" s="7">
        <f t="shared" si="18"/>
        <v>0</v>
      </c>
      <c r="Y65" s="3"/>
      <c r="Z65" s="8">
        <f t="shared" si="19"/>
        <v>0</v>
      </c>
    </row>
    <row r="66" spans="1:26" s="69" customFormat="1" ht="15" customHeight="1" outlineLevel="1" collapsed="1" x14ac:dyDescent="0.3">
      <c r="A66" s="25"/>
      <c r="B66" s="14" t="str">
        <f>CONCATENATE("     ","Advertising/Promo                                 ")</f>
        <v xml:space="preserve">     Advertising/Promo                                 </v>
      </c>
      <c r="C66" s="14"/>
      <c r="D66" s="2">
        <f>SUM(OSRRefD22_2x_0)</f>
        <v>2355.75</v>
      </c>
      <c r="E66" s="2"/>
      <c r="F66" s="6">
        <f t="shared" si="12"/>
        <v>4.2694499475024851E-3</v>
      </c>
      <c r="G66" s="2"/>
      <c r="H66" s="2">
        <f>SUM(OSRRefH22_2x_0)</f>
        <v>150</v>
      </c>
      <c r="I66" s="2"/>
      <c r="J66" s="6">
        <f t="shared" si="13"/>
        <v>5.087815698964121E-4</v>
      </c>
      <c r="K66" s="2"/>
      <c r="L66" s="2">
        <f t="shared" si="14"/>
        <v>2205.75</v>
      </c>
      <c r="M66" s="2"/>
      <c r="N66" s="6">
        <f t="shared" si="15"/>
        <v>14.705</v>
      </c>
      <c r="O66" s="14"/>
      <c r="P66" s="2">
        <f>SUM(OSRRefP22_2x_0)</f>
        <v>8376.36</v>
      </c>
      <c r="Q66" s="2"/>
      <c r="R66" s="6">
        <f t="shared" si="16"/>
        <v>2.4123837751008461E-3</v>
      </c>
      <c r="S66" s="2"/>
      <c r="T66" s="2">
        <f>SUM(OSRRefT22_2x_0)</f>
        <v>2750</v>
      </c>
      <c r="U66" s="2"/>
      <c r="V66" s="6">
        <f t="shared" si="17"/>
        <v>9.5874502716386133E-4</v>
      </c>
      <c r="W66" s="2"/>
      <c r="X66" s="2">
        <f t="shared" si="18"/>
        <v>5626.3600000000006</v>
      </c>
      <c r="Y66" s="2"/>
      <c r="Z66" s="6">
        <f t="shared" si="19"/>
        <v>2.0459490909090912</v>
      </c>
    </row>
    <row r="67" spans="1:26" s="70" customFormat="1" ht="15" hidden="1" customHeight="1" outlineLevel="2" x14ac:dyDescent="0.3">
      <c r="A67" s="26"/>
      <c r="B67" s="12" t="str">
        <f>CONCATENATE("          ","6362"," - ","ADVERTISING EXPENSE")</f>
        <v xml:space="preserve">          6362 - ADVERTISING EXPENSE</v>
      </c>
      <c r="C67" s="12"/>
      <c r="D67" s="7">
        <v>2355.75</v>
      </c>
      <c r="E67" s="3"/>
      <c r="F67" s="8">
        <f t="shared" si="12"/>
        <v>4.2694499475024851E-3</v>
      </c>
      <c r="G67" s="3"/>
      <c r="H67" s="7">
        <v>150</v>
      </c>
      <c r="I67" s="3"/>
      <c r="J67" s="8">
        <f t="shared" si="13"/>
        <v>5.087815698964121E-4</v>
      </c>
      <c r="K67" s="3"/>
      <c r="L67" s="7">
        <f t="shared" si="14"/>
        <v>2205.75</v>
      </c>
      <c r="M67" s="3"/>
      <c r="N67" s="8">
        <f t="shared" si="15"/>
        <v>14.705</v>
      </c>
      <c r="O67" s="12"/>
      <c r="P67" s="7">
        <v>8376.36</v>
      </c>
      <c r="Q67" s="3"/>
      <c r="R67" s="8">
        <f t="shared" si="16"/>
        <v>2.4123837751008461E-3</v>
      </c>
      <c r="S67" s="3"/>
      <c r="T67" s="7">
        <v>2750</v>
      </c>
      <c r="U67" s="3"/>
      <c r="V67" s="8">
        <f t="shared" si="17"/>
        <v>9.5874502716386133E-4</v>
      </c>
      <c r="W67" s="3"/>
      <c r="X67" s="7">
        <f t="shared" si="18"/>
        <v>5626.3600000000006</v>
      </c>
      <c r="Y67" s="3"/>
      <c r="Z67" s="8">
        <f t="shared" si="19"/>
        <v>2.0459490909090912</v>
      </c>
    </row>
    <row r="68" spans="1:26" s="69" customFormat="1" ht="15" customHeight="1" outlineLevel="1" collapsed="1" x14ac:dyDescent="0.3">
      <c r="A68" s="25"/>
      <c r="B68" s="14" t="str">
        <f>CONCATENATE("     ","Bad Debts/Over/Short                              ")</f>
        <v xml:space="preserve">     Bad Debts/Over/Short                              </v>
      </c>
      <c r="C68" s="14"/>
      <c r="D68" s="2">
        <f>SUM(OSRRefD22_3x_0)</f>
        <v>-15.72</v>
      </c>
      <c r="E68" s="2"/>
      <c r="F68" s="6">
        <f t="shared" si="12"/>
        <v>-2.8490184940990795E-5</v>
      </c>
      <c r="G68" s="2"/>
      <c r="H68" s="2">
        <f>SUM(OSRRefH22_3x_0)</f>
        <v>35</v>
      </c>
      <c r="I68" s="2"/>
      <c r="J68" s="6">
        <f t="shared" si="13"/>
        <v>1.1871569964249615E-4</v>
      </c>
      <c r="K68" s="2"/>
      <c r="L68" s="2">
        <f t="shared" si="14"/>
        <v>-50.72</v>
      </c>
      <c r="M68" s="2"/>
      <c r="N68" s="6">
        <f t="shared" si="15"/>
        <v>-1.4491428571428571</v>
      </c>
      <c r="O68" s="14"/>
      <c r="P68" s="2">
        <f>SUM(OSRRefP22_3x_0)</f>
        <v>-57.79</v>
      </c>
      <c r="Q68" s="2"/>
      <c r="R68" s="6">
        <f t="shared" si="16"/>
        <v>-1.6643465462692373E-5</v>
      </c>
      <c r="S68" s="2"/>
      <c r="T68" s="2">
        <f>SUM(OSRRefT22_3x_0)</f>
        <v>315</v>
      </c>
      <c r="U68" s="2"/>
      <c r="V68" s="6">
        <f t="shared" si="17"/>
        <v>1.0981988492967866E-4</v>
      </c>
      <c r="W68" s="2"/>
      <c r="X68" s="2">
        <f t="shared" si="18"/>
        <v>-372.79</v>
      </c>
      <c r="Y68" s="2"/>
      <c r="Z68" s="6">
        <f t="shared" si="19"/>
        <v>-1.1834603174603175</v>
      </c>
    </row>
    <row r="69" spans="1:26" s="70" customFormat="1" ht="15" hidden="1" customHeight="1" outlineLevel="2" x14ac:dyDescent="0.3">
      <c r="A69" s="26"/>
      <c r="B69" s="12" t="str">
        <f>CONCATENATE("          ","6272"," - ","CASH (OVER/SHORT)")</f>
        <v xml:space="preserve">          6272 - CASH (OVER/SHORT)</v>
      </c>
      <c r="C69" s="12"/>
      <c r="D69" s="7">
        <v>-15.72</v>
      </c>
      <c r="E69" s="3"/>
      <c r="F69" s="8">
        <f t="shared" si="12"/>
        <v>-2.8490184940990795E-5</v>
      </c>
      <c r="G69" s="3"/>
      <c r="H69" s="7">
        <v>35</v>
      </c>
      <c r="I69" s="3"/>
      <c r="J69" s="8">
        <f t="shared" si="13"/>
        <v>1.1871569964249615E-4</v>
      </c>
      <c r="K69" s="3"/>
      <c r="L69" s="7">
        <f t="shared" si="14"/>
        <v>-50.72</v>
      </c>
      <c r="M69" s="3"/>
      <c r="N69" s="8">
        <f t="shared" si="15"/>
        <v>-1.4491428571428571</v>
      </c>
      <c r="O69" s="12"/>
      <c r="P69" s="7">
        <v>-57.79</v>
      </c>
      <c r="Q69" s="3"/>
      <c r="R69" s="8">
        <f t="shared" si="16"/>
        <v>-1.6643465462692373E-5</v>
      </c>
      <c r="S69" s="3"/>
      <c r="T69" s="7">
        <v>315</v>
      </c>
      <c r="U69" s="3"/>
      <c r="V69" s="8">
        <f t="shared" si="17"/>
        <v>1.0981988492967866E-4</v>
      </c>
      <c r="W69" s="3"/>
      <c r="X69" s="7">
        <f t="shared" si="18"/>
        <v>-372.79</v>
      </c>
      <c r="Y69" s="3"/>
      <c r="Z69" s="8">
        <f t="shared" si="19"/>
        <v>-1.1834603174603175</v>
      </c>
    </row>
    <row r="70" spans="1:26" s="69" customFormat="1" ht="15" customHeight="1" outlineLevel="1" collapsed="1" x14ac:dyDescent="0.3">
      <c r="A70" s="25"/>
      <c r="B70" s="14" t="str">
        <f>CONCATENATE("     ","Bank/card Fees                                    ")</f>
        <v xml:space="preserve">     Bank/card Fees                                    </v>
      </c>
      <c r="C70" s="14"/>
      <c r="D70" s="2">
        <f>SUM(OSRRefD22_4x_0)</f>
        <v>508.74</v>
      </c>
      <c r="E70" s="2"/>
      <c r="F70" s="6">
        <f t="shared" si="12"/>
        <v>9.2201632868191199E-4</v>
      </c>
      <c r="G70" s="2"/>
      <c r="H70" s="2">
        <f>SUM(OSRRefH22_4x_0)</f>
        <v>1202</v>
      </c>
      <c r="I70" s="2"/>
      <c r="J70" s="6">
        <f t="shared" si="13"/>
        <v>4.0770363134365823E-3</v>
      </c>
      <c r="K70" s="2"/>
      <c r="L70" s="2">
        <f t="shared" si="14"/>
        <v>-693.26</v>
      </c>
      <c r="M70" s="2"/>
      <c r="N70" s="6">
        <f t="shared" si="15"/>
        <v>-0.57675540765391009</v>
      </c>
      <c r="O70" s="14"/>
      <c r="P70" s="2">
        <f>SUM(OSRRefP22_4x_0)</f>
        <v>4774.95</v>
      </c>
      <c r="Q70" s="2"/>
      <c r="R70" s="6">
        <f t="shared" si="16"/>
        <v>1.3751810938065917E-3</v>
      </c>
      <c r="S70" s="2"/>
      <c r="T70" s="2">
        <f>SUM(OSRRefT22_4x_0)</f>
        <v>12540</v>
      </c>
      <c r="U70" s="2"/>
      <c r="V70" s="6">
        <f t="shared" si="17"/>
        <v>4.3718773238672079E-3</v>
      </c>
      <c r="W70" s="2"/>
      <c r="X70" s="2">
        <f t="shared" si="18"/>
        <v>-7765.05</v>
      </c>
      <c r="Y70" s="2"/>
      <c r="Z70" s="6">
        <f t="shared" si="19"/>
        <v>-0.61922248803827751</v>
      </c>
    </row>
    <row r="71" spans="1:26" s="70" customFormat="1" ht="15" hidden="1" customHeight="1" outlineLevel="2" x14ac:dyDescent="0.3">
      <c r="A71" s="26"/>
      <c r="B71" s="12" t="str">
        <f>CONCATENATE("          ","6381"," - ","BANK/CREDIT CARD FEES")</f>
        <v xml:space="preserve">          6381 - BANK/CREDIT CARD FEES</v>
      </c>
      <c r="C71" s="12"/>
      <c r="D71" s="7">
        <v>508.74</v>
      </c>
      <c r="E71" s="3"/>
      <c r="F71" s="8">
        <f t="shared" si="12"/>
        <v>9.2201632868191199E-4</v>
      </c>
      <c r="G71" s="3"/>
      <c r="H71" s="7">
        <v>1202</v>
      </c>
      <c r="I71" s="3"/>
      <c r="J71" s="8">
        <f t="shared" si="13"/>
        <v>4.0770363134365823E-3</v>
      </c>
      <c r="K71" s="3"/>
      <c r="L71" s="7">
        <f t="shared" si="14"/>
        <v>-693.26</v>
      </c>
      <c r="M71" s="3"/>
      <c r="N71" s="8">
        <f t="shared" si="15"/>
        <v>-0.57675540765391009</v>
      </c>
      <c r="O71" s="12"/>
      <c r="P71" s="7">
        <v>4774.95</v>
      </c>
      <c r="Q71" s="3"/>
      <c r="R71" s="8">
        <f t="shared" si="16"/>
        <v>1.3751810938065917E-3</v>
      </c>
      <c r="S71" s="3"/>
      <c r="T71" s="7">
        <v>12540</v>
      </c>
      <c r="U71" s="3"/>
      <c r="V71" s="8">
        <f t="shared" si="17"/>
        <v>4.3718773238672079E-3</v>
      </c>
      <c r="W71" s="3"/>
      <c r="X71" s="7">
        <f t="shared" si="18"/>
        <v>-7765.05</v>
      </c>
      <c r="Y71" s="3"/>
      <c r="Z71" s="8">
        <f t="shared" si="19"/>
        <v>-0.61922248803827751</v>
      </c>
    </row>
    <row r="72" spans="1:26" s="69" customFormat="1" ht="15" customHeight="1" outlineLevel="1" collapsed="1" x14ac:dyDescent="0.3">
      <c r="A72" s="25"/>
      <c r="B72" s="14" t="str">
        <f>CONCATENATE("     ","Discounts and Markdowns                           ")</f>
        <v xml:space="preserve">     Discounts and Markdowns                           </v>
      </c>
      <c r="C72" s="14"/>
      <c r="D72" s="2">
        <f>SUM(OSRRefD22_5x_0)</f>
        <v>-0.67</v>
      </c>
      <c r="E72" s="2"/>
      <c r="F72" s="6">
        <f t="shared" si="12"/>
        <v>-1.2142763301821776E-6</v>
      </c>
      <c r="G72" s="2"/>
      <c r="H72" s="2">
        <f>SUM(OSRRefH22_5x_0)</f>
        <v>0</v>
      </c>
      <c r="I72" s="2"/>
      <c r="J72" s="6">
        <f t="shared" si="13"/>
        <v>0</v>
      </c>
      <c r="K72" s="2"/>
      <c r="L72" s="2">
        <f t="shared" si="14"/>
        <v>-0.67</v>
      </c>
      <c r="M72" s="2"/>
      <c r="N72" s="6">
        <f t="shared" si="15"/>
        <v>0</v>
      </c>
      <c r="O72" s="14"/>
      <c r="P72" s="2">
        <f>SUM(OSRRefP22_5x_0)</f>
        <v>-0.67</v>
      </c>
      <c r="Q72" s="2"/>
      <c r="R72" s="6">
        <f t="shared" si="16"/>
        <v>-1.929593677107439E-7</v>
      </c>
      <c r="S72" s="2"/>
      <c r="T72" s="2">
        <f>SUM(OSRRefT22_5x_0)</f>
        <v>0</v>
      </c>
      <c r="U72" s="2"/>
      <c r="V72" s="6">
        <f t="shared" si="17"/>
        <v>0</v>
      </c>
      <c r="W72" s="2"/>
      <c r="X72" s="2">
        <f t="shared" si="18"/>
        <v>-0.67</v>
      </c>
      <c r="Y72" s="2"/>
      <c r="Z72" s="6">
        <f t="shared" si="19"/>
        <v>0</v>
      </c>
    </row>
    <row r="73" spans="1:26" s="70" customFormat="1" ht="15" hidden="1" customHeight="1" outlineLevel="2" x14ac:dyDescent="0.3">
      <c r="A73" s="26"/>
      <c r="B73" s="12" t="str">
        <f>CONCATENATE("          ","6382"," - ","DISCOUNTS/MARK DOWNS")</f>
        <v xml:space="preserve">          6382 - DISCOUNTS/MARK DOWNS</v>
      </c>
      <c r="C73" s="12"/>
      <c r="D73" s="7"/>
      <c r="E73" s="3"/>
      <c r="F73" s="8">
        <f t="shared" si="12"/>
        <v>0</v>
      </c>
      <c r="G73" s="3"/>
      <c r="H73" s="7"/>
      <c r="I73" s="3"/>
      <c r="J73" s="8">
        <f t="shared" si="13"/>
        <v>0</v>
      </c>
      <c r="K73" s="3"/>
      <c r="L73" s="7">
        <f t="shared" si="14"/>
        <v>0</v>
      </c>
      <c r="M73" s="3"/>
      <c r="N73" s="8">
        <f t="shared" si="15"/>
        <v>0</v>
      </c>
      <c r="O73" s="12"/>
      <c r="P73" s="7"/>
      <c r="Q73" s="3"/>
      <c r="R73" s="8">
        <f t="shared" si="16"/>
        <v>0</v>
      </c>
      <c r="S73" s="3"/>
      <c r="T73" s="7">
        <v>0</v>
      </c>
      <c r="U73" s="3"/>
      <c r="V73" s="8">
        <f t="shared" si="17"/>
        <v>0</v>
      </c>
      <c r="W73" s="3"/>
      <c r="X73" s="7">
        <f t="shared" si="18"/>
        <v>0</v>
      </c>
      <c r="Y73" s="3"/>
      <c r="Z73" s="8">
        <f t="shared" si="19"/>
        <v>0</v>
      </c>
    </row>
    <row r="74" spans="1:26" s="70" customFormat="1" ht="15" hidden="1" customHeight="1" outlineLevel="2" x14ac:dyDescent="0.3">
      <c r="A74" s="26"/>
      <c r="B74" s="12" t="str">
        <f>CONCATENATE("          ","9175"," - ","EARNED DISCOUNTS")</f>
        <v xml:space="preserve">          9175 - EARNED DISCOUNTS</v>
      </c>
      <c r="C74" s="12"/>
      <c r="D74" s="7">
        <v>-0.67</v>
      </c>
      <c r="E74" s="3"/>
      <c r="F74" s="8">
        <f t="shared" si="12"/>
        <v>-1.2142763301821776E-6</v>
      </c>
      <c r="G74" s="3"/>
      <c r="H74" s="7"/>
      <c r="I74" s="3"/>
      <c r="J74" s="8">
        <f t="shared" si="13"/>
        <v>0</v>
      </c>
      <c r="K74" s="3"/>
      <c r="L74" s="7">
        <f t="shared" si="14"/>
        <v>-0.67</v>
      </c>
      <c r="M74" s="3"/>
      <c r="N74" s="8">
        <f t="shared" si="15"/>
        <v>0</v>
      </c>
      <c r="O74" s="12"/>
      <c r="P74" s="7">
        <v>-0.67</v>
      </c>
      <c r="Q74" s="3"/>
      <c r="R74" s="8">
        <f t="shared" si="16"/>
        <v>-1.929593677107439E-7</v>
      </c>
      <c r="S74" s="3"/>
      <c r="T74" s="7"/>
      <c r="U74" s="3"/>
      <c r="V74" s="8">
        <f t="shared" si="17"/>
        <v>0</v>
      </c>
      <c r="W74" s="3"/>
      <c r="X74" s="7">
        <f t="shared" si="18"/>
        <v>-0.67</v>
      </c>
      <c r="Y74" s="3"/>
      <c r="Z74" s="8">
        <f t="shared" si="19"/>
        <v>0</v>
      </c>
    </row>
    <row r="75" spans="1:26" s="69" customFormat="1" ht="15" customHeight="1" outlineLevel="1" collapsed="1" x14ac:dyDescent="0.3">
      <c r="A75" s="25"/>
      <c r="B75" s="14" t="str">
        <f>CONCATENATE("     ","Employees' Appreciation                           ")</f>
        <v xml:space="preserve">     Employees' Appreciation                           </v>
      </c>
      <c r="C75" s="14"/>
      <c r="D75" s="2">
        <f>SUM(OSRRefD22_6x_0)</f>
        <v>74.69</v>
      </c>
      <c r="E75" s="2"/>
      <c r="F75" s="6">
        <f t="shared" si="12"/>
        <v>1.3536462552433856E-4</v>
      </c>
      <c r="G75" s="2"/>
      <c r="H75" s="2">
        <f>SUM(OSRRefH22_6x_0)</f>
        <v>75</v>
      </c>
      <c r="I75" s="2"/>
      <c r="J75" s="6">
        <f t="shared" si="13"/>
        <v>2.5439078494820605E-4</v>
      </c>
      <c r="K75" s="2"/>
      <c r="L75" s="2">
        <f t="shared" si="14"/>
        <v>-0.31000000000000227</v>
      </c>
      <c r="M75" s="2"/>
      <c r="N75" s="6">
        <f t="shared" si="15"/>
        <v>-4.1333333333333638E-3</v>
      </c>
      <c r="O75" s="14"/>
      <c r="P75" s="2">
        <f>SUM(OSRRefP22_6x_0)</f>
        <v>291.13</v>
      </c>
      <c r="Q75" s="2"/>
      <c r="R75" s="6">
        <f t="shared" si="16"/>
        <v>8.3845165256162481E-5</v>
      </c>
      <c r="S75" s="2"/>
      <c r="T75" s="2">
        <f>SUM(OSRRefT22_6x_0)</f>
        <v>675</v>
      </c>
      <c r="U75" s="2"/>
      <c r="V75" s="6">
        <f t="shared" si="17"/>
        <v>2.3532832484931144E-4</v>
      </c>
      <c r="W75" s="2"/>
      <c r="X75" s="2">
        <f t="shared" si="18"/>
        <v>-383.87</v>
      </c>
      <c r="Y75" s="2"/>
      <c r="Z75" s="6">
        <f t="shared" si="19"/>
        <v>-0.56869629629629626</v>
      </c>
    </row>
    <row r="76" spans="1:26" s="70" customFormat="1" ht="15" hidden="1" customHeight="1" outlineLevel="2" x14ac:dyDescent="0.3">
      <c r="A76" s="26"/>
      <c r="B76" s="12" t="str">
        <f>CONCATENATE("          ","6277"," - ","EMPLOYEE APPRECIATION")</f>
        <v xml:space="preserve">          6277 - EMPLOYEE APPRECIATION</v>
      </c>
      <c r="C76" s="12"/>
      <c r="D76" s="7">
        <v>74.69</v>
      </c>
      <c r="E76" s="3"/>
      <c r="F76" s="8">
        <f t="shared" ref="F76:F107" si="20">IF(D$12=0,0,D76/D$12)</f>
        <v>1.3536462552433856E-4</v>
      </c>
      <c r="G76" s="3"/>
      <c r="H76" s="7">
        <v>75</v>
      </c>
      <c r="I76" s="3"/>
      <c r="J76" s="8">
        <f t="shared" ref="J76:J107" si="21">IF(H$12=0,0,H76/H$12)</f>
        <v>2.5439078494820605E-4</v>
      </c>
      <c r="K76" s="3"/>
      <c r="L76" s="7">
        <f t="shared" ref="L76:L107" si="22">+D76-H76</f>
        <v>-0.31000000000000227</v>
      </c>
      <c r="M76" s="3"/>
      <c r="N76" s="8">
        <f t="shared" ref="N76:N107" si="23">IF(H76=0,0,L76/H76)</f>
        <v>-4.1333333333333638E-3</v>
      </c>
      <c r="O76" s="12"/>
      <c r="P76" s="7">
        <v>291.13</v>
      </c>
      <c r="Q76" s="3"/>
      <c r="R76" s="8">
        <f t="shared" ref="R76:R107" si="24">IF(P$12=0,0,P76/P$12)</f>
        <v>8.3845165256162481E-5</v>
      </c>
      <c r="S76" s="3"/>
      <c r="T76" s="7">
        <v>675</v>
      </c>
      <c r="U76" s="3"/>
      <c r="V76" s="8">
        <f t="shared" ref="V76:V107" si="25">IF(T$12=0,0,T76/T$12)</f>
        <v>2.3532832484931144E-4</v>
      </c>
      <c r="W76" s="3"/>
      <c r="X76" s="7">
        <f t="shared" ref="X76:X107" si="26">+P76-T76</f>
        <v>-383.87</v>
      </c>
      <c r="Y76" s="3"/>
      <c r="Z76" s="8">
        <f t="shared" ref="Z76:Z107" si="27">IF(T76=0,0,X76/T76)</f>
        <v>-0.56869629629629626</v>
      </c>
    </row>
    <row r="77" spans="1:26" s="69" customFormat="1" ht="15" customHeight="1" outlineLevel="1" collapsed="1" x14ac:dyDescent="0.3">
      <c r="A77" s="25"/>
      <c r="B77" s="14" t="str">
        <f>CONCATENATE("     ","Equipment Rental                                  ")</f>
        <v xml:space="preserve">     Equipment Rental                                  </v>
      </c>
      <c r="C77" s="14"/>
      <c r="D77" s="2">
        <f>SUM(OSRRefD22_7x_0)</f>
        <v>0</v>
      </c>
      <c r="E77" s="2"/>
      <c r="F77" s="6">
        <f t="shared" si="20"/>
        <v>0</v>
      </c>
      <c r="G77" s="2"/>
      <c r="H77" s="2">
        <f>SUM(OSRRefH22_7x_0)</f>
        <v>0</v>
      </c>
      <c r="I77" s="2"/>
      <c r="J77" s="6">
        <f t="shared" si="21"/>
        <v>0</v>
      </c>
      <c r="K77" s="2"/>
      <c r="L77" s="2">
        <f t="shared" si="22"/>
        <v>0</v>
      </c>
      <c r="M77" s="2"/>
      <c r="N77" s="6">
        <f t="shared" si="23"/>
        <v>0</v>
      </c>
      <c r="O77" s="14"/>
      <c r="P77" s="2">
        <f>SUM(OSRRefP22_7x_0)</f>
        <v>118.91</v>
      </c>
      <c r="Q77" s="2"/>
      <c r="R77" s="6">
        <f t="shared" si="24"/>
        <v>3.4245967782812766E-5</v>
      </c>
      <c r="S77" s="2"/>
      <c r="T77" s="2">
        <f>SUM(OSRRefT22_7x_0)</f>
        <v>0</v>
      </c>
      <c r="U77" s="2"/>
      <c r="V77" s="6">
        <f t="shared" si="25"/>
        <v>0</v>
      </c>
      <c r="W77" s="2"/>
      <c r="X77" s="2">
        <f t="shared" si="26"/>
        <v>118.91</v>
      </c>
      <c r="Y77" s="2"/>
      <c r="Z77" s="6">
        <f t="shared" si="27"/>
        <v>0</v>
      </c>
    </row>
    <row r="78" spans="1:26" s="70" customFormat="1" ht="15" hidden="1" customHeight="1" outlineLevel="2" x14ac:dyDescent="0.3">
      <c r="A78" s="26"/>
      <c r="B78" s="12" t="str">
        <f>CONCATENATE("          ","6351"," - ","EQUIPMENT RENTAL")</f>
        <v xml:space="preserve">          6351 - EQUIPMENT RENTAL</v>
      </c>
      <c r="C78" s="12"/>
      <c r="D78" s="7"/>
      <c r="E78" s="3"/>
      <c r="F78" s="8">
        <f t="shared" si="20"/>
        <v>0</v>
      </c>
      <c r="G78" s="3"/>
      <c r="H78" s="7"/>
      <c r="I78" s="3"/>
      <c r="J78" s="8">
        <f t="shared" si="21"/>
        <v>0</v>
      </c>
      <c r="K78" s="3"/>
      <c r="L78" s="7">
        <f t="shared" si="22"/>
        <v>0</v>
      </c>
      <c r="M78" s="3"/>
      <c r="N78" s="8">
        <f t="shared" si="23"/>
        <v>0</v>
      </c>
      <c r="O78" s="12"/>
      <c r="P78" s="7">
        <v>118.91</v>
      </c>
      <c r="Q78" s="3"/>
      <c r="R78" s="8">
        <f t="shared" si="24"/>
        <v>3.4245967782812766E-5</v>
      </c>
      <c r="S78" s="3"/>
      <c r="T78" s="7"/>
      <c r="U78" s="3"/>
      <c r="V78" s="8">
        <f t="shared" si="25"/>
        <v>0</v>
      </c>
      <c r="W78" s="3"/>
      <c r="X78" s="7">
        <f t="shared" si="26"/>
        <v>118.91</v>
      </c>
      <c r="Y78" s="3"/>
      <c r="Z78" s="8">
        <f t="shared" si="27"/>
        <v>0</v>
      </c>
    </row>
    <row r="79" spans="1:26" s="69" customFormat="1" ht="15" customHeight="1" outlineLevel="1" collapsed="1" x14ac:dyDescent="0.3">
      <c r="A79" s="25"/>
      <c r="B79" s="14" t="str">
        <f>CONCATENATE("     ","Freight out/Postage                               ")</f>
        <v xml:space="preserve">     Freight out/Postage                               </v>
      </c>
      <c r="C79" s="14"/>
      <c r="D79" s="2">
        <f>SUM(OSRRefD22_8x_0)</f>
        <v>0</v>
      </c>
      <c r="E79" s="2"/>
      <c r="F79" s="6">
        <f t="shared" si="20"/>
        <v>0</v>
      </c>
      <c r="G79" s="2"/>
      <c r="H79" s="2">
        <f>SUM(OSRRefH22_8x_0)</f>
        <v>50</v>
      </c>
      <c r="I79" s="2"/>
      <c r="J79" s="6">
        <f t="shared" si="21"/>
        <v>1.6959385663213735E-4</v>
      </c>
      <c r="K79" s="2"/>
      <c r="L79" s="2">
        <f t="shared" si="22"/>
        <v>-50</v>
      </c>
      <c r="M79" s="2"/>
      <c r="N79" s="6">
        <f t="shared" si="23"/>
        <v>-1</v>
      </c>
      <c r="O79" s="14"/>
      <c r="P79" s="2">
        <f>SUM(OSRRefP22_8x_0)</f>
        <v>983.79</v>
      </c>
      <c r="Q79" s="2"/>
      <c r="R79" s="6">
        <f t="shared" si="24"/>
        <v>2.8333059158231746E-4</v>
      </c>
      <c r="S79" s="2"/>
      <c r="T79" s="2">
        <f>SUM(OSRRefT22_8x_0)</f>
        <v>450</v>
      </c>
      <c r="U79" s="2"/>
      <c r="V79" s="6">
        <f t="shared" si="25"/>
        <v>1.5688554989954094E-4</v>
      </c>
      <c r="W79" s="2"/>
      <c r="X79" s="2">
        <f t="shared" si="26"/>
        <v>533.79</v>
      </c>
      <c r="Y79" s="2"/>
      <c r="Z79" s="6">
        <f t="shared" si="27"/>
        <v>1.1861999999999999</v>
      </c>
    </row>
    <row r="80" spans="1:26" s="70" customFormat="1" ht="15" hidden="1" customHeight="1" outlineLevel="2" x14ac:dyDescent="0.3">
      <c r="A80" s="26"/>
      <c r="B80" s="12" t="str">
        <f>CONCATENATE("          ","6305"," - ","FREIGHT OUT")</f>
        <v xml:space="preserve">          6305 - FREIGHT OUT</v>
      </c>
      <c r="C80" s="12"/>
      <c r="D80" s="7"/>
      <c r="E80" s="3"/>
      <c r="F80" s="8">
        <f t="shared" si="20"/>
        <v>0</v>
      </c>
      <c r="G80" s="3"/>
      <c r="H80" s="7">
        <v>50</v>
      </c>
      <c r="I80" s="3"/>
      <c r="J80" s="8">
        <f t="shared" si="21"/>
        <v>1.6959385663213735E-4</v>
      </c>
      <c r="K80" s="3"/>
      <c r="L80" s="7">
        <f t="shared" si="22"/>
        <v>-50</v>
      </c>
      <c r="M80" s="3"/>
      <c r="N80" s="8">
        <f t="shared" si="23"/>
        <v>-1</v>
      </c>
      <c r="O80" s="12"/>
      <c r="P80" s="7">
        <v>893.87</v>
      </c>
      <c r="Q80" s="3"/>
      <c r="R80" s="8">
        <f t="shared" si="24"/>
        <v>2.5743371644119798E-4</v>
      </c>
      <c r="S80" s="3"/>
      <c r="T80" s="7">
        <v>450</v>
      </c>
      <c r="U80" s="3"/>
      <c r="V80" s="8">
        <f t="shared" si="25"/>
        <v>1.5688554989954094E-4</v>
      </c>
      <c r="W80" s="3"/>
      <c r="X80" s="7">
        <f t="shared" si="26"/>
        <v>443.87</v>
      </c>
      <c r="Y80" s="3"/>
      <c r="Z80" s="8">
        <f t="shared" si="27"/>
        <v>0.9863777777777778</v>
      </c>
    </row>
    <row r="81" spans="1:26" s="70" customFormat="1" ht="15" hidden="1" customHeight="1" outlineLevel="2" x14ac:dyDescent="0.3">
      <c r="A81" s="26"/>
      <c r="B81" s="12" t="str">
        <f>CONCATENATE("          ","6307"," - ","POSTAGE")</f>
        <v xml:space="preserve">          6307 - POSTAGE</v>
      </c>
      <c r="C81" s="12"/>
      <c r="D81" s="7"/>
      <c r="E81" s="3"/>
      <c r="F81" s="8">
        <f t="shared" si="20"/>
        <v>0</v>
      </c>
      <c r="G81" s="3"/>
      <c r="H81" s="7"/>
      <c r="I81" s="3"/>
      <c r="J81" s="8">
        <f t="shared" si="21"/>
        <v>0</v>
      </c>
      <c r="K81" s="3"/>
      <c r="L81" s="7">
        <f t="shared" si="22"/>
        <v>0</v>
      </c>
      <c r="M81" s="3"/>
      <c r="N81" s="8">
        <f t="shared" si="23"/>
        <v>0</v>
      </c>
      <c r="O81" s="12"/>
      <c r="P81" s="7">
        <v>89.92</v>
      </c>
      <c r="Q81" s="3"/>
      <c r="R81" s="8">
        <f t="shared" si="24"/>
        <v>2.5896875141119539E-5</v>
      </c>
      <c r="S81" s="3"/>
      <c r="T81" s="7"/>
      <c r="U81" s="3"/>
      <c r="V81" s="8">
        <f t="shared" si="25"/>
        <v>0</v>
      </c>
      <c r="W81" s="3"/>
      <c r="X81" s="7">
        <f t="shared" si="26"/>
        <v>89.92</v>
      </c>
      <c r="Y81" s="3"/>
      <c r="Z81" s="8">
        <f t="shared" si="27"/>
        <v>0</v>
      </c>
    </row>
    <row r="82" spans="1:26" s="69" customFormat="1" ht="15" customHeight="1" outlineLevel="1" collapsed="1" x14ac:dyDescent="0.3">
      <c r="A82" s="25"/>
      <c r="B82" s="14" t="str">
        <f>CONCATENATE("     ","General                                           ")</f>
        <v xml:space="preserve">     General                                           </v>
      </c>
      <c r="C82" s="14"/>
      <c r="D82" s="2">
        <f>SUM(OSRRefD22_9x_0)</f>
        <v>119.1</v>
      </c>
      <c r="E82" s="2"/>
      <c r="F82" s="6">
        <f t="shared" si="20"/>
        <v>2.1585121033536916E-4</v>
      </c>
      <c r="G82" s="2"/>
      <c r="H82" s="2">
        <f>SUM(OSRRefH22_9x_0)</f>
        <v>0</v>
      </c>
      <c r="I82" s="2"/>
      <c r="J82" s="6">
        <f t="shared" si="21"/>
        <v>0</v>
      </c>
      <c r="K82" s="2"/>
      <c r="L82" s="2">
        <f t="shared" si="22"/>
        <v>119.1</v>
      </c>
      <c r="M82" s="2"/>
      <c r="N82" s="6">
        <f t="shared" si="23"/>
        <v>0</v>
      </c>
      <c r="O82" s="14"/>
      <c r="P82" s="2">
        <f>SUM(OSRRefP22_9x_0)</f>
        <v>2959.34</v>
      </c>
      <c r="Q82" s="2"/>
      <c r="R82" s="6">
        <f t="shared" si="24"/>
        <v>8.5228712722554148E-4</v>
      </c>
      <c r="S82" s="2"/>
      <c r="T82" s="2">
        <f>SUM(OSRRefT22_9x_0)</f>
        <v>1250</v>
      </c>
      <c r="U82" s="2"/>
      <c r="V82" s="6">
        <f t="shared" si="25"/>
        <v>4.3579319416539152E-4</v>
      </c>
      <c r="W82" s="2"/>
      <c r="X82" s="2">
        <f t="shared" si="26"/>
        <v>1709.3400000000001</v>
      </c>
      <c r="Y82" s="2"/>
      <c r="Z82" s="6">
        <f t="shared" si="27"/>
        <v>1.367472</v>
      </c>
    </row>
    <row r="83" spans="1:26" s="70" customFormat="1" ht="15" hidden="1" customHeight="1" outlineLevel="2" x14ac:dyDescent="0.3">
      <c r="A83" s="26"/>
      <c r="B83" s="12" t="str">
        <f>CONCATENATE("          ","6276"," - ","PROPERTY TAX")</f>
        <v xml:space="preserve">          6276 - PROPERTY TAX</v>
      </c>
      <c r="C83" s="12"/>
      <c r="D83" s="7"/>
      <c r="E83" s="3"/>
      <c r="F83" s="8">
        <f t="shared" si="20"/>
        <v>0</v>
      </c>
      <c r="G83" s="3"/>
      <c r="H83" s="7"/>
      <c r="I83" s="3"/>
      <c r="J83" s="8">
        <f t="shared" si="21"/>
        <v>0</v>
      </c>
      <c r="K83" s="3"/>
      <c r="L83" s="7">
        <f t="shared" si="22"/>
        <v>0</v>
      </c>
      <c r="M83" s="3"/>
      <c r="N83" s="8">
        <f t="shared" si="23"/>
        <v>0</v>
      </c>
      <c r="O83" s="12"/>
      <c r="P83" s="7"/>
      <c r="Q83" s="3"/>
      <c r="R83" s="8">
        <f t="shared" si="24"/>
        <v>0</v>
      </c>
      <c r="S83" s="3"/>
      <c r="T83" s="7">
        <v>1250</v>
      </c>
      <c r="U83" s="3"/>
      <c r="V83" s="8">
        <f t="shared" si="25"/>
        <v>4.3579319416539152E-4</v>
      </c>
      <c r="W83" s="3"/>
      <c r="X83" s="7">
        <f t="shared" si="26"/>
        <v>-1250</v>
      </c>
      <c r="Y83" s="3"/>
      <c r="Z83" s="8">
        <f t="shared" si="27"/>
        <v>-1</v>
      </c>
    </row>
    <row r="84" spans="1:26" s="70" customFormat="1" ht="15" hidden="1" customHeight="1" outlineLevel="2" x14ac:dyDescent="0.3">
      <c r="A84" s="26"/>
      <c r="B84" s="12" t="str">
        <f>CONCATENATE("          ","6279"," - ","GENERAL EXPENSE")</f>
        <v xml:space="preserve">          6279 - GENERAL EXPENSE</v>
      </c>
      <c r="C84" s="12"/>
      <c r="D84" s="7">
        <v>119.1</v>
      </c>
      <c r="E84" s="3"/>
      <c r="F84" s="8">
        <f t="shared" si="20"/>
        <v>2.1585121033536916E-4</v>
      </c>
      <c r="G84" s="3"/>
      <c r="H84" s="7">
        <v>0</v>
      </c>
      <c r="I84" s="3"/>
      <c r="J84" s="8">
        <f t="shared" si="21"/>
        <v>0</v>
      </c>
      <c r="K84" s="3"/>
      <c r="L84" s="7">
        <f t="shared" si="22"/>
        <v>119.1</v>
      </c>
      <c r="M84" s="3"/>
      <c r="N84" s="8">
        <f t="shared" si="23"/>
        <v>0</v>
      </c>
      <c r="O84" s="12"/>
      <c r="P84" s="7">
        <v>2959.34</v>
      </c>
      <c r="Q84" s="3"/>
      <c r="R84" s="8">
        <f t="shared" si="24"/>
        <v>8.5228712722554148E-4</v>
      </c>
      <c r="S84" s="3"/>
      <c r="T84" s="7">
        <v>0</v>
      </c>
      <c r="U84" s="3"/>
      <c r="V84" s="8">
        <f t="shared" si="25"/>
        <v>0</v>
      </c>
      <c r="W84" s="3"/>
      <c r="X84" s="7">
        <f t="shared" si="26"/>
        <v>2959.34</v>
      </c>
      <c r="Y84" s="3"/>
      <c r="Z84" s="8">
        <f t="shared" si="27"/>
        <v>0</v>
      </c>
    </row>
    <row r="85" spans="1:26" s="69" customFormat="1" ht="15" customHeight="1" outlineLevel="1" collapsed="1" x14ac:dyDescent="0.3">
      <c r="A85" s="25"/>
      <c r="B85" s="14" t="str">
        <f>CONCATENATE("     ","Insurance                                         ")</f>
        <v xml:space="preserve">     Insurance                                         </v>
      </c>
      <c r="C85" s="14"/>
      <c r="D85" s="2">
        <f>SUM(OSRRefD22_10x_0)</f>
        <v>219.08</v>
      </c>
      <c r="E85" s="2"/>
      <c r="F85" s="6">
        <f t="shared" si="20"/>
        <v>3.9705023644225594E-4</v>
      </c>
      <c r="G85" s="2"/>
      <c r="H85" s="2">
        <f>SUM(OSRRefH22_10x_0)</f>
        <v>175</v>
      </c>
      <c r="I85" s="2"/>
      <c r="J85" s="6">
        <f t="shared" si="21"/>
        <v>5.935784982124807E-4</v>
      </c>
      <c r="K85" s="2"/>
      <c r="L85" s="2">
        <f t="shared" si="22"/>
        <v>44.080000000000013</v>
      </c>
      <c r="M85" s="2"/>
      <c r="N85" s="6">
        <f t="shared" si="23"/>
        <v>0.25188571428571438</v>
      </c>
      <c r="O85" s="14"/>
      <c r="P85" s="2">
        <f>SUM(OSRRefP22_10x_0)</f>
        <v>1971.72</v>
      </c>
      <c r="Q85" s="2"/>
      <c r="R85" s="6">
        <f t="shared" si="24"/>
        <v>5.6785349925765366E-4</v>
      </c>
      <c r="S85" s="2"/>
      <c r="T85" s="2">
        <f>SUM(OSRRefT22_10x_0)</f>
        <v>1575</v>
      </c>
      <c r="U85" s="2"/>
      <c r="V85" s="6">
        <f t="shared" si="25"/>
        <v>5.4909942464839332E-4</v>
      </c>
      <c r="W85" s="2"/>
      <c r="X85" s="2">
        <f t="shared" si="26"/>
        <v>396.72</v>
      </c>
      <c r="Y85" s="2"/>
      <c r="Z85" s="6">
        <f t="shared" si="27"/>
        <v>0.25188571428571432</v>
      </c>
    </row>
    <row r="86" spans="1:26" s="70" customFormat="1" ht="15" hidden="1" customHeight="1" outlineLevel="2" x14ac:dyDescent="0.3">
      <c r="A86" s="26"/>
      <c r="B86" s="12" t="str">
        <f>CONCATENATE("          ","6314"," - ","LIABILITY INSURANCE")</f>
        <v xml:space="preserve">          6314 - LIABILITY INSURANCE</v>
      </c>
      <c r="C86" s="12"/>
      <c r="D86" s="7">
        <v>219.08</v>
      </c>
      <c r="E86" s="3"/>
      <c r="F86" s="8">
        <f t="shared" si="20"/>
        <v>3.9705023644225594E-4</v>
      </c>
      <c r="G86" s="3"/>
      <c r="H86" s="7">
        <v>175</v>
      </c>
      <c r="I86" s="3"/>
      <c r="J86" s="8">
        <f t="shared" si="21"/>
        <v>5.935784982124807E-4</v>
      </c>
      <c r="K86" s="3"/>
      <c r="L86" s="7">
        <f t="shared" si="22"/>
        <v>44.080000000000013</v>
      </c>
      <c r="M86" s="3"/>
      <c r="N86" s="8">
        <f t="shared" si="23"/>
        <v>0.25188571428571438</v>
      </c>
      <c r="O86" s="12"/>
      <c r="P86" s="7">
        <v>1971.72</v>
      </c>
      <c r="Q86" s="3"/>
      <c r="R86" s="8">
        <f t="shared" si="24"/>
        <v>5.6785349925765366E-4</v>
      </c>
      <c r="S86" s="3"/>
      <c r="T86" s="7">
        <v>1575</v>
      </c>
      <c r="U86" s="3"/>
      <c r="V86" s="8">
        <f t="shared" si="25"/>
        <v>5.4909942464839332E-4</v>
      </c>
      <c r="W86" s="3"/>
      <c r="X86" s="7">
        <f t="shared" si="26"/>
        <v>396.72</v>
      </c>
      <c r="Y86" s="3"/>
      <c r="Z86" s="8">
        <f t="shared" si="27"/>
        <v>0.25188571428571432</v>
      </c>
    </row>
    <row r="87" spans="1:26" s="69" customFormat="1" ht="15" customHeight="1" outlineLevel="1" collapsed="1" x14ac:dyDescent="0.3">
      <c r="A87" s="25"/>
      <c r="B87" s="14" t="str">
        <f>CONCATENATE("     ","Inventory Adjustment                              ")</f>
        <v xml:space="preserve">     Inventory Adjustment                              </v>
      </c>
      <c r="C87" s="14"/>
      <c r="D87" s="2">
        <f>SUM(OSRRefD22_11x_0)</f>
        <v>4100</v>
      </c>
      <c r="E87" s="2"/>
      <c r="F87" s="6">
        <f t="shared" si="20"/>
        <v>7.4306461996222805E-3</v>
      </c>
      <c r="G87" s="2"/>
      <c r="H87" s="2">
        <f>SUM(OSRRefH22_11x_0)</f>
        <v>4100</v>
      </c>
      <c r="I87" s="2"/>
      <c r="J87" s="6">
        <f t="shared" si="21"/>
        <v>1.3906696243835264E-2</v>
      </c>
      <c r="K87" s="2"/>
      <c r="L87" s="2">
        <f t="shared" si="22"/>
        <v>0</v>
      </c>
      <c r="M87" s="2"/>
      <c r="N87" s="6">
        <f t="shared" si="23"/>
        <v>0</v>
      </c>
      <c r="O87" s="14"/>
      <c r="P87" s="2">
        <f>SUM(OSRRefP22_11x_0)</f>
        <v>36900</v>
      </c>
      <c r="Q87" s="2"/>
      <c r="R87" s="6">
        <f t="shared" si="24"/>
        <v>1.0627165176905148E-2</v>
      </c>
      <c r="S87" s="2"/>
      <c r="T87" s="2">
        <f>SUM(OSRRefT22_11x_0)</f>
        <v>36900</v>
      </c>
      <c r="U87" s="2"/>
      <c r="V87" s="6">
        <f t="shared" si="25"/>
        <v>1.2864615091762358E-2</v>
      </c>
      <c r="W87" s="2"/>
      <c r="X87" s="2">
        <f t="shared" si="26"/>
        <v>0</v>
      </c>
      <c r="Y87" s="2"/>
      <c r="Z87" s="6">
        <f t="shared" si="27"/>
        <v>0</v>
      </c>
    </row>
    <row r="88" spans="1:26" s="70" customFormat="1" ht="15" hidden="1" customHeight="1" outlineLevel="2" x14ac:dyDescent="0.3">
      <c r="A88" s="26"/>
      <c r="B88" s="12" t="str">
        <f>CONCATENATE("          ","6408"," - ","INVENTORY ADJUSTMENT")</f>
        <v xml:space="preserve">          6408 - INVENTORY ADJUSTMENT</v>
      </c>
      <c r="C88" s="12"/>
      <c r="D88" s="7">
        <v>4100</v>
      </c>
      <c r="E88" s="3"/>
      <c r="F88" s="8">
        <f t="shared" si="20"/>
        <v>7.4306461996222805E-3</v>
      </c>
      <c r="G88" s="3"/>
      <c r="H88" s="7">
        <v>4100</v>
      </c>
      <c r="I88" s="3"/>
      <c r="J88" s="8">
        <f t="shared" si="21"/>
        <v>1.3906696243835264E-2</v>
      </c>
      <c r="K88" s="3"/>
      <c r="L88" s="7">
        <f t="shared" si="22"/>
        <v>0</v>
      </c>
      <c r="M88" s="3"/>
      <c r="N88" s="8">
        <f t="shared" si="23"/>
        <v>0</v>
      </c>
      <c r="O88" s="12"/>
      <c r="P88" s="7">
        <v>36900</v>
      </c>
      <c r="Q88" s="3"/>
      <c r="R88" s="8">
        <f t="shared" si="24"/>
        <v>1.0627165176905148E-2</v>
      </c>
      <c r="S88" s="3"/>
      <c r="T88" s="7">
        <v>36900</v>
      </c>
      <c r="U88" s="3"/>
      <c r="V88" s="8">
        <f t="shared" si="25"/>
        <v>1.2864615091762358E-2</v>
      </c>
      <c r="W88" s="3"/>
      <c r="X88" s="7">
        <f t="shared" si="26"/>
        <v>0</v>
      </c>
      <c r="Y88" s="3"/>
      <c r="Z88" s="8">
        <f t="shared" si="27"/>
        <v>0</v>
      </c>
    </row>
    <row r="89" spans="1:26" s="69" customFormat="1" ht="15" customHeight="1" outlineLevel="1" collapsed="1" x14ac:dyDescent="0.3">
      <c r="A89" s="25"/>
      <c r="B89" s="14" t="str">
        <f>CONCATENATE("     ","Professional Services                             ")</f>
        <v xml:space="preserve">     Professional Services                             </v>
      </c>
      <c r="C89" s="14"/>
      <c r="D89" s="2">
        <f>SUM(OSRRefD22_12x_0)</f>
        <v>1050</v>
      </c>
      <c r="E89" s="2"/>
      <c r="F89" s="6">
        <f t="shared" si="20"/>
        <v>1.90297036819595E-3</v>
      </c>
      <c r="G89" s="2"/>
      <c r="H89" s="2">
        <f>SUM(OSRRefH22_12x_0)</f>
        <v>0</v>
      </c>
      <c r="I89" s="2"/>
      <c r="J89" s="6">
        <f t="shared" si="21"/>
        <v>0</v>
      </c>
      <c r="K89" s="2"/>
      <c r="L89" s="2">
        <f t="shared" si="22"/>
        <v>1050</v>
      </c>
      <c r="M89" s="2"/>
      <c r="N89" s="6">
        <f t="shared" si="23"/>
        <v>0</v>
      </c>
      <c r="O89" s="14"/>
      <c r="P89" s="2">
        <f>SUM(OSRRefP22_12x_0)</f>
        <v>2109.1</v>
      </c>
      <c r="Q89" s="2"/>
      <c r="R89" s="6">
        <f t="shared" si="24"/>
        <v>6.0741880961004467E-4</v>
      </c>
      <c r="S89" s="2"/>
      <c r="T89" s="2">
        <f>SUM(OSRRefT22_12x_0)</f>
        <v>1500</v>
      </c>
      <c r="U89" s="2"/>
      <c r="V89" s="6">
        <f t="shared" si="25"/>
        <v>5.229518329984698E-4</v>
      </c>
      <c r="W89" s="2"/>
      <c r="X89" s="2">
        <f t="shared" si="26"/>
        <v>609.09999999999991</v>
      </c>
      <c r="Y89" s="2"/>
      <c r="Z89" s="6">
        <f t="shared" si="27"/>
        <v>0.40606666666666663</v>
      </c>
    </row>
    <row r="90" spans="1:26" s="70" customFormat="1" ht="15" hidden="1" customHeight="1" outlineLevel="2" x14ac:dyDescent="0.3">
      <c r="A90" s="26"/>
      <c r="B90" s="12" t="str">
        <f>CONCATENATE("          ","6336"," - ","PROFESSIONAL SERVICES")</f>
        <v xml:space="preserve">          6336 - PROFESSIONAL SERVICES</v>
      </c>
      <c r="C90" s="12"/>
      <c r="D90" s="7">
        <v>1050</v>
      </c>
      <c r="E90" s="3"/>
      <c r="F90" s="8">
        <f t="shared" si="20"/>
        <v>1.90297036819595E-3</v>
      </c>
      <c r="G90" s="3"/>
      <c r="H90" s="7">
        <v>0</v>
      </c>
      <c r="I90" s="3"/>
      <c r="J90" s="8">
        <f t="shared" si="21"/>
        <v>0</v>
      </c>
      <c r="K90" s="3"/>
      <c r="L90" s="7">
        <f t="shared" si="22"/>
        <v>1050</v>
      </c>
      <c r="M90" s="3"/>
      <c r="N90" s="8">
        <f t="shared" si="23"/>
        <v>0</v>
      </c>
      <c r="O90" s="12"/>
      <c r="P90" s="7">
        <v>2109.1</v>
      </c>
      <c r="Q90" s="3"/>
      <c r="R90" s="8">
        <f t="shared" si="24"/>
        <v>6.0741880961004467E-4</v>
      </c>
      <c r="S90" s="3"/>
      <c r="T90" s="7">
        <v>1500</v>
      </c>
      <c r="U90" s="3"/>
      <c r="V90" s="8">
        <f t="shared" si="25"/>
        <v>5.229518329984698E-4</v>
      </c>
      <c r="W90" s="3"/>
      <c r="X90" s="7">
        <f t="shared" si="26"/>
        <v>609.09999999999991</v>
      </c>
      <c r="Y90" s="3"/>
      <c r="Z90" s="8">
        <f t="shared" si="27"/>
        <v>0.40606666666666663</v>
      </c>
    </row>
    <row r="91" spans="1:26" s="69" customFormat="1" ht="15" customHeight="1" outlineLevel="1" collapsed="1" x14ac:dyDescent="0.3">
      <c r="A91" s="25"/>
      <c r="B91" s="14" t="str">
        <f>CONCATENATE("     ","Rent                                              ")</f>
        <v xml:space="preserve">     Rent                                              </v>
      </c>
      <c r="C91" s="14"/>
      <c r="D91" s="2">
        <f>SUM(OSRRefD22_13x_0)</f>
        <v>6900</v>
      </c>
      <c r="E91" s="2"/>
      <c r="F91" s="6">
        <f t="shared" si="20"/>
        <v>1.2505233848144814E-2</v>
      </c>
      <c r="G91" s="2"/>
      <c r="H91" s="2">
        <f>SUM(OSRRefH22_13x_0)</f>
        <v>6900</v>
      </c>
      <c r="I91" s="2"/>
      <c r="J91" s="6">
        <f t="shared" si="21"/>
        <v>2.3403952215234957E-2</v>
      </c>
      <c r="K91" s="2"/>
      <c r="L91" s="2">
        <f t="shared" si="22"/>
        <v>0</v>
      </c>
      <c r="M91" s="2"/>
      <c r="N91" s="6">
        <f t="shared" si="23"/>
        <v>0</v>
      </c>
      <c r="O91" s="14"/>
      <c r="P91" s="2">
        <f>SUM(OSRRefP22_13x_0)</f>
        <v>62100</v>
      </c>
      <c r="Q91" s="2"/>
      <c r="R91" s="6">
        <f t="shared" si="24"/>
        <v>1.7884741395279395E-2</v>
      </c>
      <c r="S91" s="2"/>
      <c r="T91" s="2">
        <f>SUM(OSRRefT22_13x_0)</f>
        <v>62100</v>
      </c>
      <c r="U91" s="2"/>
      <c r="V91" s="6">
        <f t="shared" si="25"/>
        <v>2.1650205886136652E-2</v>
      </c>
      <c r="W91" s="2"/>
      <c r="X91" s="2">
        <f t="shared" si="26"/>
        <v>0</v>
      </c>
      <c r="Y91" s="2"/>
      <c r="Z91" s="6">
        <f t="shared" si="27"/>
        <v>0</v>
      </c>
    </row>
    <row r="92" spans="1:26" s="70" customFormat="1" ht="15" hidden="1" customHeight="1" outlineLevel="2" x14ac:dyDescent="0.3">
      <c r="A92" s="26"/>
      <c r="B92" s="12" t="str">
        <f>CONCATENATE("          ","6273"," - ","RENT")</f>
        <v xml:space="preserve">          6273 - RENT</v>
      </c>
      <c r="C92" s="12"/>
      <c r="D92" s="7">
        <v>6900</v>
      </c>
      <c r="E92" s="3"/>
      <c r="F92" s="8">
        <f t="shared" si="20"/>
        <v>1.2505233848144814E-2</v>
      </c>
      <c r="G92" s="3"/>
      <c r="H92" s="7">
        <v>6900</v>
      </c>
      <c r="I92" s="3"/>
      <c r="J92" s="8">
        <f t="shared" si="21"/>
        <v>2.3403952215234957E-2</v>
      </c>
      <c r="K92" s="3"/>
      <c r="L92" s="7">
        <f t="shared" si="22"/>
        <v>0</v>
      </c>
      <c r="M92" s="3"/>
      <c r="N92" s="8">
        <f t="shared" si="23"/>
        <v>0</v>
      </c>
      <c r="O92" s="12"/>
      <c r="P92" s="7">
        <v>62100</v>
      </c>
      <c r="Q92" s="3"/>
      <c r="R92" s="8">
        <f t="shared" si="24"/>
        <v>1.7884741395279395E-2</v>
      </c>
      <c r="S92" s="3"/>
      <c r="T92" s="7">
        <v>62100</v>
      </c>
      <c r="U92" s="3"/>
      <c r="V92" s="8">
        <f t="shared" si="25"/>
        <v>2.1650205886136652E-2</v>
      </c>
      <c r="W92" s="3"/>
      <c r="X92" s="7">
        <f t="shared" si="26"/>
        <v>0</v>
      </c>
      <c r="Y92" s="3"/>
      <c r="Z92" s="8">
        <f t="shared" si="27"/>
        <v>0</v>
      </c>
    </row>
    <row r="93" spans="1:26" s="69" customFormat="1" ht="15" customHeight="1" outlineLevel="1" collapsed="1" x14ac:dyDescent="0.3">
      <c r="A93" s="25"/>
      <c r="B93" s="14" t="str">
        <f>CONCATENATE("     ","Repair and Maintenance                            ")</f>
        <v xml:space="preserve">     Repair and Maintenance                            </v>
      </c>
      <c r="C93" s="14"/>
      <c r="D93" s="2">
        <f>SUM(OSRRefD22_14x_0)</f>
        <v>906.79</v>
      </c>
      <c r="E93" s="2"/>
      <c r="F93" s="6">
        <f t="shared" si="20"/>
        <v>1.6434233335013385E-3</v>
      </c>
      <c r="G93" s="2"/>
      <c r="H93" s="2">
        <f>SUM(OSRRefH22_14x_0)</f>
        <v>115</v>
      </c>
      <c r="I93" s="2"/>
      <c r="J93" s="6">
        <f t="shared" si="21"/>
        <v>3.900658702539159E-4</v>
      </c>
      <c r="K93" s="2"/>
      <c r="L93" s="2">
        <f t="shared" si="22"/>
        <v>791.79</v>
      </c>
      <c r="M93" s="2"/>
      <c r="N93" s="6">
        <f t="shared" si="23"/>
        <v>6.8851304347826083</v>
      </c>
      <c r="O93" s="14"/>
      <c r="P93" s="2">
        <f>SUM(OSRRefP22_14x_0)</f>
        <v>4281.3999999999996</v>
      </c>
      <c r="Q93" s="2"/>
      <c r="R93" s="6">
        <f t="shared" si="24"/>
        <v>1.2330391595772817E-3</v>
      </c>
      <c r="S93" s="2"/>
      <c r="T93" s="2">
        <f>SUM(OSRRefT22_14x_0)</f>
        <v>1535</v>
      </c>
      <c r="U93" s="2"/>
      <c r="V93" s="6">
        <f t="shared" si="25"/>
        <v>5.3515404243510082E-4</v>
      </c>
      <c r="W93" s="2"/>
      <c r="X93" s="2">
        <f t="shared" si="26"/>
        <v>2746.3999999999996</v>
      </c>
      <c r="Y93" s="2"/>
      <c r="Z93" s="6">
        <f t="shared" si="27"/>
        <v>1.7891856677524427</v>
      </c>
    </row>
    <row r="94" spans="1:26" s="70" customFormat="1" ht="15" hidden="1" customHeight="1" outlineLevel="2" x14ac:dyDescent="0.3">
      <c r="A94" s="26"/>
      <c r="B94" s="12" t="str">
        <f>CONCATENATE("          ","6373"," - ","MAINTENANCE CONTRACTS")</f>
        <v xml:space="preserve">          6373 - MAINTENANCE CONTRACTS</v>
      </c>
      <c r="C94" s="12"/>
      <c r="D94" s="7">
        <v>371.99</v>
      </c>
      <c r="E94" s="3"/>
      <c r="F94" s="8">
        <f t="shared" si="20"/>
        <v>6.7417709263353472E-4</v>
      </c>
      <c r="G94" s="3"/>
      <c r="H94" s="7">
        <v>115</v>
      </c>
      <c r="I94" s="3"/>
      <c r="J94" s="8">
        <f t="shared" si="21"/>
        <v>3.900658702539159E-4</v>
      </c>
      <c r="K94" s="3"/>
      <c r="L94" s="7">
        <f t="shared" si="22"/>
        <v>256.99</v>
      </c>
      <c r="M94" s="3"/>
      <c r="N94" s="8">
        <f t="shared" si="23"/>
        <v>2.234695652173913</v>
      </c>
      <c r="O94" s="12"/>
      <c r="P94" s="7">
        <v>1053.73</v>
      </c>
      <c r="Q94" s="3"/>
      <c r="R94" s="8">
        <f t="shared" si="24"/>
        <v>3.0347324557886889E-4</v>
      </c>
      <c r="S94" s="3"/>
      <c r="T94" s="7">
        <v>1035</v>
      </c>
      <c r="U94" s="3"/>
      <c r="V94" s="8">
        <f t="shared" si="25"/>
        <v>3.608367647689442E-4</v>
      </c>
      <c r="W94" s="3"/>
      <c r="X94" s="7">
        <f t="shared" si="26"/>
        <v>18.730000000000018</v>
      </c>
      <c r="Y94" s="3"/>
      <c r="Z94" s="8">
        <f t="shared" si="27"/>
        <v>1.809661835748794E-2</v>
      </c>
    </row>
    <row r="95" spans="1:26" s="70" customFormat="1" ht="15" hidden="1" customHeight="1" outlineLevel="2" x14ac:dyDescent="0.3">
      <c r="A95" s="26"/>
      <c r="B95" s="12" t="str">
        <f>CONCATENATE("          ","6375"," - ","OUTSIDE REPAIRS &amp; MAINTENANCE")</f>
        <v xml:space="preserve">          6375 - OUTSIDE REPAIRS &amp; MAINTENANCE</v>
      </c>
      <c r="C95" s="12"/>
      <c r="D95" s="7">
        <v>534.79999999999995</v>
      </c>
      <c r="E95" s="3"/>
      <c r="F95" s="8">
        <f t="shared" si="20"/>
        <v>9.6924624086780378E-4</v>
      </c>
      <c r="G95" s="3"/>
      <c r="H95" s="7">
        <v>0</v>
      </c>
      <c r="I95" s="3"/>
      <c r="J95" s="8">
        <f t="shared" si="21"/>
        <v>0</v>
      </c>
      <c r="K95" s="3"/>
      <c r="L95" s="7">
        <f t="shared" si="22"/>
        <v>534.79999999999995</v>
      </c>
      <c r="M95" s="3"/>
      <c r="N95" s="8">
        <f t="shared" si="23"/>
        <v>0</v>
      </c>
      <c r="O95" s="12"/>
      <c r="P95" s="7">
        <v>3227.67</v>
      </c>
      <c r="Q95" s="3"/>
      <c r="R95" s="8">
        <f t="shared" si="24"/>
        <v>9.2956591399841301E-4</v>
      </c>
      <c r="S95" s="3"/>
      <c r="T95" s="7">
        <v>500</v>
      </c>
      <c r="U95" s="3"/>
      <c r="V95" s="8">
        <f t="shared" si="25"/>
        <v>1.7431727766615662E-4</v>
      </c>
      <c r="W95" s="3"/>
      <c r="X95" s="7">
        <f t="shared" si="26"/>
        <v>2727.67</v>
      </c>
      <c r="Y95" s="3"/>
      <c r="Z95" s="8">
        <f t="shared" si="27"/>
        <v>5.4553400000000005</v>
      </c>
    </row>
    <row r="96" spans="1:26" s="69" customFormat="1" ht="15" customHeight="1" outlineLevel="1" collapsed="1" x14ac:dyDescent="0.3">
      <c r="A96" s="25"/>
      <c r="B96" s="14" t="str">
        <f>CONCATENATE("     ","Royalty &amp; Commissions                             ")</f>
        <v xml:space="preserve">     Royalty &amp; Commissions                             </v>
      </c>
      <c r="C96" s="14"/>
      <c r="D96" s="2">
        <f>SUM(OSRRefD22_15x_0)</f>
        <v>0</v>
      </c>
      <c r="E96" s="2"/>
      <c r="F96" s="6">
        <f t="shared" si="20"/>
        <v>0</v>
      </c>
      <c r="G96" s="2"/>
      <c r="H96" s="2">
        <f>SUM(OSRRefH22_15x_0)</f>
        <v>2085</v>
      </c>
      <c r="I96" s="2"/>
      <c r="J96" s="6">
        <f t="shared" si="21"/>
        <v>7.072063821560128E-3</v>
      </c>
      <c r="K96" s="2"/>
      <c r="L96" s="2">
        <f t="shared" si="22"/>
        <v>-2085</v>
      </c>
      <c r="M96" s="2"/>
      <c r="N96" s="6">
        <f t="shared" si="23"/>
        <v>-1</v>
      </c>
      <c r="O96" s="14"/>
      <c r="P96" s="2">
        <f>SUM(OSRRefP22_15x_0)</f>
        <v>42730.310000000005</v>
      </c>
      <c r="Q96" s="2"/>
      <c r="R96" s="6">
        <f t="shared" si="24"/>
        <v>1.2306288954752354E-2</v>
      </c>
      <c r="S96" s="2"/>
      <c r="T96" s="2">
        <f>SUM(OSRRefT22_15x_0)</f>
        <v>39029</v>
      </c>
      <c r="U96" s="2"/>
      <c r="V96" s="6">
        <f t="shared" si="25"/>
        <v>1.3606858060064854E-2</v>
      </c>
      <c r="W96" s="2"/>
      <c r="X96" s="2">
        <f t="shared" si="26"/>
        <v>3701.3100000000049</v>
      </c>
      <c r="Y96" s="2"/>
      <c r="Z96" s="6">
        <f t="shared" si="27"/>
        <v>9.4834866381408825E-2</v>
      </c>
    </row>
    <row r="97" spans="1:26" s="70" customFormat="1" ht="15" hidden="1" customHeight="1" outlineLevel="2" x14ac:dyDescent="0.3">
      <c r="A97" s="26"/>
      <c r="B97" s="12" t="str">
        <f>CONCATENATE("          ","6252"," - ","ROYALTY DUE CSTV")</f>
        <v xml:space="preserve">          6252 - ROYALTY DUE CSTV</v>
      </c>
      <c r="C97" s="12"/>
      <c r="D97" s="7"/>
      <c r="E97" s="3"/>
      <c r="F97" s="8">
        <f t="shared" si="20"/>
        <v>0</v>
      </c>
      <c r="G97" s="3"/>
      <c r="H97" s="7">
        <v>1085</v>
      </c>
      <c r="I97" s="3"/>
      <c r="J97" s="8">
        <f t="shared" si="21"/>
        <v>3.6801866889173808E-3</v>
      </c>
      <c r="K97" s="3"/>
      <c r="L97" s="7">
        <f t="shared" si="22"/>
        <v>-1085</v>
      </c>
      <c r="M97" s="3"/>
      <c r="N97" s="8">
        <f t="shared" si="23"/>
        <v>-1</v>
      </c>
      <c r="O97" s="12"/>
      <c r="P97" s="7"/>
      <c r="Q97" s="3"/>
      <c r="R97" s="8">
        <f t="shared" si="24"/>
        <v>0</v>
      </c>
      <c r="S97" s="3"/>
      <c r="T97" s="7">
        <v>12582</v>
      </c>
      <c r="U97" s="3"/>
      <c r="V97" s="8">
        <f t="shared" si="25"/>
        <v>4.386519975191165E-3</v>
      </c>
      <c r="W97" s="3"/>
      <c r="X97" s="7">
        <f t="shared" si="26"/>
        <v>-12582</v>
      </c>
      <c r="Y97" s="3"/>
      <c r="Z97" s="8">
        <f t="shared" si="27"/>
        <v>-1</v>
      </c>
    </row>
    <row r="98" spans="1:26" s="70" customFormat="1" ht="15" hidden="1" customHeight="1" outlineLevel="2" x14ac:dyDescent="0.3">
      <c r="A98" s="26"/>
      <c r="B98" s="12" t="str">
        <f>CONCATENATE("          ","6253"," - ","ROYALTY DUE ATHLETICS-LRG")</f>
        <v xml:space="preserve">          6253 - ROYALTY DUE ATHLETICS-LRG</v>
      </c>
      <c r="C98" s="12"/>
      <c r="D98" s="7"/>
      <c r="E98" s="3"/>
      <c r="F98" s="8">
        <f t="shared" si="20"/>
        <v>0</v>
      </c>
      <c r="G98" s="3"/>
      <c r="H98" s="7">
        <v>0</v>
      </c>
      <c r="I98" s="3"/>
      <c r="J98" s="8">
        <f t="shared" si="21"/>
        <v>0</v>
      </c>
      <c r="K98" s="3"/>
      <c r="L98" s="7">
        <f t="shared" si="22"/>
        <v>0</v>
      </c>
      <c r="M98" s="3"/>
      <c r="N98" s="8">
        <f t="shared" si="23"/>
        <v>0</v>
      </c>
      <c r="O98" s="12"/>
      <c r="P98" s="7">
        <v>39221.160000000003</v>
      </c>
      <c r="Q98" s="3"/>
      <c r="R98" s="8">
        <f t="shared" si="24"/>
        <v>1.1295657066390926E-2</v>
      </c>
      <c r="S98" s="3"/>
      <c r="T98" s="7">
        <v>23947</v>
      </c>
      <c r="U98" s="3"/>
      <c r="V98" s="8">
        <f t="shared" si="25"/>
        <v>8.3487516965429047E-3</v>
      </c>
      <c r="W98" s="3"/>
      <c r="X98" s="7">
        <f t="shared" si="26"/>
        <v>15274.160000000003</v>
      </c>
      <c r="Y98" s="3"/>
      <c r="Z98" s="8">
        <f t="shared" si="27"/>
        <v>0.63783187873220037</v>
      </c>
    </row>
    <row r="99" spans="1:26" s="70" customFormat="1" ht="15" hidden="1" customHeight="1" outlineLevel="2" x14ac:dyDescent="0.3">
      <c r="A99" s="26"/>
      <c r="B99" s="12" t="str">
        <f>CONCATENATE("          ","6254"," - ","ROYALTY &amp; COMMISSIONS")</f>
        <v xml:space="preserve">          6254 - ROYALTY &amp; COMMISSIONS</v>
      </c>
      <c r="C99" s="12"/>
      <c r="D99" s="7"/>
      <c r="E99" s="3"/>
      <c r="F99" s="8">
        <f t="shared" si="20"/>
        <v>0</v>
      </c>
      <c r="G99" s="3"/>
      <c r="H99" s="7">
        <v>1000</v>
      </c>
      <c r="I99" s="3"/>
      <c r="J99" s="8">
        <f t="shared" si="21"/>
        <v>3.3918771326427472E-3</v>
      </c>
      <c r="K99" s="3"/>
      <c r="L99" s="7">
        <f t="shared" si="22"/>
        <v>-1000</v>
      </c>
      <c r="M99" s="3"/>
      <c r="N99" s="8">
        <f t="shared" si="23"/>
        <v>-1</v>
      </c>
      <c r="O99" s="12"/>
      <c r="P99" s="7">
        <v>3509.15</v>
      </c>
      <c r="Q99" s="3"/>
      <c r="R99" s="8">
        <f t="shared" si="24"/>
        <v>1.0106318883614282E-3</v>
      </c>
      <c r="S99" s="3"/>
      <c r="T99" s="7">
        <v>2500</v>
      </c>
      <c r="U99" s="3"/>
      <c r="V99" s="8">
        <f t="shared" si="25"/>
        <v>8.7158638833078304E-4</v>
      </c>
      <c r="W99" s="3"/>
      <c r="X99" s="7">
        <f t="shared" si="26"/>
        <v>1009.1500000000001</v>
      </c>
      <c r="Y99" s="3"/>
      <c r="Z99" s="8">
        <f t="shared" si="27"/>
        <v>0.40366000000000002</v>
      </c>
    </row>
    <row r="100" spans="1:26" s="69" customFormat="1" ht="15" customHeight="1" outlineLevel="1" collapsed="1" x14ac:dyDescent="0.3">
      <c r="A100" s="25"/>
      <c r="B100" s="14" t="str">
        <f>CONCATENATE("     ","Services                                          ")</f>
        <v xml:space="preserve">     Services                                          </v>
      </c>
      <c r="C100" s="14"/>
      <c r="D100" s="2">
        <f>SUM(OSRRefD22_16x_0)</f>
        <v>473.53</v>
      </c>
      <c r="E100" s="2"/>
      <c r="F100" s="6">
        <f t="shared" si="20"/>
        <v>8.5820338900174107E-4</v>
      </c>
      <c r="G100" s="2"/>
      <c r="H100" s="2">
        <f>SUM(OSRRefH22_16x_0)</f>
        <v>120</v>
      </c>
      <c r="I100" s="2"/>
      <c r="J100" s="6">
        <f t="shared" si="21"/>
        <v>4.0702525591712965E-4</v>
      </c>
      <c r="K100" s="2"/>
      <c r="L100" s="2">
        <f t="shared" si="22"/>
        <v>353.53</v>
      </c>
      <c r="M100" s="2"/>
      <c r="N100" s="6">
        <f t="shared" si="23"/>
        <v>2.9460833333333332</v>
      </c>
      <c r="O100" s="14"/>
      <c r="P100" s="2">
        <f>SUM(OSRRefP22_16x_0)</f>
        <v>5758.92</v>
      </c>
      <c r="Q100" s="2"/>
      <c r="R100" s="6">
        <f t="shared" si="24"/>
        <v>1.6585635252190406E-3</v>
      </c>
      <c r="S100" s="2"/>
      <c r="T100" s="2">
        <f>SUM(OSRRefT22_16x_0)</f>
        <v>720</v>
      </c>
      <c r="U100" s="2"/>
      <c r="V100" s="6">
        <f t="shared" si="25"/>
        <v>2.5101687983926553E-4</v>
      </c>
      <c r="W100" s="2"/>
      <c r="X100" s="2">
        <f t="shared" si="26"/>
        <v>5038.92</v>
      </c>
      <c r="Y100" s="2"/>
      <c r="Z100" s="6">
        <f t="shared" si="27"/>
        <v>6.9984999999999999</v>
      </c>
    </row>
    <row r="101" spans="1:26" s="70" customFormat="1" ht="15" hidden="1" customHeight="1" outlineLevel="2" x14ac:dyDescent="0.3">
      <c r="A101" s="26"/>
      <c r="B101" s="12" t="str">
        <f>CONCATENATE("          ","6282"," - ","JANITORIAL/EXTERMINATOR EXPENS")</f>
        <v xml:space="preserve">          6282 - JANITORIAL/EXTERMINATOR EXPENS</v>
      </c>
      <c r="C101" s="12"/>
      <c r="D101" s="7">
        <v>69</v>
      </c>
      <c r="E101" s="3"/>
      <c r="F101" s="8">
        <f t="shared" si="20"/>
        <v>1.2505233848144815E-4</v>
      </c>
      <c r="G101" s="3"/>
      <c r="H101" s="7"/>
      <c r="I101" s="3"/>
      <c r="J101" s="8">
        <f t="shared" si="21"/>
        <v>0</v>
      </c>
      <c r="K101" s="3"/>
      <c r="L101" s="7">
        <f t="shared" si="22"/>
        <v>69</v>
      </c>
      <c r="M101" s="3"/>
      <c r="N101" s="8">
        <f t="shared" si="23"/>
        <v>0</v>
      </c>
      <c r="O101" s="12"/>
      <c r="P101" s="7">
        <v>836.6</v>
      </c>
      <c r="Q101" s="3"/>
      <c r="R101" s="8">
        <f t="shared" si="24"/>
        <v>2.4094001048777363E-4</v>
      </c>
      <c r="S101" s="3"/>
      <c r="T101" s="7"/>
      <c r="U101" s="3"/>
      <c r="V101" s="8">
        <f t="shared" si="25"/>
        <v>0</v>
      </c>
      <c r="W101" s="3"/>
      <c r="X101" s="7">
        <f t="shared" si="26"/>
        <v>836.6</v>
      </c>
      <c r="Y101" s="3"/>
      <c r="Z101" s="8">
        <f t="shared" si="27"/>
        <v>0</v>
      </c>
    </row>
    <row r="102" spans="1:26" s="70" customFormat="1" ht="15" hidden="1" customHeight="1" outlineLevel="2" x14ac:dyDescent="0.3">
      <c r="A102" s="26"/>
      <c r="B102" s="12" t="str">
        <f>CONCATENATE("          ","6284"," - ","TRASH REMOVAL EXPENSE")</f>
        <v xml:space="preserve">          6284 - TRASH REMOVAL EXPENSE</v>
      </c>
      <c r="C102" s="12"/>
      <c r="D102" s="7">
        <v>149.69999999999999</v>
      </c>
      <c r="E102" s="3"/>
      <c r="F102" s="8">
        <f t="shared" si="20"/>
        <v>2.7130920392279398E-4</v>
      </c>
      <c r="G102" s="3"/>
      <c r="H102" s="7">
        <v>120</v>
      </c>
      <c r="I102" s="3"/>
      <c r="J102" s="8">
        <f t="shared" si="21"/>
        <v>4.0702525591712965E-4</v>
      </c>
      <c r="K102" s="3"/>
      <c r="L102" s="7">
        <f t="shared" si="22"/>
        <v>29.699999999999989</v>
      </c>
      <c r="M102" s="3"/>
      <c r="N102" s="8">
        <f t="shared" si="23"/>
        <v>0.24749999999999991</v>
      </c>
      <c r="O102" s="12"/>
      <c r="P102" s="7">
        <v>1340.17</v>
      </c>
      <c r="Q102" s="3"/>
      <c r="R102" s="8">
        <f t="shared" si="24"/>
        <v>3.8596769526105616E-4</v>
      </c>
      <c r="S102" s="3"/>
      <c r="T102" s="7">
        <v>720</v>
      </c>
      <c r="U102" s="3"/>
      <c r="V102" s="8">
        <f t="shared" si="25"/>
        <v>2.5101687983926553E-4</v>
      </c>
      <c r="W102" s="3"/>
      <c r="X102" s="7">
        <f t="shared" si="26"/>
        <v>620.17000000000007</v>
      </c>
      <c r="Y102" s="3"/>
      <c r="Z102" s="8">
        <f t="shared" si="27"/>
        <v>0.86134722222222238</v>
      </c>
    </row>
    <row r="103" spans="1:26" s="70" customFormat="1" ht="15" hidden="1" customHeight="1" outlineLevel="2" x14ac:dyDescent="0.3">
      <c r="A103" s="26"/>
      <c r="B103" s="12" t="str">
        <f>CONCATENATE("          ","6285"," - ","JANITORIAL SERVICES")</f>
        <v xml:space="preserve">          6285 - JANITORIAL SERVICES</v>
      </c>
      <c r="C103" s="12"/>
      <c r="D103" s="7">
        <v>254.83</v>
      </c>
      <c r="E103" s="3"/>
      <c r="F103" s="8">
        <f t="shared" si="20"/>
        <v>4.6184184659749897E-4</v>
      </c>
      <c r="G103" s="3"/>
      <c r="H103" s="7"/>
      <c r="I103" s="3"/>
      <c r="J103" s="8">
        <f t="shared" si="21"/>
        <v>0</v>
      </c>
      <c r="K103" s="3"/>
      <c r="L103" s="7">
        <f t="shared" si="22"/>
        <v>254.83</v>
      </c>
      <c r="M103" s="3"/>
      <c r="N103" s="8">
        <f t="shared" si="23"/>
        <v>0</v>
      </c>
      <c r="O103" s="12"/>
      <c r="P103" s="7">
        <v>3582.15</v>
      </c>
      <c r="Q103" s="3"/>
      <c r="R103" s="8">
        <f t="shared" si="24"/>
        <v>1.0316558194702107E-3</v>
      </c>
      <c r="S103" s="3"/>
      <c r="T103" s="7"/>
      <c r="U103" s="3"/>
      <c r="V103" s="8">
        <f t="shared" si="25"/>
        <v>0</v>
      </c>
      <c r="W103" s="3"/>
      <c r="X103" s="7">
        <f t="shared" si="26"/>
        <v>3582.15</v>
      </c>
      <c r="Y103" s="3"/>
      <c r="Z103" s="8">
        <f t="shared" si="27"/>
        <v>0</v>
      </c>
    </row>
    <row r="104" spans="1:26" s="69" customFormat="1" ht="15" customHeight="1" outlineLevel="1" collapsed="1" x14ac:dyDescent="0.3">
      <c r="A104" s="25"/>
      <c r="B104" s="14" t="str">
        <f>CONCATENATE("     ","Subscriptions &amp; Dues                              ")</f>
        <v xml:space="preserve">     Subscriptions &amp; Dues                              </v>
      </c>
      <c r="C104" s="14"/>
      <c r="D104" s="2">
        <f>SUM(OSRRefD22_17x_0)</f>
        <v>125</v>
      </c>
      <c r="E104" s="2"/>
      <c r="F104" s="6">
        <f t="shared" si="20"/>
        <v>2.2654409145189881E-4</v>
      </c>
      <c r="G104" s="2"/>
      <c r="H104" s="2">
        <f>SUM(OSRRefH22_17x_0)</f>
        <v>181</v>
      </c>
      <c r="I104" s="2"/>
      <c r="J104" s="6">
        <f t="shared" si="21"/>
        <v>6.1392976100833722E-4</v>
      </c>
      <c r="K104" s="2"/>
      <c r="L104" s="2">
        <f t="shared" si="22"/>
        <v>-56</v>
      </c>
      <c r="M104" s="2"/>
      <c r="N104" s="6">
        <f t="shared" si="23"/>
        <v>-0.30939226519337015</v>
      </c>
      <c r="O104" s="14"/>
      <c r="P104" s="2">
        <f>SUM(OSRRefP22_17x_0)</f>
        <v>170.27</v>
      </c>
      <c r="Q104" s="2"/>
      <c r="R104" s="6">
        <f t="shared" si="24"/>
        <v>4.9037599313594572E-5</v>
      </c>
      <c r="S104" s="2"/>
      <c r="T104" s="2">
        <f>SUM(OSRRefT22_17x_0)</f>
        <v>2344</v>
      </c>
      <c r="U104" s="2"/>
      <c r="V104" s="6">
        <f t="shared" si="25"/>
        <v>8.1719939769894225E-4</v>
      </c>
      <c r="W104" s="2"/>
      <c r="X104" s="2">
        <f t="shared" si="26"/>
        <v>-2173.73</v>
      </c>
      <c r="Y104" s="2"/>
      <c r="Z104" s="6">
        <f t="shared" si="27"/>
        <v>-0.92735921501706486</v>
      </c>
    </row>
    <row r="105" spans="1:26" s="70" customFormat="1" ht="15" hidden="1" customHeight="1" outlineLevel="2" x14ac:dyDescent="0.3">
      <c r="A105" s="26"/>
      <c r="B105" s="12" t="str">
        <f>CONCATENATE("          ","6258"," - ","MEMBERSHIP DUES")</f>
        <v xml:space="preserve">          6258 - MEMBERSHIP DUES</v>
      </c>
      <c r="C105" s="12"/>
      <c r="D105" s="7">
        <v>125</v>
      </c>
      <c r="E105" s="3"/>
      <c r="F105" s="8">
        <f t="shared" si="20"/>
        <v>2.2654409145189881E-4</v>
      </c>
      <c r="G105" s="3"/>
      <c r="H105" s="7">
        <v>0</v>
      </c>
      <c r="I105" s="3"/>
      <c r="J105" s="8">
        <f t="shared" si="21"/>
        <v>0</v>
      </c>
      <c r="K105" s="3"/>
      <c r="L105" s="7">
        <f t="shared" si="22"/>
        <v>125</v>
      </c>
      <c r="M105" s="3"/>
      <c r="N105" s="8">
        <f t="shared" si="23"/>
        <v>0</v>
      </c>
      <c r="O105" s="12"/>
      <c r="P105" s="7">
        <v>170.27</v>
      </c>
      <c r="Q105" s="3"/>
      <c r="R105" s="8">
        <f t="shared" si="24"/>
        <v>4.9037599313594572E-5</v>
      </c>
      <c r="S105" s="3"/>
      <c r="T105" s="7">
        <v>1395</v>
      </c>
      <c r="U105" s="3"/>
      <c r="V105" s="8">
        <f t="shared" si="25"/>
        <v>4.8634520468857697E-4</v>
      </c>
      <c r="W105" s="3"/>
      <c r="X105" s="7">
        <f t="shared" si="26"/>
        <v>-1224.73</v>
      </c>
      <c r="Y105" s="3"/>
      <c r="Z105" s="8">
        <f t="shared" si="27"/>
        <v>-0.87794265232974911</v>
      </c>
    </row>
    <row r="106" spans="1:26" s="70" customFormat="1" ht="15" hidden="1" customHeight="1" outlineLevel="2" x14ac:dyDescent="0.3">
      <c r="A106" s="26"/>
      <c r="B106" s="12" t="str">
        <f>CONCATENATE("          ","6275"," - ","SUBSCRIPTIONS")</f>
        <v xml:space="preserve">          6275 - SUBSCRIPTIONS</v>
      </c>
      <c r="C106" s="12"/>
      <c r="D106" s="7"/>
      <c r="E106" s="3"/>
      <c r="F106" s="8">
        <f t="shared" si="20"/>
        <v>0</v>
      </c>
      <c r="G106" s="3"/>
      <c r="H106" s="7">
        <v>181</v>
      </c>
      <c r="I106" s="3"/>
      <c r="J106" s="8">
        <f t="shared" si="21"/>
        <v>6.1392976100833722E-4</v>
      </c>
      <c r="K106" s="3"/>
      <c r="L106" s="7">
        <f t="shared" si="22"/>
        <v>-181</v>
      </c>
      <c r="M106" s="3"/>
      <c r="N106" s="8">
        <f t="shared" si="23"/>
        <v>-1</v>
      </c>
      <c r="O106" s="12"/>
      <c r="P106" s="7"/>
      <c r="Q106" s="3"/>
      <c r="R106" s="8">
        <f t="shared" si="24"/>
        <v>0</v>
      </c>
      <c r="S106" s="3"/>
      <c r="T106" s="7">
        <v>949</v>
      </c>
      <c r="U106" s="3"/>
      <c r="V106" s="8">
        <f t="shared" si="25"/>
        <v>3.3085419301036523E-4</v>
      </c>
      <c r="W106" s="3"/>
      <c r="X106" s="7">
        <f t="shared" si="26"/>
        <v>-949</v>
      </c>
      <c r="Y106" s="3"/>
      <c r="Z106" s="8">
        <f t="shared" si="27"/>
        <v>-1</v>
      </c>
    </row>
    <row r="107" spans="1:26" s="69" customFormat="1" ht="15" customHeight="1" outlineLevel="1" collapsed="1" x14ac:dyDescent="0.3">
      <c r="A107" s="25"/>
      <c r="B107" s="14" t="str">
        <f>CONCATENATE("     ","Supplies                                          ")</f>
        <v xml:space="preserve">     Supplies                                          </v>
      </c>
      <c r="C107" s="14"/>
      <c r="D107" s="2">
        <f>SUM(OSRRefD22_18x_0)</f>
        <v>326.77000000000004</v>
      </c>
      <c r="E107" s="2"/>
      <c r="F107" s="6">
        <f t="shared" si="20"/>
        <v>5.9222250210989587E-4</v>
      </c>
      <c r="G107" s="2"/>
      <c r="H107" s="2">
        <f>SUM(OSRRefH22_18x_0)</f>
        <v>180</v>
      </c>
      <c r="I107" s="2"/>
      <c r="J107" s="6">
        <f t="shared" si="21"/>
        <v>6.105378838756945E-4</v>
      </c>
      <c r="K107" s="2"/>
      <c r="L107" s="2">
        <f t="shared" si="22"/>
        <v>146.77000000000004</v>
      </c>
      <c r="M107" s="2"/>
      <c r="N107" s="6">
        <f t="shared" si="23"/>
        <v>0.81538888888888905</v>
      </c>
      <c r="O107" s="14"/>
      <c r="P107" s="2">
        <f>SUM(OSRRefP22_18x_0)</f>
        <v>11271.11</v>
      </c>
      <c r="Q107" s="2"/>
      <c r="R107" s="6">
        <f t="shared" si="24"/>
        <v>3.246069043280959E-3</v>
      </c>
      <c r="S107" s="2"/>
      <c r="T107" s="2">
        <f>SUM(OSRRefT22_18x_0)</f>
        <v>1700</v>
      </c>
      <c r="U107" s="2"/>
      <c r="V107" s="6">
        <f t="shared" si="25"/>
        <v>5.9267874406493252E-4</v>
      </c>
      <c r="W107" s="2"/>
      <c r="X107" s="2">
        <f t="shared" si="26"/>
        <v>9571.11</v>
      </c>
      <c r="Y107" s="2"/>
      <c r="Z107" s="6">
        <f t="shared" si="27"/>
        <v>5.6300647058823534</v>
      </c>
    </row>
    <row r="108" spans="1:26" s="70" customFormat="1" ht="15" hidden="1" customHeight="1" outlineLevel="2" x14ac:dyDescent="0.3">
      <c r="A108" s="26"/>
      <c r="B108" s="12" t="str">
        <f>CONCATENATE("          ","6234"," - ","EXPENDABLE SUPPLIES &amp; EQUIPMEN")</f>
        <v xml:space="preserve">          6234 - EXPENDABLE SUPPLIES &amp; EQUIPMEN</v>
      </c>
      <c r="C108" s="12"/>
      <c r="D108" s="7"/>
      <c r="E108" s="3"/>
      <c r="F108" s="8">
        <f t="shared" ref="F108:F122" si="28">IF(D$12=0,0,D108/D$12)</f>
        <v>0</v>
      </c>
      <c r="G108" s="3"/>
      <c r="H108" s="7"/>
      <c r="I108" s="3"/>
      <c r="J108" s="8">
        <f t="shared" ref="J108:J122" si="29">IF(H$12=0,0,H108/H$12)</f>
        <v>0</v>
      </c>
      <c r="K108" s="3"/>
      <c r="L108" s="7">
        <f t="shared" ref="L108:L122" si="30">+D108-H108</f>
        <v>0</v>
      </c>
      <c r="M108" s="3"/>
      <c r="N108" s="8">
        <f t="shared" ref="N108:N122" si="31">IF(H108=0,0,L108/H108)</f>
        <v>0</v>
      </c>
      <c r="O108" s="12"/>
      <c r="P108" s="7">
        <v>1393.55</v>
      </c>
      <c r="Q108" s="3"/>
      <c r="R108" s="8">
        <f t="shared" ref="R108:R122" si="32">IF(P$12=0,0,P108/P$12)</f>
        <v>4.01341084885533E-4</v>
      </c>
      <c r="S108" s="3"/>
      <c r="T108" s="7"/>
      <c r="U108" s="3"/>
      <c r="V108" s="8">
        <f t="shared" ref="V108:V122" si="33">IF(T$12=0,0,T108/T$12)</f>
        <v>0</v>
      </c>
      <c r="W108" s="3"/>
      <c r="X108" s="7">
        <f t="shared" ref="X108:X122" si="34">+P108-T108</f>
        <v>1393.55</v>
      </c>
      <c r="Y108" s="3"/>
      <c r="Z108" s="8">
        <f t="shared" ref="Z108:Z122" si="35">IF(T108=0,0,X108/T108)</f>
        <v>0</v>
      </c>
    </row>
    <row r="109" spans="1:26" s="70" customFormat="1" ht="15" hidden="1" customHeight="1" outlineLevel="2" x14ac:dyDescent="0.3">
      <c r="A109" s="26"/>
      <c r="B109" s="12" t="str">
        <f>CONCATENATE("          ","6235"," - ","COVID-19 EXPENSES")</f>
        <v xml:space="preserve">          6235 - COVID-19 EXPENSES</v>
      </c>
      <c r="C109" s="12"/>
      <c r="D109" s="7"/>
      <c r="E109" s="3"/>
      <c r="F109" s="8">
        <f t="shared" si="28"/>
        <v>0</v>
      </c>
      <c r="G109" s="3"/>
      <c r="H109" s="7">
        <v>25</v>
      </c>
      <c r="I109" s="3"/>
      <c r="J109" s="8">
        <f t="shared" si="29"/>
        <v>8.4796928316068675E-5</v>
      </c>
      <c r="K109" s="3"/>
      <c r="L109" s="7">
        <f t="shared" si="30"/>
        <v>-25</v>
      </c>
      <c r="M109" s="3"/>
      <c r="N109" s="8">
        <f t="shared" si="31"/>
        <v>-1</v>
      </c>
      <c r="O109" s="12"/>
      <c r="P109" s="7"/>
      <c r="Q109" s="3"/>
      <c r="R109" s="8">
        <f t="shared" si="32"/>
        <v>0</v>
      </c>
      <c r="S109" s="3"/>
      <c r="T109" s="7">
        <v>225</v>
      </c>
      <c r="U109" s="3"/>
      <c r="V109" s="8">
        <f t="shared" si="33"/>
        <v>7.8442774949770471E-5</v>
      </c>
      <c r="W109" s="3"/>
      <c r="X109" s="7">
        <f t="shared" si="34"/>
        <v>-225</v>
      </c>
      <c r="Y109" s="3"/>
      <c r="Z109" s="8">
        <f t="shared" si="35"/>
        <v>-1</v>
      </c>
    </row>
    <row r="110" spans="1:26" s="70" customFormat="1" ht="15" hidden="1" customHeight="1" outlineLevel="2" x14ac:dyDescent="0.3">
      <c r="A110" s="26"/>
      <c r="B110" s="12" t="str">
        <f>CONCATENATE("          ","6237"," - ","JANITORIAL SUPPLIES")</f>
        <v xml:space="preserve">          6237 - JANITORIAL SUPPLIES</v>
      </c>
      <c r="C110" s="12"/>
      <c r="D110" s="7"/>
      <c r="E110" s="3"/>
      <c r="F110" s="8">
        <f t="shared" si="28"/>
        <v>0</v>
      </c>
      <c r="G110" s="3"/>
      <c r="H110" s="7">
        <v>10</v>
      </c>
      <c r="I110" s="3"/>
      <c r="J110" s="8">
        <f t="shared" si="29"/>
        <v>3.3918771326427469E-5</v>
      </c>
      <c r="K110" s="3"/>
      <c r="L110" s="7">
        <f t="shared" si="30"/>
        <v>-10</v>
      </c>
      <c r="M110" s="3"/>
      <c r="N110" s="8">
        <f t="shared" si="31"/>
        <v>-1</v>
      </c>
      <c r="O110" s="12"/>
      <c r="P110" s="7">
        <v>77.17</v>
      </c>
      <c r="Q110" s="3"/>
      <c r="R110" s="8">
        <f t="shared" si="32"/>
        <v>2.2224887173489711E-5</v>
      </c>
      <c r="S110" s="3"/>
      <c r="T110" s="7">
        <v>170</v>
      </c>
      <c r="U110" s="3"/>
      <c r="V110" s="8">
        <f t="shared" si="33"/>
        <v>5.926787440649325E-5</v>
      </c>
      <c r="W110" s="3"/>
      <c r="X110" s="7">
        <f t="shared" si="34"/>
        <v>-92.83</v>
      </c>
      <c r="Y110" s="3"/>
      <c r="Z110" s="8">
        <f t="shared" si="35"/>
        <v>-0.54605882352941171</v>
      </c>
    </row>
    <row r="111" spans="1:26" s="70" customFormat="1" ht="15" hidden="1" customHeight="1" outlineLevel="2" x14ac:dyDescent="0.3">
      <c r="A111" s="26"/>
      <c r="B111" s="12" t="str">
        <f>CONCATENATE("          ","6241"," - ","OFFICE EXPENSE")</f>
        <v xml:space="preserve">          6241 - OFFICE EXPENSE</v>
      </c>
      <c r="C111" s="12"/>
      <c r="D111" s="7">
        <v>258.54000000000002</v>
      </c>
      <c r="E111" s="3"/>
      <c r="F111" s="8">
        <f t="shared" si="28"/>
        <v>4.6856567523179138E-4</v>
      </c>
      <c r="G111" s="3"/>
      <c r="H111" s="7">
        <v>70</v>
      </c>
      <c r="I111" s="3"/>
      <c r="J111" s="8">
        <f t="shared" si="29"/>
        <v>2.374313992849923E-4</v>
      </c>
      <c r="K111" s="3"/>
      <c r="L111" s="7">
        <f t="shared" si="30"/>
        <v>188.54000000000002</v>
      </c>
      <c r="M111" s="3"/>
      <c r="N111" s="8">
        <f t="shared" si="31"/>
        <v>2.6934285714285715</v>
      </c>
      <c r="O111" s="12"/>
      <c r="P111" s="7">
        <v>2292.84</v>
      </c>
      <c r="Q111" s="3"/>
      <c r="R111" s="8">
        <f t="shared" si="32"/>
        <v>6.603357562117941E-4</v>
      </c>
      <c r="S111" s="3"/>
      <c r="T111" s="7">
        <v>630</v>
      </c>
      <c r="U111" s="3"/>
      <c r="V111" s="8">
        <f t="shared" si="33"/>
        <v>2.1963976985935732E-4</v>
      </c>
      <c r="W111" s="3"/>
      <c r="X111" s="7">
        <f t="shared" si="34"/>
        <v>1662.8400000000001</v>
      </c>
      <c r="Y111" s="3"/>
      <c r="Z111" s="8">
        <f t="shared" si="35"/>
        <v>2.6394285714285717</v>
      </c>
    </row>
    <row r="112" spans="1:26" s="70" customFormat="1" ht="15" hidden="1" customHeight="1" outlineLevel="2" x14ac:dyDescent="0.3">
      <c r="A112" s="26"/>
      <c r="B112" s="12" t="str">
        <f>CONCATENATE("          ","6245"," - ","PRINTING")</f>
        <v xml:space="preserve">          6245 - PRINTING</v>
      </c>
      <c r="C112" s="12"/>
      <c r="D112" s="7">
        <v>10.8</v>
      </c>
      <c r="E112" s="3"/>
      <c r="F112" s="8">
        <f t="shared" si="28"/>
        <v>1.9573409501444056E-5</v>
      </c>
      <c r="G112" s="3"/>
      <c r="H112" s="7"/>
      <c r="I112" s="3"/>
      <c r="J112" s="8">
        <f t="shared" si="29"/>
        <v>0</v>
      </c>
      <c r="K112" s="3"/>
      <c r="L112" s="7">
        <f t="shared" si="30"/>
        <v>10.8</v>
      </c>
      <c r="M112" s="3"/>
      <c r="N112" s="8">
        <f t="shared" si="31"/>
        <v>0</v>
      </c>
      <c r="O112" s="12"/>
      <c r="P112" s="7">
        <v>35.549999999999997</v>
      </c>
      <c r="Q112" s="3"/>
      <c r="R112" s="8">
        <f t="shared" si="32"/>
        <v>1.0238366450920812E-5</v>
      </c>
      <c r="S112" s="3"/>
      <c r="T112" s="7"/>
      <c r="U112" s="3"/>
      <c r="V112" s="8">
        <f t="shared" si="33"/>
        <v>0</v>
      </c>
      <c r="W112" s="3"/>
      <c r="X112" s="7">
        <f t="shared" si="34"/>
        <v>35.549999999999997</v>
      </c>
      <c r="Y112" s="3"/>
      <c r="Z112" s="8">
        <f t="shared" si="35"/>
        <v>0</v>
      </c>
    </row>
    <row r="113" spans="1:26" s="70" customFormat="1" ht="15" hidden="1" customHeight="1" outlineLevel="2" x14ac:dyDescent="0.3">
      <c r="A113" s="26"/>
      <c r="B113" s="12" t="str">
        <f>CONCATENATE("          ","6247"," - ","STORE SUPPLIES")</f>
        <v xml:space="preserve">          6247 - STORE SUPPLIES</v>
      </c>
      <c r="C113" s="12"/>
      <c r="D113" s="7">
        <v>57.43</v>
      </c>
      <c r="E113" s="3"/>
      <c r="F113" s="8">
        <f t="shared" si="28"/>
        <v>1.0408341737666039E-4</v>
      </c>
      <c r="G113" s="3"/>
      <c r="H113" s="7">
        <v>75</v>
      </c>
      <c r="I113" s="3"/>
      <c r="J113" s="8">
        <f t="shared" si="29"/>
        <v>2.5439078494820605E-4</v>
      </c>
      <c r="K113" s="3"/>
      <c r="L113" s="7">
        <f t="shared" si="30"/>
        <v>-17.57</v>
      </c>
      <c r="M113" s="3"/>
      <c r="N113" s="8">
        <f t="shared" si="31"/>
        <v>-0.23426666666666668</v>
      </c>
      <c r="O113" s="12"/>
      <c r="P113" s="7">
        <v>7472</v>
      </c>
      <c r="Q113" s="3"/>
      <c r="R113" s="8">
        <f t="shared" si="32"/>
        <v>2.1519289485592212E-3</v>
      </c>
      <c r="S113" s="3"/>
      <c r="T113" s="7">
        <v>675</v>
      </c>
      <c r="U113" s="3"/>
      <c r="V113" s="8">
        <f t="shared" si="33"/>
        <v>2.3532832484931144E-4</v>
      </c>
      <c r="W113" s="3"/>
      <c r="X113" s="7">
        <f t="shared" si="34"/>
        <v>6797</v>
      </c>
      <c r="Y113" s="3"/>
      <c r="Z113" s="8">
        <f t="shared" si="35"/>
        <v>10.069629629629629</v>
      </c>
    </row>
    <row r="114" spans="1:26" s="69" customFormat="1" ht="15" customHeight="1" outlineLevel="1" collapsed="1" x14ac:dyDescent="0.3">
      <c r="A114" s="25"/>
      <c r="B114" s="14" t="str">
        <f>CONCATENATE("     ","Telephone/Data Lines                              ")</f>
        <v xml:space="preserve">     Telephone/Data Lines                              </v>
      </c>
      <c r="C114" s="14"/>
      <c r="D114" s="2">
        <f>SUM(OSRRefD22_19x_0)</f>
        <v>573.69000000000005</v>
      </c>
      <c r="E114" s="2"/>
      <c r="F114" s="6">
        <f t="shared" si="28"/>
        <v>1.0397286386003186E-3</v>
      </c>
      <c r="G114" s="2"/>
      <c r="H114" s="2">
        <f>SUM(OSRRefH22_19x_0)</f>
        <v>610</v>
      </c>
      <c r="I114" s="2"/>
      <c r="J114" s="6">
        <f t="shared" si="29"/>
        <v>2.0690450509120756E-3</v>
      </c>
      <c r="K114" s="2"/>
      <c r="L114" s="2">
        <f t="shared" si="30"/>
        <v>-36.309999999999945</v>
      </c>
      <c r="M114" s="2"/>
      <c r="N114" s="6">
        <f t="shared" si="31"/>
        <v>-5.9524590163934334E-2</v>
      </c>
      <c r="O114" s="14"/>
      <c r="P114" s="2">
        <f>SUM(OSRRefP22_19x_0)</f>
        <v>5070.75</v>
      </c>
      <c r="Q114" s="2"/>
      <c r="R114" s="6">
        <f t="shared" si="32"/>
        <v>1.4603712146556039E-3</v>
      </c>
      <c r="S114" s="2"/>
      <c r="T114" s="2">
        <f>SUM(OSRRefT22_19x_0)</f>
        <v>5490</v>
      </c>
      <c r="U114" s="2"/>
      <c r="V114" s="6">
        <f t="shared" si="33"/>
        <v>1.9140037087743997E-3</v>
      </c>
      <c r="W114" s="2"/>
      <c r="X114" s="2">
        <f t="shared" si="34"/>
        <v>-419.25</v>
      </c>
      <c r="Y114" s="2"/>
      <c r="Z114" s="6">
        <f t="shared" si="35"/>
        <v>-7.6366120218579234E-2</v>
      </c>
    </row>
    <row r="115" spans="1:26" s="70" customFormat="1" ht="15" hidden="1" customHeight="1" outlineLevel="2" x14ac:dyDescent="0.3">
      <c r="A115" s="26"/>
      <c r="B115" s="12" t="str">
        <f>CONCATENATE("          ","6309"," - ","TELEPHONE")</f>
        <v xml:space="preserve">          6309 - TELEPHONE</v>
      </c>
      <c r="C115" s="12"/>
      <c r="D115" s="7">
        <v>573.69000000000005</v>
      </c>
      <c r="E115" s="3"/>
      <c r="F115" s="8">
        <f t="shared" si="28"/>
        <v>1.0397286386003186E-3</v>
      </c>
      <c r="G115" s="3"/>
      <c r="H115" s="7">
        <v>610</v>
      </c>
      <c r="I115" s="3"/>
      <c r="J115" s="8">
        <f t="shared" si="29"/>
        <v>2.0690450509120756E-3</v>
      </c>
      <c r="K115" s="3"/>
      <c r="L115" s="7">
        <f t="shared" si="30"/>
        <v>-36.309999999999945</v>
      </c>
      <c r="M115" s="3"/>
      <c r="N115" s="8">
        <f t="shared" si="31"/>
        <v>-5.9524590163934334E-2</v>
      </c>
      <c r="O115" s="12"/>
      <c r="P115" s="7">
        <v>5070.75</v>
      </c>
      <c r="Q115" s="3"/>
      <c r="R115" s="8">
        <f t="shared" si="32"/>
        <v>1.4603712146556039E-3</v>
      </c>
      <c r="S115" s="3"/>
      <c r="T115" s="7">
        <v>5490</v>
      </c>
      <c r="U115" s="3"/>
      <c r="V115" s="8">
        <f t="shared" si="33"/>
        <v>1.9140037087743997E-3</v>
      </c>
      <c r="W115" s="3"/>
      <c r="X115" s="7">
        <f t="shared" si="34"/>
        <v>-419.25</v>
      </c>
      <c r="Y115" s="3"/>
      <c r="Z115" s="8">
        <f t="shared" si="35"/>
        <v>-7.6366120218579234E-2</v>
      </c>
    </row>
    <row r="116" spans="1:26" s="69" customFormat="1" ht="15" customHeight="1" outlineLevel="1" collapsed="1" x14ac:dyDescent="0.3">
      <c r="A116" s="25"/>
      <c r="B116" s="14" t="str">
        <f>CONCATENATE("     ","Training                                          ")</f>
        <v xml:space="preserve">     Training                                          </v>
      </c>
      <c r="C116" s="14"/>
      <c r="D116" s="2">
        <f>SUM(OSRRefD22_20x_0)</f>
        <v>0</v>
      </c>
      <c r="E116" s="2"/>
      <c r="F116" s="6">
        <f t="shared" si="28"/>
        <v>0</v>
      </c>
      <c r="G116" s="2"/>
      <c r="H116" s="2">
        <f>SUM(OSRRefH22_20x_0)</f>
        <v>0</v>
      </c>
      <c r="I116" s="2"/>
      <c r="J116" s="6">
        <f t="shared" si="29"/>
        <v>0</v>
      </c>
      <c r="K116" s="2"/>
      <c r="L116" s="2">
        <f t="shared" si="30"/>
        <v>0</v>
      </c>
      <c r="M116" s="2"/>
      <c r="N116" s="6">
        <f t="shared" si="31"/>
        <v>0</v>
      </c>
      <c r="O116" s="14"/>
      <c r="P116" s="2">
        <f>SUM(OSRRefP22_20x_0)</f>
        <v>300</v>
      </c>
      <c r="Q116" s="2"/>
      <c r="R116" s="6">
        <f t="shared" si="32"/>
        <v>8.639971688540771E-5</v>
      </c>
      <c r="S116" s="2"/>
      <c r="T116" s="2">
        <f>SUM(OSRRefT22_20x_0)</f>
        <v>0</v>
      </c>
      <c r="U116" s="2"/>
      <c r="V116" s="6">
        <f t="shared" si="33"/>
        <v>0</v>
      </c>
      <c r="W116" s="2"/>
      <c r="X116" s="2">
        <f t="shared" si="34"/>
        <v>300</v>
      </c>
      <c r="Y116" s="2"/>
      <c r="Z116" s="6">
        <f t="shared" si="35"/>
        <v>0</v>
      </c>
    </row>
    <row r="117" spans="1:26" s="70" customFormat="1" ht="15" hidden="1" customHeight="1" outlineLevel="2" x14ac:dyDescent="0.3">
      <c r="A117" s="26"/>
      <c r="B117" s="12" t="str">
        <f>CONCATENATE("          ","6376"," - ","TRAINING")</f>
        <v xml:space="preserve">          6376 - TRAINING</v>
      </c>
      <c r="C117" s="12"/>
      <c r="D117" s="7"/>
      <c r="E117" s="3"/>
      <c r="F117" s="8">
        <f t="shared" si="28"/>
        <v>0</v>
      </c>
      <c r="G117" s="3"/>
      <c r="H117" s="7"/>
      <c r="I117" s="3"/>
      <c r="J117" s="8">
        <f t="shared" si="29"/>
        <v>0</v>
      </c>
      <c r="K117" s="3"/>
      <c r="L117" s="7">
        <f t="shared" si="30"/>
        <v>0</v>
      </c>
      <c r="M117" s="3"/>
      <c r="N117" s="8">
        <f t="shared" si="31"/>
        <v>0</v>
      </c>
      <c r="O117" s="12"/>
      <c r="P117" s="7">
        <v>300</v>
      </c>
      <c r="Q117" s="3"/>
      <c r="R117" s="8">
        <f t="shared" si="32"/>
        <v>8.639971688540771E-5</v>
      </c>
      <c r="S117" s="3"/>
      <c r="T117" s="7"/>
      <c r="U117" s="3"/>
      <c r="V117" s="8">
        <f t="shared" si="33"/>
        <v>0</v>
      </c>
      <c r="W117" s="3"/>
      <c r="X117" s="7">
        <f t="shared" si="34"/>
        <v>300</v>
      </c>
      <c r="Y117" s="3"/>
      <c r="Z117" s="8">
        <f t="shared" si="35"/>
        <v>0</v>
      </c>
    </row>
    <row r="118" spans="1:26" s="69" customFormat="1" ht="15" customHeight="1" outlineLevel="1" collapsed="1" x14ac:dyDescent="0.3">
      <c r="A118" s="25"/>
      <c r="B118" s="14" t="str">
        <f>CONCATENATE("     ","Travel                                            ")</f>
        <v xml:space="preserve">     Travel                                            </v>
      </c>
      <c r="C118" s="14"/>
      <c r="D118" s="2">
        <f>SUM(OSRRefD22_21x_0)</f>
        <v>46.81</v>
      </c>
      <c r="E118" s="2"/>
      <c r="F118" s="6">
        <f t="shared" si="28"/>
        <v>8.4836231366907064E-5</v>
      </c>
      <c r="G118" s="2"/>
      <c r="H118" s="2">
        <f>SUM(OSRRefH22_21x_0)</f>
        <v>50</v>
      </c>
      <c r="I118" s="2"/>
      <c r="J118" s="6">
        <f t="shared" si="29"/>
        <v>1.6959385663213735E-4</v>
      </c>
      <c r="K118" s="2"/>
      <c r="L118" s="2">
        <f t="shared" si="30"/>
        <v>-3.1899999999999977</v>
      </c>
      <c r="M118" s="2"/>
      <c r="N118" s="6">
        <f t="shared" si="31"/>
        <v>-6.3799999999999954E-2</v>
      </c>
      <c r="O118" s="14"/>
      <c r="P118" s="2">
        <f>SUM(OSRRefP22_21x_0)</f>
        <v>403.48</v>
      </c>
      <c r="Q118" s="2"/>
      <c r="R118" s="6">
        <f t="shared" si="32"/>
        <v>1.1620185922974768E-4</v>
      </c>
      <c r="S118" s="2"/>
      <c r="T118" s="2">
        <f>SUM(OSRRefT22_21x_0)</f>
        <v>700</v>
      </c>
      <c r="U118" s="2"/>
      <c r="V118" s="6">
        <f t="shared" si="33"/>
        <v>2.4404418873261925E-4</v>
      </c>
      <c r="W118" s="2"/>
      <c r="X118" s="2">
        <f t="shared" si="34"/>
        <v>-296.52</v>
      </c>
      <c r="Y118" s="2"/>
      <c r="Z118" s="6">
        <f t="shared" si="35"/>
        <v>-0.42359999999999998</v>
      </c>
    </row>
    <row r="119" spans="1:26" s="70" customFormat="1" ht="15" hidden="1" customHeight="1" outlineLevel="2" x14ac:dyDescent="0.3">
      <c r="A119" s="26"/>
      <c r="B119" s="12" t="str">
        <f>CONCATENATE("          ","6294"," - ","TRAVEL OPERATIONAL")</f>
        <v xml:space="preserve">          6294 - TRAVEL OPERATIONAL</v>
      </c>
      <c r="C119" s="12"/>
      <c r="D119" s="7">
        <v>46.81</v>
      </c>
      <c r="E119" s="3"/>
      <c r="F119" s="8">
        <f t="shared" si="28"/>
        <v>8.4836231366907064E-5</v>
      </c>
      <c r="G119" s="3"/>
      <c r="H119" s="7">
        <v>25</v>
      </c>
      <c r="I119" s="3"/>
      <c r="J119" s="8">
        <f t="shared" si="29"/>
        <v>8.4796928316068675E-5</v>
      </c>
      <c r="K119" s="3"/>
      <c r="L119" s="7">
        <f t="shared" si="30"/>
        <v>21.810000000000002</v>
      </c>
      <c r="M119" s="3"/>
      <c r="N119" s="8">
        <f t="shared" si="31"/>
        <v>0.87240000000000006</v>
      </c>
      <c r="O119" s="12"/>
      <c r="P119" s="7">
        <v>403.48</v>
      </c>
      <c r="Q119" s="3"/>
      <c r="R119" s="8">
        <f t="shared" si="32"/>
        <v>1.1620185922974768E-4</v>
      </c>
      <c r="S119" s="3"/>
      <c r="T119" s="7">
        <v>225</v>
      </c>
      <c r="U119" s="3"/>
      <c r="V119" s="8">
        <f t="shared" si="33"/>
        <v>7.8442774949770471E-5</v>
      </c>
      <c r="W119" s="3"/>
      <c r="X119" s="7">
        <f t="shared" si="34"/>
        <v>178.48000000000002</v>
      </c>
      <c r="Y119" s="3"/>
      <c r="Z119" s="8">
        <f t="shared" si="35"/>
        <v>0.79324444444444453</v>
      </c>
    </row>
    <row r="120" spans="1:26" s="70" customFormat="1" ht="15" hidden="1" customHeight="1" outlineLevel="2" x14ac:dyDescent="0.3">
      <c r="A120" s="26"/>
      <c r="B120" s="12" t="str">
        <f>CONCATENATE("          ","6298"," - ","VEHICLE MILEAGE")</f>
        <v xml:space="preserve">          6298 - VEHICLE MILEAGE</v>
      </c>
      <c r="C120" s="12"/>
      <c r="D120" s="7"/>
      <c r="E120" s="3"/>
      <c r="F120" s="8">
        <f t="shared" si="28"/>
        <v>0</v>
      </c>
      <c r="G120" s="3"/>
      <c r="H120" s="7">
        <v>25</v>
      </c>
      <c r="I120" s="3"/>
      <c r="J120" s="8">
        <f t="shared" si="29"/>
        <v>8.4796928316068675E-5</v>
      </c>
      <c r="K120" s="3"/>
      <c r="L120" s="7">
        <f t="shared" si="30"/>
        <v>-25</v>
      </c>
      <c r="M120" s="3"/>
      <c r="N120" s="8">
        <f t="shared" si="31"/>
        <v>-1</v>
      </c>
      <c r="O120" s="12"/>
      <c r="P120" s="7"/>
      <c r="Q120" s="3"/>
      <c r="R120" s="8">
        <f t="shared" si="32"/>
        <v>0</v>
      </c>
      <c r="S120" s="3"/>
      <c r="T120" s="7">
        <v>475</v>
      </c>
      <c r="U120" s="3"/>
      <c r="V120" s="8">
        <f t="shared" si="33"/>
        <v>1.6560141378284878E-4</v>
      </c>
      <c r="W120" s="3"/>
      <c r="X120" s="7">
        <f t="shared" si="34"/>
        <v>-475</v>
      </c>
      <c r="Y120" s="3"/>
      <c r="Z120" s="8">
        <f t="shared" si="35"/>
        <v>-1</v>
      </c>
    </row>
    <row r="121" spans="1:26" s="69" customFormat="1" ht="15" customHeight="1" outlineLevel="1" collapsed="1" x14ac:dyDescent="0.3">
      <c r="A121" s="25"/>
      <c r="B121" s="14" t="str">
        <f>CONCATENATE("     ","Utilities                                         ")</f>
        <v xml:space="preserve">     Utilities                                         </v>
      </c>
      <c r="C121" s="14"/>
      <c r="D121" s="2">
        <f>SUM(OSRRefD22_22x_0)</f>
        <v>137.83000000000001</v>
      </c>
      <c r="E121" s="2"/>
      <c r="F121" s="6">
        <f t="shared" si="28"/>
        <v>2.4979657699852171E-4</v>
      </c>
      <c r="G121" s="2"/>
      <c r="H121" s="2">
        <f>SUM(OSRRefH22_22x_0)</f>
        <v>120</v>
      </c>
      <c r="I121" s="2"/>
      <c r="J121" s="6">
        <f t="shared" si="29"/>
        <v>4.0702525591712965E-4</v>
      </c>
      <c r="K121" s="2"/>
      <c r="L121" s="2">
        <f t="shared" si="30"/>
        <v>17.830000000000013</v>
      </c>
      <c r="M121" s="2"/>
      <c r="N121" s="6">
        <f t="shared" si="31"/>
        <v>0.14858333333333343</v>
      </c>
      <c r="O121" s="14"/>
      <c r="P121" s="2">
        <f>SUM(OSRRefP22_22x_0)</f>
        <v>1032.9000000000001</v>
      </c>
      <c r="Q121" s="2"/>
      <c r="R121" s="6">
        <f t="shared" si="32"/>
        <v>2.9747422523645876E-4</v>
      </c>
      <c r="S121" s="2"/>
      <c r="T121" s="2">
        <f>SUM(OSRRefT22_22x_0)</f>
        <v>3760</v>
      </c>
      <c r="U121" s="2"/>
      <c r="V121" s="6">
        <f t="shared" si="33"/>
        <v>1.3108659280494977E-3</v>
      </c>
      <c r="W121" s="2"/>
      <c r="X121" s="2">
        <f t="shared" si="34"/>
        <v>-2727.1</v>
      </c>
      <c r="Y121" s="2"/>
      <c r="Z121" s="6">
        <f t="shared" si="35"/>
        <v>-0.72529255319148933</v>
      </c>
    </row>
    <row r="122" spans="1:26" s="70" customFormat="1" ht="15" hidden="1" customHeight="1" outlineLevel="2" x14ac:dyDescent="0.3">
      <c r="A122" s="26"/>
      <c r="B122" s="12" t="str">
        <f>CONCATENATE("          ","6274"," - ","UTILITIES")</f>
        <v xml:space="preserve">          6274 - UTILITIES</v>
      </c>
      <c r="C122" s="12"/>
      <c r="D122" s="7">
        <v>137.83000000000001</v>
      </c>
      <c r="E122" s="3"/>
      <c r="F122" s="8">
        <f t="shared" si="28"/>
        <v>2.4979657699852171E-4</v>
      </c>
      <c r="G122" s="3"/>
      <c r="H122" s="7">
        <v>120</v>
      </c>
      <c r="I122" s="3"/>
      <c r="J122" s="8">
        <f t="shared" si="29"/>
        <v>4.0702525591712965E-4</v>
      </c>
      <c r="K122" s="3"/>
      <c r="L122" s="7">
        <f t="shared" si="30"/>
        <v>17.830000000000013</v>
      </c>
      <c r="M122" s="3"/>
      <c r="N122" s="8">
        <f t="shared" si="31"/>
        <v>0.14858333333333343</v>
      </c>
      <c r="O122" s="12"/>
      <c r="P122" s="7">
        <v>1032.9000000000001</v>
      </c>
      <c r="Q122" s="3"/>
      <c r="R122" s="8">
        <f t="shared" si="32"/>
        <v>2.9747422523645876E-4</v>
      </c>
      <c r="S122" s="3"/>
      <c r="T122" s="7">
        <v>3760</v>
      </c>
      <c r="U122" s="3"/>
      <c r="V122" s="8">
        <f t="shared" si="33"/>
        <v>1.3108659280494977E-3</v>
      </c>
      <c r="W122" s="3"/>
      <c r="X122" s="7">
        <f t="shared" si="34"/>
        <v>-2727.1</v>
      </c>
      <c r="Y122" s="3"/>
      <c r="Z122" s="8">
        <f t="shared" si="35"/>
        <v>-0.72529255319148933</v>
      </c>
    </row>
    <row r="123" spans="1:26" s="65" customFormat="1" ht="15" customHeight="1" x14ac:dyDescent="0.3">
      <c r="A123" s="35"/>
      <c r="B123" s="35"/>
      <c r="C123" s="35"/>
      <c r="D123" s="2"/>
      <c r="E123" s="2"/>
      <c r="F123" s="6"/>
      <c r="G123" s="2"/>
      <c r="H123" s="2"/>
      <c r="I123" s="2"/>
      <c r="J123" s="6"/>
      <c r="K123" s="2"/>
      <c r="L123" s="2"/>
      <c r="M123" s="2"/>
      <c r="N123" s="6"/>
      <c r="O123" s="35"/>
      <c r="P123" s="2"/>
      <c r="Q123" s="2"/>
      <c r="R123" s="6"/>
      <c r="S123" s="2"/>
      <c r="T123" s="2"/>
      <c r="U123" s="2"/>
      <c r="V123" s="6"/>
      <c r="W123" s="2"/>
      <c r="X123" s="2"/>
      <c r="Y123" s="2"/>
      <c r="Z123" s="6"/>
    </row>
    <row r="124" spans="1:26" s="63" customFormat="1" ht="15" customHeight="1" collapsed="1" x14ac:dyDescent="0.3">
      <c r="A124" s="11"/>
      <c r="B124" s="28" t="s">
        <v>291</v>
      </c>
      <c r="C124" s="11"/>
      <c r="D124" s="5">
        <f>SUM(OSRRefD25x_0)</f>
        <v>175055</v>
      </c>
      <c r="E124" s="5"/>
      <c r="F124" s="13">
        <f>IF(D$12=0,0,D124/D$12)</f>
        <v>0.31726140743289716</v>
      </c>
      <c r="G124" s="5"/>
      <c r="H124" s="5">
        <f>SUM(OSRRefH25x_0)</f>
        <v>58333</v>
      </c>
      <c r="I124" s="5"/>
      <c r="J124" s="13">
        <f>IF(H$12=0,0,H124/H$12)</f>
        <v>0.19785836877844937</v>
      </c>
      <c r="K124" s="5"/>
      <c r="L124" s="5">
        <f>+D124-H124</f>
        <v>116722</v>
      </c>
      <c r="M124" s="5"/>
      <c r="N124" s="13">
        <f>IF(H124=0,0,L124/H124)</f>
        <v>2.0009600054857457</v>
      </c>
      <c r="O124" s="11"/>
      <c r="P124" s="5">
        <f>SUM(OSRRefP25x_0)</f>
        <v>333702.37</v>
      </c>
      <c r="Q124" s="5"/>
      <c r="R124" s="13">
        <f>IF(P$12=0,0,P124/P$12)</f>
        <v>9.6105967639965234E-2</v>
      </c>
      <c r="S124" s="5"/>
      <c r="T124" s="5">
        <f>SUM(OSRRefT25x_0)</f>
        <v>164561</v>
      </c>
      <c r="U124" s="5"/>
      <c r="V124" s="13">
        <f>IF(T$12=0,0,T124/T$12)</f>
        <v>5.7371651060040794E-2</v>
      </c>
      <c r="W124" s="5"/>
      <c r="X124" s="5">
        <f>+P124-T124</f>
        <v>169141.37</v>
      </c>
      <c r="Y124" s="5"/>
      <c r="Z124" s="13">
        <f>IF(T124=0,0,X124/T124)</f>
        <v>1.0278338731534202</v>
      </c>
    </row>
    <row r="125" spans="1:26" s="70" customFormat="1" ht="15" hidden="1" customHeight="1" outlineLevel="1" x14ac:dyDescent="0.3">
      <c r="A125" s="42"/>
      <c r="B125" s="12" t="str">
        <f>CONCATENATE("          ","9150"," - ","MISC. INCOME")</f>
        <v xml:space="preserve">          9150 - MISC. INCOME</v>
      </c>
      <c r="C125" s="12"/>
      <c r="D125" s="3">
        <f>0</f>
        <v>0</v>
      </c>
      <c r="E125" s="3"/>
      <c r="F125" s="20">
        <f>IF(D$12=0,0,D125/D$12)</f>
        <v>0</v>
      </c>
      <c r="G125" s="3"/>
      <c r="H125" s="3">
        <v>0</v>
      </c>
      <c r="I125" s="3"/>
      <c r="J125" s="20">
        <f>IF(H$12=0,0,H125/H$12)</f>
        <v>0</v>
      </c>
      <c r="K125" s="3"/>
      <c r="L125" s="3">
        <f>+D125-H125</f>
        <v>0</v>
      </c>
      <c r="M125" s="3"/>
      <c r="N125" s="20">
        <f>IF(H125=0,0,L125/H125)</f>
        <v>0</v>
      </c>
      <c r="O125" s="12"/>
      <c r="P125" s="3">
        <f>--78871.67</f>
        <v>78871.67</v>
      </c>
      <c r="Q125" s="3"/>
      <c r="R125" s="20">
        <f>IF(P$12=0,0,P125/P$12)</f>
        <v>2.271496652759768E-2</v>
      </c>
      <c r="S125" s="3"/>
      <c r="T125" s="3">
        <v>47895</v>
      </c>
      <c r="U125" s="3"/>
      <c r="V125" s="20">
        <f>IF(T$12=0,0,T125/T$12)</f>
        <v>1.6697852027641142E-2</v>
      </c>
      <c r="W125" s="3"/>
      <c r="X125" s="3">
        <f>+P125-T125</f>
        <v>30976.67</v>
      </c>
      <c r="Y125" s="3"/>
      <c r="Z125" s="20">
        <f>IF(T125=0,0,X125/T125)</f>
        <v>0.6467620837248147</v>
      </c>
    </row>
    <row r="126" spans="1:26" s="70" customFormat="1" ht="15" hidden="1" customHeight="1" outlineLevel="1" x14ac:dyDescent="0.3">
      <c r="A126" s="42"/>
      <c r="B126" s="12" t="str">
        <f>CONCATENATE("          ","9160"," - ","MISC. INCOME")</f>
        <v xml:space="preserve">          9160 - MISC. INCOME</v>
      </c>
      <c r="C126" s="12"/>
      <c r="D126" s="3">
        <f>0</f>
        <v>0</v>
      </c>
      <c r="E126" s="3"/>
      <c r="F126" s="20">
        <f>IF(D$12=0,0,D126/D$12)</f>
        <v>0</v>
      </c>
      <c r="G126" s="3"/>
      <c r="H126" s="3">
        <v>58333</v>
      </c>
      <c r="I126" s="3"/>
      <c r="J126" s="20">
        <f>IF(H$12=0,0,H126/H$12)</f>
        <v>0.19785836877844937</v>
      </c>
      <c r="K126" s="3"/>
      <c r="L126" s="3">
        <f>+D126-H126</f>
        <v>-58333</v>
      </c>
      <c r="M126" s="3"/>
      <c r="N126" s="20">
        <f>IF(H126=0,0,L126/H126)</f>
        <v>-1</v>
      </c>
      <c r="O126" s="12"/>
      <c r="P126" s="3">
        <f>0</f>
        <v>0</v>
      </c>
      <c r="Q126" s="3"/>
      <c r="R126" s="20">
        <f>IF(P$12=0,0,P126/P$12)</f>
        <v>0</v>
      </c>
      <c r="S126" s="3"/>
      <c r="T126" s="3">
        <v>116666</v>
      </c>
      <c r="U126" s="3"/>
      <c r="V126" s="20">
        <f>IF(T$12=0,0,T126/T$12)</f>
        <v>4.0673799032399656E-2</v>
      </c>
      <c r="W126" s="3"/>
      <c r="X126" s="3">
        <f>+P126-T126</f>
        <v>-116666</v>
      </c>
      <c r="Y126" s="3"/>
      <c r="Z126" s="20">
        <f>IF(T126=0,0,X126/T126)</f>
        <v>-1</v>
      </c>
    </row>
    <row r="127" spans="1:26" s="70" customFormat="1" ht="15" hidden="1" customHeight="1" outlineLevel="1" x14ac:dyDescent="0.3">
      <c r="A127" s="42"/>
      <c r="B127" s="12" t="str">
        <f>CONCATENATE("          ","9163"," - ","MISC. INCOME")</f>
        <v xml:space="preserve">          9163 - MISC. INCOME</v>
      </c>
      <c r="C127" s="12"/>
      <c r="D127" s="3">
        <f>--175055</f>
        <v>175055</v>
      </c>
      <c r="E127" s="3"/>
      <c r="F127" s="20">
        <f>IF(D$12=0,0,D127/D$12)</f>
        <v>0.31726140743289716</v>
      </c>
      <c r="G127" s="3"/>
      <c r="H127" s="3"/>
      <c r="I127" s="3"/>
      <c r="J127" s="20">
        <f>IF(H$12=0,0,H127/H$12)</f>
        <v>0</v>
      </c>
      <c r="K127" s="3"/>
      <c r="L127" s="3">
        <f>+D127-H127</f>
        <v>175055</v>
      </c>
      <c r="M127" s="3"/>
      <c r="N127" s="20">
        <f>IF(H127=0,0,L127/H127)</f>
        <v>0</v>
      </c>
      <c r="O127" s="12"/>
      <c r="P127" s="3">
        <f>--254830.7</f>
        <v>254830.7</v>
      </c>
      <c r="Q127" s="3"/>
      <c r="R127" s="20">
        <f>IF(P$12=0,0,P127/P$12)</f>
        <v>7.3391001112367557E-2</v>
      </c>
      <c r="S127" s="3"/>
      <c r="T127" s="3"/>
      <c r="U127" s="3"/>
      <c r="V127" s="20">
        <f>IF(T$12=0,0,T127/T$12)</f>
        <v>0</v>
      </c>
      <c r="W127" s="3"/>
      <c r="X127" s="3">
        <f>+P127-T127</f>
        <v>254830.7</v>
      </c>
      <c r="Y127" s="3"/>
      <c r="Z127" s="20">
        <f>IF(T127=0,0,X127/T127)</f>
        <v>0</v>
      </c>
    </row>
    <row r="128" spans="1:26" ht="15" customHeight="1" x14ac:dyDescent="0.3">
      <c r="A128" s="10"/>
      <c r="B128" s="11"/>
      <c r="C128" s="11"/>
      <c r="D128" s="4"/>
      <c r="E128" s="4"/>
      <c r="F128" s="9"/>
      <c r="G128" s="4"/>
      <c r="H128" s="4"/>
      <c r="I128" s="4"/>
      <c r="J128" s="9"/>
      <c r="K128" s="4"/>
      <c r="L128" s="4"/>
      <c r="M128" s="4"/>
      <c r="N128" s="9"/>
      <c r="O128" s="11"/>
      <c r="P128" s="4"/>
      <c r="Q128" s="4"/>
      <c r="R128" s="9"/>
      <c r="S128" s="4"/>
      <c r="T128" s="4"/>
      <c r="U128" s="4"/>
      <c r="V128" s="9"/>
      <c r="W128" s="4"/>
      <c r="X128" s="4"/>
      <c r="Y128" s="4"/>
      <c r="Z128" s="9"/>
    </row>
    <row r="129" spans="1:26" s="63" customFormat="1" ht="15" customHeight="1" x14ac:dyDescent="0.3">
      <c r="A129" s="11"/>
      <c r="B129" s="27" t="s">
        <v>292</v>
      </c>
      <c r="C129" s="27"/>
      <c r="D129" s="21">
        <f>+D42-D44+D124</f>
        <v>372921.87999999995</v>
      </c>
      <c r="E129" s="15"/>
      <c r="F129" s="23">
        <f>IF(D$12=0,0,D129/D$12)</f>
        <v>0.6758659878970722</v>
      </c>
      <c r="G129" s="15"/>
      <c r="H129" s="21">
        <f>+H42-H44+H124</f>
        <v>97776.048566107682</v>
      </c>
      <c r="I129" s="15"/>
      <c r="J129" s="23">
        <f>IF(H$12=0,0,H129/H$12)</f>
        <v>0.33164434325154729</v>
      </c>
      <c r="K129" s="16"/>
      <c r="L129" s="21">
        <f>+D129-H129</f>
        <v>275145.83143389225</v>
      </c>
      <c r="M129" s="16"/>
      <c r="N129" s="23">
        <f>IF(H129=0,0,L129/H129)</f>
        <v>2.8140412245015454</v>
      </c>
      <c r="O129" s="28"/>
      <c r="P129" s="21">
        <f>+P42-P44+P124</f>
        <v>1194418.4499999997</v>
      </c>
      <c r="Q129" s="15"/>
      <c r="R129" s="23">
        <f>IF(P$12=0,0,P129/P$12)</f>
        <v>0.34399138640902494</v>
      </c>
      <c r="S129" s="15"/>
      <c r="T129" s="21">
        <f>+T42-T44+T124</f>
        <v>481700.63535735011</v>
      </c>
      <c r="U129" s="15"/>
      <c r="V129" s="23">
        <f>IF(T$12=0,0,T129/T$12)</f>
        <v>0.16793748681110252</v>
      </c>
      <c r="W129" s="16"/>
      <c r="X129" s="21">
        <f>+P129-T129</f>
        <v>712717.81464264961</v>
      </c>
      <c r="Y129" s="16"/>
      <c r="Z129" s="23">
        <f>IF(T129=0,0,X129/T129)</f>
        <v>1.4795866194237406</v>
      </c>
    </row>
    <row r="130" spans="1:26" ht="15" customHeight="1" x14ac:dyDescent="0.3">
      <c r="A130" s="10"/>
      <c r="B130" s="11"/>
      <c r="C130" s="10"/>
      <c r="D130" s="4"/>
      <c r="E130" s="4"/>
      <c r="F130" s="9"/>
      <c r="G130" s="4"/>
      <c r="H130" s="4"/>
      <c r="I130" s="4"/>
      <c r="J130" s="9"/>
      <c r="K130" s="4"/>
      <c r="L130" s="4"/>
      <c r="M130" s="4"/>
      <c r="N130" s="9"/>
      <c r="P130" s="4"/>
      <c r="Q130" s="4"/>
      <c r="R130" s="9"/>
      <c r="S130" s="4"/>
      <c r="T130" s="4"/>
      <c r="U130" s="4"/>
      <c r="V130" s="9"/>
      <c r="W130" s="4"/>
      <c r="X130" s="4"/>
      <c r="Y130" s="4"/>
      <c r="Z130" s="9"/>
    </row>
    <row r="131" spans="1:26" s="63" customFormat="1" ht="15" customHeight="1" x14ac:dyDescent="0.3">
      <c r="A131" s="49"/>
      <c r="B131" s="11" t="s">
        <v>293</v>
      </c>
      <c r="C131" s="11"/>
      <c r="D131" s="5">
        <v>49862.26</v>
      </c>
      <c r="E131" s="5"/>
      <c r="F131" s="13">
        <f>IF(D$12=0,0,D131/D$12)</f>
        <v>9.0368003115506843E-2</v>
      </c>
      <c r="G131" s="5"/>
      <c r="H131" s="5">
        <v>34705</v>
      </c>
      <c r="I131" s="5"/>
      <c r="J131" s="13">
        <f>IF(H$12=0,0,H131/H$12)</f>
        <v>0.11771509588836654</v>
      </c>
      <c r="K131" s="5"/>
      <c r="L131" s="5">
        <f>+D131-H131</f>
        <v>15157.260000000002</v>
      </c>
      <c r="M131" s="5"/>
      <c r="N131" s="13">
        <f>IF(H131=0,0,L131/H131)</f>
        <v>0.43674571387408162</v>
      </c>
      <c r="O131" s="11"/>
      <c r="P131" s="5">
        <v>414402.56</v>
      </c>
      <c r="Q131" s="5"/>
      <c r="R131" s="13">
        <f>IF(P$12=0,0,P131/P$12)</f>
        <v>0.1193475462019606</v>
      </c>
      <c r="S131" s="5"/>
      <c r="T131" s="5">
        <v>349311</v>
      </c>
      <c r="U131" s="5"/>
      <c r="V131" s="13">
        <f>IF(T$12=0,0,T131/T$12)</f>
        <v>0.12178188515768566</v>
      </c>
      <c r="W131" s="5"/>
      <c r="X131" s="5">
        <f>+P131-T131</f>
        <v>65091.56</v>
      </c>
      <c r="Y131" s="5"/>
      <c r="Z131" s="13">
        <f>IF(T131=0,0,X131/T131)</f>
        <v>0.18634271465828445</v>
      </c>
    </row>
    <row r="132" spans="1:26" ht="15" customHeight="1" x14ac:dyDescent="0.3">
      <c r="A132" s="10"/>
      <c r="B132" s="11"/>
      <c r="C132" s="11"/>
      <c r="D132" s="4"/>
      <c r="E132" s="4"/>
      <c r="F132" s="9"/>
      <c r="G132" s="4"/>
      <c r="H132" s="4"/>
      <c r="I132" s="4"/>
      <c r="J132" s="9"/>
      <c r="K132" s="4"/>
      <c r="L132" s="4"/>
      <c r="M132" s="4"/>
      <c r="N132" s="9"/>
      <c r="O132" s="11"/>
      <c r="P132" s="4"/>
      <c r="Q132" s="4"/>
      <c r="R132" s="9"/>
      <c r="S132" s="4"/>
      <c r="T132" s="4"/>
      <c r="U132" s="4"/>
      <c r="V132" s="9"/>
      <c r="W132" s="4"/>
      <c r="X132" s="4"/>
      <c r="Y132" s="4"/>
      <c r="Z132" s="9"/>
    </row>
    <row r="133" spans="1:26" s="63" customFormat="1" ht="15" customHeight="1" x14ac:dyDescent="0.3">
      <c r="A133" s="11"/>
      <c r="B133" s="27" t="s">
        <v>294</v>
      </c>
      <c r="C133" s="27"/>
      <c r="D133" s="34">
        <f>+D129-D131</f>
        <v>323059.61999999994</v>
      </c>
      <c r="E133" s="15"/>
      <c r="F133" s="29">
        <f>IF(D$12=0,0,D133/D$12)</f>
        <v>0.58549798478156534</v>
      </c>
      <c r="G133" s="15"/>
      <c r="H133" s="34">
        <f>+H129-H131</f>
        <v>63071.048566107682</v>
      </c>
      <c r="I133" s="15"/>
      <c r="J133" s="29">
        <f>IF(H$12=0,0,H133/H$12)</f>
        <v>0.21392924736318078</v>
      </c>
      <c r="K133" s="16"/>
      <c r="L133" s="34">
        <f>D133-H133</f>
        <v>259988.57143389224</v>
      </c>
      <c r="M133" s="16"/>
      <c r="N133" s="29">
        <f>IF(H133=0,0,L133/H133)</f>
        <v>4.1221539413822521</v>
      </c>
      <c r="O133" s="28"/>
      <c r="P133" s="34">
        <f>+P129-P131</f>
        <v>780015.88999999966</v>
      </c>
      <c r="Q133" s="15"/>
      <c r="R133" s="29">
        <f>IF(P$12=0,0,P133/P$12)</f>
        <v>0.22464384020706429</v>
      </c>
      <c r="S133" s="15"/>
      <c r="T133" s="34">
        <f>+T129-T131</f>
        <v>132389.63535735011</v>
      </c>
      <c r="U133" s="15"/>
      <c r="V133" s="29">
        <f>IF(T$12=0,0,T133/T$12)</f>
        <v>4.6155601653416846E-2</v>
      </c>
      <c r="W133" s="16"/>
      <c r="X133" s="34">
        <f>P133-T133</f>
        <v>647626.25464264955</v>
      </c>
      <c r="Y133" s="16"/>
      <c r="Z133" s="29">
        <f>IF(T133=0,0,X133/T133)</f>
        <v>4.8918199139574421</v>
      </c>
    </row>
    <row r="134" spans="1:26" ht="15" customHeight="1" x14ac:dyDescent="0.3">
      <c r="A134" s="10"/>
      <c r="B134" s="10"/>
      <c r="C134" s="10"/>
      <c r="D134" s="4"/>
      <c r="E134" s="4"/>
      <c r="F134" s="9"/>
      <c r="G134" s="4"/>
      <c r="H134" s="4"/>
      <c r="I134" s="4"/>
      <c r="J134" s="9"/>
      <c r="K134" s="4"/>
      <c r="L134" s="4"/>
      <c r="M134" s="4"/>
      <c r="N134" s="9"/>
      <c r="P134" s="4"/>
      <c r="Q134" s="4"/>
      <c r="R134" s="9"/>
      <c r="S134" s="4"/>
      <c r="T134" s="4"/>
      <c r="U134" s="4"/>
      <c r="V134" s="9"/>
      <c r="W134" s="4"/>
      <c r="X134" s="4"/>
      <c r="Y134" s="4"/>
      <c r="Z134" s="9"/>
    </row>
    <row r="135" spans="1:26" ht="15" customHeight="1" x14ac:dyDescent="0.3">
      <c r="A135" s="10"/>
      <c r="B135" s="10"/>
      <c r="C135" s="10"/>
      <c r="D135" s="4"/>
      <c r="E135" s="4"/>
      <c r="F135" s="9"/>
      <c r="G135" s="4"/>
      <c r="H135" s="4"/>
      <c r="I135" s="4"/>
      <c r="J135" s="9"/>
      <c r="K135" s="4"/>
      <c r="L135" s="4"/>
      <c r="M135" s="4"/>
      <c r="N135" s="9"/>
      <c r="P135" s="4"/>
      <c r="Q135" s="4"/>
      <c r="R135" s="9"/>
      <c r="S135" s="4"/>
      <c r="T135" s="4"/>
      <c r="U135" s="4"/>
      <c r="V135" s="9"/>
      <c r="W135" s="4"/>
      <c r="X135" s="4"/>
      <c r="Y135" s="4"/>
      <c r="Z135" s="9"/>
    </row>
    <row r="136" spans="1:26" s="63" customFormat="1" ht="15" customHeight="1" x14ac:dyDescent="0.3">
      <c r="A136" s="11"/>
      <c r="B136" s="27" t="s">
        <v>297</v>
      </c>
      <c r="C136" s="27"/>
      <c r="D136" s="32">
        <f>SUM(D133:D135)</f>
        <v>323059.61999999994</v>
      </c>
      <c r="E136" s="15"/>
      <c r="F136" s="31">
        <f>IF(D$12=0,0,D136/D$12)</f>
        <v>0.58549798478156534</v>
      </c>
      <c r="G136" s="15"/>
      <c r="H136" s="32">
        <f>SUM(H133:H135)</f>
        <v>63071.048566107682</v>
      </c>
      <c r="I136" s="15"/>
      <c r="J136" s="31">
        <f>IF(H$12=0,0,H136/H$12)</f>
        <v>0.21392924736318078</v>
      </c>
      <c r="K136" s="16"/>
      <c r="L136" s="32">
        <f>+D136-H136</f>
        <v>259988.57143389224</v>
      </c>
      <c r="M136" s="16"/>
      <c r="N136" s="31">
        <f>IF(H136=0,0,L136/H136)</f>
        <v>4.1221539413822521</v>
      </c>
      <c r="O136" s="28"/>
      <c r="P136" s="32">
        <f>SUM(P133:P135)</f>
        <v>780015.88999999966</v>
      </c>
      <c r="Q136" s="15"/>
      <c r="R136" s="31">
        <f>IF(P$12=0,0,P136/P$12)</f>
        <v>0.22464384020706429</v>
      </c>
      <c r="S136" s="15"/>
      <c r="T136" s="32">
        <f>SUM(T133:T135)</f>
        <v>132389.63535735011</v>
      </c>
      <c r="U136" s="15"/>
      <c r="V136" s="31">
        <f>IF(T$12=0,0,T136/T$12)</f>
        <v>4.6155601653416846E-2</v>
      </c>
      <c r="W136" s="16"/>
      <c r="X136" s="32">
        <f>+P136-T136</f>
        <v>647626.25464264955</v>
      </c>
      <c r="Y136" s="16"/>
      <c r="Z136" s="31">
        <f>IF(T136=0,0,X136/T136)</f>
        <v>4.8918199139574421</v>
      </c>
    </row>
    <row r="137" spans="1:26" ht="15" customHeight="1" x14ac:dyDescent="0.3">
      <c r="A137" s="10"/>
      <c r="C137" s="10"/>
      <c r="D137" s="19"/>
      <c r="E137" s="19"/>
      <c r="G137" s="19"/>
      <c r="H137" s="19"/>
      <c r="I137" s="19"/>
      <c r="J137" s="40"/>
      <c r="K137" s="19"/>
      <c r="L137" s="19"/>
      <c r="M137" s="19"/>
      <c r="P137" s="19"/>
      <c r="Q137" s="19"/>
      <c r="R137" s="40"/>
      <c r="S137" s="19"/>
      <c r="T137" s="19"/>
      <c r="U137" s="19"/>
      <c r="V137" s="40"/>
      <c r="W137" s="19"/>
      <c r="X137" s="19"/>
    </row>
    <row r="138" spans="1:26" ht="15" customHeight="1" x14ac:dyDescent="0.3">
      <c r="A138" s="10"/>
      <c r="B138" s="51">
        <v>44663.047620868056</v>
      </c>
      <c r="D138" s="19"/>
      <c r="E138" s="19"/>
      <c r="G138" s="19"/>
      <c r="H138" s="19"/>
      <c r="I138" s="19"/>
      <c r="J138" s="40"/>
      <c r="K138" s="19"/>
      <c r="L138" s="19"/>
      <c r="M138" s="19"/>
      <c r="P138" s="19"/>
      <c r="Q138" s="19"/>
      <c r="R138" s="40"/>
      <c r="S138" s="19"/>
      <c r="T138" s="19"/>
      <c r="U138" s="19"/>
      <c r="V138" s="40"/>
      <c r="W138" s="19"/>
      <c r="X138" s="19"/>
    </row>
    <row r="139" spans="1:26" ht="15" customHeight="1" x14ac:dyDescent="0.3">
      <c r="A139" s="10"/>
      <c r="B139" s="58" t="s">
        <v>298</v>
      </c>
      <c r="D139" s="19"/>
      <c r="E139" s="19"/>
      <c r="G139" s="19"/>
      <c r="H139" s="19"/>
      <c r="I139" s="19"/>
      <c r="J139" s="40"/>
      <c r="K139" s="19"/>
      <c r="L139" s="19"/>
      <c r="M139" s="19"/>
      <c r="P139" s="19"/>
      <c r="Q139" s="19"/>
      <c r="R139" s="40"/>
      <c r="S139" s="19"/>
      <c r="T139" s="19"/>
      <c r="U139" s="19"/>
      <c r="V139" s="40"/>
      <c r="W139" s="19"/>
      <c r="X139" s="19"/>
    </row>
    <row r="140" spans="1:26" ht="15" customHeight="1" x14ac:dyDescent="0.3">
      <c r="A140" s="10"/>
      <c r="B140" s="50"/>
      <c r="D140" s="19"/>
      <c r="E140" s="19"/>
      <c r="G140" s="19"/>
      <c r="H140" s="19"/>
      <c r="I140" s="19"/>
      <c r="J140" s="40"/>
      <c r="K140" s="19"/>
      <c r="L140" s="19"/>
      <c r="M140" s="19"/>
      <c r="P140" s="19"/>
      <c r="Q140" s="19"/>
      <c r="R140" s="40"/>
      <c r="S140" s="19"/>
      <c r="T140" s="19"/>
      <c r="U140" s="19"/>
      <c r="V140" s="40"/>
      <c r="W140" s="19"/>
      <c r="X140" s="19"/>
    </row>
    <row r="141" spans="1:26" ht="15" customHeight="1" x14ac:dyDescent="0.3">
      <c r="D141" s="19"/>
      <c r="E141" s="19"/>
      <c r="G141" s="19"/>
      <c r="H141" s="19"/>
      <c r="I141" s="19"/>
      <c r="J141" s="40"/>
      <c r="K141" s="19"/>
      <c r="L141" s="19"/>
      <c r="M141" s="19"/>
      <c r="P141" s="19"/>
      <c r="Q141" s="19"/>
      <c r="R141" s="40"/>
      <c r="S141" s="19"/>
      <c r="T141" s="19"/>
      <c r="U141" s="19"/>
      <c r="V141" s="40"/>
      <c r="W141" s="19"/>
      <c r="X141" s="19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6E63DB-F8E3-89C5-E7E1-7F8C131F4374}">
  <sheetPr>
    <tabColor rgb="FF92D050"/>
    <outlinePr summaryBelow="0" summaryRight="0"/>
  </sheetPr>
  <dimension ref="A2:Z98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6" customWidth="1"/>
    <col min="2" max="2" width="33.44140625" style="66" customWidth="1"/>
    <col min="3" max="3" width="1.88671875" style="66" customWidth="1"/>
    <col min="4" max="4" width="15" style="66" customWidth="1"/>
    <col min="5" max="5" width="1.88671875" style="66" customWidth="1" outlineLevel="1"/>
    <col min="6" max="6" width="15" style="67" customWidth="1" outlineLevel="1"/>
    <col min="7" max="7" width="1.88671875" style="66" customWidth="1" outlineLevel="1"/>
    <col min="8" max="8" width="15" style="66" customWidth="1" outlineLevel="1"/>
    <col min="9" max="9" width="1.88671875" style="66" customWidth="1" outlineLevel="1"/>
    <col min="10" max="10" width="15" style="68" customWidth="1" outlineLevel="1"/>
    <col min="11" max="11" width="1.88671875" style="66" customWidth="1" outlineLevel="1"/>
    <col min="12" max="12" width="15" style="66" customWidth="1" outlineLevel="1"/>
    <col min="13" max="13" width="1.88671875" style="66" customWidth="1" outlineLevel="1"/>
    <col min="14" max="14" width="15" style="67" customWidth="1" outlineLevel="1"/>
    <col min="15" max="15" width="1.88671875" style="64" customWidth="1"/>
    <col min="16" max="16" width="15" style="66" customWidth="1"/>
    <col min="17" max="17" width="1.88671875" style="66" customWidth="1" outlineLevel="1"/>
    <col min="18" max="18" width="15" style="68" customWidth="1" outlineLevel="1"/>
    <col min="19" max="19" width="1.88671875" style="66" customWidth="1" outlineLevel="1"/>
    <col min="20" max="20" width="15" style="66" customWidth="1" outlineLevel="1"/>
    <col min="21" max="21" width="1.88671875" style="66" customWidth="1" outlineLevel="1"/>
    <col min="22" max="22" width="15" style="68" customWidth="1" outlineLevel="1"/>
    <col min="23" max="23" width="1.88671875" style="66" customWidth="1" outlineLevel="1"/>
    <col min="24" max="24" width="15" style="66" customWidth="1" outlineLevel="1"/>
    <col min="25" max="25" width="1.88671875" style="66" customWidth="1" outlineLevel="1"/>
    <col min="26" max="26" width="15" style="68" customWidth="1" outlineLevel="1"/>
  </cols>
  <sheetData>
    <row r="2" spans="1:26" ht="15" customHeight="1" x14ac:dyDescent="0.3">
      <c r="D2" s="54" t="s">
        <v>276</v>
      </c>
    </row>
    <row r="3" spans="1:26" ht="15" customHeight="1" x14ac:dyDescent="0.3">
      <c r="D3" s="54" t="s">
        <v>277</v>
      </c>
      <c r="E3" s="18"/>
      <c r="F3" s="44"/>
      <c r="G3" s="18"/>
      <c r="H3" s="18"/>
      <c r="I3" s="18"/>
      <c r="J3" s="38"/>
      <c r="K3" s="18"/>
      <c r="L3" s="18"/>
      <c r="M3" s="18"/>
      <c r="N3" s="44"/>
      <c r="O3" s="53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ht="15" customHeight="1" x14ac:dyDescent="0.3">
      <c r="D4" s="54" t="str">
        <f>CONCATENATE("Period ",RIGHT(202209,2),", ",2022)</f>
        <v>Period 09, 2022</v>
      </c>
      <c r="E4" s="18"/>
      <c r="F4" s="44"/>
      <c r="G4" s="18"/>
      <c r="H4" s="18"/>
      <c r="I4" s="18"/>
      <c r="J4" s="38"/>
      <c r="K4" s="18"/>
      <c r="L4" s="18"/>
      <c r="M4" s="18"/>
      <c r="N4" s="44"/>
      <c r="O4" s="53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ht="15" customHeight="1" x14ac:dyDescent="0.3">
      <c r="A5" s="24"/>
      <c r="D5" s="60">
        <v>44646</v>
      </c>
      <c r="E5" s="18"/>
      <c r="F5" s="44"/>
      <c r="G5" s="18"/>
      <c r="H5" s="18"/>
      <c r="I5" s="18"/>
      <c r="J5" s="38"/>
      <c r="K5" s="18"/>
      <c r="L5" s="18"/>
      <c r="M5" s="18"/>
      <c r="N5" s="44"/>
      <c r="O5" s="53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ht="15" customHeight="1" x14ac:dyDescent="0.3">
      <c r="A6" s="24"/>
      <c r="B6" s="47"/>
      <c r="C6" s="47"/>
      <c r="D6" s="24" t="str">
        <f>CONCATENATE("Department ","307"," - ","Art Store")</f>
        <v>Department 307 - Art Store</v>
      </c>
      <c r="E6" s="18"/>
      <c r="F6" s="44"/>
      <c r="G6" s="18"/>
      <c r="H6" s="18"/>
      <c r="I6" s="18"/>
      <c r="J6" s="38"/>
      <c r="K6" s="18"/>
      <c r="L6" s="18"/>
      <c r="M6" s="18"/>
      <c r="N6" s="44"/>
      <c r="O6" s="59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ht="15" customHeight="1" x14ac:dyDescent="0.3">
      <c r="B7" s="52"/>
    </row>
    <row r="8" spans="1:26" ht="15" customHeight="1" x14ac:dyDescent="0.3">
      <c r="B8" s="52"/>
    </row>
    <row r="9" spans="1:26" ht="15" customHeight="1" x14ac:dyDescent="0.3">
      <c r="B9" s="10"/>
      <c r="C9" s="10"/>
      <c r="D9" s="17" t="s">
        <v>279</v>
      </c>
      <c r="E9" s="17"/>
      <c r="F9" s="36"/>
      <c r="G9" s="17"/>
      <c r="H9" s="17"/>
      <c r="I9" s="17"/>
      <c r="J9" s="43"/>
      <c r="K9" s="17"/>
      <c r="L9" s="17"/>
      <c r="M9" s="17"/>
      <c r="N9" s="36"/>
      <c r="P9" s="17" t="s">
        <v>280</v>
      </c>
      <c r="Q9" s="17"/>
      <c r="R9" s="36"/>
      <c r="S9" s="17"/>
      <c r="T9" s="17"/>
      <c r="U9" s="17"/>
      <c r="V9" s="43"/>
      <c r="W9" s="17"/>
      <c r="X9" s="17"/>
      <c r="Y9" s="17"/>
      <c r="Z9" s="36"/>
    </row>
    <row r="10" spans="1:26" ht="15" customHeight="1" x14ac:dyDescent="0.3">
      <c r="A10" s="11"/>
      <c r="B10" s="57"/>
      <c r="C10" s="11"/>
      <c r="D10" s="41" t="s">
        <v>281</v>
      </c>
      <c r="E10" s="33"/>
      <c r="F10" s="37" t="s">
        <v>282</v>
      </c>
      <c r="G10" s="33"/>
      <c r="H10" s="48" t="s">
        <v>283</v>
      </c>
      <c r="I10" s="33"/>
      <c r="J10" s="45" t="s">
        <v>284</v>
      </c>
      <c r="K10" s="11"/>
      <c r="L10" s="41" t="s">
        <v>285</v>
      </c>
      <c r="M10" s="11"/>
      <c r="N10" s="37" t="s">
        <v>286</v>
      </c>
      <c r="O10" s="11"/>
      <c r="P10" s="56" t="s">
        <v>281</v>
      </c>
      <c r="Q10" s="33"/>
      <c r="R10" s="37" t="s">
        <v>282</v>
      </c>
      <c r="S10" s="33"/>
      <c r="T10" s="48" t="s">
        <v>283</v>
      </c>
      <c r="U10" s="33"/>
      <c r="V10" s="45" t="s">
        <v>284</v>
      </c>
      <c r="W10" s="11"/>
      <c r="X10" s="41" t="s">
        <v>285</v>
      </c>
      <c r="Y10" s="11"/>
      <c r="Z10" s="37" t="s">
        <v>286</v>
      </c>
    </row>
    <row r="11" spans="1:26" ht="16.5" customHeight="1" x14ac:dyDescent="0.3">
      <c r="A11" s="10"/>
      <c r="B11" s="55"/>
      <c r="C11" s="10"/>
      <c r="D11" s="10"/>
      <c r="E11" s="10"/>
      <c r="F11" s="9"/>
      <c r="G11" s="10"/>
      <c r="H11" s="10"/>
      <c r="I11" s="10"/>
      <c r="J11" s="46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6"/>
      <c r="W11" s="10"/>
      <c r="X11" s="10"/>
      <c r="Y11" s="10"/>
      <c r="Z11" s="9"/>
    </row>
    <row r="12" spans="1:26" s="63" customFormat="1" ht="15" customHeight="1" collapsed="1" x14ac:dyDescent="0.3">
      <c r="A12" s="11"/>
      <c r="B12" s="28" t="s">
        <v>287</v>
      </c>
      <c r="C12" s="11"/>
      <c r="D12" s="5">
        <f>SUM(OSRRefD13x_0)</f>
        <v>42474.009999999995</v>
      </c>
      <c r="E12" s="5"/>
      <c r="F12" s="13"/>
      <c r="G12" s="5"/>
      <c r="H12" s="5">
        <f>SUM(OSRRefH13x_0)</f>
        <v>37273</v>
      </c>
      <c r="I12" s="5"/>
      <c r="J12" s="13"/>
      <c r="K12" s="5"/>
      <c r="L12" s="5">
        <f>+D12-H12</f>
        <v>5201.0099999999948</v>
      </c>
      <c r="M12" s="5"/>
      <c r="N12" s="13">
        <f>IF(H12=0,0,L12/H12)</f>
        <v>0.13953827167118274</v>
      </c>
      <c r="O12" s="11"/>
      <c r="P12" s="5">
        <f>SUM(OSRRefP13x_0)</f>
        <v>186198.25</v>
      </c>
      <c r="Q12" s="5"/>
      <c r="R12" s="13"/>
      <c r="S12" s="5"/>
      <c r="T12" s="5">
        <f>SUM(OSRRefT13x_0)</f>
        <v>424648</v>
      </c>
      <c r="U12" s="5"/>
      <c r="V12" s="13"/>
      <c r="W12" s="5"/>
      <c r="X12" s="5">
        <f>+P12-T12</f>
        <v>-238449.75</v>
      </c>
      <c r="Y12" s="5"/>
      <c r="Z12" s="13">
        <f>IF(T12=0,0,X12/T12)</f>
        <v>-0.56152330871686662</v>
      </c>
    </row>
    <row r="13" spans="1:26" s="70" customFormat="1" ht="15" hidden="1" customHeight="1" outlineLevel="1" x14ac:dyDescent="0.3">
      <c r="A13" s="42"/>
      <c r="B13" s="12" t="str">
        <f>CONCATENATE("          ","4000"," - ","TAXABLE SALES")</f>
        <v xml:space="preserve">          4000 - TAXABLE SALES</v>
      </c>
      <c r="C13" s="12"/>
      <c r="D13" s="3">
        <f>--23784.59</f>
        <v>23784.59</v>
      </c>
      <c r="E13" s="3"/>
      <c r="F13" s="20"/>
      <c r="G13" s="3"/>
      <c r="H13" s="3">
        <v>16932</v>
      </c>
      <c r="I13" s="3"/>
      <c r="J13" s="20"/>
      <c r="K13" s="3"/>
      <c r="L13" s="3">
        <f>+D13-H13</f>
        <v>6852.59</v>
      </c>
      <c r="M13" s="3"/>
      <c r="N13" s="20">
        <f>IF(H13=0,0,L13/H13)</f>
        <v>0.40471237892747464</v>
      </c>
      <c r="O13" s="12"/>
      <c r="P13" s="3">
        <f>--129475.8</f>
        <v>129475.8</v>
      </c>
      <c r="Q13" s="3"/>
      <c r="R13" s="20"/>
      <c r="S13" s="3"/>
      <c r="T13" s="3">
        <v>282902</v>
      </c>
      <c r="U13" s="3"/>
      <c r="V13" s="20"/>
      <c r="W13" s="3"/>
      <c r="X13" s="3">
        <f>+P13-T13</f>
        <v>-153426.20000000001</v>
      </c>
      <c r="Y13" s="3"/>
      <c r="Z13" s="20">
        <f>IF(T13=0,0,X13/T13)</f>
        <v>-0.54232985274052503</v>
      </c>
    </row>
    <row r="14" spans="1:26" s="70" customFormat="1" ht="15" hidden="1" customHeight="1" outlineLevel="1" x14ac:dyDescent="0.3">
      <c r="A14" s="42"/>
      <c r="B14" s="12" t="str">
        <f>CONCATENATE("          ","4100"," - ","NON-TAXABLE SALES")</f>
        <v xml:space="preserve">          4100 - NON-TAXABLE SALES</v>
      </c>
      <c r="C14" s="12"/>
      <c r="D14" s="3">
        <f>--19155.39</f>
        <v>19155.39</v>
      </c>
      <c r="E14" s="3"/>
      <c r="F14" s="20"/>
      <c r="G14" s="3"/>
      <c r="H14" s="3">
        <v>20341</v>
      </c>
      <c r="I14" s="3"/>
      <c r="J14" s="20"/>
      <c r="K14" s="3"/>
      <c r="L14" s="3">
        <f>+D14-H14</f>
        <v>-1185.6100000000006</v>
      </c>
      <c r="M14" s="3"/>
      <c r="N14" s="20">
        <f>IF(H14=0,0,L14/H14)</f>
        <v>-5.8286711567769559E-2</v>
      </c>
      <c r="O14" s="12"/>
      <c r="P14" s="3">
        <f>--60733.93</f>
        <v>60733.93</v>
      </c>
      <c r="Q14" s="3"/>
      <c r="R14" s="20"/>
      <c r="S14" s="3"/>
      <c r="T14" s="3">
        <v>141746</v>
      </c>
      <c r="U14" s="3"/>
      <c r="V14" s="20"/>
      <c r="W14" s="3"/>
      <c r="X14" s="3">
        <f>+P14-T14</f>
        <v>-81012.070000000007</v>
      </c>
      <c r="Y14" s="3"/>
      <c r="Z14" s="20">
        <f>IF(T14=0,0,X14/T14)</f>
        <v>-0.57152984916681959</v>
      </c>
    </row>
    <row r="15" spans="1:26" s="70" customFormat="1" ht="15" hidden="1" customHeight="1" outlineLevel="1" x14ac:dyDescent="0.3">
      <c r="A15" s="42"/>
      <c r="B15" s="12" t="str">
        <f>CONCATENATE("          ","4200"," - ","TAXABLE RETURNS")</f>
        <v xml:space="preserve">          4200 - TAXABLE RETURNS</v>
      </c>
      <c r="C15" s="12"/>
      <c r="D15" s="3">
        <f>-328.73</f>
        <v>-328.73</v>
      </c>
      <c r="E15" s="3"/>
      <c r="F15" s="20"/>
      <c r="G15" s="3"/>
      <c r="H15" s="3"/>
      <c r="I15" s="3"/>
      <c r="J15" s="20"/>
      <c r="K15" s="3"/>
      <c r="L15" s="3">
        <f>+D15-H15</f>
        <v>-328.73</v>
      </c>
      <c r="M15" s="3"/>
      <c r="N15" s="20">
        <f>IF(H15=0,0,L15/H15)</f>
        <v>0</v>
      </c>
      <c r="O15" s="12"/>
      <c r="P15" s="3">
        <f>-2001.84</f>
        <v>-2001.84</v>
      </c>
      <c r="Q15" s="3"/>
      <c r="R15" s="20"/>
      <c r="S15" s="3"/>
      <c r="T15" s="3"/>
      <c r="U15" s="3"/>
      <c r="V15" s="20"/>
      <c r="W15" s="3"/>
      <c r="X15" s="3">
        <f>+P15-T15</f>
        <v>-2001.84</v>
      </c>
      <c r="Y15" s="3"/>
      <c r="Z15" s="20">
        <f>IF(T15=0,0,X15/T15)</f>
        <v>0</v>
      </c>
    </row>
    <row r="16" spans="1:26" s="70" customFormat="1" ht="15" hidden="1" customHeight="1" outlineLevel="1" x14ac:dyDescent="0.3">
      <c r="A16" s="42"/>
      <c r="B16" s="12" t="str">
        <f>CONCATENATE("          ","4500"," - ","SALES DISCOUNT")</f>
        <v xml:space="preserve">          4500 - SALES DISCOUNT</v>
      </c>
      <c r="C16" s="12"/>
      <c r="D16" s="3">
        <f>-137.24</f>
        <v>-137.24</v>
      </c>
      <c r="E16" s="3"/>
      <c r="F16" s="20"/>
      <c r="G16" s="3"/>
      <c r="H16" s="3"/>
      <c r="I16" s="3"/>
      <c r="J16" s="20"/>
      <c r="K16" s="3"/>
      <c r="L16" s="3">
        <f>+D16-H16</f>
        <v>-137.24</v>
      </c>
      <c r="M16" s="3"/>
      <c r="N16" s="20">
        <f>IF(H16=0,0,L16/H16)</f>
        <v>0</v>
      </c>
      <c r="O16" s="12"/>
      <c r="P16" s="3">
        <f>-2009.64</f>
        <v>-2009.64</v>
      </c>
      <c r="Q16" s="3"/>
      <c r="R16" s="20"/>
      <c r="S16" s="3"/>
      <c r="T16" s="3"/>
      <c r="U16" s="3"/>
      <c r="V16" s="20"/>
      <c r="W16" s="3"/>
      <c r="X16" s="3">
        <f>+P16-T16</f>
        <v>-2009.64</v>
      </c>
      <c r="Y16" s="3"/>
      <c r="Z16" s="20">
        <f>IF(T16=0,0,X16/T16)</f>
        <v>0</v>
      </c>
    </row>
    <row r="17" spans="1:26" ht="15" customHeight="1" x14ac:dyDescent="0.3">
      <c r="A17" s="10"/>
      <c r="B17" s="11"/>
      <c r="C17" s="10"/>
      <c r="D17" s="4"/>
      <c r="E17" s="4"/>
      <c r="F17" s="9"/>
      <c r="G17" s="4"/>
      <c r="H17" s="4"/>
      <c r="I17" s="4"/>
      <c r="J17" s="9"/>
      <c r="K17" s="4"/>
      <c r="L17" s="4"/>
      <c r="M17" s="4"/>
      <c r="N17" s="9"/>
      <c r="P17" s="4"/>
      <c r="Q17" s="4"/>
      <c r="R17" s="9"/>
      <c r="S17" s="4"/>
      <c r="T17" s="4"/>
      <c r="U17" s="4"/>
      <c r="V17" s="9"/>
      <c r="W17" s="4"/>
      <c r="X17" s="4"/>
      <c r="Y17" s="4"/>
      <c r="Z17" s="9"/>
    </row>
    <row r="18" spans="1:26" s="63" customFormat="1" ht="15" customHeight="1" collapsed="1" x14ac:dyDescent="0.3">
      <c r="A18" s="11"/>
      <c r="B18" s="28" t="s">
        <v>288</v>
      </c>
      <c r="C18" s="11"/>
      <c r="D18" s="5">
        <f>SUM(OSRRefD16x_0)</f>
        <v>22858.059999999998</v>
      </c>
      <c r="E18" s="5"/>
      <c r="F18" s="13">
        <f t="shared" ref="F18:F28" si="0">IF(D$12=0,0,D18/D$12)</f>
        <v>0.53816581010363751</v>
      </c>
      <c r="G18" s="5"/>
      <c r="H18" s="5">
        <f>SUM(OSRRefH16x_0)</f>
        <v>19274</v>
      </c>
      <c r="I18" s="5"/>
      <c r="J18" s="13">
        <f t="shared" ref="J18:J28" si="1">IF(H$12=0,0,H18/H$12)</f>
        <v>0.51710353338878012</v>
      </c>
      <c r="K18" s="5"/>
      <c r="L18" s="5">
        <f t="shared" ref="L18:L28" si="2">+D18-H18</f>
        <v>3584.0599999999977</v>
      </c>
      <c r="M18" s="5"/>
      <c r="N18" s="13">
        <f t="shared" ref="N18:N28" si="3">IF(H18=0,0,L18/H18)</f>
        <v>0.18595309743696159</v>
      </c>
      <c r="O18" s="11"/>
      <c r="P18" s="5">
        <f>SUM(OSRRefP16x_0)</f>
        <v>104577</v>
      </c>
      <c r="Q18" s="5"/>
      <c r="R18" s="13">
        <f t="shared" ref="R18:R28" si="4">IF(P$12=0,0,P18/P$12)</f>
        <v>0.56164330223296943</v>
      </c>
      <c r="S18" s="5"/>
      <c r="T18" s="5">
        <f>SUM(OSRRefT16x_0)</f>
        <v>238489</v>
      </c>
      <c r="U18" s="5"/>
      <c r="V18" s="13">
        <f t="shared" ref="V18:V28" si="5">IF(T$12=0,0,T18/T$12)</f>
        <v>0.56161573821141275</v>
      </c>
      <c r="W18" s="5"/>
      <c r="X18" s="5">
        <f t="shared" ref="X18:X28" si="6">+P18-T18</f>
        <v>-133912</v>
      </c>
      <c r="Y18" s="5"/>
      <c r="Z18" s="13">
        <f t="shared" ref="Z18:Z28" si="7">IF(T18=0,0,X18/T18)</f>
        <v>-0.56150178834243925</v>
      </c>
    </row>
    <row r="19" spans="1:26" s="70" customFormat="1" ht="15" hidden="1" customHeight="1" outlineLevel="1" x14ac:dyDescent="0.3">
      <c r="A19" s="42"/>
      <c r="B19" s="12" t="str">
        <f>CONCATENATE("          ","5000"," - ","PURCHASES @ COST")</f>
        <v xml:space="preserve">          5000 - PURCHASES @ COST</v>
      </c>
      <c r="C19" s="12"/>
      <c r="D19" s="3">
        <v>22343.05</v>
      </c>
      <c r="E19" s="3"/>
      <c r="F19" s="20">
        <f t="shared" si="0"/>
        <v>0.52604051277475339</v>
      </c>
      <c r="G19" s="3"/>
      <c r="H19" s="3">
        <v>19274</v>
      </c>
      <c r="I19" s="3"/>
      <c r="J19" s="20">
        <f t="shared" si="1"/>
        <v>0.51710353338878012</v>
      </c>
      <c r="K19" s="3"/>
      <c r="L19" s="3">
        <f t="shared" si="2"/>
        <v>3069.0499999999993</v>
      </c>
      <c r="M19" s="3"/>
      <c r="N19" s="20">
        <f t="shared" si="3"/>
        <v>0.15923264501400847</v>
      </c>
      <c r="O19" s="12"/>
      <c r="P19" s="3">
        <v>130009.49</v>
      </c>
      <c r="Q19" s="3"/>
      <c r="R19" s="20">
        <f t="shared" si="4"/>
        <v>0.69823153547361483</v>
      </c>
      <c r="S19" s="3"/>
      <c r="T19" s="3">
        <v>238489</v>
      </c>
      <c r="U19" s="3"/>
      <c r="V19" s="20">
        <f t="shared" si="5"/>
        <v>0.56161573821141275</v>
      </c>
      <c r="W19" s="3"/>
      <c r="X19" s="3">
        <f t="shared" si="6"/>
        <v>-108479.51</v>
      </c>
      <c r="Y19" s="3"/>
      <c r="Z19" s="20">
        <f t="shared" si="7"/>
        <v>-0.45486169173420993</v>
      </c>
    </row>
    <row r="20" spans="1:26" s="70" customFormat="1" ht="15" hidden="1" customHeight="1" outlineLevel="1" x14ac:dyDescent="0.3">
      <c r="A20" s="42"/>
      <c r="B20" s="12" t="str">
        <f>CONCATENATE("          ","5026"," - ","PURCHASES @ COST-WRITING INSTR")</f>
        <v xml:space="preserve">          5026 - PURCHASES @ COST-WRITING INSTR</v>
      </c>
      <c r="C20" s="12"/>
      <c r="D20" s="3"/>
      <c r="E20" s="3"/>
      <c r="F20" s="20">
        <f t="shared" si="0"/>
        <v>0</v>
      </c>
      <c r="G20" s="3"/>
      <c r="H20" s="3"/>
      <c r="I20" s="3"/>
      <c r="J20" s="20">
        <f t="shared" si="1"/>
        <v>0</v>
      </c>
      <c r="K20" s="3"/>
      <c r="L20" s="3">
        <f t="shared" si="2"/>
        <v>0</v>
      </c>
      <c r="M20" s="3"/>
      <c r="N20" s="20">
        <f t="shared" si="3"/>
        <v>0</v>
      </c>
      <c r="O20" s="12"/>
      <c r="P20" s="3">
        <v>0</v>
      </c>
      <c r="Q20" s="3"/>
      <c r="R20" s="20">
        <f t="shared" si="4"/>
        <v>0</v>
      </c>
      <c r="S20" s="3"/>
      <c r="T20" s="3"/>
      <c r="U20" s="3"/>
      <c r="V20" s="20">
        <f t="shared" si="5"/>
        <v>0</v>
      </c>
      <c r="W20" s="3"/>
      <c r="X20" s="3">
        <f t="shared" si="6"/>
        <v>0</v>
      </c>
      <c r="Y20" s="3"/>
      <c r="Z20" s="20">
        <f t="shared" si="7"/>
        <v>0</v>
      </c>
    </row>
    <row r="21" spans="1:26" s="70" customFormat="1" ht="15" hidden="1" customHeight="1" outlineLevel="1" x14ac:dyDescent="0.3">
      <c r="A21" s="42"/>
      <c r="B21" s="12" t="str">
        <f>CONCATENATE("          ","5027"," - ","PURCHASES @ COST-SCHOOL SUPPLI")</f>
        <v xml:space="preserve">          5027 - PURCHASES @ COST-SCHOOL SUPPLI</v>
      </c>
      <c r="C21" s="12"/>
      <c r="D21" s="3"/>
      <c r="E21" s="3"/>
      <c r="F21" s="20">
        <f t="shared" si="0"/>
        <v>0</v>
      </c>
      <c r="G21" s="3"/>
      <c r="H21" s="3"/>
      <c r="I21" s="3"/>
      <c r="J21" s="20">
        <f t="shared" si="1"/>
        <v>0</v>
      </c>
      <c r="K21" s="3"/>
      <c r="L21" s="3">
        <f t="shared" si="2"/>
        <v>0</v>
      </c>
      <c r="M21" s="3"/>
      <c r="N21" s="20">
        <f t="shared" si="3"/>
        <v>0</v>
      </c>
      <c r="O21" s="12"/>
      <c r="P21" s="3">
        <v>0</v>
      </c>
      <c r="Q21" s="3"/>
      <c r="R21" s="20">
        <f t="shared" si="4"/>
        <v>0</v>
      </c>
      <c r="S21" s="3"/>
      <c r="T21" s="3"/>
      <c r="U21" s="3"/>
      <c r="V21" s="20">
        <f t="shared" si="5"/>
        <v>0</v>
      </c>
      <c r="W21" s="3"/>
      <c r="X21" s="3">
        <f t="shared" si="6"/>
        <v>0</v>
      </c>
      <c r="Y21" s="3"/>
      <c r="Z21" s="20">
        <f t="shared" si="7"/>
        <v>0</v>
      </c>
    </row>
    <row r="22" spans="1:26" s="70" customFormat="1" ht="15" hidden="1" customHeight="1" outlineLevel="1" x14ac:dyDescent="0.3">
      <c r="A22" s="42"/>
      <c r="B22" s="12" t="str">
        <f>CONCATENATE("          ","5028"," - ","PURCHASES @ COST-ART/TECH")</f>
        <v xml:space="preserve">          5028 - PURCHASES @ COST-ART/TECH</v>
      </c>
      <c r="C22" s="12"/>
      <c r="D22" s="3"/>
      <c r="E22" s="3"/>
      <c r="F22" s="20">
        <f t="shared" si="0"/>
        <v>0</v>
      </c>
      <c r="G22" s="3"/>
      <c r="H22" s="3"/>
      <c r="I22" s="3"/>
      <c r="J22" s="20">
        <f t="shared" si="1"/>
        <v>0</v>
      </c>
      <c r="K22" s="3"/>
      <c r="L22" s="3">
        <f t="shared" si="2"/>
        <v>0</v>
      </c>
      <c r="M22" s="3"/>
      <c r="N22" s="20">
        <f t="shared" si="3"/>
        <v>0</v>
      </c>
      <c r="O22" s="12"/>
      <c r="P22" s="3">
        <v>0</v>
      </c>
      <c r="Q22" s="3"/>
      <c r="R22" s="20">
        <f t="shared" si="4"/>
        <v>0</v>
      </c>
      <c r="S22" s="3"/>
      <c r="T22" s="3"/>
      <c r="U22" s="3"/>
      <c r="V22" s="20">
        <f t="shared" si="5"/>
        <v>0</v>
      </c>
      <c r="W22" s="3"/>
      <c r="X22" s="3">
        <f t="shared" si="6"/>
        <v>0</v>
      </c>
      <c r="Y22" s="3"/>
      <c r="Z22" s="20">
        <f t="shared" si="7"/>
        <v>0</v>
      </c>
    </row>
    <row r="23" spans="1:26" s="70" customFormat="1" ht="15" hidden="1" customHeight="1" outlineLevel="1" x14ac:dyDescent="0.3">
      <c r="A23" s="42"/>
      <c r="B23" s="12" t="str">
        <f>CONCATENATE("          ","5031"," - ","PURCHASES @ COST-FOOD")</f>
        <v xml:space="preserve">          5031 - PURCHASES @ COST-FOOD</v>
      </c>
      <c r="C23" s="12"/>
      <c r="D23" s="3"/>
      <c r="E23" s="3"/>
      <c r="F23" s="20">
        <f t="shared" si="0"/>
        <v>0</v>
      </c>
      <c r="G23" s="3"/>
      <c r="H23" s="3"/>
      <c r="I23" s="3"/>
      <c r="J23" s="20">
        <f t="shared" si="1"/>
        <v>0</v>
      </c>
      <c r="K23" s="3"/>
      <c r="L23" s="3">
        <f t="shared" si="2"/>
        <v>0</v>
      </c>
      <c r="M23" s="3"/>
      <c r="N23" s="20">
        <f t="shared" si="3"/>
        <v>0</v>
      </c>
      <c r="O23" s="12"/>
      <c r="P23" s="3">
        <v>0</v>
      </c>
      <c r="Q23" s="3"/>
      <c r="R23" s="20">
        <f t="shared" si="4"/>
        <v>0</v>
      </c>
      <c r="S23" s="3"/>
      <c r="T23" s="3"/>
      <c r="U23" s="3"/>
      <c r="V23" s="20">
        <f t="shared" si="5"/>
        <v>0</v>
      </c>
      <c r="W23" s="3"/>
      <c r="X23" s="3">
        <f t="shared" si="6"/>
        <v>0</v>
      </c>
      <c r="Y23" s="3"/>
      <c r="Z23" s="20">
        <f t="shared" si="7"/>
        <v>0</v>
      </c>
    </row>
    <row r="24" spans="1:26" s="70" customFormat="1" ht="15" hidden="1" customHeight="1" outlineLevel="1" x14ac:dyDescent="0.3">
      <c r="A24" s="42"/>
      <c r="B24" s="12" t="str">
        <f>CONCATENATE("          ","5042"," - ","PURCHASES @ COST-EVERYDAY GIFT")</f>
        <v xml:space="preserve">          5042 - PURCHASES @ COST-EVERYDAY GIFT</v>
      </c>
      <c r="C24" s="12"/>
      <c r="D24" s="3"/>
      <c r="E24" s="3"/>
      <c r="F24" s="20">
        <f t="shared" si="0"/>
        <v>0</v>
      </c>
      <c r="G24" s="3"/>
      <c r="H24" s="3"/>
      <c r="I24" s="3"/>
      <c r="J24" s="20">
        <f t="shared" si="1"/>
        <v>0</v>
      </c>
      <c r="K24" s="3"/>
      <c r="L24" s="3">
        <f t="shared" si="2"/>
        <v>0</v>
      </c>
      <c r="M24" s="3"/>
      <c r="N24" s="20">
        <f t="shared" si="3"/>
        <v>0</v>
      </c>
      <c r="O24" s="12"/>
      <c r="P24" s="3">
        <v>0</v>
      </c>
      <c r="Q24" s="3"/>
      <c r="R24" s="20">
        <f t="shared" si="4"/>
        <v>0</v>
      </c>
      <c r="S24" s="3"/>
      <c r="T24" s="3"/>
      <c r="U24" s="3"/>
      <c r="V24" s="20">
        <f t="shared" si="5"/>
        <v>0</v>
      </c>
      <c r="W24" s="3"/>
      <c r="X24" s="3">
        <f t="shared" si="6"/>
        <v>0</v>
      </c>
      <c r="Y24" s="3"/>
      <c r="Z24" s="20">
        <f t="shared" si="7"/>
        <v>0</v>
      </c>
    </row>
    <row r="25" spans="1:26" s="70" customFormat="1" ht="15" hidden="1" customHeight="1" outlineLevel="1" x14ac:dyDescent="0.3">
      <c r="A25" s="42"/>
      <c r="B25" s="12" t="str">
        <f>CONCATENATE("          ","5200"," - ","PURCHASES OFFSET")</f>
        <v xml:space="preserve">          5200 - PURCHASES OFFSET</v>
      </c>
      <c r="C25" s="12"/>
      <c r="D25" s="3">
        <v>-22518.080000000002</v>
      </c>
      <c r="E25" s="3"/>
      <c r="F25" s="20">
        <f t="shared" si="0"/>
        <v>-0.53016138575095695</v>
      </c>
      <c r="G25" s="3"/>
      <c r="H25" s="3"/>
      <c r="I25" s="3"/>
      <c r="J25" s="20">
        <f t="shared" si="1"/>
        <v>0</v>
      </c>
      <c r="K25" s="3"/>
      <c r="L25" s="3">
        <f t="shared" si="2"/>
        <v>-22518.080000000002</v>
      </c>
      <c r="M25" s="3"/>
      <c r="N25" s="20">
        <f t="shared" si="3"/>
        <v>0</v>
      </c>
      <c r="O25" s="12"/>
      <c r="P25" s="3">
        <v>-131312.22</v>
      </c>
      <c r="Q25" s="3"/>
      <c r="R25" s="20">
        <f t="shared" si="4"/>
        <v>-0.70522800294847021</v>
      </c>
      <c r="S25" s="3"/>
      <c r="T25" s="3"/>
      <c r="U25" s="3"/>
      <c r="V25" s="20">
        <f t="shared" si="5"/>
        <v>0</v>
      </c>
      <c r="W25" s="3"/>
      <c r="X25" s="3">
        <f t="shared" si="6"/>
        <v>-131312.22</v>
      </c>
      <c r="Y25" s="3"/>
      <c r="Z25" s="20">
        <f t="shared" si="7"/>
        <v>0</v>
      </c>
    </row>
    <row r="26" spans="1:26" s="70" customFormat="1" ht="15" hidden="1" customHeight="1" outlineLevel="1" x14ac:dyDescent="0.3">
      <c r="A26" s="42"/>
      <c r="B26" s="12" t="str">
        <f>CONCATENATE("          ","5300"," - ","COG$ OFFSET")</f>
        <v xml:space="preserve">          5300 - COG$ OFFSET</v>
      </c>
      <c r="C26" s="12"/>
      <c r="D26" s="3">
        <v>22858.06</v>
      </c>
      <c r="E26" s="3"/>
      <c r="F26" s="20">
        <f t="shared" si="0"/>
        <v>0.53816581010363762</v>
      </c>
      <c r="G26" s="3"/>
      <c r="H26" s="3"/>
      <c r="I26" s="3"/>
      <c r="J26" s="20">
        <f t="shared" si="1"/>
        <v>0</v>
      </c>
      <c r="K26" s="3"/>
      <c r="L26" s="3">
        <f t="shared" si="2"/>
        <v>22858.06</v>
      </c>
      <c r="M26" s="3"/>
      <c r="N26" s="20">
        <f t="shared" si="3"/>
        <v>0</v>
      </c>
      <c r="O26" s="12"/>
      <c r="P26" s="3">
        <v>104577</v>
      </c>
      <c r="Q26" s="3"/>
      <c r="R26" s="20">
        <f t="shared" si="4"/>
        <v>0.56164330223296943</v>
      </c>
      <c r="S26" s="3"/>
      <c r="T26" s="3"/>
      <c r="U26" s="3"/>
      <c r="V26" s="20">
        <f t="shared" si="5"/>
        <v>0</v>
      </c>
      <c r="W26" s="3"/>
      <c r="X26" s="3">
        <f t="shared" si="6"/>
        <v>104577</v>
      </c>
      <c r="Y26" s="3"/>
      <c r="Z26" s="20">
        <f t="shared" si="7"/>
        <v>0</v>
      </c>
    </row>
    <row r="27" spans="1:26" s="70" customFormat="1" ht="15" hidden="1" customHeight="1" outlineLevel="1" x14ac:dyDescent="0.3">
      <c r="A27" s="42"/>
      <c r="B27" s="12" t="str">
        <f>CONCATENATE("          ","5500"," - ","FREIGHT-IN")</f>
        <v xml:space="preserve">          5500 - FREIGHT-IN</v>
      </c>
      <c r="C27" s="12"/>
      <c r="D27" s="3">
        <v>175.03</v>
      </c>
      <c r="E27" s="3"/>
      <c r="F27" s="20">
        <f t="shared" si="0"/>
        <v>4.1208729762035662E-3</v>
      </c>
      <c r="G27" s="3"/>
      <c r="H27" s="3"/>
      <c r="I27" s="3"/>
      <c r="J27" s="20">
        <f t="shared" si="1"/>
        <v>0</v>
      </c>
      <c r="K27" s="3"/>
      <c r="L27" s="3">
        <f t="shared" si="2"/>
        <v>175.03</v>
      </c>
      <c r="M27" s="3"/>
      <c r="N27" s="20">
        <f t="shared" si="3"/>
        <v>0</v>
      </c>
      <c r="O27" s="12"/>
      <c r="P27" s="3">
        <v>1302.73</v>
      </c>
      <c r="Q27" s="3"/>
      <c r="R27" s="20">
        <f t="shared" si="4"/>
        <v>6.9964674748554294E-3</v>
      </c>
      <c r="S27" s="3"/>
      <c r="T27" s="3"/>
      <c r="U27" s="3"/>
      <c r="V27" s="20">
        <f t="shared" si="5"/>
        <v>0</v>
      </c>
      <c r="W27" s="3"/>
      <c r="X27" s="3">
        <f t="shared" si="6"/>
        <v>1302.73</v>
      </c>
      <c r="Y27" s="3"/>
      <c r="Z27" s="20">
        <f t="shared" si="7"/>
        <v>0</v>
      </c>
    </row>
    <row r="28" spans="1:26" s="70" customFormat="1" ht="15" hidden="1" customHeight="1" outlineLevel="1" x14ac:dyDescent="0.3">
      <c r="A28" s="42"/>
      <c r="B28" s="12" t="str">
        <f>CONCATENATE("          ","5528"," - ","FREIGHT-IN-ART/TECH")</f>
        <v xml:space="preserve">          5528 - FREIGHT-IN-ART/TECH</v>
      </c>
      <c r="C28" s="12"/>
      <c r="D28" s="3"/>
      <c r="E28" s="3"/>
      <c r="F28" s="20">
        <f t="shared" si="0"/>
        <v>0</v>
      </c>
      <c r="G28" s="3"/>
      <c r="H28" s="3"/>
      <c r="I28" s="3"/>
      <c r="J28" s="20">
        <f t="shared" si="1"/>
        <v>0</v>
      </c>
      <c r="K28" s="3"/>
      <c r="L28" s="3">
        <f t="shared" si="2"/>
        <v>0</v>
      </c>
      <c r="M28" s="3"/>
      <c r="N28" s="20">
        <f t="shared" si="3"/>
        <v>0</v>
      </c>
      <c r="O28" s="12"/>
      <c r="P28" s="3">
        <v>0</v>
      </c>
      <c r="Q28" s="3"/>
      <c r="R28" s="20">
        <f t="shared" si="4"/>
        <v>0</v>
      </c>
      <c r="S28" s="3"/>
      <c r="T28" s="3"/>
      <c r="U28" s="3"/>
      <c r="V28" s="20">
        <f t="shared" si="5"/>
        <v>0</v>
      </c>
      <c r="W28" s="3"/>
      <c r="X28" s="3">
        <f t="shared" si="6"/>
        <v>0</v>
      </c>
      <c r="Y28" s="3"/>
      <c r="Z28" s="20">
        <f t="shared" si="7"/>
        <v>0</v>
      </c>
    </row>
    <row r="29" spans="1:26" ht="15" customHeight="1" x14ac:dyDescent="0.3">
      <c r="A29" s="10"/>
      <c r="B29" s="11"/>
      <c r="C29" s="11"/>
      <c r="D29" s="4"/>
      <c r="E29" s="4"/>
      <c r="F29" s="9"/>
      <c r="G29" s="4"/>
      <c r="H29" s="4"/>
      <c r="I29" s="4"/>
      <c r="J29" s="9"/>
      <c r="K29" s="4"/>
      <c r="L29" s="4"/>
      <c r="M29" s="4"/>
      <c r="N29" s="9"/>
      <c r="O29" s="11"/>
      <c r="P29" s="4"/>
      <c r="Q29" s="4"/>
      <c r="R29" s="9"/>
      <c r="S29" s="4"/>
      <c r="T29" s="4"/>
      <c r="U29" s="4"/>
      <c r="V29" s="9"/>
      <c r="W29" s="4"/>
      <c r="X29" s="4"/>
      <c r="Y29" s="4"/>
      <c r="Z29" s="9"/>
    </row>
    <row r="30" spans="1:26" s="63" customFormat="1" ht="15" customHeight="1" x14ac:dyDescent="0.3">
      <c r="A30" s="11"/>
      <c r="B30" s="27" t="s">
        <v>289</v>
      </c>
      <c r="C30" s="27"/>
      <c r="D30" s="21">
        <f>D12-D18</f>
        <v>19615.949999999997</v>
      </c>
      <c r="E30" s="15"/>
      <c r="F30" s="23">
        <f>IF(D$12=0,0,D30/D$12)</f>
        <v>0.46183418989636249</v>
      </c>
      <c r="G30" s="15"/>
      <c r="H30" s="21">
        <f>H12-H18</f>
        <v>17999</v>
      </c>
      <c r="I30" s="15"/>
      <c r="J30" s="23">
        <f>IF(H$12=0,0,H30/H$12)</f>
        <v>0.48289646661121993</v>
      </c>
      <c r="K30" s="16"/>
      <c r="L30" s="21">
        <f>+D30-H30</f>
        <v>1616.9499999999971</v>
      </c>
      <c r="M30" s="16"/>
      <c r="N30" s="23">
        <f>IF(H30=0,0,L30/H30)</f>
        <v>8.9835546419245349E-2</v>
      </c>
      <c r="O30" s="28"/>
      <c r="P30" s="21">
        <f>P12-P18</f>
        <v>81621.25</v>
      </c>
      <c r="Q30" s="15"/>
      <c r="R30" s="23">
        <f>IF(P$12=0,0,P30/P$12)</f>
        <v>0.43835669776703057</v>
      </c>
      <c r="S30" s="15"/>
      <c r="T30" s="21">
        <f>T12-T18</f>
        <v>186159</v>
      </c>
      <c r="U30" s="15"/>
      <c r="V30" s="23">
        <f>IF(T$12=0,0,T30/T$12)</f>
        <v>0.43838426178858725</v>
      </c>
      <c r="W30" s="16"/>
      <c r="X30" s="21">
        <f>+P30-T30</f>
        <v>-104537.75</v>
      </c>
      <c r="Y30" s="16"/>
      <c r="Z30" s="23">
        <f>IF(T30=0,0,X30/T30)</f>
        <v>-0.5615508785500567</v>
      </c>
    </row>
    <row r="31" spans="1:26" ht="15" customHeight="1" x14ac:dyDescent="0.3">
      <c r="A31" s="10"/>
      <c r="B31" s="11"/>
      <c r="C31" s="10"/>
      <c r="D31" s="2"/>
      <c r="E31" s="2"/>
      <c r="F31" s="6"/>
      <c r="G31" s="2"/>
      <c r="H31" s="2"/>
      <c r="I31" s="2"/>
      <c r="J31" s="6"/>
      <c r="K31" s="2"/>
      <c r="L31" s="2"/>
      <c r="M31" s="2"/>
      <c r="N31" s="6"/>
      <c r="O31" s="35"/>
      <c r="P31" s="2"/>
      <c r="Q31" s="2"/>
      <c r="R31" s="6"/>
      <c r="S31" s="2"/>
      <c r="T31" s="2"/>
      <c r="U31" s="2"/>
      <c r="V31" s="6"/>
      <c r="W31" s="2"/>
      <c r="X31" s="2"/>
      <c r="Y31" s="2"/>
      <c r="Z31" s="6"/>
    </row>
    <row r="32" spans="1:26" s="63" customFormat="1" ht="15" customHeight="1" x14ac:dyDescent="0.3">
      <c r="A32" s="11"/>
      <c r="B32" s="28" t="s">
        <v>290</v>
      </c>
      <c r="C32" s="11"/>
      <c r="D32" s="22" cm="1">
        <f t="array" ref="D32">SUM(OSRRefD22x_0)</f>
        <v>7958</v>
      </c>
      <c r="E32" s="22"/>
      <c r="F32" s="30">
        <f t="shared" ref="F32:F63" si="8">IF(D$12=0,0,D32/D$12)</f>
        <v>0.18736163597456423</v>
      </c>
      <c r="G32" s="22"/>
      <c r="H32" s="22" cm="1">
        <f t="array" ref="H32">SUM(OSRRefH22x_0)</f>
        <v>10748.848692</v>
      </c>
      <c r="I32" s="22"/>
      <c r="J32" s="30">
        <f t="shared" ref="J32:J63" si="9">IF(H$12=0,0,H32/H$12)</f>
        <v>0.28838163528559546</v>
      </c>
      <c r="K32" s="5"/>
      <c r="L32" s="22">
        <f t="shared" ref="L32:L63" si="10">+D32-H32</f>
        <v>-2790.8486919999996</v>
      </c>
      <c r="M32" s="5"/>
      <c r="N32" s="30">
        <f t="shared" ref="N32:N63" si="11">IF(H32=0,0,L32/H32)</f>
        <v>-0.25964163902289672</v>
      </c>
      <c r="O32" s="11"/>
      <c r="P32" s="22" cm="1">
        <f t="array" ref="P32">SUM(OSRRefP22x_0)</f>
        <v>49169.30000000001</v>
      </c>
      <c r="Q32" s="22"/>
      <c r="R32" s="30">
        <f t="shared" ref="R32:R63" si="12">IF(P$12=0,0,P32/P$12)</f>
        <v>0.26406961397327855</v>
      </c>
      <c r="S32" s="22"/>
      <c r="T32" s="22" cm="1">
        <f t="array" ref="T32">SUM(OSRRefT22x_0)</f>
        <v>102705.296999</v>
      </c>
      <c r="U32" s="22"/>
      <c r="V32" s="30">
        <f t="shared" ref="V32:V63" si="13">IF(T$12=0,0,T32/T$12)</f>
        <v>0.24185983920564796</v>
      </c>
      <c r="W32" s="5"/>
      <c r="X32" s="22">
        <f t="shared" ref="X32:X63" si="14">+P32-T32</f>
        <v>-53535.996998999988</v>
      </c>
      <c r="Y32" s="5"/>
      <c r="Z32" s="30">
        <f t="shared" ref="Z32:Z63" si="15">IF(T32=0,0,X32/T32)</f>
        <v>-0.52125838260826263</v>
      </c>
    </row>
    <row r="33" spans="1:26" s="69" customFormat="1" ht="15" customHeight="1" outlineLevel="1" collapsed="1" x14ac:dyDescent="0.3">
      <c r="A33" s="25"/>
      <c r="B33" s="14" t="str">
        <f>CONCATENATE("     ","*Benefits                                         ")</f>
        <v xml:space="preserve">     *Benefits                                         </v>
      </c>
      <c r="C33" s="14"/>
      <c r="D33" s="2">
        <f>SUM(OSRRefD22_0x_0)</f>
        <v>265.07000000000005</v>
      </c>
      <c r="E33" s="2"/>
      <c r="F33" s="6">
        <f t="shared" si="8"/>
        <v>6.240757583284462E-3</v>
      </c>
      <c r="G33" s="2"/>
      <c r="H33" s="2">
        <f>SUM(OSRRefH22_0x_0)</f>
        <v>613.76869199999999</v>
      </c>
      <c r="I33" s="2"/>
      <c r="J33" s="6">
        <f t="shared" si="9"/>
        <v>1.6466844418211574E-2</v>
      </c>
      <c r="K33" s="2"/>
      <c r="L33" s="2">
        <f t="shared" si="10"/>
        <v>-348.69869199999994</v>
      </c>
      <c r="M33" s="2"/>
      <c r="N33" s="6">
        <f t="shared" si="11"/>
        <v>-0.56812720581062148</v>
      </c>
      <c r="O33" s="14"/>
      <c r="P33" s="2">
        <f>SUM(OSRRefP22_0x_0)</f>
        <v>919.44</v>
      </c>
      <c r="Q33" s="2"/>
      <c r="R33" s="6">
        <f t="shared" si="12"/>
        <v>4.9379626285424279E-3</v>
      </c>
      <c r="S33" s="2"/>
      <c r="T33" s="2">
        <f>SUM(OSRRefT22_0x_0)</f>
        <v>6794.2869989999999</v>
      </c>
      <c r="U33" s="2"/>
      <c r="V33" s="6">
        <f t="shared" si="13"/>
        <v>1.5999809251427063E-2</v>
      </c>
      <c r="W33" s="2"/>
      <c r="X33" s="2">
        <f t="shared" si="14"/>
        <v>-5874.8469989999994</v>
      </c>
      <c r="Y33" s="2"/>
      <c r="Z33" s="6">
        <f t="shared" si="15"/>
        <v>-0.86467454198868465</v>
      </c>
    </row>
    <row r="34" spans="1:26" s="70" customFormat="1" ht="15" hidden="1" customHeight="1" outlineLevel="2" x14ac:dyDescent="0.3">
      <c r="A34" s="26"/>
      <c r="B34" s="12" t="str">
        <f>CONCATENATE("          ","6111"," - ","F.I.C.A.")</f>
        <v xml:space="preserve">          6111 - F.I.C.A.</v>
      </c>
      <c r="C34" s="12"/>
      <c r="D34" s="7">
        <v>156.9</v>
      </c>
      <c r="E34" s="3"/>
      <c r="F34" s="8">
        <f t="shared" si="8"/>
        <v>3.6940237100287921E-3</v>
      </c>
      <c r="G34" s="3"/>
      <c r="H34" s="7">
        <v>157.223232</v>
      </c>
      <c r="I34" s="3"/>
      <c r="J34" s="8">
        <f t="shared" si="9"/>
        <v>4.2181534086335954E-3</v>
      </c>
      <c r="K34" s="3"/>
      <c r="L34" s="7">
        <f t="shared" si="10"/>
        <v>-0.32323199999999019</v>
      </c>
      <c r="M34" s="3"/>
      <c r="N34" s="8">
        <f t="shared" si="11"/>
        <v>-2.0558793753838503E-3</v>
      </c>
      <c r="O34" s="12"/>
      <c r="P34" s="7">
        <v>343.11</v>
      </c>
      <c r="Q34" s="3"/>
      <c r="R34" s="8">
        <f t="shared" si="12"/>
        <v>1.8427133445131736E-3</v>
      </c>
      <c r="S34" s="3"/>
      <c r="T34" s="7">
        <v>2537.107254</v>
      </c>
      <c r="U34" s="3"/>
      <c r="V34" s="8">
        <f t="shared" si="13"/>
        <v>5.9746125120099473E-3</v>
      </c>
      <c r="W34" s="3"/>
      <c r="X34" s="7">
        <f t="shared" si="14"/>
        <v>-2193.9972539999999</v>
      </c>
      <c r="Y34" s="3"/>
      <c r="Z34" s="8">
        <f t="shared" si="15"/>
        <v>-0.86476330495722897</v>
      </c>
    </row>
    <row r="35" spans="1:26" s="70" customFormat="1" ht="15" hidden="1" customHeight="1" outlineLevel="2" x14ac:dyDescent="0.3">
      <c r="A35" s="26"/>
      <c r="B35" s="12" t="str">
        <f>CONCATENATE("          ","6112"," - ","COMPENSATION INSURANCE")</f>
        <v xml:space="preserve">          6112 - COMPENSATION INSURANCE</v>
      </c>
      <c r="C35" s="12"/>
      <c r="D35" s="7">
        <v>92.01</v>
      </c>
      <c r="E35" s="3"/>
      <c r="F35" s="8">
        <f t="shared" si="8"/>
        <v>2.1662659117893512E-3</v>
      </c>
      <c r="G35" s="3"/>
      <c r="H35" s="7">
        <v>135.87288000000001</v>
      </c>
      <c r="I35" s="3"/>
      <c r="J35" s="8">
        <f t="shared" si="9"/>
        <v>3.6453432779760151E-3</v>
      </c>
      <c r="K35" s="3"/>
      <c r="L35" s="7">
        <f t="shared" si="10"/>
        <v>-43.862880000000004</v>
      </c>
      <c r="M35" s="3"/>
      <c r="N35" s="8">
        <f t="shared" si="11"/>
        <v>-0.32282292095376208</v>
      </c>
      <c r="O35" s="12"/>
      <c r="P35" s="7">
        <v>490.22</v>
      </c>
      <c r="Q35" s="3"/>
      <c r="R35" s="8">
        <f t="shared" si="12"/>
        <v>2.6327852168320596E-3</v>
      </c>
      <c r="S35" s="3"/>
      <c r="T35" s="7">
        <v>1266.9828600000001</v>
      </c>
      <c r="U35" s="3"/>
      <c r="V35" s="8">
        <f t="shared" si="13"/>
        <v>2.9836072700212884E-3</v>
      </c>
      <c r="W35" s="3"/>
      <c r="X35" s="7">
        <f t="shared" si="14"/>
        <v>-776.76286000000005</v>
      </c>
      <c r="Y35" s="3"/>
      <c r="Z35" s="8">
        <f t="shared" si="15"/>
        <v>-0.61308079574178298</v>
      </c>
    </row>
    <row r="36" spans="1:26" s="70" customFormat="1" ht="15" hidden="1" customHeight="1" outlineLevel="2" x14ac:dyDescent="0.3">
      <c r="A36" s="26"/>
      <c r="B36" s="12" t="str">
        <f>CONCATENATE("          ","6113"," - ","GROUP INSURANCE")</f>
        <v xml:space="preserve">          6113 - GROUP INSURANCE</v>
      </c>
      <c r="C36" s="12"/>
      <c r="D36" s="7"/>
      <c r="E36" s="3"/>
      <c r="F36" s="8">
        <f t="shared" si="8"/>
        <v>0</v>
      </c>
      <c r="G36" s="3"/>
      <c r="H36" s="7">
        <v>0</v>
      </c>
      <c r="I36" s="3"/>
      <c r="J36" s="8">
        <f t="shared" si="9"/>
        <v>0</v>
      </c>
      <c r="K36" s="3"/>
      <c r="L36" s="7">
        <f t="shared" si="10"/>
        <v>0</v>
      </c>
      <c r="M36" s="3"/>
      <c r="N36" s="8">
        <f t="shared" si="11"/>
        <v>0</v>
      </c>
      <c r="O36" s="12"/>
      <c r="P36" s="7"/>
      <c r="Q36" s="3"/>
      <c r="R36" s="8">
        <f t="shared" si="12"/>
        <v>0</v>
      </c>
      <c r="S36" s="3"/>
      <c r="T36" s="7">
        <v>0</v>
      </c>
      <c r="U36" s="3"/>
      <c r="V36" s="8">
        <f t="shared" si="13"/>
        <v>0</v>
      </c>
      <c r="W36" s="3"/>
      <c r="X36" s="7">
        <f t="shared" si="14"/>
        <v>0</v>
      </c>
      <c r="Y36" s="3"/>
      <c r="Z36" s="8">
        <f t="shared" si="15"/>
        <v>0</v>
      </c>
    </row>
    <row r="37" spans="1:26" s="70" customFormat="1" ht="15" hidden="1" customHeight="1" outlineLevel="2" x14ac:dyDescent="0.3">
      <c r="A37" s="26"/>
      <c r="B37" s="12" t="str">
        <f>CONCATENATE("          ","6114"," - ","STATE UNEMPLOYMENT INSURANCE")</f>
        <v xml:space="preserve">          6114 - STATE UNEMPLOYMENT INSURANCE</v>
      </c>
      <c r="C37" s="12"/>
      <c r="D37" s="7">
        <v>16.16</v>
      </c>
      <c r="E37" s="3"/>
      <c r="F37" s="8">
        <f t="shared" si="8"/>
        <v>3.8046796146631791E-4</v>
      </c>
      <c r="G37" s="3"/>
      <c r="H37" s="7">
        <v>18.290579999999999</v>
      </c>
      <c r="I37" s="3"/>
      <c r="J37" s="8">
        <f t="shared" si="9"/>
        <v>4.9071928741984815E-4</v>
      </c>
      <c r="K37" s="3"/>
      <c r="L37" s="7">
        <f t="shared" si="10"/>
        <v>-2.1305799999999984</v>
      </c>
      <c r="M37" s="3"/>
      <c r="N37" s="8">
        <f t="shared" si="11"/>
        <v>-0.11648509779350893</v>
      </c>
      <c r="O37" s="12"/>
      <c r="P37" s="7">
        <v>86.11</v>
      </c>
      <c r="Q37" s="3"/>
      <c r="R37" s="8">
        <f t="shared" si="12"/>
        <v>4.6246406719719436E-4</v>
      </c>
      <c r="S37" s="3"/>
      <c r="T37" s="7">
        <v>170.555385</v>
      </c>
      <c r="U37" s="3"/>
      <c r="V37" s="8">
        <f t="shared" si="13"/>
        <v>4.0163944019517341E-4</v>
      </c>
      <c r="W37" s="3"/>
      <c r="X37" s="7">
        <f t="shared" si="14"/>
        <v>-84.445385000000002</v>
      </c>
      <c r="Y37" s="3"/>
      <c r="Z37" s="8">
        <f t="shared" si="15"/>
        <v>-0.49512001629265473</v>
      </c>
    </row>
    <row r="38" spans="1:26" s="70" customFormat="1" ht="15" hidden="1" customHeight="1" outlineLevel="2" x14ac:dyDescent="0.3">
      <c r="A38" s="26"/>
      <c r="B38" s="12" t="str">
        <f>CONCATENATE("          ","6115"," - ","P.E.R.S.")</f>
        <v xml:space="preserve">          6115 - P.E.R.S.</v>
      </c>
      <c r="C38" s="12"/>
      <c r="D38" s="7"/>
      <c r="E38" s="3"/>
      <c r="F38" s="8">
        <f t="shared" si="8"/>
        <v>0</v>
      </c>
      <c r="G38" s="3"/>
      <c r="H38" s="7">
        <v>0</v>
      </c>
      <c r="I38" s="3"/>
      <c r="J38" s="8">
        <f t="shared" si="9"/>
        <v>0</v>
      </c>
      <c r="K38" s="3"/>
      <c r="L38" s="7">
        <f t="shared" si="10"/>
        <v>0</v>
      </c>
      <c r="M38" s="3"/>
      <c r="N38" s="8">
        <f t="shared" si="11"/>
        <v>0</v>
      </c>
      <c r="O38" s="12"/>
      <c r="P38" s="7"/>
      <c r="Q38" s="3"/>
      <c r="R38" s="8">
        <f t="shared" si="12"/>
        <v>0</v>
      </c>
      <c r="S38" s="3"/>
      <c r="T38" s="7">
        <v>0</v>
      </c>
      <c r="U38" s="3"/>
      <c r="V38" s="8">
        <f t="shared" si="13"/>
        <v>0</v>
      </c>
      <c r="W38" s="3"/>
      <c r="X38" s="7">
        <f t="shared" si="14"/>
        <v>0</v>
      </c>
      <c r="Y38" s="3"/>
      <c r="Z38" s="8">
        <f t="shared" si="15"/>
        <v>0</v>
      </c>
    </row>
    <row r="39" spans="1:26" s="70" customFormat="1" ht="15" hidden="1" customHeight="1" outlineLevel="2" x14ac:dyDescent="0.3">
      <c r="A39" s="26"/>
      <c r="B39" s="12" t="str">
        <f>CONCATENATE("          ","6116"," - ","EDUCATIONAL BENEFITS")</f>
        <v xml:space="preserve">          6116 - EDUCATIONAL BENEFITS</v>
      </c>
      <c r="C39" s="12"/>
      <c r="D39" s="7"/>
      <c r="E39" s="3"/>
      <c r="F39" s="8">
        <f t="shared" si="8"/>
        <v>0</v>
      </c>
      <c r="G39" s="3"/>
      <c r="H39" s="7">
        <v>0</v>
      </c>
      <c r="I39" s="3"/>
      <c r="J39" s="8">
        <f t="shared" si="9"/>
        <v>0</v>
      </c>
      <c r="K39" s="3"/>
      <c r="L39" s="7">
        <f t="shared" si="10"/>
        <v>0</v>
      </c>
      <c r="M39" s="3"/>
      <c r="N39" s="8">
        <f t="shared" si="11"/>
        <v>0</v>
      </c>
      <c r="O39" s="12"/>
      <c r="P39" s="7"/>
      <c r="Q39" s="3"/>
      <c r="R39" s="8">
        <f t="shared" si="12"/>
        <v>0</v>
      </c>
      <c r="S39" s="3"/>
      <c r="T39" s="7">
        <v>0</v>
      </c>
      <c r="U39" s="3"/>
      <c r="V39" s="8">
        <f t="shared" si="13"/>
        <v>0</v>
      </c>
      <c r="W39" s="3"/>
      <c r="X39" s="7">
        <f t="shared" si="14"/>
        <v>0</v>
      </c>
      <c r="Y39" s="3"/>
      <c r="Z39" s="8">
        <f t="shared" si="15"/>
        <v>0</v>
      </c>
    </row>
    <row r="40" spans="1:26" s="70" customFormat="1" ht="15" hidden="1" customHeight="1" outlineLevel="2" x14ac:dyDescent="0.3">
      <c r="A40" s="26"/>
      <c r="B40" s="12" t="str">
        <f>CONCATENATE("          ","6118"," - ","VACATION")</f>
        <v xml:space="preserve">          6118 - VACATION</v>
      </c>
      <c r="C40" s="12"/>
      <c r="D40" s="7"/>
      <c r="E40" s="3"/>
      <c r="F40" s="8">
        <f t="shared" si="8"/>
        <v>0</v>
      </c>
      <c r="G40" s="3"/>
      <c r="H40" s="7">
        <v>0</v>
      </c>
      <c r="I40" s="3"/>
      <c r="J40" s="8">
        <f t="shared" si="9"/>
        <v>0</v>
      </c>
      <c r="K40" s="3"/>
      <c r="L40" s="7">
        <f t="shared" si="10"/>
        <v>0</v>
      </c>
      <c r="M40" s="3"/>
      <c r="N40" s="8">
        <f t="shared" si="11"/>
        <v>0</v>
      </c>
      <c r="O40" s="12"/>
      <c r="P40" s="7"/>
      <c r="Q40" s="3"/>
      <c r="R40" s="8">
        <f t="shared" si="12"/>
        <v>0</v>
      </c>
      <c r="S40" s="3"/>
      <c r="T40" s="7">
        <v>0</v>
      </c>
      <c r="U40" s="3"/>
      <c r="V40" s="8">
        <f t="shared" si="13"/>
        <v>0</v>
      </c>
      <c r="W40" s="3"/>
      <c r="X40" s="7">
        <f t="shared" si="14"/>
        <v>0</v>
      </c>
      <c r="Y40" s="3"/>
      <c r="Z40" s="8">
        <f t="shared" si="15"/>
        <v>0</v>
      </c>
    </row>
    <row r="41" spans="1:26" s="70" customFormat="1" ht="15" hidden="1" customHeight="1" outlineLevel="2" x14ac:dyDescent="0.3">
      <c r="A41" s="26"/>
      <c r="B41" s="12" t="str">
        <f>CONCATENATE("          ","6119"," - ","SICK LEAVE")</f>
        <v xml:space="preserve">          6119 - SICK LEAVE</v>
      </c>
      <c r="C41" s="12"/>
      <c r="D41" s="7"/>
      <c r="E41" s="3"/>
      <c r="F41" s="8">
        <f t="shared" si="8"/>
        <v>0</v>
      </c>
      <c r="G41" s="3"/>
      <c r="H41" s="7">
        <v>302.38200000000001</v>
      </c>
      <c r="I41" s="3"/>
      <c r="J41" s="8">
        <f t="shared" si="9"/>
        <v>8.1126284441821166E-3</v>
      </c>
      <c r="K41" s="3"/>
      <c r="L41" s="7">
        <f t="shared" si="10"/>
        <v>-302.38200000000001</v>
      </c>
      <c r="M41" s="3"/>
      <c r="N41" s="8">
        <f t="shared" si="11"/>
        <v>-1</v>
      </c>
      <c r="O41" s="12"/>
      <c r="P41" s="7"/>
      <c r="Q41" s="3"/>
      <c r="R41" s="8">
        <f t="shared" si="12"/>
        <v>0</v>
      </c>
      <c r="S41" s="3"/>
      <c r="T41" s="7">
        <v>2819.6415000000002</v>
      </c>
      <c r="U41" s="3"/>
      <c r="V41" s="8">
        <f t="shared" si="13"/>
        <v>6.6399500292006561E-3</v>
      </c>
      <c r="W41" s="3"/>
      <c r="X41" s="7">
        <f t="shared" si="14"/>
        <v>-2819.6415000000002</v>
      </c>
      <c r="Y41" s="3"/>
      <c r="Z41" s="8">
        <f t="shared" si="15"/>
        <v>-1</v>
      </c>
    </row>
    <row r="42" spans="1:26" s="69" customFormat="1" ht="15" customHeight="1" outlineLevel="1" collapsed="1" x14ac:dyDescent="0.3">
      <c r="A42" s="25"/>
      <c r="B42" s="14" t="str">
        <f>CONCATENATE("     ","*Payroll                                          ")</f>
        <v xml:space="preserve">     *Payroll                                          </v>
      </c>
      <c r="C42" s="14"/>
      <c r="D42" s="2">
        <f>SUM(OSRRefD22_1x_0)</f>
        <v>6083.2</v>
      </c>
      <c r="E42" s="2"/>
      <c r="F42" s="6">
        <f t="shared" si="8"/>
        <v>0.14322170193019215</v>
      </c>
      <c r="G42" s="2"/>
      <c r="H42" s="2">
        <f>SUM(OSRRefH22_1x_0)</f>
        <v>8607.08</v>
      </c>
      <c r="I42" s="2"/>
      <c r="J42" s="6">
        <f t="shared" si="9"/>
        <v>0.23091996887827651</v>
      </c>
      <c r="K42" s="2"/>
      <c r="L42" s="2">
        <f t="shared" si="10"/>
        <v>-2523.88</v>
      </c>
      <c r="M42" s="2"/>
      <c r="N42" s="6">
        <f t="shared" si="11"/>
        <v>-0.29323301282200237</v>
      </c>
      <c r="O42" s="14"/>
      <c r="P42" s="2">
        <f>SUM(OSRRefP22_1x_0)</f>
        <v>32875.82</v>
      </c>
      <c r="Q42" s="2"/>
      <c r="R42" s="6">
        <f t="shared" si="12"/>
        <v>0.17656352838976735</v>
      </c>
      <c r="S42" s="2"/>
      <c r="T42" s="2">
        <f>SUM(OSRRefT22_1x_0)</f>
        <v>80259.010000000009</v>
      </c>
      <c r="U42" s="2"/>
      <c r="V42" s="6">
        <f t="shared" si="13"/>
        <v>0.18900126693167049</v>
      </c>
      <c r="W42" s="2"/>
      <c r="X42" s="2">
        <f t="shared" si="14"/>
        <v>-47383.19000000001</v>
      </c>
      <c r="Y42" s="2"/>
      <c r="Z42" s="6">
        <f t="shared" si="15"/>
        <v>-0.59037845096768582</v>
      </c>
    </row>
    <row r="43" spans="1:26" s="70" customFormat="1" ht="15" hidden="1" customHeight="1" outlineLevel="2" x14ac:dyDescent="0.3">
      <c r="A43" s="26"/>
      <c r="B43" s="12" t="str">
        <f>CONCATENATE("          ","6001"," - ","ADMINISTRATIVE SALARIES")</f>
        <v xml:space="preserve">          6001 - ADMINISTRATIVE SALARIES</v>
      </c>
      <c r="C43" s="12"/>
      <c r="D43" s="7"/>
      <c r="E43" s="3"/>
      <c r="F43" s="8">
        <f t="shared" si="8"/>
        <v>0</v>
      </c>
      <c r="G43" s="3"/>
      <c r="H43" s="7">
        <v>0</v>
      </c>
      <c r="I43" s="3"/>
      <c r="J43" s="8">
        <f t="shared" si="9"/>
        <v>0</v>
      </c>
      <c r="K43" s="3"/>
      <c r="L43" s="7">
        <f t="shared" si="10"/>
        <v>0</v>
      </c>
      <c r="M43" s="3"/>
      <c r="N43" s="8">
        <f t="shared" si="11"/>
        <v>0</v>
      </c>
      <c r="O43" s="12"/>
      <c r="P43" s="7"/>
      <c r="Q43" s="3"/>
      <c r="R43" s="8">
        <f t="shared" si="12"/>
        <v>0</v>
      </c>
      <c r="S43" s="3"/>
      <c r="T43" s="7">
        <v>0</v>
      </c>
      <c r="U43" s="3"/>
      <c r="V43" s="8">
        <f t="shared" si="13"/>
        <v>0</v>
      </c>
      <c r="W43" s="3"/>
      <c r="X43" s="7">
        <f t="shared" si="14"/>
        <v>0</v>
      </c>
      <c r="Y43" s="3"/>
      <c r="Z43" s="8">
        <f t="shared" si="15"/>
        <v>0</v>
      </c>
    </row>
    <row r="44" spans="1:26" s="70" customFormat="1" ht="15" hidden="1" customHeight="1" outlineLevel="2" x14ac:dyDescent="0.3">
      <c r="A44" s="26"/>
      <c r="B44" s="12" t="str">
        <f>CONCATENATE("          ","6002"," - ","STAFF SALARIES")</f>
        <v xml:space="preserve">          6002 - STAFF SALARIES</v>
      </c>
      <c r="C44" s="12"/>
      <c r="D44" s="7"/>
      <c r="E44" s="3"/>
      <c r="F44" s="8">
        <f t="shared" si="8"/>
        <v>0</v>
      </c>
      <c r="G44" s="3"/>
      <c r="H44" s="7">
        <v>0</v>
      </c>
      <c r="I44" s="3"/>
      <c r="J44" s="8">
        <f t="shared" si="9"/>
        <v>0</v>
      </c>
      <c r="K44" s="3"/>
      <c r="L44" s="7">
        <f t="shared" si="10"/>
        <v>0</v>
      </c>
      <c r="M44" s="3"/>
      <c r="N44" s="8">
        <f t="shared" si="11"/>
        <v>0</v>
      </c>
      <c r="O44" s="12"/>
      <c r="P44" s="7"/>
      <c r="Q44" s="3"/>
      <c r="R44" s="8">
        <f t="shared" si="12"/>
        <v>0</v>
      </c>
      <c r="S44" s="3"/>
      <c r="T44" s="7">
        <v>0</v>
      </c>
      <c r="U44" s="3"/>
      <c r="V44" s="8">
        <f t="shared" si="13"/>
        <v>0</v>
      </c>
      <c r="W44" s="3"/>
      <c r="X44" s="7">
        <f t="shared" si="14"/>
        <v>0</v>
      </c>
      <c r="Y44" s="3"/>
      <c r="Z44" s="8">
        <f t="shared" si="15"/>
        <v>0</v>
      </c>
    </row>
    <row r="45" spans="1:26" s="70" customFormat="1" ht="15" hidden="1" customHeight="1" outlineLevel="2" x14ac:dyDescent="0.3">
      <c r="A45" s="26"/>
      <c r="B45" s="12" t="str">
        <f>CONCATENATE("          ","6003"," - ","STAFF HOURLY-9 MONTH")</f>
        <v xml:space="preserve">          6003 - STAFF HOURLY-9 MONTH</v>
      </c>
      <c r="C45" s="12"/>
      <c r="D45" s="7"/>
      <c r="E45" s="3"/>
      <c r="F45" s="8">
        <f t="shared" si="8"/>
        <v>0</v>
      </c>
      <c r="G45" s="3"/>
      <c r="H45" s="7">
        <v>0</v>
      </c>
      <c r="I45" s="3"/>
      <c r="J45" s="8">
        <f t="shared" si="9"/>
        <v>0</v>
      </c>
      <c r="K45" s="3"/>
      <c r="L45" s="7">
        <f t="shared" si="10"/>
        <v>0</v>
      </c>
      <c r="M45" s="3"/>
      <c r="N45" s="8">
        <f t="shared" si="11"/>
        <v>0</v>
      </c>
      <c r="O45" s="12"/>
      <c r="P45" s="7"/>
      <c r="Q45" s="3"/>
      <c r="R45" s="8">
        <f t="shared" si="12"/>
        <v>0</v>
      </c>
      <c r="S45" s="3"/>
      <c r="T45" s="7">
        <v>0</v>
      </c>
      <c r="U45" s="3"/>
      <c r="V45" s="8">
        <f t="shared" si="13"/>
        <v>0</v>
      </c>
      <c r="W45" s="3"/>
      <c r="X45" s="7">
        <f t="shared" si="14"/>
        <v>0</v>
      </c>
      <c r="Y45" s="3"/>
      <c r="Z45" s="8">
        <f t="shared" si="15"/>
        <v>0</v>
      </c>
    </row>
    <row r="46" spans="1:26" s="70" customFormat="1" ht="15" hidden="1" customHeight="1" outlineLevel="2" x14ac:dyDescent="0.3">
      <c r="A46" s="26"/>
      <c r="B46" s="12" t="str">
        <f>CONCATENATE("          ","6004"," - ","STAFF HOURLY")</f>
        <v xml:space="preserve">          6004 - STAFF HOURLY</v>
      </c>
      <c r="C46" s="12"/>
      <c r="D46" s="7"/>
      <c r="E46" s="3"/>
      <c r="F46" s="8">
        <f t="shared" si="8"/>
        <v>0</v>
      </c>
      <c r="G46" s="3"/>
      <c r="H46" s="7">
        <v>1951.68</v>
      </c>
      <c r="I46" s="3"/>
      <c r="J46" s="8">
        <f t="shared" si="9"/>
        <v>5.2361763206610686E-2</v>
      </c>
      <c r="K46" s="3"/>
      <c r="L46" s="7">
        <f t="shared" si="10"/>
        <v>-1951.68</v>
      </c>
      <c r="M46" s="3"/>
      <c r="N46" s="8">
        <f t="shared" si="11"/>
        <v>-1</v>
      </c>
      <c r="O46" s="12"/>
      <c r="P46" s="7">
        <v>783.61</v>
      </c>
      <c r="Q46" s="3"/>
      <c r="R46" s="8">
        <f t="shared" si="12"/>
        <v>4.2084713470722738E-3</v>
      </c>
      <c r="S46" s="3"/>
      <c r="T46" s="7">
        <v>18198.96</v>
      </c>
      <c r="U46" s="3"/>
      <c r="V46" s="8">
        <f t="shared" si="13"/>
        <v>4.2856577683163463E-2</v>
      </c>
      <c r="W46" s="3"/>
      <c r="X46" s="7">
        <f t="shared" si="14"/>
        <v>-17415.349999999999</v>
      </c>
      <c r="Y46" s="3"/>
      <c r="Z46" s="8">
        <f t="shared" si="15"/>
        <v>-0.9569420450399363</v>
      </c>
    </row>
    <row r="47" spans="1:26" s="70" customFormat="1" ht="15" hidden="1" customHeight="1" outlineLevel="2" x14ac:dyDescent="0.3">
      <c r="A47" s="26"/>
      <c r="B47" s="12" t="str">
        <f>CONCATENATE("          ","6005"," - ","TEMPORARY WAGES-HOURLY")</f>
        <v xml:space="preserve">          6005 - TEMPORARY WAGES-HOURLY</v>
      </c>
      <c r="C47" s="12"/>
      <c r="D47" s="7">
        <v>1530.97</v>
      </c>
      <c r="E47" s="3"/>
      <c r="F47" s="8">
        <f t="shared" si="8"/>
        <v>3.6044866025129255E-2</v>
      </c>
      <c r="G47" s="3"/>
      <c r="H47" s="7">
        <v>0</v>
      </c>
      <c r="I47" s="3"/>
      <c r="J47" s="8">
        <f t="shared" si="9"/>
        <v>0</v>
      </c>
      <c r="K47" s="3"/>
      <c r="L47" s="7">
        <f t="shared" si="10"/>
        <v>1530.97</v>
      </c>
      <c r="M47" s="3"/>
      <c r="N47" s="8">
        <f t="shared" si="11"/>
        <v>0</v>
      </c>
      <c r="O47" s="12"/>
      <c r="P47" s="7">
        <v>3701.31</v>
      </c>
      <c r="Q47" s="3"/>
      <c r="R47" s="8">
        <f t="shared" si="12"/>
        <v>1.9878328609425705E-2</v>
      </c>
      <c r="S47" s="3"/>
      <c r="T47" s="7">
        <v>0</v>
      </c>
      <c r="U47" s="3"/>
      <c r="V47" s="8">
        <f t="shared" si="13"/>
        <v>0</v>
      </c>
      <c r="W47" s="3"/>
      <c r="X47" s="7">
        <f t="shared" si="14"/>
        <v>3701.31</v>
      </c>
      <c r="Y47" s="3"/>
      <c r="Z47" s="8">
        <f t="shared" si="15"/>
        <v>0</v>
      </c>
    </row>
    <row r="48" spans="1:26" s="70" customFormat="1" ht="15" hidden="1" customHeight="1" outlineLevel="2" x14ac:dyDescent="0.3">
      <c r="A48" s="26"/>
      <c r="B48" s="12" t="str">
        <f>CONCATENATE("          ","6006"," - ","TEMPORARY PART TIME")</f>
        <v xml:space="preserve">          6006 - TEMPORARY PART TIME</v>
      </c>
      <c r="C48" s="12"/>
      <c r="D48" s="7"/>
      <c r="E48" s="3"/>
      <c r="F48" s="8">
        <f t="shared" si="8"/>
        <v>0</v>
      </c>
      <c r="G48" s="3"/>
      <c r="H48" s="7">
        <v>0</v>
      </c>
      <c r="I48" s="3"/>
      <c r="J48" s="8">
        <f t="shared" si="9"/>
        <v>0</v>
      </c>
      <c r="K48" s="3"/>
      <c r="L48" s="7">
        <f t="shared" si="10"/>
        <v>0</v>
      </c>
      <c r="M48" s="3"/>
      <c r="N48" s="8">
        <f t="shared" si="11"/>
        <v>0</v>
      </c>
      <c r="O48" s="12"/>
      <c r="P48" s="7"/>
      <c r="Q48" s="3"/>
      <c r="R48" s="8">
        <f t="shared" si="12"/>
        <v>0</v>
      </c>
      <c r="S48" s="3"/>
      <c r="T48" s="7">
        <v>0</v>
      </c>
      <c r="U48" s="3"/>
      <c r="V48" s="8">
        <f t="shared" si="13"/>
        <v>0</v>
      </c>
      <c r="W48" s="3"/>
      <c r="X48" s="7">
        <f t="shared" si="14"/>
        <v>0</v>
      </c>
      <c r="Y48" s="3"/>
      <c r="Z48" s="8">
        <f t="shared" si="15"/>
        <v>0</v>
      </c>
    </row>
    <row r="49" spans="1:26" s="70" customFormat="1" ht="15" hidden="1" customHeight="1" outlineLevel="2" x14ac:dyDescent="0.3">
      <c r="A49" s="26"/>
      <c r="B49" s="12" t="str">
        <f>CONCATENATE("          ","6007"," - ","STUDENT HOURLY")</f>
        <v xml:space="preserve">          6007 - STUDENT HOURLY</v>
      </c>
      <c r="C49" s="12"/>
      <c r="D49" s="7">
        <v>3964.7</v>
      </c>
      <c r="E49" s="3"/>
      <c r="F49" s="8">
        <f t="shared" si="8"/>
        <v>9.3344141511479614E-2</v>
      </c>
      <c r="G49" s="3"/>
      <c r="H49" s="7">
        <v>0</v>
      </c>
      <c r="I49" s="3"/>
      <c r="J49" s="8">
        <f t="shared" si="9"/>
        <v>0</v>
      </c>
      <c r="K49" s="3"/>
      <c r="L49" s="7">
        <f t="shared" si="10"/>
        <v>3964.7</v>
      </c>
      <c r="M49" s="3"/>
      <c r="N49" s="8">
        <f t="shared" si="11"/>
        <v>0</v>
      </c>
      <c r="O49" s="12"/>
      <c r="P49" s="7">
        <v>22916.27</v>
      </c>
      <c r="Q49" s="3"/>
      <c r="R49" s="8">
        <f t="shared" si="12"/>
        <v>0.12307457239796829</v>
      </c>
      <c r="S49" s="3"/>
      <c r="T49" s="7">
        <v>13995</v>
      </c>
      <c r="U49" s="3"/>
      <c r="V49" s="8">
        <f t="shared" si="13"/>
        <v>3.295670767317873E-2</v>
      </c>
      <c r="W49" s="3"/>
      <c r="X49" s="7">
        <f t="shared" si="14"/>
        <v>8921.27</v>
      </c>
      <c r="Y49" s="3"/>
      <c r="Z49" s="8">
        <f t="shared" si="15"/>
        <v>0.63746123615576999</v>
      </c>
    </row>
    <row r="50" spans="1:26" s="70" customFormat="1" ht="15" hidden="1" customHeight="1" outlineLevel="2" x14ac:dyDescent="0.3">
      <c r="A50" s="26"/>
      <c r="B50" s="12" t="str">
        <f>CONCATENATE("          ","6008"," - ","STUDENT HOURLY-FICA EXEMPT")</f>
        <v xml:space="preserve">          6008 - STUDENT HOURLY-FICA EXEMPT</v>
      </c>
      <c r="C50" s="12"/>
      <c r="D50" s="7">
        <v>587.53</v>
      </c>
      <c r="E50" s="3"/>
      <c r="F50" s="8">
        <f t="shared" si="8"/>
        <v>1.3832694393583277E-2</v>
      </c>
      <c r="G50" s="3"/>
      <c r="H50" s="7">
        <v>6655.4</v>
      </c>
      <c r="I50" s="3"/>
      <c r="J50" s="8">
        <f t="shared" si="9"/>
        <v>0.1785582056716658</v>
      </c>
      <c r="K50" s="3"/>
      <c r="L50" s="7">
        <f t="shared" si="10"/>
        <v>-6067.87</v>
      </c>
      <c r="M50" s="3"/>
      <c r="N50" s="8">
        <f t="shared" si="11"/>
        <v>-0.9117213090122307</v>
      </c>
      <c r="O50" s="12"/>
      <c r="P50" s="7">
        <v>5474.63</v>
      </c>
      <c r="Q50" s="3"/>
      <c r="R50" s="8">
        <f t="shared" si="12"/>
        <v>2.9402156035301084E-2</v>
      </c>
      <c r="S50" s="3"/>
      <c r="T50" s="7">
        <v>48065.05</v>
      </c>
      <c r="U50" s="3"/>
      <c r="V50" s="8">
        <f t="shared" si="13"/>
        <v>0.11318798157532828</v>
      </c>
      <c r="W50" s="3"/>
      <c r="X50" s="7">
        <f t="shared" si="14"/>
        <v>-42590.420000000006</v>
      </c>
      <c r="Y50" s="3"/>
      <c r="Z50" s="8">
        <f t="shared" si="15"/>
        <v>-0.88609956714910321</v>
      </c>
    </row>
    <row r="51" spans="1:26" s="70" customFormat="1" ht="15" hidden="1" customHeight="1" outlineLevel="2" x14ac:dyDescent="0.3">
      <c r="A51" s="26"/>
      <c r="B51" s="12" t="str">
        <f>CONCATENATE("          ","6009"," - ","TEMPORARY-SEASONAL")</f>
        <v xml:space="preserve">          6009 - TEMPORARY-SEASONAL</v>
      </c>
      <c r="C51" s="12"/>
      <c r="D51" s="7"/>
      <c r="E51" s="3"/>
      <c r="F51" s="8">
        <f t="shared" si="8"/>
        <v>0</v>
      </c>
      <c r="G51" s="3"/>
      <c r="H51" s="7">
        <v>0</v>
      </c>
      <c r="I51" s="3"/>
      <c r="J51" s="8">
        <f t="shared" si="9"/>
        <v>0</v>
      </c>
      <c r="K51" s="3"/>
      <c r="L51" s="7">
        <f t="shared" si="10"/>
        <v>0</v>
      </c>
      <c r="M51" s="3"/>
      <c r="N51" s="8">
        <f t="shared" si="11"/>
        <v>0</v>
      </c>
      <c r="O51" s="12"/>
      <c r="P51" s="7"/>
      <c r="Q51" s="3"/>
      <c r="R51" s="8">
        <f t="shared" si="12"/>
        <v>0</v>
      </c>
      <c r="S51" s="3"/>
      <c r="T51" s="7">
        <v>0</v>
      </c>
      <c r="U51" s="3"/>
      <c r="V51" s="8">
        <f t="shared" si="13"/>
        <v>0</v>
      </c>
      <c r="W51" s="3"/>
      <c r="X51" s="7">
        <f t="shared" si="14"/>
        <v>0</v>
      </c>
      <c r="Y51" s="3"/>
      <c r="Z51" s="8">
        <f t="shared" si="15"/>
        <v>0</v>
      </c>
    </row>
    <row r="52" spans="1:26" s="70" customFormat="1" ht="15" hidden="1" customHeight="1" outlineLevel="2" x14ac:dyDescent="0.3">
      <c r="A52" s="26"/>
      <c r="B52" s="12" t="str">
        <f>CONCATENATE("          ","6010"," - ","GRATUITY")</f>
        <v xml:space="preserve">          6010 - GRATUITY</v>
      </c>
      <c r="C52" s="12"/>
      <c r="D52" s="7"/>
      <c r="E52" s="3"/>
      <c r="F52" s="8">
        <f t="shared" si="8"/>
        <v>0</v>
      </c>
      <c r="G52" s="3"/>
      <c r="H52" s="7">
        <v>0</v>
      </c>
      <c r="I52" s="3"/>
      <c r="J52" s="8">
        <f t="shared" si="9"/>
        <v>0</v>
      </c>
      <c r="K52" s="3"/>
      <c r="L52" s="7">
        <f t="shared" si="10"/>
        <v>0</v>
      </c>
      <c r="M52" s="3"/>
      <c r="N52" s="8">
        <f t="shared" si="11"/>
        <v>0</v>
      </c>
      <c r="O52" s="12"/>
      <c r="P52" s="7"/>
      <c r="Q52" s="3"/>
      <c r="R52" s="8">
        <f t="shared" si="12"/>
        <v>0</v>
      </c>
      <c r="S52" s="3"/>
      <c r="T52" s="7">
        <v>0</v>
      </c>
      <c r="U52" s="3"/>
      <c r="V52" s="8">
        <f t="shared" si="13"/>
        <v>0</v>
      </c>
      <c r="W52" s="3"/>
      <c r="X52" s="7">
        <f t="shared" si="14"/>
        <v>0</v>
      </c>
      <c r="Y52" s="3"/>
      <c r="Z52" s="8">
        <f t="shared" si="15"/>
        <v>0</v>
      </c>
    </row>
    <row r="53" spans="1:26" s="69" customFormat="1" ht="15" customHeight="1" outlineLevel="1" collapsed="1" x14ac:dyDescent="0.3">
      <c r="A53" s="25"/>
      <c r="B53" s="14" t="str">
        <f>CONCATENATE("     ","Advertising/Promo                                 ")</f>
        <v xml:space="preserve">     Advertising/Promo                                 </v>
      </c>
      <c r="C53" s="14"/>
      <c r="D53" s="2">
        <f>SUM(OSRRefD22_2x_0)</f>
        <v>0</v>
      </c>
      <c r="E53" s="2"/>
      <c r="F53" s="6">
        <f t="shared" si="8"/>
        <v>0</v>
      </c>
      <c r="G53" s="2"/>
      <c r="H53" s="2">
        <f>SUM(OSRRefH22_2x_0)</f>
        <v>50</v>
      </c>
      <c r="I53" s="2"/>
      <c r="J53" s="6">
        <f t="shared" si="9"/>
        <v>1.3414535991200065E-3</v>
      </c>
      <c r="K53" s="2"/>
      <c r="L53" s="2">
        <f t="shared" si="10"/>
        <v>-50</v>
      </c>
      <c r="M53" s="2"/>
      <c r="N53" s="6">
        <f t="shared" si="11"/>
        <v>-1</v>
      </c>
      <c r="O53" s="14"/>
      <c r="P53" s="2">
        <f>SUM(OSRRefP22_2x_0)</f>
        <v>1669.12</v>
      </c>
      <c r="Q53" s="2"/>
      <c r="R53" s="6">
        <f t="shared" si="12"/>
        <v>8.9642088472904544E-3</v>
      </c>
      <c r="S53" s="2"/>
      <c r="T53" s="2">
        <f>SUM(OSRRefT22_2x_0)</f>
        <v>450</v>
      </c>
      <c r="U53" s="2"/>
      <c r="V53" s="6">
        <f t="shared" si="13"/>
        <v>1.0597012113562291E-3</v>
      </c>
      <c r="W53" s="2"/>
      <c r="X53" s="2">
        <f t="shared" si="14"/>
        <v>1219.1199999999999</v>
      </c>
      <c r="Y53" s="2"/>
      <c r="Z53" s="6">
        <f t="shared" si="15"/>
        <v>2.7091555555555553</v>
      </c>
    </row>
    <row r="54" spans="1:26" s="70" customFormat="1" ht="15" hidden="1" customHeight="1" outlineLevel="2" x14ac:dyDescent="0.3">
      <c r="A54" s="26"/>
      <c r="B54" s="12" t="str">
        <f>CONCATENATE("          ","6362"," - ","ADVERTISING EXPENSE")</f>
        <v xml:space="preserve">          6362 - ADVERTISING EXPENSE</v>
      </c>
      <c r="C54" s="12"/>
      <c r="D54" s="7"/>
      <c r="E54" s="3"/>
      <c r="F54" s="8">
        <f t="shared" si="8"/>
        <v>0</v>
      </c>
      <c r="G54" s="3"/>
      <c r="H54" s="7">
        <v>50</v>
      </c>
      <c r="I54" s="3"/>
      <c r="J54" s="8">
        <f t="shared" si="9"/>
        <v>1.3414535991200065E-3</v>
      </c>
      <c r="K54" s="3"/>
      <c r="L54" s="7">
        <f t="shared" si="10"/>
        <v>-50</v>
      </c>
      <c r="M54" s="3"/>
      <c r="N54" s="8">
        <f t="shared" si="11"/>
        <v>-1</v>
      </c>
      <c r="O54" s="12"/>
      <c r="P54" s="7">
        <v>1669.12</v>
      </c>
      <c r="Q54" s="3"/>
      <c r="R54" s="8">
        <f t="shared" si="12"/>
        <v>8.9642088472904544E-3</v>
      </c>
      <c r="S54" s="3"/>
      <c r="T54" s="7">
        <v>450</v>
      </c>
      <c r="U54" s="3"/>
      <c r="V54" s="8">
        <f t="shared" si="13"/>
        <v>1.0597012113562291E-3</v>
      </c>
      <c r="W54" s="3"/>
      <c r="X54" s="7">
        <f t="shared" si="14"/>
        <v>1219.1199999999999</v>
      </c>
      <c r="Y54" s="3"/>
      <c r="Z54" s="8">
        <f t="shared" si="15"/>
        <v>2.7091555555555553</v>
      </c>
    </row>
    <row r="55" spans="1:26" s="69" customFormat="1" ht="15" customHeight="1" outlineLevel="1" collapsed="1" x14ac:dyDescent="0.3">
      <c r="A55" s="25"/>
      <c r="B55" s="14" t="str">
        <f>CONCATENATE("     ","Bad Debts/Over/Short                              ")</f>
        <v xml:space="preserve">     Bad Debts/Over/Short                              </v>
      </c>
      <c r="C55" s="14"/>
      <c r="D55" s="2">
        <f>SUM(OSRRefD22_3x_0)</f>
        <v>-0.64</v>
      </c>
      <c r="E55" s="2"/>
      <c r="F55" s="6">
        <f t="shared" si="8"/>
        <v>-1.5068038077873977E-5</v>
      </c>
      <c r="G55" s="2"/>
      <c r="H55" s="2">
        <f>SUM(OSRRefH22_3x_0)</f>
        <v>25</v>
      </c>
      <c r="I55" s="2"/>
      <c r="J55" s="6">
        <f t="shared" si="9"/>
        <v>6.7072679956000324E-4</v>
      </c>
      <c r="K55" s="2"/>
      <c r="L55" s="2">
        <f t="shared" si="10"/>
        <v>-25.64</v>
      </c>
      <c r="M55" s="2"/>
      <c r="N55" s="6">
        <f t="shared" si="11"/>
        <v>-1.0256000000000001</v>
      </c>
      <c r="O55" s="14"/>
      <c r="P55" s="2">
        <f>SUM(OSRRefP22_3x_0)</f>
        <v>-9.31</v>
      </c>
      <c r="Q55" s="2"/>
      <c r="R55" s="6">
        <f t="shared" si="12"/>
        <v>-5.0000469929228664E-5</v>
      </c>
      <c r="S55" s="2"/>
      <c r="T55" s="2">
        <f>SUM(OSRRefT22_3x_0)</f>
        <v>225</v>
      </c>
      <c r="U55" s="2"/>
      <c r="V55" s="6">
        <f t="shared" si="13"/>
        <v>5.2985060567811455E-4</v>
      </c>
      <c r="W55" s="2"/>
      <c r="X55" s="2">
        <f t="shared" si="14"/>
        <v>-234.31</v>
      </c>
      <c r="Y55" s="2"/>
      <c r="Z55" s="6">
        <f t="shared" si="15"/>
        <v>-1.0413777777777777</v>
      </c>
    </row>
    <row r="56" spans="1:26" s="70" customFormat="1" ht="15" hidden="1" customHeight="1" outlineLevel="2" x14ac:dyDescent="0.3">
      <c r="A56" s="26"/>
      <c r="B56" s="12" t="str">
        <f>CONCATENATE("          ","6272"," - ","CASH (OVER/SHORT)")</f>
        <v xml:space="preserve">          6272 - CASH (OVER/SHORT)</v>
      </c>
      <c r="C56" s="12"/>
      <c r="D56" s="7">
        <v>-0.64</v>
      </c>
      <c r="E56" s="3"/>
      <c r="F56" s="8">
        <f t="shared" si="8"/>
        <v>-1.5068038077873977E-5</v>
      </c>
      <c r="G56" s="3"/>
      <c r="H56" s="7">
        <v>25</v>
      </c>
      <c r="I56" s="3"/>
      <c r="J56" s="8">
        <f t="shared" si="9"/>
        <v>6.7072679956000324E-4</v>
      </c>
      <c r="K56" s="3"/>
      <c r="L56" s="7">
        <f t="shared" si="10"/>
        <v>-25.64</v>
      </c>
      <c r="M56" s="3"/>
      <c r="N56" s="8">
        <f t="shared" si="11"/>
        <v>-1.0256000000000001</v>
      </c>
      <c r="O56" s="12"/>
      <c r="P56" s="7">
        <v>-9.31</v>
      </c>
      <c r="Q56" s="3"/>
      <c r="R56" s="8">
        <f t="shared" si="12"/>
        <v>-5.0000469929228664E-5</v>
      </c>
      <c r="S56" s="3"/>
      <c r="T56" s="7">
        <v>225</v>
      </c>
      <c r="U56" s="3"/>
      <c r="V56" s="8">
        <f t="shared" si="13"/>
        <v>5.2985060567811455E-4</v>
      </c>
      <c r="W56" s="3"/>
      <c r="X56" s="7">
        <f t="shared" si="14"/>
        <v>-234.31</v>
      </c>
      <c r="Y56" s="3"/>
      <c r="Z56" s="8">
        <f t="shared" si="15"/>
        <v>-1.0413777777777777</v>
      </c>
    </row>
    <row r="57" spans="1:26" s="69" customFormat="1" ht="15" customHeight="1" outlineLevel="1" collapsed="1" x14ac:dyDescent="0.3">
      <c r="A57" s="25"/>
      <c r="B57" s="14" t="str">
        <f>CONCATENATE("     ","Bank/card Fees                                    ")</f>
        <v xml:space="preserve">     Bank/card Fees                                    </v>
      </c>
      <c r="C57" s="14"/>
      <c r="D57" s="2">
        <f>SUM(OSRRefD22_4x_0)</f>
        <v>0</v>
      </c>
      <c r="E57" s="2"/>
      <c r="F57" s="6">
        <f t="shared" si="8"/>
        <v>0</v>
      </c>
      <c r="G57" s="2"/>
      <c r="H57" s="2">
        <f>SUM(OSRRefH22_4x_0)</f>
        <v>668</v>
      </c>
      <c r="I57" s="2"/>
      <c r="J57" s="6">
        <f t="shared" si="9"/>
        <v>1.7921820084243287E-2</v>
      </c>
      <c r="K57" s="2"/>
      <c r="L57" s="2">
        <f t="shared" si="10"/>
        <v>-668</v>
      </c>
      <c r="M57" s="2"/>
      <c r="N57" s="6">
        <f t="shared" si="11"/>
        <v>-1</v>
      </c>
      <c r="O57" s="14"/>
      <c r="P57" s="2">
        <f>SUM(OSRRefP22_4x_0)</f>
        <v>0</v>
      </c>
      <c r="Q57" s="2"/>
      <c r="R57" s="6">
        <f t="shared" si="12"/>
        <v>0</v>
      </c>
      <c r="S57" s="2"/>
      <c r="T57" s="2">
        <f>SUM(OSRRefT22_4x_0)</f>
        <v>7912</v>
      </c>
      <c r="U57" s="2"/>
      <c r="V57" s="6">
        <f t="shared" si="13"/>
        <v>1.8631902187223302E-2</v>
      </c>
      <c r="W57" s="2"/>
      <c r="X57" s="2">
        <f t="shared" si="14"/>
        <v>-7912</v>
      </c>
      <c r="Y57" s="2"/>
      <c r="Z57" s="6">
        <f t="shared" si="15"/>
        <v>-1</v>
      </c>
    </row>
    <row r="58" spans="1:26" s="70" customFormat="1" ht="15" hidden="1" customHeight="1" outlineLevel="2" x14ac:dyDescent="0.3">
      <c r="A58" s="26"/>
      <c r="B58" s="12" t="str">
        <f>CONCATENATE("          ","6381"," - ","BANK/CREDIT CARD FEES")</f>
        <v xml:space="preserve">          6381 - BANK/CREDIT CARD FEES</v>
      </c>
      <c r="C58" s="12"/>
      <c r="D58" s="7"/>
      <c r="E58" s="3"/>
      <c r="F58" s="8">
        <f t="shared" si="8"/>
        <v>0</v>
      </c>
      <c r="G58" s="3"/>
      <c r="H58" s="7">
        <v>668</v>
      </c>
      <c r="I58" s="3"/>
      <c r="J58" s="8">
        <f t="shared" si="9"/>
        <v>1.7921820084243287E-2</v>
      </c>
      <c r="K58" s="3"/>
      <c r="L58" s="7">
        <f t="shared" si="10"/>
        <v>-668</v>
      </c>
      <c r="M58" s="3"/>
      <c r="N58" s="8">
        <f t="shared" si="11"/>
        <v>-1</v>
      </c>
      <c r="O58" s="12"/>
      <c r="P58" s="7"/>
      <c r="Q58" s="3"/>
      <c r="R58" s="8">
        <f t="shared" si="12"/>
        <v>0</v>
      </c>
      <c r="S58" s="3"/>
      <c r="T58" s="7">
        <v>7912</v>
      </c>
      <c r="U58" s="3"/>
      <c r="V58" s="8">
        <f t="shared" si="13"/>
        <v>1.8631902187223302E-2</v>
      </c>
      <c r="W58" s="3"/>
      <c r="X58" s="7">
        <f t="shared" si="14"/>
        <v>-7912</v>
      </c>
      <c r="Y58" s="3"/>
      <c r="Z58" s="8">
        <f t="shared" si="15"/>
        <v>-1</v>
      </c>
    </row>
    <row r="59" spans="1:26" s="69" customFormat="1" ht="15" customHeight="1" outlineLevel="1" collapsed="1" x14ac:dyDescent="0.3">
      <c r="A59" s="25"/>
      <c r="B59" s="14" t="str">
        <f>CONCATENATE("     ","Discounts and Markdowns                           ")</f>
        <v xml:space="preserve">     Discounts and Markdowns                           </v>
      </c>
      <c r="C59" s="14"/>
      <c r="D59" s="2">
        <f>SUM(OSRRefD22_5x_0)</f>
        <v>-0.67</v>
      </c>
      <c r="E59" s="2"/>
      <c r="F59" s="6">
        <f t="shared" si="8"/>
        <v>-1.5774352362774319E-5</v>
      </c>
      <c r="G59" s="2"/>
      <c r="H59" s="2">
        <f>SUM(OSRRefH22_5x_0)</f>
        <v>0</v>
      </c>
      <c r="I59" s="2"/>
      <c r="J59" s="6">
        <f t="shared" si="9"/>
        <v>0</v>
      </c>
      <c r="K59" s="2"/>
      <c r="L59" s="2">
        <f t="shared" si="10"/>
        <v>-0.67</v>
      </c>
      <c r="M59" s="2"/>
      <c r="N59" s="6">
        <f t="shared" si="11"/>
        <v>0</v>
      </c>
      <c r="O59" s="14"/>
      <c r="P59" s="2">
        <f>SUM(OSRRefP22_5x_0)</f>
        <v>-0.67</v>
      </c>
      <c r="Q59" s="2"/>
      <c r="R59" s="6">
        <f t="shared" si="12"/>
        <v>-3.5983152365825136E-6</v>
      </c>
      <c r="S59" s="2"/>
      <c r="T59" s="2">
        <f>SUM(OSRRefT22_5x_0)</f>
        <v>0</v>
      </c>
      <c r="U59" s="2"/>
      <c r="V59" s="6">
        <f t="shared" si="13"/>
        <v>0</v>
      </c>
      <c r="W59" s="2"/>
      <c r="X59" s="2">
        <f t="shared" si="14"/>
        <v>-0.67</v>
      </c>
      <c r="Y59" s="2"/>
      <c r="Z59" s="6">
        <f t="shared" si="15"/>
        <v>0</v>
      </c>
    </row>
    <row r="60" spans="1:26" s="70" customFormat="1" ht="15" hidden="1" customHeight="1" outlineLevel="2" x14ac:dyDescent="0.3">
      <c r="A60" s="26"/>
      <c r="B60" s="12" t="str">
        <f>CONCATENATE("          ","6382"," - ","DISCOUNTS/MARK DOWNS")</f>
        <v xml:space="preserve">          6382 - DISCOUNTS/MARK DOWNS</v>
      </c>
      <c r="C60" s="12"/>
      <c r="D60" s="7"/>
      <c r="E60" s="3"/>
      <c r="F60" s="8">
        <f t="shared" si="8"/>
        <v>0</v>
      </c>
      <c r="G60" s="3"/>
      <c r="H60" s="7"/>
      <c r="I60" s="3"/>
      <c r="J60" s="8">
        <f t="shared" si="9"/>
        <v>0</v>
      </c>
      <c r="K60" s="3"/>
      <c r="L60" s="7">
        <f t="shared" si="10"/>
        <v>0</v>
      </c>
      <c r="M60" s="3"/>
      <c r="N60" s="8">
        <f t="shared" si="11"/>
        <v>0</v>
      </c>
      <c r="O60" s="12"/>
      <c r="P60" s="7"/>
      <c r="Q60" s="3"/>
      <c r="R60" s="8">
        <f t="shared" si="12"/>
        <v>0</v>
      </c>
      <c r="S60" s="3"/>
      <c r="T60" s="7">
        <v>0</v>
      </c>
      <c r="U60" s="3"/>
      <c r="V60" s="8">
        <f t="shared" si="13"/>
        <v>0</v>
      </c>
      <c r="W60" s="3"/>
      <c r="X60" s="7">
        <f t="shared" si="14"/>
        <v>0</v>
      </c>
      <c r="Y60" s="3"/>
      <c r="Z60" s="8">
        <f t="shared" si="15"/>
        <v>0</v>
      </c>
    </row>
    <row r="61" spans="1:26" s="70" customFormat="1" ht="15" hidden="1" customHeight="1" outlineLevel="2" x14ac:dyDescent="0.3">
      <c r="A61" s="26"/>
      <c r="B61" s="12" t="str">
        <f>CONCATENATE("          ","9175"," - ","EARNED DISCOUNTS")</f>
        <v xml:space="preserve">          9175 - EARNED DISCOUNTS</v>
      </c>
      <c r="C61" s="12"/>
      <c r="D61" s="7">
        <v>-0.67</v>
      </c>
      <c r="E61" s="3"/>
      <c r="F61" s="8">
        <f t="shared" si="8"/>
        <v>-1.5774352362774319E-5</v>
      </c>
      <c r="G61" s="3"/>
      <c r="H61" s="7"/>
      <c r="I61" s="3"/>
      <c r="J61" s="8">
        <f t="shared" si="9"/>
        <v>0</v>
      </c>
      <c r="K61" s="3"/>
      <c r="L61" s="7">
        <f t="shared" si="10"/>
        <v>-0.67</v>
      </c>
      <c r="M61" s="3"/>
      <c r="N61" s="8">
        <f t="shared" si="11"/>
        <v>0</v>
      </c>
      <c r="O61" s="12"/>
      <c r="P61" s="7">
        <v>-0.67</v>
      </c>
      <c r="Q61" s="3"/>
      <c r="R61" s="8">
        <f t="shared" si="12"/>
        <v>-3.5983152365825136E-6</v>
      </c>
      <c r="S61" s="3"/>
      <c r="T61" s="7"/>
      <c r="U61" s="3"/>
      <c r="V61" s="8">
        <f t="shared" si="13"/>
        <v>0</v>
      </c>
      <c r="W61" s="3"/>
      <c r="X61" s="7">
        <f t="shared" si="14"/>
        <v>-0.67</v>
      </c>
      <c r="Y61" s="3"/>
      <c r="Z61" s="8">
        <f t="shared" si="15"/>
        <v>0</v>
      </c>
    </row>
    <row r="62" spans="1:26" s="69" customFormat="1" ht="15" customHeight="1" outlineLevel="1" collapsed="1" x14ac:dyDescent="0.3">
      <c r="A62" s="25"/>
      <c r="B62" s="14" t="str">
        <f>CONCATENATE("     ","Freight out/Postage                               ")</f>
        <v xml:space="preserve">     Freight out/Postage                               </v>
      </c>
      <c r="C62" s="14"/>
      <c r="D62" s="2">
        <f>SUM(OSRRefD22_6x_0)</f>
        <v>0</v>
      </c>
      <c r="E62" s="2"/>
      <c r="F62" s="6">
        <f t="shared" si="8"/>
        <v>0</v>
      </c>
      <c r="G62" s="2"/>
      <c r="H62" s="2">
        <f>SUM(OSRRefH22_6x_0)</f>
        <v>0</v>
      </c>
      <c r="I62" s="2"/>
      <c r="J62" s="6">
        <f t="shared" si="9"/>
        <v>0</v>
      </c>
      <c r="K62" s="2"/>
      <c r="L62" s="2">
        <f t="shared" si="10"/>
        <v>0</v>
      </c>
      <c r="M62" s="2"/>
      <c r="N62" s="6">
        <f t="shared" si="11"/>
        <v>0</v>
      </c>
      <c r="O62" s="14"/>
      <c r="P62" s="2">
        <f>SUM(OSRRefP22_6x_0)</f>
        <v>54.5</v>
      </c>
      <c r="Q62" s="2"/>
      <c r="R62" s="6">
        <f t="shared" si="12"/>
        <v>2.9269877670708508E-4</v>
      </c>
      <c r="S62" s="2"/>
      <c r="T62" s="2">
        <f>SUM(OSRRefT22_6x_0)</f>
        <v>0</v>
      </c>
      <c r="U62" s="2"/>
      <c r="V62" s="6">
        <f t="shared" si="13"/>
        <v>0</v>
      </c>
      <c r="W62" s="2"/>
      <c r="X62" s="2">
        <f t="shared" si="14"/>
        <v>54.5</v>
      </c>
      <c r="Y62" s="2"/>
      <c r="Z62" s="6">
        <f t="shared" si="15"/>
        <v>0</v>
      </c>
    </row>
    <row r="63" spans="1:26" s="70" customFormat="1" ht="15" hidden="1" customHeight="1" outlineLevel="2" x14ac:dyDescent="0.3">
      <c r="A63" s="26"/>
      <c r="B63" s="12" t="str">
        <f>CONCATENATE("          ","6307"," - ","POSTAGE")</f>
        <v xml:space="preserve">          6307 - POSTAGE</v>
      </c>
      <c r="C63" s="12"/>
      <c r="D63" s="7"/>
      <c r="E63" s="3"/>
      <c r="F63" s="8">
        <f t="shared" si="8"/>
        <v>0</v>
      </c>
      <c r="G63" s="3"/>
      <c r="H63" s="7"/>
      <c r="I63" s="3"/>
      <c r="J63" s="8">
        <f t="shared" si="9"/>
        <v>0</v>
      </c>
      <c r="K63" s="3"/>
      <c r="L63" s="7">
        <f t="shared" si="10"/>
        <v>0</v>
      </c>
      <c r="M63" s="3"/>
      <c r="N63" s="8">
        <f t="shared" si="11"/>
        <v>0</v>
      </c>
      <c r="O63" s="12"/>
      <c r="P63" s="7">
        <v>54.5</v>
      </c>
      <c r="Q63" s="3"/>
      <c r="R63" s="8">
        <f t="shared" si="12"/>
        <v>2.9269877670708508E-4</v>
      </c>
      <c r="S63" s="3"/>
      <c r="T63" s="7"/>
      <c r="U63" s="3"/>
      <c r="V63" s="8">
        <f t="shared" si="13"/>
        <v>0</v>
      </c>
      <c r="W63" s="3"/>
      <c r="X63" s="7">
        <f t="shared" si="14"/>
        <v>54.5</v>
      </c>
      <c r="Y63" s="3"/>
      <c r="Z63" s="8">
        <f t="shared" si="15"/>
        <v>0</v>
      </c>
    </row>
    <row r="64" spans="1:26" s="69" customFormat="1" ht="15" customHeight="1" outlineLevel="1" collapsed="1" x14ac:dyDescent="0.3">
      <c r="A64" s="25"/>
      <c r="B64" s="14" t="str">
        <f>CONCATENATE("     ","General                                           ")</f>
        <v xml:space="preserve">     General                                           </v>
      </c>
      <c r="C64" s="14"/>
      <c r="D64" s="2">
        <f>SUM(OSRRefD22_7x_0)</f>
        <v>0</v>
      </c>
      <c r="E64" s="2"/>
      <c r="F64" s="6">
        <f t="shared" ref="F64:F82" si="16">IF(D$12=0,0,D64/D$12)</f>
        <v>0</v>
      </c>
      <c r="G64" s="2"/>
      <c r="H64" s="2">
        <f>SUM(OSRRefH22_7x_0)</f>
        <v>0</v>
      </c>
      <c r="I64" s="2"/>
      <c r="J64" s="6">
        <f t="shared" ref="J64:J82" si="17">IF(H$12=0,0,H64/H$12)</f>
        <v>0</v>
      </c>
      <c r="K64" s="2"/>
      <c r="L64" s="2">
        <f t="shared" ref="L64:L82" si="18">+D64-H64</f>
        <v>0</v>
      </c>
      <c r="M64" s="2"/>
      <c r="N64" s="6">
        <f t="shared" ref="N64:N82" si="19">IF(H64=0,0,L64/H64)</f>
        <v>0</v>
      </c>
      <c r="O64" s="14"/>
      <c r="P64" s="2">
        <f>SUM(OSRRefP22_7x_0)</f>
        <v>388.04</v>
      </c>
      <c r="Q64" s="2"/>
      <c r="R64" s="6">
        <f t="shared" ref="R64:R82" si="20">IF(P$12=0,0,P64/P$12)</f>
        <v>2.0840152901544459E-3</v>
      </c>
      <c r="S64" s="2"/>
      <c r="T64" s="2">
        <f>SUM(OSRRefT22_7x_0)</f>
        <v>0</v>
      </c>
      <c r="U64" s="2"/>
      <c r="V64" s="6">
        <f t="shared" ref="V64:V82" si="21">IF(T$12=0,0,T64/T$12)</f>
        <v>0</v>
      </c>
      <c r="W64" s="2"/>
      <c r="X64" s="2">
        <f t="shared" ref="X64:X82" si="22">+P64-T64</f>
        <v>388.04</v>
      </c>
      <c r="Y64" s="2"/>
      <c r="Z64" s="6">
        <f t="shared" ref="Z64:Z82" si="23">IF(T64=0,0,X64/T64)</f>
        <v>0</v>
      </c>
    </row>
    <row r="65" spans="1:26" s="70" customFormat="1" ht="15" hidden="1" customHeight="1" outlineLevel="2" x14ac:dyDescent="0.3">
      <c r="A65" s="26"/>
      <c r="B65" s="12" t="str">
        <f>CONCATENATE("          ","6279"," - ","GENERAL EXPENSE")</f>
        <v xml:space="preserve">          6279 - GENERAL EXPENSE</v>
      </c>
      <c r="C65" s="12"/>
      <c r="D65" s="7"/>
      <c r="E65" s="3"/>
      <c r="F65" s="8">
        <f t="shared" si="16"/>
        <v>0</v>
      </c>
      <c r="G65" s="3"/>
      <c r="H65" s="7">
        <v>0</v>
      </c>
      <c r="I65" s="3"/>
      <c r="J65" s="8">
        <f t="shared" si="17"/>
        <v>0</v>
      </c>
      <c r="K65" s="3"/>
      <c r="L65" s="7">
        <f t="shared" si="18"/>
        <v>0</v>
      </c>
      <c r="M65" s="3"/>
      <c r="N65" s="8">
        <f t="shared" si="19"/>
        <v>0</v>
      </c>
      <c r="O65" s="12"/>
      <c r="P65" s="7">
        <v>388.04</v>
      </c>
      <c r="Q65" s="3"/>
      <c r="R65" s="8">
        <f t="shared" si="20"/>
        <v>2.0840152901544459E-3</v>
      </c>
      <c r="S65" s="3"/>
      <c r="T65" s="7">
        <v>0</v>
      </c>
      <c r="U65" s="3"/>
      <c r="V65" s="8">
        <f t="shared" si="21"/>
        <v>0</v>
      </c>
      <c r="W65" s="3"/>
      <c r="X65" s="7">
        <f t="shared" si="22"/>
        <v>388.04</v>
      </c>
      <c r="Y65" s="3"/>
      <c r="Z65" s="8">
        <f t="shared" si="23"/>
        <v>0</v>
      </c>
    </row>
    <row r="66" spans="1:26" s="69" customFormat="1" ht="15" customHeight="1" outlineLevel="1" collapsed="1" x14ac:dyDescent="0.3">
      <c r="A66" s="25"/>
      <c r="B66" s="14" t="str">
        <f>CONCATENATE("     ","Inventory Adjustment                              ")</f>
        <v xml:space="preserve">     Inventory Adjustment                              </v>
      </c>
      <c r="C66" s="14"/>
      <c r="D66" s="2">
        <f>SUM(OSRRefD22_8x_0)</f>
        <v>650</v>
      </c>
      <c r="E66" s="2"/>
      <c r="F66" s="6">
        <f t="shared" si="16"/>
        <v>1.5303476172840757E-2</v>
      </c>
      <c r="G66" s="2"/>
      <c r="H66" s="2">
        <f>SUM(OSRRefH22_8x_0)</f>
        <v>650</v>
      </c>
      <c r="I66" s="2"/>
      <c r="J66" s="6">
        <f t="shared" si="17"/>
        <v>1.7438896788560084E-2</v>
      </c>
      <c r="K66" s="2"/>
      <c r="L66" s="2">
        <f t="shared" si="18"/>
        <v>0</v>
      </c>
      <c r="M66" s="2"/>
      <c r="N66" s="6">
        <f t="shared" si="19"/>
        <v>0</v>
      </c>
      <c r="O66" s="14"/>
      <c r="P66" s="2">
        <f>SUM(OSRRefP22_8x_0)</f>
        <v>5850</v>
      </c>
      <c r="Q66" s="2"/>
      <c r="R66" s="6">
        <f t="shared" si="20"/>
        <v>3.1418125573145828E-2</v>
      </c>
      <c r="S66" s="2"/>
      <c r="T66" s="2">
        <f>SUM(OSRRefT22_8x_0)</f>
        <v>5850</v>
      </c>
      <c r="U66" s="2"/>
      <c r="V66" s="6">
        <f t="shared" si="21"/>
        <v>1.377611574763098E-2</v>
      </c>
      <c r="W66" s="2"/>
      <c r="X66" s="2">
        <f t="shared" si="22"/>
        <v>0</v>
      </c>
      <c r="Y66" s="2"/>
      <c r="Z66" s="6">
        <f t="shared" si="23"/>
        <v>0</v>
      </c>
    </row>
    <row r="67" spans="1:26" s="70" customFormat="1" ht="15" hidden="1" customHeight="1" outlineLevel="2" x14ac:dyDescent="0.3">
      <c r="A67" s="26"/>
      <c r="B67" s="12" t="str">
        <f>CONCATENATE("          ","6408"," - ","INVENTORY ADJUSTMENT")</f>
        <v xml:space="preserve">          6408 - INVENTORY ADJUSTMENT</v>
      </c>
      <c r="C67" s="12"/>
      <c r="D67" s="7">
        <v>650</v>
      </c>
      <c r="E67" s="3"/>
      <c r="F67" s="8">
        <f t="shared" si="16"/>
        <v>1.5303476172840757E-2</v>
      </c>
      <c r="G67" s="3"/>
      <c r="H67" s="7">
        <v>650</v>
      </c>
      <c r="I67" s="3"/>
      <c r="J67" s="8">
        <f t="shared" si="17"/>
        <v>1.7438896788560084E-2</v>
      </c>
      <c r="K67" s="3"/>
      <c r="L67" s="7">
        <f t="shared" si="18"/>
        <v>0</v>
      </c>
      <c r="M67" s="3"/>
      <c r="N67" s="8">
        <f t="shared" si="19"/>
        <v>0</v>
      </c>
      <c r="O67" s="12"/>
      <c r="P67" s="7">
        <v>5850</v>
      </c>
      <c r="Q67" s="3"/>
      <c r="R67" s="8">
        <f t="shared" si="20"/>
        <v>3.1418125573145828E-2</v>
      </c>
      <c r="S67" s="3"/>
      <c r="T67" s="7">
        <v>5850</v>
      </c>
      <c r="U67" s="3"/>
      <c r="V67" s="8">
        <f t="shared" si="21"/>
        <v>1.377611574763098E-2</v>
      </c>
      <c r="W67" s="3"/>
      <c r="X67" s="7">
        <f t="shared" si="22"/>
        <v>0</v>
      </c>
      <c r="Y67" s="3"/>
      <c r="Z67" s="8">
        <f t="shared" si="23"/>
        <v>0</v>
      </c>
    </row>
    <row r="68" spans="1:26" s="69" customFormat="1" ht="15" customHeight="1" outlineLevel="1" collapsed="1" x14ac:dyDescent="0.3">
      <c r="A68" s="25"/>
      <c r="B68" s="14" t="str">
        <f>CONCATENATE("     ","Repair and Maintenance                            ")</f>
        <v xml:space="preserve">     Repair and Maintenance                            </v>
      </c>
      <c r="C68" s="14"/>
      <c r="D68" s="2">
        <f>SUM(OSRRefD22_9x_0)</f>
        <v>673.8599999999999</v>
      </c>
      <c r="E68" s="2"/>
      <c r="F68" s="6">
        <f t="shared" si="16"/>
        <v>1.5865231467431493E-2</v>
      </c>
      <c r="G68" s="2"/>
      <c r="H68" s="2">
        <f>SUM(OSRRefH22_9x_0)</f>
        <v>0</v>
      </c>
      <c r="I68" s="2"/>
      <c r="J68" s="6">
        <f t="shared" si="17"/>
        <v>0</v>
      </c>
      <c r="K68" s="2"/>
      <c r="L68" s="2">
        <f t="shared" si="18"/>
        <v>673.8599999999999</v>
      </c>
      <c r="M68" s="2"/>
      <c r="N68" s="6">
        <f t="shared" si="19"/>
        <v>0</v>
      </c>
      <c r="O68" s="14"/>
      <c r="P68" s="2">
        <f>SUM(OSRRefP22_9x_0)</f>
        <v>1057.25</v>
      </c>
      <c r="Q68" s="2"/>
      <c r="R68" s="6">
        <f t="shared" si="20"/>
        <v>5.6780877371296456E-3</v>
      </c>
      <c r="S68" s="2"/>
      <c r="T68" s="2">
        <f>SUM(OSRRefT22_9x_0)</f>
        <v>0</v>
      </c>
      <c r="U68" s="2"/>
      <c r="V68" s="6">
        <f t="shared" si="21"/>
        <v>0</v>
      </c>
      <c r="W68" s="2"/>
      <c r="X68" s="2">
        <f t="shared" si="22"/>
        <v>1057.25</v>
      </c>
      <c r="Y68" s="2"/>
      <c r="Z68" s="6">
        <f t="shared" si="23"/>
        <v>0</v>
      </c>
    </row>
    <row r="69" spans="1:26" s="70" customFormat="1" ht="15" hidden="1" customHeight="1" outlineLevel="2" x14ac:dyDescent="0.3">
      <c r="A69" s="26"/>
      <c r="B69" s="12" t="str">
        <f>CONCATENATE("          ","6373"," - ","MAINTENANCE CONTRACTS")</f>
        <v xml:space="preserve">          6373 - MAINTENANCE CONTRACTS</v>
      </c>
      <c r="C69" s="12"/>
      <c r="D69" s="7">
        <v>139.06</v>
      </c>
      <c r="E69" s="3"/>
      <c r="F69" s="8">
        <f t="shared" si="16"/>
        <v>3.2740021486080549E-3</v>
      </c>
      <c r="G69" s="3"/>
      <c r="H69" s="7"/>
      <c r="I69" s="3"/>
      <c r="J69" s="8">
        <f t="shared" si="17"/>
        <v>0</v>
      </c>
      <c r="K69" s="3"/>
      <c r="L69" s="7">
        <f t="shared" si="18"/>
        <v>139.06</v>
      </c>
      <c r="M69" s="3"/>
      <c r="N69" s="8">
        <f t="shared" si="19"/>
        <v>0</v>
      </c>
      <c r="O69" s="12"/>
      <c r="P69" s="7">
        <v>339.23</v>
      </c>
      <c r="Q69" s="3"/>
      <c r="R69" s="8">
        <f t="shared" si="20"/>
        <v>1.8218753398595315E-3</v>
      </c>
      <c r="S69" s="3"/>
      <c r="T69" s="7"/>
      <c r="U69" s="3"/>
      <c r="V69" s="8">
        <f t="shared" si="21"/>
        <v>0</v>
      </c>
      <c r="W69" s="3"/>
      <c r="X69" s="7">
        <f t="shared" si="22"/>
        <v>339.23</v>
      </c>
      <c r="Y69" s="3"/>
      <c r="Z69" s="8">
        <f t="shared" si="23"/>
        <v>0</v>
      </c>
    </row>
    <row r="70" spans="1:26" s="70" customFormat="1" ht="15" hidden="1" customHeight="1" outlineLevel="2" x14ac:dyDescent="0.3">
      <c r="A70" s="26"/>
      <c r="B70" s="12" t="str">
        <f>CONCATENATE("          ","6375"," - ","OUTSIDE REPAIRS &amp; MAINTENANCE")</f>
        <v xml:space="preserve">          6375 - OUTSIDE REPAIRS &amp; MAINTENANCE</v>
      </c>
      <c r="C70" s="12"/>
      <c r="D70" s="7">
        <v>534.79999999999995</v>
      </c>
      <c r="E70" s="3"/>
      <c r="F70" s="8">
        <f t="shared" si="16"/>
        <v>1.2591229318823441E-2</v>
      </c>
      <c r="G70" s="3"/>
      <c r="H70" s="7"/>
      <c r="I70" s="3"/>
      <c r="J70" s="8">
        <f t="shared" si="17"/>
        <v>0</v>
      </c>
      <c r="K70" s="3"/>
      <c r="L70" s="7">
        <f t="shared" si="18"/>
        <v>534.79999999999995</v>
      </c>
      <c r="M70" s="3"/>
      <c r="N70" s="8">
        <f t="shared" si="19"/>
        <v>0</v>
      </c>
      <c r="O70" s="12"/>
      <c r="P70" s="7">
        <v>718.02</v>
      </c>
      <c r="Q70" s="3"/>
      <c r="R70" s="8">
        <f t="shared" si="20"/>
        <v>3.8562123972701139E-3</v>
      </c>
      <c r="S70" s="3"/>
      <c r="T70" s="7"/>
      <c r="U70" s="3"/>
      <c r="V70" s="8">
        <f t="shared" si="21"/>
        <v>0</v>
      </c>
      <c r="W70" s="3"/>
      <c r="X70" s="7">
        <f t="shared" si="22"/>
        <v>718.02</v>
      </c>
      <c r="Y70" s="3"/>
      <c r="Z70" s="8">
        <f t="shared" si="23"/>
        <v>0</v>
      </c>
    </row>
    <row r="71" spans="1:26" s="69" customFormat="1" ht="15" customHeight="1" outlineLevel="1" collapsed="1" x14ac:dyDescent="0.3">
      <c r="A71" s="25"/>
      <c r="B71" s="14" t="str">
        <f>CONCATENATE("     ","Services                                          ")</f>
        <v xml:space="preserve">     Services                                          </v>
      </c>
      <c r="C71" s="14"/>
      <c r="D71" s="2">
        <f>SUM(OSRRefD22_10x_0)</f>
        <v>250.08</v>
      </c>
      <c r="E71" s="2"/>
      <c r="F71" s="6">
        <f t="shared" si="16"/>
        <v>5.8878358789292567E-3</v>
      </c>
      <c r="G71" s="2"/>
      <c r="H71" s="2">
        <f>SUM(OSRRefH22_10x_0)</f>
        <v>0</v>
      </c>
      <c r="I71" s="2"/>
      <c r="J71" s="6">
        <f t="shared" si="17"/>
        <v>0</v>
      </c>
      <c r="K71" s="2"/>
      <c r="L71" s="2">
        <f t="shared" si="18"/>
        <v>250.08</v>
      </c>
      <c r="M71" s="2"/>
      <c r="N71" s="6">
        <f t="shared" si="19"/>
        <v>0</v>
      </c>
      <c r="O71" s="14"/>
      <c r="P71" s="2">
        <f>SUM(OSRRefP22_10x_0)</f>
        <v>4180.1100000000006</v>
      </c>
      <c r="Q71" s="2"/>
      <c r="R71" s="6">
        <f t="shared" si="20"/>
        <v>2.2449781348643182E-2</v>
      </c>
      <c r="S71" s="2"/>
      <c r="T71" s="2">
        <f>SUM(OSRRefT22_10x_0)</f>
        <v>0</v>
      </c>
      <c r="U71" s="2"/>
      <c r="V71" s="6">
        <f t="shared" si="21"/>
        <v>0</v>
      </c>
      <c r="W71" s="2"/>
      <c r="X71" s="2">
        <f t="shared" si="22"/>
        <v>4180.1100000000006</v>
      </c>
      <c r="Y71" s="2"/>
      <c r="Z71" s="6">
        <f t="shared" si="23"/>
        <v>0</v>
      </c>
    </row>
    <row r="72" spans="1:26" s="70" customFormat="1" ht="15" hidden="1" customHeight="1" outlineLevel="2" x14ac:dyDescent="0.3">
      <c r="A72" s="26"/>
      <c r="B72" s="12" t="str">
        <f>CONCATENATE("          ","6282"," - ","JANITORIAL/EXTERMINATOR EXPENS")</f>
        <v xml:space="preserve">          6282 - JANITORIAL/EXTERMINATOR EXPENS</v>
      </c>
      <c r="C72" s="12"/>
      <c r="D72" s="7">
        <v>69</v>
      </c>
      <c r="E72" s="3"/>
      <c r="F72" s="8">
        <f t="shared" si="16"/>
        <v>1.6245228552707882E-3</v>
      </c>
      <c r="G72" s="3"/>
      <c r="H72" s="7"/>
      <c r="I72" s="3"/>
      <c r="J72" s="8">
        <f t="shared" si="17"/>
        <v>0</v>
      </c>
      <c r="K72" s="3"/>
      <c r="L72" s="7">
        <f t="shared" si="18"/>
        <v>69</v>
      </c>
      <c r="M72" s="3"/>
      <c r="N72" s="8">
        <f t="shared" si="19"/>
        <v>0</v>
      </c>
      <c r="O72" s="12"/>
      <c r="P72" s="7">
        <v>836.6</v>
      </c>
      <c r="Q72" s="3"/>
      <c r="R72" s="8">
        <f t="shared" si="20"/>
        <v>4.4930604879476581E-3</v>
      </c>
      <c r="S72" s="3"/>
      <c r="T72" s="7"/>
      <c r="U72" s="3"/>
      <c r="V72" s="8">
        <f t="shared" si="21"/>
        <v>0</v>
      </c>
      <c r="W72" s="3"/>
      <c r="X72" s="7">
        <f t="shared" si="22"/>
        <v>836.6</v>
      </c>
      <c r="Y72" s="3"/>
      <c r="Z72" s="8">
        <f t="shared" si="23"/>
        <v>0</v>
      </c>
    </row>
    <row r="73" spans="1:26" s="70" customFormat="1" ht="15" hidden="1" customHeight="1" outlineLevel="2" x14ac:dyDescent="0.3">
      <c r="A73" s="26"/>
      <c r="B73" s="12" t="str">
        <f>CONCATENATE("          ","6285"," - ","JANITORIAL SERVICES")</f>
        <v xml:space="preserve">          6285 - JANITORIAL SERVICES</v>
      </c>
      <c r="C73" s="12"/>
      <c r="D73" s="7">
        <v>181.08</v>
      </c>
      <c r="E73" s="3"/>
      <c r="F73" s="8">
        <f t="shared" si="16"/>
        <v>4.2633130236584688E-3</v>
      </c>
      <c r="G73" s="3"/>
      <c r="H73" s="7"/>
      <c r="I73" s="3"/>
      <c r="J73" s="8">
        <f t="shared" si="17"/>
        <v>0</v>
      </c>
      <c r="K73" s="3"/>
      <c r="L73" s="7">
        <f t="shared" si="18"/>
        <v>181.08</v>
      </c>
      <c r="M73" s="3"/>
      <c r="N73" s="8">
        <f t="shared" si="19"/>
        <v>0</v>
      </c>
      <c r="O73" s="12"/>
      <c r="P73" s="7">
        <v>3343.51</v>
      </c>
      <c r="Q73" s="3"/>
      <c r="R73" s="8">
        <f t="shared" si="20"/>
        <v>1.7956720860695524E-2</v>
      </c>
      <c r="S73" s="3"/>
      <c r="T73" s="7"/>
      <c r="U73" s="3"/>
      <c r="V73" s="8">
        <f t="shared" si="21"/>
        <v>0</v>
      </c>
      <c r="W73" s="3"/>
      <c r="X73" s="7">
        <f t="shared" si="22"/>
        <v>3343.51</v>
      </c>
      <c r="Y73" s="3"/>
      <c r="Z73" s="8">
        <f t="shared" si="23"/>
        <v>0</v>
      </c>
    </row>
    <row r="74" spans="1:26" s="69" customFormat="1" ht="15" customHeight="1" outlineLevel="1" collapsed="1" x14ac:dyDescent="0.3">
      <c r="A74" s="25"/>
      <c r="B74" s="14" t="str">
        <f>CONCATENATE("     ","Subscriptions &amp; Dues                              ")</f>
        <v xml:space="preserve">     Subscriptions &amp; Dues                              </v>
      </c>
      <c r="C74" s="14"/>
      <c r="D74" s="2">
        <f>SUM(OSRRefD22_11x_0)</f>
        <v>0</v>
      </c>
      <c r="E74" s="2"/>
      <c r="F74" s="6">
        <f t="shared" si="16"/>
        <v>0</v>
      </c>
      <c r="G74" s="2"/>
      <c r="H74" s="2">
        <f>SUM(OSRRefH22_11x_0)</f>
        <v>0</v>
      </c>
      <c r="I74" s="2"/>
      <c r="J74" s="6">
        <f t="shared" si="17"/>
        <v>0</v>
      </c>
      <c r="K74" s="2"/>
      <c r="L74" s="2">
        <f t="shared" si="18"/>
        <v>0</v>
      </c>
      <c r="M74" s="2"/>
      <c r="N74" s="6">
        <f t="shared" si="19"/>
        <v>0</v>
      </c>
      <c r="O74" s="14"/>
      <c r="P74" s="2">
        <f>SUM(OSRRefP22_11x_0)</f>
        <v>45.27</v>
      </c>
      <c r="Q74" s="2"/>
      <c r="R74" s="6">
        <f t="shared" si="20"/>
        <v>2.4312795635834388E-4</v>
      </c>
      <c r="S74" s="2"/>
      <c r="T74" s="2">
        <f>SUM(OSRRefT22_11x_0)</f>
        <v>0</v>
      </c>
      <c r="U74" s="2"/>
      <c r="V74" s="6">
        <f t="shared" si="21"/>
        <v>0</v>
      </c>
      <c r="W74" s="2"/>
      <c r="X74" s="2">
        <f t="shared" si="22"/>
        <v>45.27</v>
      </c>
      <c r="Y74" s="2"/>
      <c r="Z74" s="6">
        <f t="shared" si="23"/>
        <v>0</v>
      </c>
    </row>
    <row r="75" spans="1:26" s="70" customFormat="1" ht="15" hidden="1" customHeight="1" outlineLevel="2" x14ac:dyDescent="0.3">
      <c r="A75" s="26"/>
      <c r="B75" s="12" t="str">
        <f>CONCATENATE("          ","6258"," - ","MEMBERSHIP DUES")</f>
        <v xml:space="preserve">          6258 - MEMBERSHIP DUES</v>
      </c>
      <c r="C75" s="12"/>
      <c r="D75" s="7"/>
      <c r="E75" s="3"/>
      <c r="F75" s="8">
        <f t="shared" si="16"/>
        <v>0</v>
      </c>
      <c r="G75" s="3"/>
      <c r="H75" s="7"/>
      <c r="I75" s="3"/>
      <c r="J75" s="8">
        <f t="shared" si="17"/>
        <v>0</v>
      </c>
      <c r="K75" s="3"/>
      <c r="L75" s="7">
        <f t="shared" si="18"/>
        <v>0</v>
      </c>
      <c r="M75" s="3"/>
      <c r="N75" s="8">
        <f t="shared" si="19"/>
        <v>0</v>
      </c>
      <c r="O75" s="12"/>
      <c r="P75" s="7">
        <v>45.27</v>
      </c>
      <c r="Q75" s="3"/>
      <c r="R75" s="8">
        <f t="shared" si="20"/>
        <v>2.4312795635834388E-4</v>
      </c>
      <c r="S75" s="3"/>
      <c r="T75" s="7"/>
      <c r="U75" s="3"/>
      <c r="V75" s="8">
        <f t="shared" si="21"/>
        <v>0</v>
      </c>
      <c r="W75" s="3"/>
      <c r="X75" s="7">
        <f t="shared" si="22"/>
        <v>45.27</v>
      </c>
      <c r="Y75" s="3"/>
      <c r="Z75" s="8">
        <f t="shared" si="23"/>
        <v>0</v>
      </c>
    </row>
    <row r="76" spans="1:26" s="69" customFormat="1" ht="15" customHeight="1" outlineLevel="1" collapsed="1" x14ac:dyDescent="0.3">
      <c r="A76" s="25"/>
      <c r="B76" s="14" t="str">
        <f>CONCATENATE("     ","Supplies                                          ")</f>
        <v xml:space="preserve">     Supplies                                          </v>
      </c>
      <c r="C76" s="14"/>
      <c r="D76" s="2">
        <f>SUM(OSRRefD22_12x_0)</f>
        <v>0</v>
      </c>
      <c r="E76" s="2"/>
      <c r="F76" s="6">
        <f t="shared" si="16"/>
        <v>0</v>
      </c>
      <c r="G76" s="2"/>
      <c r="H76" s="2">
        <f>SUM(OSRRefH22_12x_0)</f>
        <v>75</v>
      </c>
      <c r="I76" s="2"/>
      <c r="J76" s="6">
        <f t="shared" si="17"/>
        <v>2.0121803986800097E-3</v>
      </c>
      <c r="K76" s="2"/>
      <c r="L76" s="2">
        <f t="shared" si="18"/>
        <v>-75</v>
      </c>
      <c r="M76" s="2"/>
      <c r="N76" s="6">
        <f t="shared" si="19"/>
        <v>-1</v>
      </c>
      <c r="O76" s="14"/>
      <c r="P76" s="2">
        <f>SUM(OSRRefP22_12x_0)</f>
        <v>1747.49</v>
      </c>
      <c r="Q76" s="2"/>
      <c r="R76" s="6">
        <f t="shared" si="20"/>
        <v>9.3851043175754868E-3</v>
      </c>
      <c r="S76" s="2"/>
      <c r="T76" s="2">
        <f>SUM(OSRRefT22_12x_0)</f>
        <v>675</v>
      </c>
      <c r="U76" s="2"/>
      <c r="V76" s="6">
        <f t="shared" si="21"/>
        <v>1.5895518170343436E-3</v>
      </c>
      <c r="W76" s="2"/>
      <c r="X76" s="2">
        <f t="shared" si="22"/>
        <v>1072.49</v>
      </c>
      <c r="Y76" s="2"/>
      <c r="Z76" s="6">
        <f t="shared" si="23"/>
        <v>1.5888740740740741</v>
      </c>
    </row>
    <row r="77" spans="1:26" s="70" customFormat="1" ht="15" hidden="1" customHeight="1" outlineLevel="2" x14ac:dyDescent="0.3">
      <c r="A77" s="26"/>
      <c r="B77" s="12" t="str">
        <f>CONCATENATE("          ","6234"," - ","EXPENDABLE SUPPLIES &amp; EQUIPMEN")</f>
        <v xml:space="preserve">          6234 - EXPENDABLE SUPPLIES &amp; EQUIPMEN</v>
      </c>
      <c r="C77" s="12"/>
      <c r="D77" s="7"/>
      <c r="E77" s="3"/>
      <c r="F77" s="8">
        <f t="shared" si="16"/>
        <v>0</v>
      </c>
      <c r="G77" s="3"/>
      <c r="H77" s="7"/>
      <c r="I77" s="3"/>
      <c r="J77" s="8">
        <f t="shared" si="17"/>
        <v>0</v>
      </c>
      <c r="K77" s="3"/>
      <c r="L77" s="7">
        <f t="shared" si="18"/>
        <v>0</v>
      </c>
      <c r="M77" s="3"/>
      <c r="N77" s="8">
        <f t="shared" si="19"/>
        <v>0</v>
      </c>
      <c r="O77" s="12"/>
      <c r="P77" s="7">
        <v>1393.55</v>
      </c>
      <c r="Q77" s="3"/>
      <c r="R77" s="8">
        <f t="shared" si="20"/>
        <v>7.4842271611038234E-3</v>
      </c>
      <c r="S77" s="3"/>
      <c r="T77" s="7"/>
      <c r="U77" s="3"/>
      <c r="V77" s="8">
        <f t="shared" si="21"/>
        <v>0</v>
      </c>
      <c r="W77" s="3"/>
      <c r="X77" s="7">
        <f t="shared" si="22"/>
        <v>1393.55</v>
      </c>
      <c r="Y77" s="3"/>
      <c r="Z77" s="8">
        <f t="shared" si="23"/>
        <v>0</v>
      </c>
    </row>
    <row r="78" spans="1:26" s="70" customFormat="1" ht="15" hidden="1" customHeight="1" outlineLevel="2" x14ac:dyDescent="0.3">
      <c r="A78" s="26"/>
      <c r="B78" s="12" t="str">
        <f>CONCATENATE("          ","6235"," - ","COVID-19 EXPENSES")</f>
        <v xml:space="preserve">          6235 - COVID-19 EXPENSES</v>
      </c>
      <c r="C78" s="12"/>
      <c r="D78" s="7"/>
      <c r="E78" s="3"/>
      <c r="F78" s="8">
        <f t="shared" si="16"/>
        <v>0</v>
      </c>
      <c r="G78" s="3"/>
      <c r="H78" s="7">
        <v>25</v>
      </c>
      <c r="I78" s="3"/>
      <c r="J78" s="8">
        <f t="shared" si="17"/>
        <v>6.7072679956000324E-4</v>
      </c>
      <c r="K78" s="3"/>
      <c r="L78" s="7">
        <f t="shared" si="18"/>
        <v>-25</v>
      </c>
      <c r="M78" s="3"/>
      <c r="N78" s="8">
        <f t="shared" si="19"/>
        <v>-1</v>
      </c>
      <c r="O78" s="12"/>
      <c r="P78" s="7"/>
      <c r="Q78" s="3"/>
      <c r="R78" s="8">
        <f t="shared" si="20"/>
        <v>0</v>
      </c>
      <c r="S78" s="3"/>
      <c r="T78" s="7">
        <v>225</v>
      </c>
      <c r="U78" s="3"/>
      <c r="V78" s="8">
        <f t="shared" si="21"/>
        <v>5.2985060567811455E-4</v>
      </c>
      <c r="W78" s="3"/>
      <c r="X78" s="7">
        <f t="shared" si="22"/>
        <v>-225</v>
      </c>
      <c r="Y78" s="3"/>
      <c r="Z78" s="8">
        <f t="shared" si="23"/>
        <v>-1</v>
      </c>
    </row>
    <row r="79" spans="1:26" s="70" customFormat="1" ht="15" hidden="1" customHeight="1" outlineLevel="2" x14ac:dyDescent="0.3">
      <c r="A79" s="26"/>
      <c r="B79" s="12" t="str">
        <f>CONCATENATE("          ","6241"," - ","OFFICE EXPENSE")</f>
        <v xml:space="preserve">          6241 - OFFICE EXPENSE</v>
      </c>
      <c r="C79" s="12"/>
      <c r="D79" s="7"/>
      <c r="E79" s="3"/>
      <c r="F79" s="8">
        <f t="shared" si="16"/>
        <v>0</v>
      </c>
      <c r="G79" s="3"/>
      <c r="H79" s="7">
        <v>25</v>
      </c>
      <c r="I79" s="3"/>
      <c r="J79" s="8">
        <f t="shared" si="17"/>
        <v>6.7072679956000324E-4</v>
      </c>
      <c r="K79" s="3"/>
      <c r="L79" s="7">
        <f t="shared" si="18"/>
        <v>-25</v>
      </c>
      <c r="M79" s="3"/>
      <c r="N79" s="8">
        <f t="shared" si="19"/>
        <v>-1</v>
      </c>
      <c r="O79" s="12"/>
      <c r="P79" s="7">
        <v>11.03</v>
      </c>
      <c r="Q79" s="3"/>
      <c r="R79" s="8">
        <f t="shared" si="20"/>
        <v>5.9237935909709136E-5</v>
      </c>
      <c r="S79" s="3"/>
      <c r="T79" s="7">
        <v>225</v>
      </c>
      <c r="U79" s="3"/>
      <c r="V79" s="8">
        <f t="shared" si="21"/>
        <v>5.2985060567811455E-4</v>
      </c>
      <c r="W79" s="3"/>
      <c r="X79" s="7">
        <f t="shared" si="22"/>
        <v>-213.97</v>
      </c>
      <c r="Y79" s="3"/>
      <c r="Z79" s="8">
        <f t="shared" si="23"/>
        <v>-0.95097777777777781</v>
      </c>
    </row>
    <row r="80" spans="1:26" s="70" customFormat="1" ht="15" hidden="1" customHeight="1" outlineLevel="2" x14ac:dyDescent="0.3">
      <c r="A80" s="26"/>
      <c r="B80" s="12" t="str">
        <f>CONCATENATE("          ","6247"," - ","STORE SUPPLIES")</f>
        <v xml:space="preserve">          6247 - STORE SUPPLIES</v>
      </c>
      <c r="C80" s="12"/>
      <c r="D80" s="7"/>
      <c r="E80" s="3"/>
      <c r="F80" s="8">
        <f t="shared" si="16"/>
        <v>0</v>
      </c>
      <c r="G80" s="3"/>
      <c r="H80" s="7">
        <v>25</v>
      </c>
      <c r="I80" s="3"/>
      <c r="J80" s="8">
        <f t="shared" si="17"/>
        <v>6.7072679956000324E-4</v>
      </c>
      <c r="K80" s="3"/>
      <c r="L80" s="7">
        <f t="shared" si="18"/>
        <v>-25</v>
      </c>
      <c r="M80" s="3"/>
      <c r="N80" s="8">
        <f t="shared" si="19"/>
        <v>-1</v>
      </c>
      <c r="O80" s="12"/>
      <c r="P80" s="7">
        <v>342.91</v>
      </c>
      <c r="Q80" s="3"/>
      <c r="R80" s="8">
        <f t="shared" si="20"/>
        <v>1.8416392205619549E-3</v>
      </c>
      <c r="S80" s="3"/>
      <c r="T80" s="7">
        <v>225</v>
      </c>
      <c r="U80" s="3"/>
      <c r="V80" s="8">
        <f t="shared" si="21"/>
        <v>5.2985060567811455E-4</v>
      </c>
      <c r="W80" s="3"/>
      <c r="X80" s="7">
        <f t="shared" si="22"/>
        <v>117.91000000000003</v>
      </c>
      <c r="Y80" s="3"/>
      <c r="Z80" s="8">
        <f t="shared" si="23"/>
        <v>0.52404444444444453</v>
      </c>
    </row>
    <row r="81" spans="1:26" s="69" customFormat="1" ht="15" customHeight="1" outlineLevel="1" collapsed="1" x14ac:dyDescent="0.3">
      <c r="A81" s="25"/>
      <c r="B81" s="14" t="str">
        <f>CONCATENATE("     ","Telephone/Data Lines                              ")</f>
        <v xml:space="preserve">     Telephone/Data Lines                              </v>
      </c>
      <c r="C81" s="14"/>
      <c r="D81" s="2">
        <f>SUM(OSRRefD22_13x_0)</f>
        <v>37.1</v>
      </c>
      <c r="E81" s="2"/>
      <c r="F81" s="6">
        <f t="shared" si="16"/>
        <v>8.7347533232675712E-4</v>
      </c>
      <c r="G81" s="2"/>
      <c r="H81" s="2">
        <f>SUM(OSRRefH22_13x_0)</f>
        <v>60</v>
      </c>
      <c r="I81" s="2"/>
      <c r="J81" s="6">
        <f t="shared" si="17"/>
        <v>1.6097443189440077E-3</v>
      </c>
      <c r="K81" s="2"/>
      <c r="L81" s="2">
        <f t="shared" si="18"/>
        <v>-22.9</v>
      </c>
      <c r="M81" s="2"/>
      <c r="N81" s="6">
        <f t="shared" si="19"/>
        <v>-0.38166666666666665</v>
      </c>
      <c r="O81" s="14"/>
      <c r="P81" s="2">
        <f>SUM(OSRRefP22_13x_0)</f>
        <v>392.24</v>
      </c>
      <c r="Q81" s="2"/>
      <c r="R81" s="6">
        <f t="shared" si="20"/>
        <v>2.1065718931300376E-3</v>
      </c>
      <c r="S81" s="2"/>
      <c r="T81" s="2">
        <f>SUM(OSRRefT22_13x_0)</f>
        <v>540</v>
      </c>
      <c r="U81" s="2"/>
      <c r="V81" s="6">
        <f t="shared" si="21"/>
        <v>1.271641453627475E-3</v>
      </c>
      <c r="W81" s="2"/>
      <c r="X81" s="2">
        <f t="shared" si="22"/>
        <v>-147.76</v>
      </c>
      <c r="Y81" s="2"/>
      <c r="Z81" s="6">
        <f t="shared" si="23"/>
        <v>-0.27362962962962961</v>
      </c>
    </row>
    <row r="82" spans="1:26" s="70" customFormat="1" ht="15" hidden="1" customHeight="1" outlineLevel="2" x14ac:dyDescent="0.3">
      <c r="A82" s="26"/>
      <c r="B82" s="12" t="str">
        <f>CONCATENATE("          ","6309"," - ","TELEPHONE")</f>
        <v xml:space="preserve">          6309 - TELEPHONE</v>
      </c>
      <c r="C82" s="12"/>
      <c r="D82" s="7">
        <v>37.1</v>
      </c>
      <c r="E82" s="3"/>
      <c r="F82" s="8">
        <f t="shared" si="16"/>
        <v>8.7347533232675712E-4</v>
      </c>
      <c r="G82" s="3"/>
      <c r="H82" s="7">
        <v>60</v>
      </c>
      <c r="I82" s="3"/>
      <c r="J82" s="8">
        <f t="shared" si="17"/>
        <v>1.6097443189440077E-3</v>
      </c>
      <c r="K82" s="3"/>
      <c r="L82" s="7">
        <f t="shared" si="18"/>
        <v>-22.9</v>
      </c>
      <c r="M82" s="3"/>
      <c r="N82" s="8">
        <f t="shared" si="19"/>
        <v>-0.38166666666666665</v>
      </c>
      <c r="O82" s="12"/>
      <c r="P82" s="7">
        <v>392.24</v>
      </c>
      <c r="Q82" s="3"/>
      <c r="R82" s="8">
        <f t="shared" si="20"/>
        <v>2.1065718931300376E-3</v>
      </c>
      <c r="S82" s="3"/>
      <c r="T82" s="7">
        <v>540</v>
      </c>
      <c r="U82" s="3"/>
      <c r="V82" s="8">
        <f t="shared" si="21"/>
        <v>1.271641453627475E-3</v>
      </c>
      <c r="W82" s="3"/>
      <c r="X82" s="7">
        <f t="shared" si="22"/>
        <v>-147.76</v>
      </c>
      <c r="Y82" s="3"/>
      <c r="Z82" s="8">
        <f t="shared" si="23"/>
        <v>-0.27362962962962961</v>
      </c>
    </row>
    <row r="83" spans="1:26" s="65" customFormat="1" ht="15" customHeight="1" x14ac:dyDescent="0.3">
      <c r="A83" s="35"/>
      <c r="B83" s="35"/>
      <c r="C83" s="35"/>
      <c r="D83" s="2"/>
      <c r="E83" s="2"/>
      <c r="F83" s="6"/>
      <c r="G83" s="2"/>
      <c r="H83" s="2"/>
      <c r="I83" s="2"/>
      <c r="J83" s="6"/>
      <c r="K83" s="2"/>
      <c r="L83" s="2"/>
      <c r="M83" s="2"/>
      <c r="N83" s="6"/>
      <c r="O83" s="35"/>
      <c r="P83" s="2"/>
      <c r="Q83" s="2"/>
      <c r="R83" s="6"/>
      <c r="S83" s="2"/>
      <c r="T83" s="2"/>
      <c r="U83" s="2"/>
      <c r="V83" s="6"/>
      <c r="W83" s="2"/>
      <c r="X83" s="2"/>
      <c r="Y83" s="2"/>
      <c r="Z83" s="6"/>
    </row>
    <row r="84" spans="1:26" s="63" customFormat="1" ht="15" customHeight="1" x14ac:dyDescent="0.3">
      <c r="A84" s="11"/>
      <c r="B84" s="28" t="s">
        <v>291</v>
      </c>
      <c r="C84" s="11"/>
      <c r="D84" s="5">
        <f>SUM(0)</f>
        <v>0</v>
      </c>
      <c r="E84" s="5"/>
      <c r="F84" s="13">
        <f>IF(D$12=0,0,D84/D$12)</f>
        <v>0</v>
      </c>
      <c r="G84" s="5"/>
      <c r="H84" s="5">
        <f>SUM(0)</f>
        <v>0</v>
      </c>
      <c r="I84" s="5"/>
      <c r="J84" s="13">
        <f>IF(H$12=0,0,H84/H$12)</f>
        <v>0</v>
      </c>
      <c r="K84" s="5"/>
      <c r="L84" s="5">
        <f>+D84-H84</f>
        <v>0</v>
      </c>
      <c r="M84" s="5"/>
      <c r="N84" s="13">
        <f>IF(H84=0,0,L84/H84)</f>
        <v>0</v>
      </c>
      <c r="O84" s="11"/>
      <c r="P84" s="5">
        <f>SUM(0)</f>
        <v>0</v>
      </c>
      <c r="Q84" s="5"/>
      <c r="R84" s="13">
        <f>IF(P$12=0,0,P84/P$12)</f>
        <v>0</v>
      </c>
      <c r="S84" s="5"/>
      <c r="T84" s="5">
        <f>SUM(0)</f>
        <v>0</v>
      </c>
      <c r="U84" s="5"/>
      <c r="V84" s="13">
        <f>IF(T$12=0,0,T84/T$12)</f>
        <v>0</v>
      </c>
      <c r="W84" s="5"/>
      <c r="X84" s="5">
        <f>+P84-T84</f>
        <v>0</v>
      </c>
      <c r="Y84" s="5"/>
      <c r="Z84" s="13">
        <f>IF(T84=0,0,X84/T84)</f>
        <v>0</v>
      </c>
    </row>
    <row r="85" spans="1:26" ht="15" customHeight="1" x14ac:dyDescent="0.3">
      <c r="A85" s="10"/>
      <c r="B85" s="11"/>
      <c r="C85" s="11"/>
      <c r="D85" s="4"/>
      <c r="E85" s="4"/>
      <c r="F85" s="9"/>
      <c r="G85" s="4"/>
      <c r="H85" s="4"/>
      <c r="I85" s="4"/>
      <c r="J85" s="9"/>
      <c r="K85" s="4"/>
      <c r="L85" s="4"/>
      <c r="M85" s="4"/>
      <c r="N85" s="9"/>
      <c r="O85" s="11"/>
      <c r="P85" s="4"/>
      <c r="Q85" s="4"/>
      <c r="R85" s="9"/>
      <c r="S85" s="4"/>
      <c r="T85" s="4"/>
      <c r="U85" s="4"/>
      <c r="V85" s="9"/>
      <c r="W85" s="4"/>
      <c r="X85" s="4"/>
      <c r="Y85" s="4"/>
      <c r="Z85" s="9"/>
    </row>
    <row r="86" spans="1:26" s="63" customFormat="1" ht="15" customHeight="1" x14ac:dyDescent="0.3">
      <c r="A86" s="11"/>
      <c r="B86" s="27" t="s">
        <v>292</v>
      </c>
      <c r="C86" s="27"/>
      <c r="D86" s="21">
        <f>+D30-D32+D84</f>
        <v>11657.949999999997</v>
      </c>
      <c r="E86" s="15"/>
      <c r="F86" s="23">
        <f>IF(D$12=0,0,D86/D$12)</f>
        <v>0.27447255392179826</v>
      </c>
      <c r="G86" s="15"/>
      <c r="H86" s="21">
        <f>+H30-H32+H84</f>
        <v>7250.1513080000004</v>
      </c>
      <c r="I86" s="15"/>
      <c r="J86" s="23">
        <f>IF(H$12=0,0,H86/H$12)</f>
        <v>0.19451483132562447</v>
      </c>
      <c r="K86" s="16"/>
      <c r="L86" s="21">
        <f>+D86-H86</f>
        <v>4407.7986919999967</v>
      </c>
      <c r="M86" s="16"/>
      <c r="N86" s="23">
        <f>IF(H86=0,0,L86/H86)</f>
        <v>0.60795954522167284</v>
      </c>
      <c r="O86" s="28"/>
      <c r="P86" s="21">
        <f>+P30-P32+P84</f>
        <v>32451.94999999999</v>
      </c>
      <c r="Q86" s="15"/>
      <c r="R86" s="23">
        <f>IF(P$12=0,0,P86/P$12)</f>
        <v>0.17428708379375205</v>
      </c>
      <c r="S86" s="15"/>
      <c r="T86" s="21">
        <f>+T30-T32+T84</f>
        <v>83453.703001000002</v>
      </c>
      <c r="U86" s="15"/>
      <c r="V86" s="23">
        <f>IF(T$12=0,0,T86/T$12)</f>
        <v>0.19652442258293928</v>
      </c>
      <c r="W86" s="16"/>
      <c r="X86" s="21">
        <f>+P86-T86</f>
        <v>-51001.753001000012</v>
      </c>
      <c r="Y86" s="16"/>
      <c r="Z86" s="23">
        <f>IF(T86=0,0,X86/T86)</f>
        <v>-0.61113828586358676</v>
      </c>
    </row>
    <row r="87" spans="1:26" ht="15" customHeight="1" x14ac:dyDescent="0.3">
      <c r="A87" s="10"/>
      <c r="B87" s="11"/>
      <c r="C87" s="10"/>
      <c r="D87" s="4"/>
      <c r="E87" s="4"/>
      <c r="F87" s="9"/>
      <c r="G87" s="4"/>
      <c r="H87" s="4"/>
      <c r="I87" s="4"/>
      <c r="J87" s="9"/>
      <c r="K87" s="4"/>
      <c r="L87" s="4"/>
      <c r="M87" s="4"/>
      <c r="N87" s="9"/>
      <c r="P87" s="4"/>
      <c r="Q87" s="4"/>
      <c r="R87" s="9"/>
      <c r="S87" s="4"/>
      <c r="T87" s="4"/>
      <c r="U87" s="4"/>
      <c r="V87" s="9"/>
      <c r="W87" s="4"/>
      <c r="X87" s="4"/>
      <c r="Y87" s="4"/>
      <c r="Z87" s="9"/>
    </row>
    <row r="88" spans="1:26" s="63" customFormat="1" ht="15" customHeight="1" x14ac:dyDescent="0.3">
      <c r="A88" s="49"/>
      <c r="B88" s="11" t="s">
        <v>293</v>
      </c>
      <c r="C88" s="11"/>
      <c r="D88" s="5">
        <v>4282.25</v>
      </c>
      <c r="E88" s="5"/>
      <c r="F88" s="13">
        <f>IF(D$12=0,0,D88/D$12)</f>
        <v>0.10082047821714975</v>
      </c>
      <c r="G88" s="5"/>
      <c r="H88" s="5">
        <v>4359</v>
      </c>
      <c r="I88" s="5"/>
      <c r="J88" s="13">
        <f>IF(H$12=0,0,H88/H$12)</f>
        <v>0.11694792477128216</v>
      </c>
      <c r="K88" s="5"/>
      <c r="L88" s="5">
        <f>+D88-H88</f>
        <v>-76.75</v>
      </c>
      <c r="M88" s="5"/>
      <c r="N88" s="13">
        <f>IF(H88=0,0,L88/H88)</f>
        <v>-1.7607249369121357E-2</v>
      </c>
      <c r="O88" s="11"/>
      <c r="P88" s="5">
        <v>22222.3</v>
      </c>
      <c r="Q88" s="5"/>
      <c r="R88" s="13">
        <f>IF(P$12=0,0,P88/P$12)</f>
        <v>0.11934752340583223</v>
      </c>
      <c r="S88" s="5"/>
      <c r="T88" s="5">
        <v>51715</v>
      </c>
      <c r="U88" s="5"/>
      <c r="V88" s="13">
        <f>IF(T$12=0,0,T88/T$12)</f>
        <v>0.12178321810063865</v>
      </c>
      <c r="W88" s="5"/>
      <c r="X88" s="5">
        <f>+P88-T88</f>
        <v>-29492.7</v>
      </c>
      <c r="Y88" s="5"/>
      <c r="Z88" s="13">
        <f>IF(T88=0,0,X88/T88)</f>
        <v>-0.57029295175480998</v>
      </c>
    </row>
    <row r="89" spans="1:26" ht="15" customHeight="1" x14ac:dyDescent="0.3">
      <c r="A89" s="10"/>
      <c r="B89" s="11"/>
      <c r="C89" s="11"/>
      <c r="D89" s="4"/>
      <c r="E89" s="4"/>
      <c r="F89" s="9"/>
      <c r="G89" s="4"/>
      <c r="H89" s="4"/>
      <c r="I89" s="4"/>
      <c r="J89" s="9"/>
      <c r="K89" s="4"/>
      <c r="L89" s="4"/>
      <c r="M89" s="4"/>
      <c r="N89" s="9"/>
      <c r="O89" s="11"/>
      <c r="P89" s="4"/>
      <c r="Q89" s="4"/>
      <c r="R89" s="9"/>
      <c r="S89" s="4"/>
      <c r="T89" s="4"/>
      <c r="U89" s="4"/>
      <c r="V89" s="9"/>
      <c r="W89" s="4"/>
      <c r="X89" s="4"/>
      <c r="Y89" s="4"/>
      <c r="Z89" s="9"/>
    </row>
    <row r="90" spans="1:26" s="63" customFormat="1" ht="15" customHeight="1" x14ac:dyDescent="0.3">
      <c r="A90" s="11"/>
      <c r="B90" s="27" t="s">
        <v>294</v>
      </c>
      <c r="C90" s="27"/>
      <c r="D90" s="34">
        <f>+D86-D88</f>
        <v>7375.6999999999971</v>
      </c>
      <c r="E90" s="15"/>
      <c r="F90" s="29">
        <f>IF(D$12=0,0,D90/D$12)</f>
        <v>0.17365207570464852</v>
      </c>
      <c r="G90" s="15"/>
      <c r="H90" s="34">
        <f>+H86-H88</f>
        <v>2891.1513080000004</v>
      </c>
      <c r="I90" s="15"/>
      <c r="J90" s="29">
        <f>IF(H$12=0,0,H90/H$12)</f>
        <v>7.7566906554342299E-2</v>
      </c>
      <c r="K90" s="16"/>
      <c r="L90" s="34">
        <f>D90-H90</f>
        <v>4484.5486919999967</v>
      </c>
      <c r="M90" s="16"/>
      <c r="N90" s="29">
        <f>IF(H90=0,0,L90/H90)</f>
        <v>1.5511290189451392</v>
      </c>
      <c r="O90" s="28"/>
      <c r="P90" s="34">
        <f>+P86-P88</f>
        <v>10229.649999999991</v>
      </c>
      <c r="Q90" s="15"/>
      <c r="R90" s="29">
        <f>IF(P$12=0,0,P90/P$12)</f>
        <v>5.4939560387919813E-2</v>
      </c>
      <c r="S90" s="15"/>
      <c r="T90" s="34">
        <f>+T86-T88</f>
        <v>31738.703001000002</v>
      </c>
      <c r="U90" s="15"/>
      <c r="V90" s="29">
        <f>IF(T$12=0,0,T90/T$12)</f>
        <v>7.4741204482300636E-2</v>
      </c>
      <c r="W90" s="16"/>
      <c r="X90" s="34">
        <f>P90-T90</f>
        <v>-21509.053001000011</v>
      </c>
      <c r="Y90" s="16"/>
      <c r="Z90" s="29">
        <f>IF(T90=0,0,X90/T90)</f>
        <v>-0.67769161834755243</v>
      </c>
    </row>
    <row r="91" spans="1:26" ht="15" customHeight="1" x14ac:dyDescent="0.3">
      <c r="A91" s="10"/>
      <c r="B91" s="10"/>
      <c r="C91" s="10"/>
      <c r="D91" s="4"/>
      <c r="E91" s="4"/>
      <c r="F91" s="9"/>
      <c r="G91" s="4"/>
      <c r="H91" s="4"/>
      <c r="I91" s="4"/>
      <c r="J91" s="9"/>
      <c r="K91" s="4"/>
      <c r="L91" s="4"/>
      <c r="M91" s="4"/>
      <c r="N91" s="9"/>
      <c r="P91" s="4"/>
      <c r="Q91" s="4"/>
      <c r="R91" s="9"/>
      <c r="S91" s="4"/>
      <c r="T91" s="4"/>
      <c r="U91" s="4"/>
      <c r="V91" s="9"/>
      <c r="W91" s="4"/>
      <c r="X91" s="4"/>
      <c r="Y91" s="4"/>
      <c r="Z91" s="9"/>
    </row>
    <row r="92" spans="1:26" ht="15" customHeight="1" x14ac:dyDescent="0.3">
      <c r="A92" s="10"/>
      <c r="B92" s="10"/>
      <c r="C92" s="10"/>
      <c r="D92" s="4"/>
      <c r="E92" s="4"/>
      <c r="F92" s="9"/>
      <c r="G92" s="4"/>
      <c r="H92" s="4"/>
      <c r="I92" s="4"/>
      <c r="J92" s="9"/>
      <c r="K92" s="4"/>
      <c r="L92" s="4"/>
      <c r="M92" s="4"/>
      <c r="N92" s="9"/>
      <c r="P92" s="4"/>
      <c r="Q92" s="4"/>
      <c r="R92" s="9"/>
      <c r="S92" s="4"/>
      <c r="T92" s="4"/>
      <c r="U92" s="4"/>
      <c r="V92" s="9"/>
      <c r="W92" s="4"/>
      <c r="X92" s="4"/>
      <c r="Y92" s="4"/>
      <c r="Z92" s="9"/>
    </row>
    <row r="93" spans="1:26" s="63" customFormat="1" ht="15" customHeight="1" x14ac:dyDescent="0.3">
      <c r="A93" s="11"/>
      <c r="B93" s="27" t="s">
        <v>297</v>
      </c>
      <c r="C93" s="27"/>
      <c r="D93" s="32">
        <f>SUM(D90:D92)</f>
        <v>7375.6999999999971</v>
      </c>
      <c r="E93" s="15"/>
      <c r="F93" s="31">
        <f>IF(D$12=0,0,D93/D$12)</f>
        <v>0.17365207570464852</v>
      </c>
      <c r="G93" s="15"/>
      <c r="H93" s="32">
        <f>SUM(H90:H92)</f>
        <v>2891.1513080000004</v>
      </c>
      <c r="I93" s="15"/>
      <c r="J93" s="31">
        <f>IF(H$12=0,0,H93/H$12)</f>
        <v>7.7566906554342299E-2</v>
      </c>
      <c r="K93" s="16"/>
      <c r="L93" s="32">
        <f>+D93-H93</f>
        <v>4484.5486919999967</v>
      </c>
      <c r="M93" s="16"/>
      <c r="N93" s="31">
        <f>IF(H93=0,0,L93/H93)</f>
        <v>1.5511290189451392</v>
      </c>
      <c r="O93" s="28"/>
      <c r="P93" s="32">
        <f>SUM(P90:P92)</f>
        <v>10229.649999999991</v>
      </c>
      <c r="Q93" s="15"/>
      <c r="R93" s="31">
        <f>IF(P$12=0,0,P93/P$12)</f>
        <v>5.4939560387919813E-2</v>
      </c>
      <c r="S93" s="15"/>
      <c r="T93" s="32">
        <f>SUM(T90:T92)</f>
        <v>31738.703001000002</v>
      </c>
      <c r="U93" s="15"/>
      <c r="V93" s="31">
        <f>IF(T$12=0,0,T93/T$12)</f>
        <v>7.4741204482300636E-2</v>
      </c>
      <c r="W93" s="16"/>
      <c r="X93" s="32">
        <f>+P93-T93</f>
        <v>-21509.053001000011</v>
      </c>
      <c r="Y93" s="16"/>
      <c r="Z93" s="31">
        <f>IF(T93=0,0,X93/T93)</f>
        <v>-0.67769161834755243</v>
      </c>
    </row>
    <row r="94" spans="1:26" ht="15" customHeight="1" x14ac:dyDescent="0.3">
      <c r="A94" s="10"/>
      <c r="C94" s="10"/>
      <c r="D94" s="19"/>
      <c r="E94" s="19"/>
      <c r="G94" s="19"/>
      <c r="H94" s="19"/>
      <c r="I94" s="19"/>
      <c r="J94" s="40"/>
      <c r="K94" s="19"/>
      <c r="L94" s="19"/>
      <c r="M94" s="19"/>
      <c r="P94" s="19"/>
      <c r="Q94" s="19"/>
      <c r="R94" s="40"/>
      <c r="S94" s="19"/>
      <c r="T94" s="19"/>
      <c r="U94" s="19"/>
      <c r="V94" s="40"/>
      <c r="W94" s="19"/>
      <c r="X94" s="19"/>
    </row>
    <row r="95" spans="1:26" ht="15" customHeight="1" x14ac:dyDescent="0.3">
      <c r="A95" s="10"/>
      <c r="B95" s="51">
        <v>44663.047665428239</v>
      </c>
      <c r="D95" s="19"/>
      <c r="E95" s="19"/>
      <c r="G95" s="19"/>
      <c r="H95" s="19"/>
      <c r="I95" s="19"/>
      <c r="J95" s="40"/>
      <c r="K95" s="19"/>
      <c r="L95" s="19"/>
      <c r="M95" s="19"/>
      <c r="P95" s="19"/>
      <c r="Q95" s="19"/>
      <c r="R95" s="40"/>
      <c r="S95" s="19"/>
      <c r="T95" s="19"/>
      <c r="U95" s="19"/>
      <c r="V95" s="40"/>
      <c r="W95" s="19"/>
      <c r="X95" s="19"/>
    </row>
    <row r="96" spans="1:26" ht="15" customHeight="1" x14ac:dyDescent="0.3">
      <c r="A96" s="10"/>
      <c r="B96" s="58" t="s">
        <v>298</v>
      </c>
      <c r="D96" s="19"/>
      <c r="E96" s="19"/>
      <c r="G96" s="19"/>
      <c r="H96" s="19"/>
      <c r="I96" s="19"/>
      <c r="J96" s="40"/>
      <c r="K96" s="19"/>
      <c r="L96" s="19"/>
      <c r="M96" s="19"/>
      <c r="P96" s="19"/>
      <c r="Q96" s="19"/>
      <c r="R96" s="40"/>
      <c r="S96" s="19"/>
      <c r="T96" s="19"/>
      <c r="U96" s="19"/>
      <c r="V96" s="40"/>
      <c r="W96" s="19"/>
      <c r="X96" s="19"/>
    </row>
    <row r="97" spans="1:24" ht="15" customHeight="1" x14ac:dyDescent="0.3">
      <c r="A97" s="10"/>
      <c r="B97" s="50"/>
      <c r="D97" s="19"/>
      <c r="E97" s="19"/>
      <c r="G97" s="19"/>
      <c r="H97" s="19"/>
      <c r="I97" s="19"/>
      <c r="J97" s="40"/>
      <c r="K97" s="19"/>
      <c r="L97" s="19"/>
      <c r="M97" s="19"/>
      <c r="P97" s="19"/>
      <c r="Q97" s="19"/>
      <c r="R97" s="40"/>
      <c r="S97" s="19"/>
      <c r="T97" s="19"/>
      <c r="U97" s="19"/>
      <c r="V97" s="40"/>
      <c r="W97" s="19"/>
      <c r="X97" s="19"/>
    </row>
    <row r="98" spans="1:24" ht="15" customHeight="1" x14ac:dyDescent="0.3">
      <c r="D98" s="19"/>
      <c r="E98" s="19"/>
      <c r="G98" s="19"/>
      <c r="H98" s="19"/>
      <c r="I98" s="19"/>
      <c r="J98" s="40"/>
      <c r="K98" s="19"/>
      <c r="L98" s="19"/>
      <c r="M98" s="19"/>
      <c r="P98" s="19"/>
      <c r="Q98" s="19"/>
      <c r="R98" s="40"/>
      <c r="S98" s="19"/>
      <c r="T98" s="19"/>
      <c r="U98" s="19"/>
      <c r="V98" s="40"/>
      <c r="W98" s="19"/>
      <c r="X98" s="19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FBDE18-EBB1-F951-F74D-74827268B715}">
  <sheetPr>
    <tabColor rgb="FFFFFF00"/>
    <outlinePr summaryBelow="0" summaryRight="0"/>
  </sheetPr>
  <dimension ref="A2:Z136"/>
  <sheetViews>
    <sheetView showGridLines="0" defaultGridColor="0" colorId="8"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6" customWidth="1"/>
    <col min="2" max="2" width="33.44140625" style="66" customWidth="1"/>
    <col min="3" max="3" width="1.88671875" style="66" customWidth="1"/>
    <col min="4" max="4" width="15" style="66" customWidth="1"/>
    <col min="5" max="5" width="1.88671875" style="66" customWidth="1" outlineLevel="1"/>
    <col min="6" max="6" width="15" style="67" customWidth="1" outlineLevel="1"/>
    <col min="7" max="7" width="1.88671875" style="66" customWidth="1" outlineLevel="1"/>
    <col min="8" max="8" width="15" style="66" customWidth="1" outlineLevel="1"/>
    <col min="9" max="9" width="1.88671875" style="66" customWidth="1" outlineLevel="1"/>
    <col min="10" max="10" width="15" style="68" customWidth="1" outlineLevel="1"/>
    <col min="11" max="11" width="1.88671875" style="66" customWidth="1" outlineLevel="1"/>
    <col min="12" max="12" width="15" style="66" customWidth="1" outlineLevel="1"/>
    <col min="13" max="13" width="1.88671875" style="66" customWidth="1" outlineLevel="1"/>
    <col min="14" max="14" width="15" style="67" customWidth="1" outlineLevel="1"/>
    <col min="15" max="15" width="1.88671875" style="64" customWidth="1"/>
    <col min="16" max="16" width="15" style="66" customWidth="1"/>
    <col min="17" max="17" width="1.88671875" style="66" customWidth="1" outlineLevel="1"/>
    <col min="18" max="18" width="15" style="68" customWidth="1" outlineLevel="1"/>
    <col min="19" max="19" width="1.88671875" style="66" customWidth="1" outlineLevel="1"/>
    <col min="20" max="20" width="15" style="66" customWidth="1" outlineLevel="1"/>
    <col min="21" max="21" width="1.88671875" style="66" customWidth="1" outlineLevel="1"/>
    <col min="22" max="22" width="15" style="68" customWidth="1" outlineLevel="1"/>
    <col min="23" max="23" width="1.88671875" style="66" customWidth="1" outlineLevel="1"/>
    <col min="24" max="24" width="15" style="66" customWidth="1" outlineLevel="1"/>
    <col min="25" max="25" width="1.88671875" style="66" customWidth="1" outlineLevel="1"/>
    <col min="26" max="26" width="15" style="68" customWidth="1" outlineLevel="1"/>
  </cols>
  <sheetData>
    <row r="2" spans="1:26" ht="15" customHeight="1" x14ac:dyDescent="0.3">
      <c r="D2" s="54" t="s">
        <v>276</v>
      </c>
    </row>
    <row r="3" spans="1:26" ht="15" customHeight="1" x14ac:dyDescent="0.3">
      <c r="D3" s="54" t="s">
        <v>277</v>
      </c>
      <c r="E3" s="18"/>
      <c r="F3" s="44"/>
      <c r="G3" s="18"/>
      <c r="H3" s="18"/>
      <c r="I3" s="18"/>
      <c r="J3" s="38"/>
      <c r="K3" s="18"/>
      <c r="L3" s="18"/>
      <c r="M3" s="18"/>
      <c r="N3" s="44"/>
      <c r="O3" s="53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ht="15" customHeight="1" x14ac:dyDescent="0.3">
      <c r="D4" s="54" t="str">
        <f>CONCATENATE("Period ",RIGHT(202209,2),", ",2022)</f>
        <v>Period 09, 2022</v>
      </c>
      <c r="E4" s="18"/>
      <c r="F4" s="44"/>
      <c r="G4" s="18"/>
      <c r="H4" s="18"/>
      <c r="I4" s="18"/>
      <c r="J4" s="38"/>
      <c r="K4" s="18"/>
      <c r="L4" s="18"/>
      <c r="M4" s="18"/>
      <c r="N4" s="44"/>
      <c r="O4" s="53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ht="15" customHeight="1" x14ac:dyDescent="0.3">
      <c r="A5" s="24"/>
      <c r="D5" s="60">
        <v>44646</v>
      </c>
      <c r="E5" s="18"/>
      <c r="F5" s="44"/>
      <c r="G5" s="18"/>
      <c r="H5" s="18"/>
      <c r="I5" s="18"/>
      <c r="J5" s="38"/>
      <c r="K5" s="18"/>
      <c r="L5" s="18"/>
      <c r="M5" s="18"/>
      <c r="N5" s="44"/>
      <c r="O5" s="53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ht="15" customHeight="1" x14ac:dyDescent="0.3">
      <c r="A6" s="24"/>
      <c r="B6" s="47"/>
      <c r="C6" s="47"/>
      <c r="D6" s="24" t="s">
        <v>307</v>
      </c>
      <c r="E6" s="18"/>
      <c r="F6" s="44"/>
      <c r="G6" s="18"/>
      <c r="H6" s="18"/>
      <c r="I6" s="18"/>
      <c r="J6" s="38"/>
      <c r="K6" s="18"/>
      <c r="L6" s="18"/>
      <c r="M6" s="18"/>
      <c r="N6" s="44"/>
      <c r="O6" s="59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ht="15" customHeight="1" x14ac:dyDescent="0.3">
      <c r="B7" s="52"/>
    </row>
    <row r="8" spans="1:26" ht="15" customHeight="1" x14ac:dyDescent="0.3">
      <c r="B8" s="52"/>
    </row>
    <row r="9" spans="1:26" ht="15" customHeight="1" x14ac:dyDescent="0.3">
      <c r="B9" s="10"/>
      <c r="C9" s="10"/>
      <c r="D9" s="17" t="s">
        <v>279</v>
      </c>
      <c r="E9" s="17"/>
      <c r="F9" s="36"/>
      <c r="G9" s="17"/>
      <c r="H9" s="17"/>
      <c r="I9" s="17"/>
      <c r="J9" s="43"/>
      <c r="K9" s="17"/>
      <c r="L9" s="17"/>
      <c r="M9" s="17"/>
      <c r="N9" s="36"/>
      <c r="P9" s="17" t="s">
        <v>280</v>
      </c>
      <c r="Q9" s="17"/>
      <c r="R9" s="36"/>
      <c r="S9" s="17"/>
      <c r="T9" s="17"/>
      <c r="U9" s="17"/>
      <c r="V9" s="43"/>
      <c r="W9" s="17"/>
      <c r="X9" s="17"/>
      <c r="Y9" s="17"/>
      <c r="Z9" s="36"/>
    </row>
    <row r="10" spans="1:26" ht="15" customHeight="1" x14ac:dyDescent="0.3">
      <c r="A10" s="11"/>
      <c r="B10" s="57"/>
      <c r="C10" s="11"/>
      <c r="D10" s="41" t="s">
        <v>281</v>
      </c>
      <c r="E10" s="33"/>
      <c r="F10" s="37" t="s">
        <v>282</v>
      </c>
      <c r="G10" s="33"/>
      <c r="H10" s="48" t="s">
        <v>283</v>
      </c>
      <c r="I10" s="33"/>
      <c r="J10" s="45" t="s">
        <v>284</v>
      </c>
      <c r="K10" s="11"/>
      <c r="L10" s="41" t="s">
        <v>285</v>
      </c>
      <c r="M10" s="11"/>
      <c r="N10" s="37" t="s">
        <v>286</v>
      </c>
      <c r="O10" s="11"/>
      <c r="P10" s="56" t="s">
        <v>281</v>
      </c>
      <c r="Q10" s="33"/>
      <c r="R10" s="37" t="s">
        <v>282</v>
      </c>
      <c r="S10" s="33"/>
      <c r="T10" s="48" t="s">
        <v>283</v>
      </c>
      <c r="U10" s="33"/>
      <c r="V10" s="45" t="s">
        <v>284</v>
      </c>
      <c r="W10" s="11"/>
      <c r="X10" s="41" t="s">
        <v>285</v>
      </c>
      <c r="Y10" s="11"/>
      <c r="Z10" s="37" t="s">
        <v>286</v>
      </c>
    </row>
    <row r="11" spans="1:26" ht="16.5" customHeight="1" x14ac:dyDescent="0.3">
      <c r="A11" s="10"/>
      <c r="B11" s="55"/>
      <c r="C11" s="10"/>
      <c r="D11" s="10"/>
      <c r="E11" s="10"/>
      <c r="F11" s="9"/>
      <c r="G11" s="10"/>
      <c r="H11" s="10"/>
      <c r="I11" s="10"/>
      <c r="J11" s="46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6"/>
      <c r="W11" s="10"/>
      <c r="X11" s="10"/>
      <c r="Y11" s="10"/>
      <c r="Z11" s="9"/>
    </row>
    <row r="12" spans="1:26" s="63" customFormat="1" ht="15" customHeight="1" collapsed="1" x14ac:dyDescent="0.3">
      <c r="A12" s="11"/>
      <c r="B12" s="28" t="s">
        <v>287</v>
      </c>
      <c r="C12" s="11"/>
      <c r="D12" s="5">
        <f>SUM(OSRRefD13x_0)</f>
        <v>509294.96</v>
      </c>
      <c r="E12" s="5"/>
      <c r="F12" s="13"/>
      <c r="G12" s="5"/>
      <c r="H12" s="5">
        <f>SUM(OSRRefH13x_0)</f>
        <v>257549</v>
      </c>
      <c r="I12" s="5"/>
      <c r="J12" s="13"/>
      <c r="K12" s="5"/>
      <c r="L12" s="5">
        <f t="shared" ref="L12:L17" si="0">+D12-H12</f>
        <v>251745.96000000002</v>
      </c>
      <c r="M12" s="5"/>
      <c r="N12" s="13">
        <f t="shared" ref="N12:N17" si="1">IF(H12=0,0,L12/H12)</f>
        <v>0.9774682099328672</v>
      </c>
      <c r="O12" s="11"/>
      <c r="P12" s="5">
        <f>SUM(OSRRefP13x_0)</f>
        <v>3286035.35</v>
      </c>
      <c r="Q12" s="5"/>
      <c r="R12" s="13"/>
      <c r="S12" s="5"/>
      <c r="T12" s="5">
        <f>SUM(OSRRefT13x_0)</f>
        <v>2443685</v>
      </c>
      <c r="U12" s="5"/>
      <c r="V12" s="13"/>
      <c r="W12" s="5"/>
      <c r="X12" s="5">
        <f t="shared" ref="X12:X17" si="2">+P12-T12</f>
        <v>842350.35000000009</v>
      </c>
      <c r="Y12" s="5"/>
      <c r="Z12" s="13">
        <f t="shared" ref="Z12:Z17" si="3">IF(T12=0,0,X12/T12)</f>
        <v>0.34470496401950335</v>
      </c>
    </row>
    <row r="13" spans="1:26" s="70" customFormat="1" ht="15" hidden="1" customHeight="1" outlineLevel="1" x14ac:dyDescent="0.3">
      <c r="A13" s="42"/>
      <c r="B13" s="12" t="str">
        <f>CONCATENATE("          ","4000"," - ","TAXABLE SALES")</f>
        <v xml:space="preserve">          4000 - TAXABLE SALES</v>
      </c>
      <c r="C13" s="12"/>
      <c r="D13" s="3">
        <f>--464340.44</f>
        <v>464340.44</v>
      </c>
      <c r="E13" s="3"/>
      <c r="F13" s="20"/>
      <c r="G13" s="3"/>
      <c r="H13" s="3">
        <v>257549</v>
      </c>
      <c r="I13" s="3"/>
      <c r="J13" s="20"/>
      <c r="K13" s="3"/>
      <c r="L13" s="3">
        <f t="shared" si="0"/>
        <v>206791.44</v>
      </c>
      <c r="M13" s="3"/>
      <c r="N13" s="20">
        <f t="shared" si="1"/>
        <v>0.80292076459236883</v>
      </c>
      <c r="O13" s="12"/>
      <c r="P13" s="3">
        <f>--3077121.7</f>
        <v>3077121.7</v>
      </c>
      <c r="Q13" s="3"/>
      <c r="R13" s="20"/>
      <c r="S13" s="3"/>
      <c r="T13" s="3">
        <v>2443685</v>
      </c>
      <c r="U13" s="3"/>
      <c r="V13" s="20"/>
      <c r="W13" s="3"/>
      <c r="X13" s="3">
        <f t="shared" si="2"/>
        <v>633436.70000000019</v>
      </c>
      <c r="Y13" s="3"/>
      <c r="Z13" s="20">
        <f t="shared" si="3"/>
        <v>0.25921372844699714</v>
      </c>
    </row>
    <row r="14" spans="1:26" s="70" customFormat="1" ht="15" hidden="1" customHeight="1" outlineLevel="1" x14ac:dyDescent="0.3">
      <c r="A14" s="42"/>
      <c r="B14" s="12" t="str">
        <f>CONCATENATE("          ","4100"," - ","NON-TAXABLE SALES")</f>
        <v xml:space="preserve">          4100 - NON-TAXABLE SALES</v>
      </c>
      <c r="C14" s="12"/>
      <c r="D14" s="3">
        <f>--68845.56</f>
        <v>68845.56</v>
      </c>
      <c r="E14" s="3"/>
      <c r="F14" s="20"/>
      <c r="G14" s="3"/>
      <c r="H14" s="3"/>
      <c r="I14" s="3"/>
      <c r="J14" s="20"/>
      <c r="K14" s="3"/>
      <c r="L14" s="3">
        <f t="shared" si="0"/>
        <v>68845.56</v>
      </c>
      <c r="M14" s="3"/>
      <c r="N14" s="20">
        <f t="shared" si="1"/>
        <v>0</v>
      </c>
      <c r="O14" s="12"/>
      <c r="P14" s="3">
        <f>--386485.86</f>
        <v>386485.86</v>
      </c>
      <c r="Q14" s="3"/>
      <c r="R14" s="20"/>
      <c r="S14" s="3"/>
      <c r="T14" s="3"/>
      <c r="U14" s="3"/>
      <c r="V14" s="20"/>
      <c r="W14" s="3"/>
      <c r="X14" s="3">
        <f t="shared" si="2"/>
        <v>386485.86</v>
      </c>
      <c r="Y14" s="3"/>
      <c r="Z14" s="20">
        <f t="shared" si="3"/>
        <v>0</v>
      </c>
    </row>
    <row r="15" spans="1:26" s="70" customFormat="1" ht="15" hidden="1" customHeight="1" outlineLevel="1" x14ac:dyDescent="0.3">
      <c r="A15" s="42"/>
      <c r="B15" s="12" t="str">
        <f>CONCATENATE("          ","4200"," - ","TAXABLE RETURNS")</f>
        <v xml:space="preserve">          4200 - TAXABLE RETURNS</v>
      </c>
      <c r="C15" s="12"/>
      <c r="D15" s="3">
        <f>-14884.48</f>
        <v>-14884.48</v>
      </c>
      <c r="E15" s="3"/>
      <c r="F15" s="20"/>
      <c r="G15" s="3"/>
      <c r="H15" s="3"/>
      <c r="I15" s="3"/>
      <c r="J15" s="20"/>
      <c r="K15" s="3"/>
      <c r="L15" s="3">
        <f t="shared" si="0"/>
        <v>-14884.48</v>
      </c>
      <c r="M15" s="3"/>
      <c r="N15" s="20">
        <f t="shared" si="1"/>
        <v>0</v>
      </c>
      <c r="O15" s="12"/>
      <c r="P15" s="3">
        <f>-93205.14</f>
        <v>-93205.14</v>
      </c>
      <c r="Q15" s="3"/>
      <c r="R15" s="20"/>
      <c r="S15" s="3"/>
      <c r="T15" s="3"/>
      <c r="U15" s="3"/>
      <c r="V15" s="20"/>
      <c r="W15" s="3"/>
      <c r="X15" s="3">
        <f t="shared" si="2"/>
        <v>-93205.14</v>
      </c>
      <c r="Y15" s="3"/>
      <c r="Z15" s="20">
        <f t="shared" si="3"/>
        <v>0</v>
      </c>
    </row>
    <row r="16" spans="1:26" s="70" customFormat="1" ht="15" hidden="1" customHeight="1" outlineLevel="1" x14ac:dyDescent="0.3">
      <c r="A16" s="42"/>
      <c r="B16" s="12" t="str">
        <f>CONCATENATE("          ","4300"," - ","NON-TAX RETURNS")</f>
        <v xml:space="preserve">          4300 - NON-TAX RETURNS</v>
      </c>
      <c r="C16" s="12"/>
      <c r="D16" s="3">
        <f>0</f>
        <v>0</v>
      </c>
      <c r="E16" s="3"/>
      <c r="F16" s="20"/>
      <c r="G16" s="3"/>
      <c r="H16" s="3"/>
      <c r="I16" s="3"/>
      <c r="J16" s="20"/>
      <c r="K16" s="3"/>
      <c r="L16" s="3">
        <f t="shared" si="0"/>
        <v>0</v>
      </c>
      <c r="M16" s="3"/>
      <c r="N16" s="20">
        <f t="shared" si="1"/>
        <v>0</v>
      </c>
      <c r="O16" s="12"/>
      <c r="P16" s="3">
        <f>-1898.53</f>
        <v>-1898.53</v>
      </c>
      <c r="Q16" s="3"/>
      <c r="R16" s="20"/>
      <c r="S16" s="3"/>
      <c r="T16" s="3"/>
      <c r="U16" s="3"/>
      <c r="V16" s="20"/>
      <c r="W16" s="3"/>
      <c r="X16" s="3">
        <f t="shared" si="2"/>
        <v>-1898.53</v>
      </c>
      <c r="Y16" s="3"/>
      <c r="Z16" s="20">
        <f t="shared" si="3"/>
        <v>0</v>
      </c>
    </row>
    <row r="17" spans="1:26" s="70" customFormat="1" ht="15" hidden="1" customHeight="1" outlineLevel="1" x14ac:dyDescent="0.3">
      <c r="A17" s="42"/>
      <c r="B17" s="12" t="str">
        <f>CONCATENATE("          ","4500"," - ","SALES DISCOUNT")</f>
        <v xml:space="preserve">          4500 - SALES DISCOUNT</v>
      </c>
      <c r="C17" s="12"/>
      <c r="D17" s="3">
        <f>-9006.56</f>
        <v>-9006.56</v>
      </c>
      <c r="E17" s="3"/>
      <c r="F17" s="20"/>
      <c r="G17" s="3"/>
      <c r="H17" s="3"/>
      <c r="I17" s="3"/>
      <c r="J17" s="20"/>
      <c r="K17" s="3"/>
      <c r="L17" s="3">
        <f t="shared" si="0"/>
        <v>-9006.56</v>
      </c>
      <c r="M17" s="3"/>
      <c r="N17" s="20">
        <f t="shared" si="1"/>
        <v>0</v>
      </c>
      <c r="O17" s="12"/>
      <c r="P17" s="3">
        <f>-82468.54</f>
        <v>-82468.539999999994</v>
      </c>
      <c r="Q17" s="3"/>
      <c r="R17" s="20"/>
      <c r="S17" s="3"/>
      <c r="T17" s="3"/>
      <c r="U17" s="3"/>
      <c r="V17" s="20"/>
      <c r="W17" s="3"/>
      <c r="X17" s="3">
        <f t="shared" si="2"/>
        <v>-82468.539999999994</v>
      </c>
      <c r="Y17" s="3"/>
      <c r="Z17" s="20">
        <f t="shared" si="3"/>
        <v>0</v>
      </c>
    </row>
    <row r="18" spans="1:26" ht="15" customHeight="1" x14ac:dyDescent="0.3">
      <c r="A18" s="10"/>
      <c r="B18" s="11"/>
      <c r="C18" s="10"/>
      <c r="D18" s="4"/>
      <c r="E18" s="4"/>
      <c r="F18" s="9"/>
      <c r="G18" s="4"/>
      <c r="H18" s="4"/>
      <c r="I18" s="4"/>
      <c r="J18" s="9"/>
      <c r="K18" s="4"/>
      <c r="L18" s="4"/>
      <c r="M18" s="4"/>
      <c r="N18" s="9"/>
      <c r="P18" s="4"/>
      <c r="Q18" s="4"/>
      <c r="R18" s="9"/>
      <c r="S18" s="4"/>
      <c r="T18" s="4"/>
      <c r="U18" s="4"/>
      <c r="V18" s="9"/>
      <c r="W18" s="4"/>
      <c r="X18" s="4"/>
      <c r="Y18" s="4"/>
      <c r="Z18" s="9"/>
    </row>
    <row r="19" spans="1:26" s="63" customFormat="1" ht="15" customHeight="1" collapsed="1" x14ac:dyDescent="0.3">
      <c r="A19" s="11"/>
      <c r="B19" s="28" t="s">
        <v>288</v>
      </c>
      <c r="C19" s="11"/>
      <c r="D19" s="5">
        <f>SUM(OSRRefD16x_0)</f>
        <v>219982.02</v>
      </c>
      <c r="E19" s="5"/>
      <c r="F19" s="13">
        <f t="shared" ref="F19:F38" si="4">IF(D$12=0,0,D19/D$12)</f>
        <v>0.43193441380217074</v>
      </c>
      <c r="G19" s="5"/>
      <c r="H19" s="5">
        <f>SUM(OSRRefH16x_0)</f>
        <v>125394</v>
      </c>
      <c r="I19" s="5"/>
      <c r="J19" s="13">
        <f t="shared" ref="J19:J38" si="5">IF(H$12=0,0,H19/H$12)</f>
        <v>0.48687434235815319</v>
      </c>
      <c r="K19" s="5"/>
      <c r="L19" s="5">
        <f t="shared" ref="L19:L38" si="6">+D19-H19</f>
        <v>94588.01999999999</v>
      </c>
      <c r="M19" s="5"/>
      <c r="N19" s="13">
        <f t="shared" ref="N19:N38" si="7">IF(H19=0,0,L19/H19)</f>
        <v>0.7543265228001339</v>
      </c>
      <c r="O19" s="11"/>
      <c r="P19" s="5">
        <f>SUM(OSRRefP16x_0)</f>
        <v>1560551.06</v>
      </c>
      <c r="Q19" s="5"/>
      <c r="R19" s="13">
        <f t="shared" ref="R19:R38" si="8">IF(P$12=0,0,P19/P$12)</f>
        <v>0.47490391726917974</v>
      </c>
      <c r="S19" s="5"/>
      <c r="T19" s="5">
        <f>SUM(OSRRefT16x_0)</f>
        <v>1244595</v>
      </c>
      <c r="U19" s="5"/>
      <c r="V19" s="13">
        <f t="shared" ref="V19:V38" si="9">IF(T$12=0,0,T19/T$12)</f>
        <v>0.50931073358472967</v>
      </c>
      <c r="W19" s="5"/>
      <c r="X19" s="5">
        <f t="shared" ref="X19:X38" si="10">+P19-T19</f>
        <v>315956.06000000006</v>
      </c>
      <c r="Y19" s="5"/>
      <c r="Z19" s="13">
        <f t="shared" ref="Z19:Z38" si="11">IF(T19=0,0,X19/T19)</f>
        <v>0.25386254966475041</v>
      </c>
    </row>
    <row r="20" spans="1:26" s="70" customFormat="1" ht="15" hidden="1" customHeight="1" outlineLevel="1" x14ac:dyDescent="0.3">
      <c r="A20" s="42"/>
      <c r="B20" s="12" t="str">
        <f>CONCATENATE("          ","5000"," - ","PURCHASES @ COST")</f>
        <v xml:space="preserve">          5000 - PURCHASES @ COST</v>
      </c>
      <c r="C20" s="12"/>
      <c r="D20" s="3">
        <v>364854.79</v>
      </c>
      <c r="E20" s="3"/>
      <c r="F20" s="20">
        <f t="shared" si="4"/>
        <v>0.71639191167334537</v>
      </c>
      <c r="G20" s="3"/>
      <c r="H20" s="3">
        <v>125394</v>
      </c>
      <c r="I20" s="3"/>
      <c r="J20" s="20">
        <f t="shared" si="5"/>
        <v>0.48687434235815319</v>
      </c>
      <c r="K20" s="3"/>
      <c r="L20" s="3">
        <f t="shared" si="6"/>
        <v>239460.78999999998</v>
      </c>
      <c r="M20" s="3"/>
      <c r="N20" s="20">
        <f t="shared" si="7"/>
        <v>1.9096670494601016</v>
      </c>
      <c r="O20" s="12"/>
      <c r="P20" s="3">
        <v>1786609.28</v>
      </c>
      <c r="Q20" s="3"/>
      <c r="R20" s="20">
        <f t="shared" si="8"/>
        <v>0.543697522913136</v>
      </c>
      <c r="S20" s="3"/>
      <c r="T20" s="3">
        <v>1244595</v>
      </c>
      <c r="U20" s="3"/>
      <c r="V20" s="20">
        <f t="shared" si="9"/>
        <v>0.50931073358472967</v>
      </c>
      <c r="W20" s="3"/>
      <c r="X20" s="3">
        <f t="shared" si="10"/>
        <v>542014.28</v>
      </c>
      <c r="Y20" s="3"/>
      <c r="Z20" s="20">
        <f t="shared" si="11"/>
        <v>0.43549450222763231</v>
      </c>
    </row>
    <row r="21" spans="1:26" s="70" customFormat="1" ht="15" hidden="1" customHeight="1" outlineLevel="1" x14ac:dyDescent="0.3">
      <c r="A21" s="42"/>
      <c r="B21" s="12" t="str">
        <f>CONCATENATE("          ","5027"," - ","PURCHASES @ COST-SCHOOL SUPPLI")</f>
        <v xml:space="preserve">          5027 - PURCHASES @ COST-SCHOOL SUPPLI</v>
      </c>
      <c r="C21" s="12"/>
      <c r="D21" s="3"/>
      <c r="E21" s="3"/>
      <c r="F21" s="20">
        <f t="shared" si="4"/>
        <v>0</v>
      </c>
      <c r="G21" s="3"/>
      <c r="H21" s="3"/>
      <c r="I21" s="3"/>
      <c r="J21" s="20">
        <f t="shared" si="5"/>
        <v>0</v>
      </c>
      <c r="K21" s="3"/>
      <c r="L21" s="3">
        <f t="shared" si="6"/>
        <v>0</v>
      </c>
      <c r="M21" s="3"/>
      <c r="N21" s="20">
        <f t="shared" si="7"/>
        <v>0</v>
      </c>
      <c r="O21" s="12"/>
      <c r="P21" s="3">
        <v>0</v>
      </c>
      <c r="Q21" s="3"/>
      <c r="R21" s="20">
        <f t="shared" si="8"/>
        <v>0</v>
      </c>
      <c r="S21" s="3"/>
      <c r="T21" s="3"/>
      <c r="U21" s="3"/>
      <c r="V21" s="20">
        <f t="shared" si="9"/>
        <v>0</v>
      </c>
      <c r="W21" s="3"/>
      <c r="X21" s="3">
        <f t="shared" si="10"/>
        <v>0</v>
      </c>
      <c r="Y21" s="3"/>
      <c r="Z21" s="20">
        <f t="shared" si="11"/>
        <v>0</v>
      </c>
    </row>
    <row r="22" spans="1:26" s="70" customFormat="1" ht="15" hidden="1" customHeight="1" outlineLevel="1" x14ac:dyDescent="0.3">
      <c r="A22" s="42"/>
      <c r="B22" s="12" t="str">
        <f>CONCATENATE("          ","5028"," - ","PURCHASES @ COST-ART/TECH")</f>
        <v xml:space="preserve">          5028 - PURCHASES @ COST-ART/TECH</v>
      </c>
      <c r="C22" s="12"/>
      <c r="D22" s="3"/>
      <c r="E22" s="3"/>
      <c r="F22" s="20">
        <f t="shared" si="4"/>
        <v>0</v>
      </c>
      <c r="G22" s="3"/>
      <c r="H22" s="3"/>
      <c r="I22" s="3"/>
      <c r="J22" s="20">
        <f t="shared" si="5"/>
        <v>0</v>
      </c>
      <c r="K22" s="3"/>
      <c r="L22" s="3">
        <f t="shared" si="6"/>
        <v>0</v>
      </c>
      <c r="M22" s="3"/>
      <c r="N22" s="20">
        <f t="shared" si="7"/>
        <v>0</v>
      </c>
      <c r="O22" s="12"/>
      <c r="P22" s="3">
        <v>0</v>
      </c>
      <c r="Q22" s="3"/>
      <c r="R22" s="20">
        <f t="shared" si="8"/>
        <v>0</v>
      </c>
      <c r="S22" s="3"/>
      <c r="T22" s="3"/>
      <c r="U22" s="3"/>
      <c r="V22" s="20">
        <f t="shared" si="9"/>
        <v>0</v>
      </c>
      <c r="W22" s="3"/>
      <c r="X22" s="3">
        <f t="shared" si="10"/>
        <v>0</v>
      </c>
      <c r="Y22" s="3"/>
      <c r="Z22" s="20">
        <f t="shared" si="11"/>
        <v>0</v>
      </c>
    </row>
    <row r="23" spans="1:26" s="70" customFormat="1" ht="15" hidden="1" customHeight="1" outlineLevel="1" x14ac:dyDescent="0.3">
      <c r="A23" s="42"/>
      <c r="B23" s="12" t="str">
        <f>CONCATENATE("          ","5031"," - ","PURCHASES @ COST-FOOD")</f>
        <v xml:space="preserve">          5031 - PURCHASES @ COST-FOOD</v>
      </c>
      <c r="C23" s="12"/>
      <c r="D23" s="3"/>
      <c r="E23" s="3"/>
      <c r="F23" s="20">
        <f t="shared" si="4"/>
        <v>0</v>
      </c>
      <c r="G23" s="3"/>
      <c r="H23" s="3"/>
      <c r="I23" s="3"/>
      <c r="J23" s="20">
        <f t="shared" si="5"/>
        <v>0</v>
      </c>
      <c r="K23" s="3"/>
      <c r="L23" s="3">
        <f t="shared" si="6"/>
        <v>0</v>
      </c>
      <c r="M23" s="3"/>
      <c r="N23" s="20">
        <f t="shared" si="7"/>
        <v>0</v>
      </c>
      <c r="O23" s="12"/>
      <c r="P23" s="3">
        <v>0</v>
      </c>
      <c r="Q23" s="3"/>
      <c r="R23" s="20">
        <f t="shared" si="8"/>
        <v>0</v>
      </c>
      <c r="S23" s="3"/>
      <c r="T23" s="3"/>
      <c r="U23" s="3"/>
      <c r="V23" s="20">
        <f t="shared" si="9"/>
        <v>0</v>
      </c>
      <c r="W23" s="3"/>
      <c r="X23" s="3">
        <f t="shared" si="10"/>
        <v>0</v>
      </c>
      <c r="Y23" s="3"/>
      <c r="Z23" s="20">
        <f t="shared" si="11"/>
        <v>0</v>
      </c>
    </row>
    <row r="24" spans="1:26" s="70" customFormat="1" ht="15" hidden="1" customHeight="1" outlineLevel="1" x14ac:dyDescent="0.3">
      <c r="A24" s="42"/>
      <c r="B24" s="12" t="str">
        <f>CONCATENATE("          ","5040"," - ","PURCHASES @ COST-LOGO CLOTHING")</f>
        <v xml:space="preserve">          5040 - PURCHASES @ COST-LOGO CLOTHING</v>
      </c>
      <c r="C24" s="12"/>
      <c r="D24" s="3"/>
      <c r="E24" s="3"/>
      <c r="F24" s="20">
        <f t="shared" si="4"/>
        <v>0</v>
      </c>
      <c r="G24" s="3"/>
      <c r="H24" s="3"/>
      <c r="I24" s="3"/>
      <c r="J24" s="20">
        <f t="shared" si="5"/>
        <v>0</v>
      </c>
      <c r="K24" s="3"/>
      <c r="L24" s="3">
        <f t="shared" si="6"/>
        <v>0</v>
      </c>
      <c r="M24" s="3"/>
      <c r="N24" s="20">
        <f t="shared" si="7"/>
        <v>0</v>
      </c>
      <c r="O24" s="12"/>
      <c r="P24" s="3">
        <v>0</v>
      </c>
      <c r="Q24" s="3"/>
      <c r="R24" s="20">
        <f t="shared" si="8"/>
        <v>0</v>
      </c>
      <c r="S24" s="3"/>
      <c r="T24" s="3"/>
      <c r="U24" s="3"/>
      <c r="V24" s="20">
        <f t="shared" si="9"/>
        <v>0</v>
      </c>
      <c r="W24" s="3"/>
      <c r="X24" s="3">
        <f t="shared" si="10"/>
        <v>0</v>
      </c>
      <c r="Y24" s="3"/>
      <c r="Z24" s="20">
        <f t="shared" si="11"/>
        <v>0</v>
      </c>
    </row>
    <row r="25" spans="1:26" s="70" customFormat="1" ht="15" hidden="1" customHeight="1" outlineLevel="1" x14ac:dyDescent="0.3">
      <c r="A25" s="42"/>
      <c r="B25" s="12" t="str">
        <f>CONCATENATE("          ","5041"," - ","PURCHASES @ COST-LOGO GIFTS")</f>
        <v xml:space="preserve">          5041 - PURCHASES @ COST-LOGO GIFTS</v>
      </c>
      <c r="C25" s="12"/>
      <c r="D25" s="3"/>
      <c r="E25" s="3"/>
      <c r="F25" s="20">
        <f t="shared" si="4"/>
        <v>0</v>
      </c>
      <c r="G25" s="3"/>
      <c r="H25" s="3"/>
      <c r="I25" s="3"/>
      <c r="J25" s="20">
        <f t="shared" si="5"/>
        <v>0</v>
      </c>
      <c r="K25" s="3"/>
      <c r="L25" s="3">
        <f t="shared" si="6"/>
        <v>0</v>
      </c>
      <c r="M25" s="3"/>
      <c r="N25" s="20">
        <f t="shared" si="7"/>
        <v>0</v>
      </c>
      <c r="O25" s="12"/>
      <c r="P25" s="3">
        <v>0</v>
      </c>
      <c r="Q25" s="3"/>
      <c r="R25" s="20">
        <f t="shared" si="8"/>
        <v>0</v>
      </c>
      <c r="S25" s="3"/>
      <c r="T25" s="3"/>
      <c r="U25" s="3"/>
      <c r="V25" s="20">
        <f t="shared" si="9"/>
        <v>0</v>
      </c>
      <c r="W25" s="3"/>
      <c r="X25" s="3">
        <f t="shared" si="10"/>
        <v>0</v>
      </c>
      <c r="Y25" s="3"/>
      <c r="Z25" s="20">
        <f t="shared" si="11"/>
        <v>0</v>
      </c>
    </row>
    <row r="26" spans="1:26" s="70" customFormat="1" ht="15" hidden="1" customHeight="1" outlineLevel="1" x14ac:dyDescent="0.3">
      <c r="A26" s="42"/>
      <c r="B26" s="12" t="str">
        <f>CONCATENATE("          ","5042"," - ","PURCHASES @ COST-EVERYDAY GIFT")</f>
        <v xml:space="preserve">          5042 - PURCHASES @ COST-EVERYDAY GIFT</v>
      </c>
      <c r="C26" s="12"/>
      <c r="D26" s="3"/>
      <c r="E26" s="3"/>
      <c r="F26" s="20">
        <f t="shared" si="4"/>
        <v>0</v>
      </c>
      <c r="G26" s="3"/>
      <c r="H26" s="3"/>
      <c r="I26" s="3"/>
      <c r="J26" s="20">
        <f t="shared" si="5"/>
        <v>0</v>
      </c>
      <c r="K26" s="3"/>
      <c r="L26" s="3">
        <f t="shared" si="6"/>
        <v>0</v>
      </c>
      <c r="M26" s="3"/>
      <c r="N26" s="20">
        <f t="shared" si="7"/>
        <v>0</v>
      </c>
      <c r="O26" s="12"/>
      <c r="P26" s="3">
        <v>0</v>
      </c>
      <c r="Q26" s="3"/>
      <c r="R26" s="20">
        <f t="shared" si="8"/>
        <v>0</v>
      </c>
      <c r="S26" s="3"/>
      <c r="T26" s="3"/>
      <c r="U26" s="3"/>
      <c r="V26" s="20">
        <f t="shared" si="9"/>
        <v>0</v>
      </c>
      <c r="W26" s="3"/>
      <c r="X26" s="3">
        <f t="shared" si="10"/>
        <v>0</v>
      </c>
      <c r="Y26" s="3"/>
      <c r="Z26" s="20">
        <f t="shared" si="11"/>
        <v>0</v>
      </c>
    </row>
    <row r="27" spans="1:26" s="70" customFormat="1" ht="15" hidden="1" customHeight="1" outlineLevel="1" x14ac:dyDescent="0.3">
      <c r="A27" s="42"/>
      <c r="B27" s="12" t="str">
        <f>CONCATENATE("          ","5043"," - ","PURCHASES @ COST-CARDS")</f>
        <v xml:space="preserve">          5043 - PURCHASES @ COST-CARDS</v>
      </c>
      <c r="C27" s="12"/>
      <c r="D27" s="3"/>
      <c r="E27" s="3"/>
      <c r="F27" s="20">
        <f t="shared" si="4"/>
        <v>0</v>
      </c>
      <c r="G27" s="3"/>
      <c r="H27" s="3"/>
      <c r="I27" s="3"/>
      <c r="J27" s="20">
        <f t="shared" si="5"/>
        <v>0</v>
      </c>
      <c r="K27" s="3"/>
      <c r="L27" s="3">
        <f t="shared" si="6"/>
        <v>0</v>
      </c>
      <c r="M27" s="3"/>
      <c r="N27" s="20">
        <f t="shared" si="7"/>
        <v>0</v>
      </c>
      <c r="O27" s="12"/>
      <c r="P27" s="3">
        <v>0</v>
      </c>
      <c r="Q27" s="3"/>
      <c r="R27" s="20">
        <f t="shared" si="8"/>
        <v>0</v>
      </c>
      <c r="S27" s="3"/>
      <c r="T27" s="3"/>
      <c r="U27" s="3"/>
      <c r="V27" s="20">
        <f t="shared" si="9"/>
        <v>0</v>
      </c>
      <c r="W27" s="3"/>
      <c r="X27" s="3">
        <f t="shared" si="10"/>
        <v>0</v>
      </c>
      <c r="Y27" s="3"/>
      <c r="Z27" s="20">
        <f t="shared" si="11"/>
        <v>0</v>
      </c>
    </row>
    <row r="28" spans="1:26" s="70" customFormat="1" ht="15" hidden="1" customHeight="1" outlineLevel="1" x14ac:dyDescent="0.3">
      <c r="A28" s="42"/>
      <c r="B28" s="12" t="str">
        <f>CONCATENATE("          ","5044"," - ","PURCHASES @ COST-ACCESSORIES")</f>
        <v xml:space="preserve">          5044 - PURCHASES @ COST-ACCESSORIES</v>
      </c>
      <c r="C28" s="12"/>
      <c r="D28" s="3"/>
      <c r="E28" s="3"/>
      <c r="F28" s="20">
        <f t="shared" si="4"/>
        <v>0</v>
      </c>
      <c r="G28" s="3"/>
      <c r="H28" s="3"/>
      <c r="I28" s="3"/>
      <c r="J28" s="20">
        <f t="shared" si="5"/>
        <v>0</v>
      </c>
      <c r="K28" s="3"/>
      <c r="L28" s="3">
        <f t="shared" si="6"/>
        <v>0</v>
      </c>
      <c r="M28" s="3"/>
      <c r="N28" s="20">
        <f t="shared" si="7"/>
        <v>0</v>
      </c>
      <c r="O28" s="12"/>
      <c r="P28" s="3">
        <v>0</v>
      </c>
      <c r="Q28" s="3"/>
      <c r="R28" s="20">
        <f t="shared" si="8"/>
        <v>0</v>
      </c>
      <c r="S28" s="3"/>
      <c r="T28" s="3"/>
      <c r="U28" s="3"/>
      <c r="V28" s="20">
        <f t="shared" si="9"/>
        <v>0</v>
      </c>
      <c r="W28" s="3"/>
      <c r="X28" s="3">
        <f t="shared" si="10"/>
        <v>0</v>
      </c>
      <c r="Y28" s="3"/>
      <c r="Z28" s="20">
        <f t="shared" si="11"/>
        <v>0</v>
      </c>
    </row>
    <row r="29" spans="1:26" s="70" customFormat="1" ht="15" hidden="1" customHeight="1" outlineLevel="1" x14ac:dyDescent="0.3">
      <c r="A29" s="42"/>
      <c r="B29" s="12" t="str">
        <f>CONCATENATE("          ","5045"," - ","PURCHASES @ COST-SPECIAL ORDER")</f>
        <v xml:space="preserve">          5045 - PURCHASES @ COST-SPECIAL ORDER</v>
      </c>
      <c r="C29" s="12"/>
      <c r="D29" s="3"/>
      <c r="E29" s="3"/>
      <c r="F29" s="20">
        <f t="shared" si="4"/>
        <v>0</v>
      </c>
      <c r="G29" s="3"/>
      <c r="H29" s="3"/>
      <c r="I29" s="3"/>
      <c r="J29" s="20">
        <f t="shared" si="5"/>
        <v>0</v>
      </c>
      <c r="K29" s="3"/>
      <c r="L29" s="3">
        <f t="shared" si="6"/>
        <v>0</v>
      </c>
      <c r="M29" s="3"/>
      <c r="N29" s="20">
        <f t="shared" si="7"/>
        <v>0</v>
      </c>
      <c r="O29" s="12"/>
      <c r="P29" s="3">
        <v>0</v>
      </c>
      <c r="Q29" s="3"/>
      <c r="R29" s="20">
        <f t="shared" si="8"/>
        <v>0</v>
      </c>
      <c r="S29" s="3"/>
      <c r="T29" s="3"/>
      <c r="U29" s="3"/>
      <c r="V29" s="20">
        <f t="shared" si="9"/>
        <v>0</v>
      </c>
      <c r="W29" s="3"/>
      <c r="X29" s="3">
        <f t="shared" si="10"/>
        <v>0</v>
      </c>
      <c r="Y29" s="3"/>
      <c r="Z29" s="20">
        <f t="shared" si="11"/>
        <v>0</v>
      </c>
    </row>
    <row r="30" spans="1:26" s="70" customFormat="1" ht="15" hidden="1" customHeight="1" outlineLevel="1" x14ac:dyDescent="0.3">
      <c r="A30" s="42"/>
      <c r="B30" s="12" t="str">
        <f>CONCATENATE("          ","5200"," - ","PURCHASES OFFSET")</f>
        <v xml:space="preserve">          5200 - PURCHASES OFFSET</v>
      </c>
      <c r="C30" s="12"/>
      <c r="D30" s="3">
        <v>-385967.61</v>
      </c>
      <c r="E30" s="3"/>
      <c r="F30" s="20">
        <f t="shared" si="4"/>
        <v>-0.7578469066334369</v>
      </c>
      <c r="G30" s="3"/>
      <c r="H30" s="3"/>
      <c r="I30" s="3"/>
      <c r="J30" s="20">
        <f t="shared" si="5"/>
        <v>0</v>
      </c>
      <c r="K30" s="3"/>
      <c r="L30" s="3">
        <f t="shared" si="6"/>
        <v>-385967.61</v>
      </c>
      <c r="M30" s="3"/>
      <c r="N30" s="20">
        <f t="shared" si="7"/>
        <v>0</v>
      </c>
      <c r="O30" s="12"/>
      <c r="P30" s="3">
        <v>-1859920.91</v>
      </c>
      <c r="Q30" s="3"/>
      <c r="R30" s="20">
        <f t="shared" si="8"/>
        <v>-0.56600757809863489</v>
      </c>
      <c r="S30" s="3"/>
      <c r="T30" s="3"/>
      <c r="U30" s="3"/>
      <c r="V30" s="20">
        <f t="shared" si="9"/>
        <v>0</v>
      </c>
      <c r="W30" s="3"/>
      <c r="X30" s="3">
        <f t="shared" si="10"/>
        <v>-1859920.91</v>
      </c>
      <c r="Y30" s="3"/>
      <c r="Z30" s="20">
        <f t="shared" si="11"/>
        <v>0</v>
      </c>
    </row>
    <row r="31" spans="1:26" s="70" customFormat="1" ht="15" hidden="1" customHeight="1" outlineLevel="1" x14ac:dyDescent="0.3">
      <c r="A31" s="42"/>
      <c r="B31" s="12" t="str">
        <f>CONCATENATE("          ","5300"," - ","COG$ OFFSET")</f>
        <v xml:space="preserve">          5300 - COG$ OFFSET</v>
      </c>
      <c r="C31" s="12"/>
      <c r="D31" s="3">
        <v>222982.02</v>
      </c>
      <c r="E31" s="3"/>
      <c r="F31" s="20">
        <f t="shared" si="4"/>
        <v>0.43782490995002182</v>
      </c>
      <c r="G31" s="3"/>
      <c r="H31" s="3"/>
      <c r="I31" s="3"/>
      <c r="J31" s="20">
        <f t="shared" si="5"/>
        <v>0</v>
      </c>
      <c r="K31" s="3"/>
      <c r="L31" s="3">
        <f t="shared" si="6"/>
        <v>222982.02</v>
      </c>
      <c r="M31" s="3"/>
      <c r="N31" s="20">
        <f t="shared" si="7"/>
        <v>0</v>
      </c>
      <c r="O31" s="12"/>
      <c r="P31" s="3">
        <v>1563551.06</v>
      </c>
      <c r="Q31" s="3"/>
      <c r="R31" s="20">
        <f t="shared" si="8"/>
        <v>0.47581687153791574</v>
      </c>
      <c r="S31" s="3"/>
      <c r="T31" s="3"/>
      <c r="U31" s="3"/>
      <c r="V31" s="20">
        <f t="shared" si="9"/>
        <v>0</v>
      </c>
      <c r="W31" s="3"/>
      <c r="X31" s="3">
        <f t="shared" si="10"/>
        <v>1563551.06</v>
      </c>
      <c r="Y31" s="3"/>
      <c r="Z31" s="20">
        <f t="shared" si="11"/>
        <v>0</v>
      </c>
    </row>
    <row r="32" spans="1:26" s="70" customFormat="1" ht="15" hidden="1" customHeight="1" outlineLevel="1" x14ac:dyDescent="0.3">
      <c r="A32" s="42"/>
      <c r="B32" s="12" t="str">
        <f>CONCATENATE("          ","5500"," - ","FREIGHT-IN")</f>
        <v xml:space="preserve">          5500 - FREIGHT-IN</v>
      </c>
      <c r="C32" s="12"/>
      <c r="D32" s="3">
        <v>18112.82</v>
      </c>
      <c r="E32" s="3"/>
      <c r="F32" s="20">
        <f t="shared" si="4"/>
        <v>3.5564498812240351E-2</v>
      </c>
      <c r="G32" s="3"/>
      <c r="H32" s="3"/>
      <c r="I32" s="3"/>
      <c r="J32" s="20">
        <f t="shared" si="5"/>
        <v>0</v>
      </c>
      <c r="K32" s="3"/>
      <c r="L32" s="3">
        <f t="shared" si="6"/>
        <v>18112.82</v>
      </c>
      <c r="M32" s="3"/>
      <c r="N32" s="20">
        <f t="shared" si="7"/>
        <v>0</v>
      </c>
      <c r="O32" s="12"/>
      <c r="P32" s="3">
        <v>70311.63</v>
      </c>
      <c r="Q32" s="3"/>
      <c r="R32" s="20">
        <f t="shared" si="8"/>
        <v>2.139710091676281E-2</v>
      </c>
      <c r="S32" s="3"/>
      <c r="T32" s="3"/>
      <c r="U32" s="3"/>
      <c r="V32" s="20">
        <f t="shared" si="9"/>
        <v>0</v>
      </c>
      <c r="W32" s="3"/>
      <c r="X32" s="3">
        <f t="shared" si="10"/>
        <v>70311.63</v>
      </c>
      <c r="Y32" s="3"/>
      <c r="Z32" s="20">
        <f t="shared" si="11"/>
        <v>0</v>
      </c>
    </row>
    <row r="33" spans="1:26" s="70" customFormat="1" ht="15" hidden="1" customHeight="1" outlineLevel="1" x14ac:dyDescent="0.3">
      <c r="A33" s="42"/>
      <c r="B33" s="12" t="str">
        <f>CONCATENATE("          ","5527"," - ","FREIGHT-IN-SCHOOL SUPPLIES")</f>
        <v xml:space="preserve">          5527 - FREIGHT-IN-SCHOOL SUPPLIES</v>
      </c>
      <c r="C33" s="12"/>
      <c r="D33" s="3"/>
      <c r="E33" s="3"/>
      <c r="F33" s="20">
        <f t="shared" si="4"/>
        <v>0</v>
      </c>
      <c r="G33" s="3"/>
      <c r="H33" s="3"/>
      <c r="I33" s="3"/>
      <c r="J33" s="20">
        <f t="shared" si="5"/>
        <v>0</v>
      </c>
      <c r="K33" s="3"/>
      <c r="L33" s="3">
        <f t="shared" si="6"/>
        <v>0</v>
      </c>
      <c r="M33" s="3"/>
      <c r="N33" s="20">
        <f t="shared" si="7"/>
        <v>0</v>
      </c>
      <c r="O33" s="12"/>
      <c r="P33" s="3">
        <v>0</v>
      </c>
      <c r="Q33" s="3"/>
      <c r="R33" s="20">
        <f t="shared" si="8"/>
        <v>0</v>
      </c>
      <c r="S33" s="3"/>
      <c r="T33" s="3"/>
      <c r="U33" s="3"/>
      <c r="V33" s="20">
        <f t="shared" si="9"/>
        <v>0</v>
      </c>
      <c r="W33" s="3"/>
      <c r="X33" s="3">
        <f t="shared" si="10"/>
        <v>0</v>
      </c>
      <c r="Y33" s="3"/>
      <c r="Z33" s="20">
        <f t="shared" si="11"/>
        <v>0</v>
      </c>
    </row>
    <row r="34" spans="1:26" s="70" customFormat="1" ht="15" hidden="1" customHeight="1" outlineLevel="1" x14ac:dyDescent="0.3">
      <c r="A34" s="42"/>
      <c r="B34" s="12" t="str">
        <f>CONCATENATE("          ","5540"," - ","FREIGHT-IN-LOGO CLOTHING")</f>
        <v xml:space="preserve">          5540 - FREIGHT-IN-LOGO CLOTHING</v>
      </c>
      <c r="C34" s="12"/>
      <c r="D34" s="3"/>
      <c r="E34" s="3"/>
      <c r="F34" s="20">
        <f t="shared" si="4"/>
        <v>0</v>
      </c>
      <c r="G34" s="3"/>
      <c r="H34" s="3"/>
      <c r="I34" s="3"/>
      <c r="J34" s="20">
        <f t="shared" si="5"/>
        <v>0</v>
      </c>
      <c r="K34" s="3"/>
      <c r="L34" s="3">
        <f t="shared" si="6"/>
        <v>0</v>
      </c>
      <c r="M34" s="3"/>
      <c r="N34" s="20">
        <f t="shared" si="7"/>
        <v>0</v>
      </c>
      <c r="O34" s="12"/>
      <c r="P34" s="3">
        <v>0</v>
      </c>
      <c r="Q34" s="3"/>
      <c r="R34" s="20">
        <f t="shared" si="8"/>
        <v>0</v>
      </c>
      <c r="S34" s="3"/>
      <c r="T34" s="3"/>
      <c r="U34" s="3"/>
      <c r="V34" s="20">
        <f t="shared" si="9"/>
        <v>0</v>
      </c>
      <c r="W34" s="3"/>
      <c r="X34" s="3">
        <f t="shared" si="10"/>
        <v>0</v>
      </c>
      <c r="Y34" s="3"/>
      <c r="Z34" s="20">
        <f t="shared" si="11"/>
        <v>0</v>
      </c>
    </row>
    <row r="35" spans="1:26" s="70" customFormat="1" ht="15" hidden="1" customHeight="1" outlineLevel="1" x14ac:dyDescent="0.3">
      <c r="A35" s="42"/>
      <c r="B35" s="12" t="str">
        <f>CONCATENATE("          ","5541"," - ","FREIGHT-IN-LOGO GIFTS")</f>
        <v xml:space="preserve">          5541 - FREIGHT-IN-LOGO GIFTS</v>
      </c>
      <c r="C35" s="12"/>
      <c r="D35" s="3"/>
      <c r="E35" s="3"/>
      <c r="F35" s="20">
        <f t="shared" si="4"/>
        <v>0</v>
      </c>
      <c r="G35" s="3"/>
      <c r="H35" s="3"/>
      <c r="I35" s="3"/>
      <c r="J35" s="20">
        <f t="shared" si="5"/>
        <v>0</v>
      </c>
      <c r="K35" s="3"/>
      <c r="L35" s="3">
        <f t="shared" si="6"/>
        <v>0</v>
      </c>
      <c r="M35" s="3"/>
      <c r="N35" s="20">
        <f t="shared" si="7"/>
        <v>0</v>
      </c>
      <c r="O35" s="12"/>
      <c r="P35" s="3">
        <v>0</v>
      </c>
      <c r="Q35" s="3"/>
      <c r="R35" s="20">
        <f t="shared" si="8"/>
        <v>0</v>
      </c>
      <c r="S35" s="3"/>
      <c r="T35" s="3"/>
      <c r="U35" s="3"/>
      <c r="V35" s="20">
        <f t="shared" si="9"/>
        <v>0</v>
      </c>
      <c r="W35" s="3"/>
      <c r="X35" s="3">
        <f t="shared" si="10"/>
        <v>0</v>
      </c>
      <c r="Y35" s="3"/>
      <c r="Z35" s="20">
        <f t="shared" si="11"/>
        <v>0</v>
      </c>
    </row>
    <row r="36" spans="1:26" s="70" customFormat="1" ht="15" hidden="1" customHeight="1" outlineLevel="1" x14ac:dyDescent="0.3">
      <c r="A36" s="42"/>
      <c r="B36" s="12" t="str">
        <f>CONCATENATE("          ","5542"," - ","FREIGHT-IN-EVERYDAY GIFTS")</f>
        <v xml:space="preserve">          5542 - FREIGHT-IN-EVERYDAY GIFTS</v>
      </c>
      <c r="C36" s="12"/>
      <c r="D36" s="3"/>
      <c r="E36" s="3"/>
      <c r="F36" s="20">
        <f t="shared" si="4"/>
        <v>0</v>
      </c>
      <c r="G36" s="3"/>
      <c r="H36" s="3"/>
      <c r="I36" s="3"/>
      <c r="J36" s="20">
        <f t="shared" si="5"/>
        <v>0</v>
      </c>
      <c r="K36" s="3"/>
      <c r="L36" s="3">
        <f t="shared" si="6"/>
        <v>0</v>
      </c>
      <c r="M36" s="3"/>
      <c r="N36" s="20">
        <f t="shared" si="7"/>
        <v>0</v>
      </c>
      <c r="O36" s="12"/>
      <c r="P36" s="3">
        <v>0</v>
      </c>
      <c r="Q36" s="3"/>
      <c r="R36" s="20">
        <f t="shared" si="8"/>
        <v>0</v>
      </c>
      <c r="S36" s="3"/>
      <c r="T36" s="3"/>
      <c r="U36" s="3"/>
      <c r="V36" s="20">
        <f t="shared" si="9"/>
        <v>0</v>
      </c>
      <c r="W36" s="3"/>
      <c r="X36" s="3">
        <f t="shared" si="10"/>
        <v>0</v>
      </c>
      <c r="Y36" s="3"/>
      <c r="Z36" s="20">
        <f t="shared" si="11"/>
        <v>0</v>
      </c>
    </row>
    <row r="37" spans="1:26" s="70" customFormat="1" ht="15" hidden="1" customHeight="1" outlineLevel="1" x14ac:dyDescent="0.3">
      <c r="A37" s="42"/>
      <c r="B37" s="12" t="str">
        <f>CONCATENATE("          ","5544"," - ","FREIGHT-IN-ACCESSORIES")</f>
        <v xml:space="preserve">          5544 - FREIGHT-IN-ACCESSORIES</v>
      </c>
      <c r="C37" s="12"/>
      <c r="D37" s="3"/>
      <c r="E37" s="3"/>
      <c r="F37" s="20">
        <f t="shared" si="4"/>
        <v>0</v>
      </c>
      <c r="G37" s="3"/>
      <c r="H37" s="3"/>
      <c r="I37" s="3"/>
      <c r="J37" s="20">
        <f t="shared" si="5"/>
        <v>0</v>
      </c>
      <c r="K37" s="3"/>
      <c r="L37" s="3">
        <f t="shared" si="6"/>
        <v>0</v>
      </c>
      <c r="M37" s="3"/>
      <c r="N37" s="20">
        <f t="shared" si="7"/>
        <v>0</v>
      </c>
      <c r="O37" s="12"/>
      <c r="P37" s="3">
        <v>0</v>
      </c>
      <c r="Q37" s="3"/>
      <c r="R37" s="20">
        <f t="shared" si="8"/>
        <v>0</v>
      </c>
      <c r="S37" s="3"/>
      <c r="T37" s="3"/>
      <c r="U37" s="3"/>
      <c r="V37" s="20">
        <f t="shared" si="9"/>
        <v>0</v>
      </c>
      <c r="W37" s="3"/>
      <c r="X37" s="3">
        <f t="shared" si="10"/>
        <v>0</v>
      </c>
      <c r="Y37" s="3"/>
      <c r="Z37" s="20">
        <f t="shared" si="11"/>
        <v>0</v>
      </c>
    </row>
    <row r="38" spans="1:26" s="70" customFormat="1" ht="15" hidden="1" customHeight="1" outlineLevel="1" x14ac:dyDescent="0.3">
      <c r="A38" s="42"/>
      <c r="B38" s="12" t="str">
        <f>CONCATENATE("          ","5545"," - ","FREIGHT-IN-SPECIAL ORDERS")</f>
        <v xml:space="preserve">          5545 - FREIGHT-IN-SPECIAL ORDERS</v>
      </c>
      <c r="C38" s="12"/>
      <c r="D38" s="3"/>
      <c r="E38" s="3"/>
      <c r="F38" s="20">
        <f t="shared" si="4"/>
        <v>0</v>
      </c>
      <c r="G38" s="3"/>
      <c r="H38" s="3"/>
      <c r="I38" s="3"/>
      <c r="J38" s="20">
        <f t="shared" si="5"/>
        <v>0</v>
      </c>
      <c r="K38" s="3"/>
      <c r="L38" s="3">
        <f t="shared" si="6"/>
        <v>0</v>
      </c>
      <c r="M38" s="3"/>
      <c r="N38" s="20">
        <f t="shared" si="7"/>
        <v>0</v>
      </c>
      <c r="O38" s="12"/>
      <c r="P38" s="3">
        <v>0</v>
      </c>
      <c r="Q38" s="3"/>
      <c r="R38" s="20">
        <f t="shared" si="8"/>
        <v>0</v>
      </c>
      <c r="S38" s="3"/>
      <c r="T38" s="3"/>
      <c r="U38" s="3"/>
      <c r="V38" s="20">
        <f t="shared" si="9"/>
        <v>0</v>
      </c>
      <c r="W38" s="3"/>
      <c r="X38" s="3">
        <f t="shared" si="10"/>
        <v>0</v>
      </c>
      <c r="Y38" s="3"/>
      <c r="Z38" s="20">
        <f t="shared" si="11"/>
        <v>0</v>
      </c>
    </row>
    <row r="39" spans="1:26" ht="15" customHeight="1" x14ac:dyDescent="0.3">
      <c r="A39" s="10"/>
      <c r="B39" s="11"/>
      <c r="C39" s="11"/>
      <c r="D39" s="4"/>
      <c r="E39" s="4"/>
      <c r="F39" s="9"/>
      <c r="G39" s="4"/>
      <c r="H39" s="4"/>
      <c r="I39" s="4"/>
      <c r="J39" s="9"/>
      <c r="K39" s="4"/>
      <c r="L39" s="4"/>
      <c r="M39" s="4"/>
      <c r="N39" s="9"/>
      <c r="O39" s="11"/>
      <c r="P39" s="4"/>
      <c r="Q39" s="4"/>
      <c r="R39" s="9"/>
      <c r="S39" s="4"/>
      <c r="T39" s="4"/>
      <c r="U39" s="4"/>
      <c r="V39" s="9"/>
      <c r="W39" s="4"/>
      <c r="X39" s="4"/>
      <c r="Y39" s="4"/>
      <c r="Z39" s="9"/>
    </row>
    <row r="40" spans="1:26" s="63" customFormat="1" ht="15" customHeight="1" x14ac:dyDescent="0.3">
      <c r="A40" s="11"/>
      <c r="B40" s="27" t="s">
        <v>289</v>
      </c>
      <c r="C40" s="27"/>
      <c r="D40" s="21">
        <f>D12-D19</f>
        <v>289312.94000000006</v>
      </c>
      <c r="E40" s="15"/>
      <c r="F40" s="23">
        <f>IF(D$12=0,0,D40/D$12)</f>
        <v>0.56806558619782932</v>
      </c>
      <c r="G40" s="15"/>
      <c r="H40" s="21">
        <f>H12-H19</f>
        <v>132155</v>
      </c>
      <c r="I40" s="15"/>
      <c r="J40" s="23">
        <f>IF(H$12=0,0,H40/H$12)</f>
        <v>0.51312565764184681</v>
      </c>
      <c r="K40" s="16"/>
      <c r="L40" s="21">
        <f>+D40-H40</f>
        <v>157157.94000000006</v>
      </c>
      <c r="M40" s="16"/>
      <c r="N40" s="23">
        <f>IF(H40=0,0,L40/H40)</f>
        <v>1.189194052438425</v>
      </c>
      <c r="O40" s="28"/>
      <c r="P40" s="21">
        <f>P12-P19</f>
        <v>1725484.29</v>
      </c>
      <c r="Q40" s="15"/>
      <c r="R40" s="23">
        <f>IF(P$12=0,0,P40/P$12)</f>
        <v>0.52509608273082031</v>
      </c>
      <c r="S40" s="15"/>
      <c r="T40" s="21">
        <f>T12-T19</f>
        <v>1199090</v>
      </c>
      <c r="U40" s="15"/>
      <c r="V40" s="23">
        <f>IF(T$12=0,0,T40/T$12)</f>
        <v>0.49068926641527039</v>
      </c>
      <c r="W40" s="16"/>
      <c r="X40" s="21">
        <f>+P40-T40</f>
        <v>526394.29</v>
      </c>
      <c r="Y40" s="16"/>
      <c r="Z40" s="23">
        <f>IF(T40=0,0,X40/T40)</f>
        <v>0.43899481273298924</v>
      </c>
    </row>
    <row r="41" spans="1:26" ht="15" customHeight="1" x14ac:dyDescent="0.3">
      <c r="A41" s="10"/>
      <c r="B41" s="11"/>
      <c r="C41" s="10"/>
      <c r="D41" s="2"/>
      <c r="E41" s="2"/>
      <c r="F41" s="6"/>
      <c r="G41" s="2"/>
      <c r="H41" s="2"/>
      <c r="I41" s="2"/>
      <c r="J41" s="6"/>
      <c r="K41" s="2"/>
      <c r="L41" s="2"/>
      <c r="M41" s="2"/>
      <c r="N41" s="6"/>
      <c r="O41" s="35"/>
      <c r="P41" s="2"/>
      <c r="Q41" s="2"/>
      <c r="R41" s="6"/>
      <c r="S41" s="2"/>
      <c r="T41" s="2"/>
      <c r="U41" s="2"/>
      <c r="V41" s="6"/>
      <c r="W41" s="2"/>
      <c r="X41" s="2"/>
      <c r="Y41" s="2"/>
      <c r="Z41" s="6"/>
    </row>
    <row r="42" spans="1:26" s="63" customFormat="1" ht="15" customHeight="1" x14ac:dyDescent="0.3">
      <c r="A42" s="11"/>
      <c r="B42" s="28" t="s">
        <v>290</v>
      </c>
      <c r="C42" s="11"/>
      <c r="D42" s="22" cm="1">
        <f t="array" ref="D42">SUM(OSRRefD22x_0)</f>
        <v>103104.01</v>
      </c>
      <c r="E42" s="22"/>
      <c r="F42" s="30">
        <f t="shared" ref="F42:F73" si="12">IF(D$12=0,0,D42/D$12)</f>
        <v>0.20244459124433509</v>
      </c>
      <c r="G42" s="22"/>
      <c r="H42" s="22" cm="1">
        <f t="array" ref="H42">SUM(OSRRefH22x_0)</f>
        <v>99962.102741892333</v>
      </c>
      <c r="I42" s="22"/>
      <c r="J42" s="30">
        <f t="shared" ref="J42:J73" si="13">IF(H$12=0,0,H42/H$12)</f>
        <v>0.38812848328625749</v>
      </c>
      <c r="K42" s="5"/>
      <c r="L42" s="22">
        <f t="shared" ref="L42:L73" si="14">+D42-H42</f>
        <v>3141.9072581076616</v>
      </c>
      <c r="M42" s="5"/>
      <c r="N42" s="30">
        <f t="shared" ref="N42:N73" si="15">IF(H42=0,0,L42/H42)</f>
        <v>3.1430984062232457E-2</v>
      </c>
      <c r="O42" s="11"/>
      <c r="P42" s="22" cm="1">
        <f t="array" ref="P42">SUM(OSRRefP22x_0)</f>
        <v>897220.16000000038</v>
      </c>
      <c r="Q42" s="22"/>
      <c r="R42" s="30">
        <f t="shared" ref="R42:R73" si="16">IF(P$12=0,0,P42/P$12)</f>
        <v>0.27304032502267522</v>
      </c>
      <c r="S42" s="22"/>
      <c r="T42" s="22" cm="1">
        <f t="array" ref="T42">SUM(OSRRefT22x_0)</f>
        <v>965404.06764364999</v>
      </c>
      <c r="U42" s="22"/>
      <c r="V42" s="30">
        <f t="shared" ref="V42:V73" si="17">IF(T$12=0,0,T42/T$12)</f>
        <v>0.39506076586943489</v>
      </c>
      <c r="W42" s="5"/>
      <c r="X42" s="22">
        <f t="shared" ref="X42:X73" si="18">+P42-T42</f>
        <v>-68183.907643649611</v>
      </c>
      <c r="Y42" s="5"/>
      <c r="Z42" s="30">
        <f t="shared" ref="Z42:Z73" si="19">IF(T42=0,0,X42/T42)</f>
        <v>-7.0627325830594764E-2</v>
      </c>
    </row>
    <row r="43" spans="1:26" s="69" customFormat="1" ht="15" customHeight="1" outlineLevel="1" collapsed="1" x14ac:dyDescent="0.3">
      <c r="A43" s="25"/>
      <c r="B43" s="14" t="str">
        <f>CONCATENATE("     ","*Benefits                                         ")</f>
        <v xml:space="preserve">     *Benefits                                         </v>
      </c>
      <c r="C43" s="14"/>
      <c r="D43" s="2">
        <f>SUM(OSRRefD22_0x_0)</f>
        <v>12295.95</v>
      </c>
      <c r="E43" s="2"/>
      <c r="F43" s="6">
        <f t="shared" si="12"/>
        <v>2.4143082036390071E-2</v>
      </c>
      <c r="G43" s="2"/>
      <c r="H43" s="2">
        <f>SUM(OSRRefH22_0x_0)</f>
        <v>20295.277049584627</v>
      </c>
      <c r="I43" s="2"/>
      <c r="J43" s="6">
        <f t="shared" si="13"/>
        <v>7.8801614642590834E-2</v>
      </c>
      <c r="K43" s="2"/>
      <c r="L43" s="2">
        <f t="shared" si="14"/>
        <v>-7999.3270495846264</v>
      </c>
      <c r="M43" s="2"/>
      <c r="N43" s="6">
        <f t="shared" si="15"/>
        <v>-0.39414722105251304</v>
      </c>
      <c r="O43" s="14"/>
      <c r="P43" s="2">
        <f>SUM(OSRRefP22_0x_0)</f>
        <v>132220.67000000001</v>
      </c>
      <c r="Q43" s="2"/>
      <c r="R43" s="6">
        <f t="shared" si="16"/>
        <v>4.0237141697212722E-2</v>
      </c>
      <c r="S43" s="2"/>
      <c r="T43" s="2">
        <f>SUM(OSRRefT22_0x_0)</f>
        <v>186875.93414365</v>
      </c>
      <c r="U43" s="2"/>
      <c r="V43" s="6">
        <f t="shared" si="17"/>
        <v>7.647300455813659E-2</v>
      </c>
      <c r="W43" s="2"/>
      <c r="X43" s="2">
        <f t="shared" si="18"/>
        <v>-54655.264143649983</v>
      </c>
      <c r="Y43" s="2"/>
      <c r="Z43" s="6">
        <f t="shared" si="19"/>
        <v>-0.29246817892365384</v>
      </c>
    </row>
    <row r="44" spans="1:26" s="70" customFormat="1" ht="15" hidden="1" customHeight="1" outlineLevel="2" x14ac:dyDescent="0.3">
      <c r="A44" s="26"/>
      <c r="B44" s="12" t="str">
        <f>CONCATENATE("          ","6111"," - ","F.I.C.A.")</f>
        <v xml:space="preserve">          6111 - F.I.C.A.</v>
      </c>
      <c r="C44" s="12"/>
      <c r="D44" s="7">
        <v>2067.15</v>
      </c>
      <c r="E44" s="3"/>
      <c r="F44" s="8">
        <f t="shared" si="12"/>
        <v>4.0588463706768274E-3</v>
      </c>
      <c r="G44" s="3"/>
      <c r="H44" s="7">
        <v>5028.8529399692297</v>
      </c>
      <c r="I44" s="3"/>
      <c r="J44" s="8">
        <f t="shared" si="13"/>
        <v>1.9525810389359809E-2</v>
      </c>
      <c r="K44" s="3"/>
      <c r="L44" s="7">
        <f t="shared" si="14"/>
        <v>-2961.7029399692296</v>
      </c>
      <c r="M44" s="3"/>
      <c r="N44" s="8">
        <f t="shared" si="15"/>
        <v>-0.58894204609358725</v>
      </c>
      <c r="O44" s="12"/>
      <c r="P44" s="7">
        <v>23860.51</v>
      </c>
      <c r="Q44" s="3"/>
      <c r="R44" s="8">
        <f t="shared" si="16"/>
        <v>7.2611848195729229E-3</v>
      </c>
      <c r="S44" s="3"/>
      <c r="T44" s="7">
        <v>43482.859787399997</v>
      </c>
      <c r="U44" s="3"/>
      <c r="V44" s="8">
        <f t="shared" si="17"/>
        <v>1.7793970903532984E-2</v>
      </c>
      <c r="W44" s="3"/>
      <c r="X44" s="7">
        <f t="shared" si="18"/>
        <v>-19622.349787399999</v>
      </c>
      <c r="Y44" s="3"/>
      <c r="Z44" s="8">
        <f t="shared" si="19"/>
        <v>-0.4512663123662799</v>
      </c>
    </row>
    <row r="45" spans="1:26" s="70" customFormat="1" ht="15" hidden="1" customHeight="1" outlineLevel="2" x14ac:dyDescent="0.3">
      <c r="A45" s="26"/>
      <c r="B45" s="12" t="str">
        <f>CONCATENATE("          ","6112"," - ","COMPENSATION INSURANCE")</f>
        <v xml:space="preserve">          6112 - COMPENSATION INSURANCE</v>
      </c>
      <c r="C45" s="12"/>
      <c r="D45" s="7">
        <v>1098.45</v>
      </c>
      <c r="E45" s="3"/>
      <c r="F45" s="8">
        <f t="shared" si="12"/>
        <v>2.1568051645356945E-3</v>
      </c>
      <c r="G45" s="3"/>
      <c r="H45" s="7">
        <v>1062.1958999999999</v>
      </c>
      <c r="I45" s="3"/>
      <c r="J45" s="8">
        <f t="shared" si="13"/>
        <v>4.1242478130375185E-3</v>
      </c>
      <c r="K45" s="3"/>
      <c r="L45" s="7">
        <f t="shared" si="14"/>
        <v>36.254100000000108</v>
      </c>
      <c r="M45" s="3"/>
      <c r="N45" s="8">
        <f t="shared" si="15"/>
        <v>3.4131274654703628E-2</v>
      </c>
      <c r="O45" s="12"/>
      <c r="P45" s="7">
        <v>8602.5300000000007</v>
      </c>
      <c r="Q45" s="3"/>
      <c r="R45" s="8">
        <f t="shared" si="16"/>
        <v>2.6179054951432582E-3</v>
      </c>
      <c r="S45" s="3"/>
      <c r="T45" s="7">
        <v>10114.584675</v>
      </c>
      <c r="U45" s="3"/>
      <c r="V45" s="8">
        <f t="shared" si="17"/>
        <v>4.1390705737441606E-3</v>
      </c>
      <c r="W45" s="3"/>
      <c r="X45" s="7">
        <f t="shared" si="18"/>
        <v>-1512.0546749999994</v>
      </c>
      <c r="Y45" s="3"/>
      <c r="Z45" s="8">
        <f t="shared" si="19"/>
        <v>-0.1494925124051126</v>
      </c>
    </row>
    <row r="46" spans="1:26" s="70" customFormat="1" ht="15" hidden="1" customHeight="1" outlineLevel="2" x14ac:dyDescent="0.3">
      <c r="A46" s="26"/>
      <c r="B46" s="12" t="str">
        <f>CONCATENATE("          ","6113"," - ","GROUP INSURANCE")</f>
        <v xml:space="preserve">          6113 - GROUP INSURANCE</v>
      </c>
      <c r="C46" s="12"/>
      <c r="D46" s="7">
        <v>3834.79</v>
      </c>
      <c r="E46" s="3"/>
      <c r="F46" s="8">
        <f t="shared" si="12"/>
        <v>7.5296052409393561E-3</v>
      </c>
      <c r="G46" s="3"/>
      <c r="H46" s="7">
        <v>7772.9230769230799</v>
      </c>
      <c r="I46" s="3"/>
      <c r="J46" s="8">
        <f t="shared" si="13"/>
        <v>3.0180365976661062E-2</v>
      </c>
      <c r="K46" s="3"/>
      <c r="L46" s="7">
        <f t="shared" si="14"/>
        <v>-3938.1330769230799</v>
      </c>
      <c r="M46" s="3"/>
      <c r="N46" s="8">
        <f t="shared" si="15"/>
        <v>-0.5066476328081706</v>
      </c>
      <c r="O46" s="12"/>
      <c r="P46" s="7">
        <v>42156.82</v>
      </c>
      <c r="Q46" s="3"/>
      <c r="R46" s="8">
        <f t="shared" si="16"/>
        <v>1.2829082925112171E-2</v>
      </c>
      <c r="S46" s="3"/>
      <c r="T46" s="7">
        <v>71784</v>
      </c>
      <c r="U46" s="3"/>
      <c r="V46" s="8">
        <f t="shared" si="17"/>
        <v>2.9375308192340667E-2</v>
      </c>
      <c r="W46" s="3"/>
      <c r="X46" s="7">
        <f t="shared" si="18"/>
        <v>-29627.18</v>
      </c>
      <c r="Y46" s="3"/>
      <c r="Z46" s="8">
        <f t="shared" si="19"/>
        <v>-0.41272679148556785</v>
      </c>
    </row>
    <row r="47" spans="1:26" s="70" customFormat="1" ht="15" hidden="1" customHeight="1" outlineLevel="2" x14ac:dyDescent="0.3">
      <c r="A47" s="26"/>
      <c r="B47" s="12" t="str">
        <f>CONCATENATE("          ","6114"," - ","STATE UNEMPLOYMENT INSURANCE")</f>
        <v xml:space="preserve">          6114 - STATE UNEMPLOYMENT INSURANCE</v>
      </c>
      <c r="C47" s="12"/>
      <c r="D47" s="7">
        <v>193.18</v>
      </c>
      <c r="E47" s="3"/>
      <c r="F47" s="8">
        <f t="shared" si="12"/>
        <v>3.7930868194729434E-4</v>
      </c>
      <c r="G47" s="3"/>
      <c r="H47" s="7">
        <v>142.98790961538501</v>
      </c>
      <c r="I47" s="3"/>
      <c r="J47" s="8">
        <f t="shared" si="13"/>
        <v>5.5518720560120605E-4</v>
      </c>
      <c r="K47" s="3"/>
      <c r="L47" s="7">
        <f t="shared" si="14"/>
        <v>50.192090384615</v>
      </c>
      <c r="M47" s="3"/>
      <c r="N47" s="8">
        <f t="shared" si="15"/>
        <v>0.35102331742329707</v>
      </c>
      <c r="O47" s="12"/>
      <c r="P47" s="7">
        <v>1512.41</v>
      </c>
      <c r="Q47" s="3"/>
      <c r="R47" s="8">
        <f t="shared" si="16"/>
        <v>4.6025372185968725E-4</v>
      </c>
      <c r="S47" s="3"/>
      <c r="T47" s="7">
        <v>1361.5787062500001</v>
      </c>
      <c r="U47" s="3"/>
      <c r="V47" s="8">
        <f t="shared" si="17"/>
        <v>5.5718257723479092E-4</v>
      </c>
      <c r="W47" s="3"/>
      <c r="X47" s="7">
        <f t="shared" si="18"/>
        <v>150.83129374999999</v>
      </c>
      <c r="Y47" s="3"/>
      <c r="Z47" s="8">
        <f t="shared" si="19"/>
        <v>0.11077677188813628</v>
      </c>
    </row>
    <row r="48" spans="1:26" s="70" customFormat="1" ht="15" hidden="1" customHeight="1" outlineLevel="2" x14ac:dyDescent="0.3">
      <c r="A48" s="26"/>
      <c r="B48" s="12" t="str">
        <f>CONCATENATE("          ","6115"," - ","P.E.R.S.")</f>
        <v xml:space="preserve">          6115 - P.E.R.S.</v>
      </c>
      <c r="C48" s="12"/>
      <c r="D48" s="7">
        <v>1145.3499999999999</v>
      </c>
      <c r="E48" s="3"/>
      <c r="F48" s="8">
        <f t="shared" si="12"/>
        <v>2.2488932543137672E-3</v>
      </c>
      <c r="G48" s="3"/>
      <c r="H48" s="7">
        <v>1413.3438461538501</v>
      </c>
      <c r="I48" s="3"/>
      <c r="J48" s="8">
        <f t="shared" si="13"/>
        <v>5.4876697100507089E-3</v>
      </c>
      <c r="K48" s="3"/>
      <c r="L48" s="7">
        <f t="shared" si="14"/>
        <v>-267.9938461538502</v>
      </c>
      <c r="M48" s="3"/>
      <c r="N48" s="8">
        <f t="shared" si="15"/>
        <v>-0.18961687694268109</v>
      </c>
      <c r="O48" s="12"/>
      <c r="P48" s="7">
        <v>14584.98</v>
      </c>
      <c r="Q48" s="3"/>
      <c r="R48" s="8">
        <f t="shared" si="16"/>
        <v>4.4384732501432152E-3</v>
      </c>
      <c r="S48" s="3"/>
      <c r="T48" s="7">
        <v>13780.102500000001</v>
      </c>
      <c r="U48" s="3"/>
      <c r="V48" s="8">
        <f t="shared" si="17"/>
        <v>5.6390666145595689E-3</v>
      </c>
      <c r="W48" s="3"/>
      <c r="X48" s="7">
        <f t="shared" si="18"/>
        <v>804.87749999999869</v>
      </c>
      <c r="Y48" s="3"/>
      <c r="Z48" s="8">
        <f t="shared" si="19"/>
        <v>5.840867293984197E-2</v>
      </c>
    </row>
    <row r="49" spans="1:26" s="70" customFormat="1" ht="15" hidden="1" customHeight="1" outlineLevel="2" x14ac:dyDescent="0.3">
      <c r="A49" s="26"/>
      <c r="B49" s="12" t="str">
        <f>CONCATENATE("          ","6116"," - ","EDUCATIONAL BENEFITS")</f>
        <v xml:space="preserve">          6116 - EDUCATIONAL BENEFITS</v>
      </c>
      <c r="C49" s="12"/>
      <c r="D49" s="7"/>
      <c r="E49" s="3"/>
      <c r="F49" s="8">
        <f t="shared" si="12"/>
        <v>0</v>
      </c>
      <c r="G49" s="3"/>
      <c r="H49" s="7">
        <v>0</v>
      </c>
      <c r="I49" s="3"/>
      <c r="J49" s="8">
        <f t="shared" si="13"/>
        <v>0</v>
      </c>
      <c r="K49" s="3"/>
      <c r="L49" s="7">
        <f t="shared" si="14"/>
        <v>0</v>
      </c>
      <c r="M49" s="3"/>
      <c r="N49" s="8">
        <f t="shared" si="15"/>
        <v>0</v>
      </c>
      <c r="O49" s="12"/>
      <c r="P49" s="7"/>
      <c r="Q49" s="3"/>
      <c r="R49" s="8">
        <f t="shared" si="16"/>
        <v>0</v>
      </c>
      <c r="S49" s="3"/>
      <c r="T49" s="7">
        <v>0</v>
      </c>
      <c r="U49" s="3"/>
      <c r="V49" s="8">
        <f t="shared" si="17"/>
        <v>0</v>
      </c>
      <c r="W49" s="3"/>
      <c r="X49" s="7">
        <f t="shared" si="18"/>
        <v>0</v>
      </c>
      <c r="Y49" s="3"/>
      <c r="Z49" s="8">
        <f t="shared" si="19"/>
        <v>0</v>
      </c>
    </row>
    <row r="50" spans="1:26" s="70" customFormat="1" ht="15" hidden="1" customHeight="1" outlineLevel="2" x14ac:dyDescent="0.3">
      <c r="A50" s="26"/>
      <c r="B50" s="12" t="str">
        <f>CONCATENATE("          ","6118"," - ","VACATION")</f>
        <v xml:space="preserve">          6118 - VACATION</v>
      </c>
      <c r="C50" s="12"/>
      <c r="D50" s="7">
        <v>1656.97</v>
      </c>
      <c r="E50" s="3"/>
      <c r="F50" s="8">
        <f t="shared" si="12"/>
        <v>3.2534584673683006E-3</v>
      </c>
      <c r="G50" s="3"/>
      <c r="H50" s="7">
        <v>1233.7115384615399</v>
      </c>
      <c r="I50" s="3"/>
      <c r="J50" s="8">
        <f t="shared" si="13"/>
        <v>4.7902012372850987E-3</v>
      </c>
      <c r="K50" s="3"/>
      <c r="L50" s="7">
        <f t="shared" si="14"/>
        <v>423.2584615384601</v>
      </c>
      <c r="M50" s="3"/>
      <c r="N50" s="8">
        <f t="shared" si="15"/>
        <v>0.34307733075615948</v>
      </c>
      <c r="O50" s="12"/>
      <c r="P50" s="7">
        <v>18247.03</v>
      </c>
      <c r="Q50" s="3"/>
      <c r="R50" s="8">
        <f t="shared" si="16"/>
        <v>5.5529013100848101E-3</v>
      </c>
      <c r="S50" s="3"/>
      <c r="T50" s="7">
        <v>12028.6875</v>
      </c>
      <c r="U50" s="3"/>
      <c r="V50" s="8">
        <f t="shared" si="17"/>
        <v>4.9223559910544935E-3</v>
      </c>
      <c r="W50" s="3"/>
      <c r="X50" s="7">
        <f t="shared" si="18"/>
        <v>6218.3424999999988</v>
      </c>
      <c r="Y50" s="3"/>
      <c r="Z50" s="8">
        <f t="shared" si="19"/>
        <v>0.51695935238154611</v>
      </c>
    </row>
    <row r="51" spans="1:26" s="70" customFormat="1" ht="15" hidden="1" customHeight="1" outlineLevel="2" x14ac:dyDescent="0.3">
      <c r="A51" s="26"/>
      <c r="B51" s="12" t="str">
        <f>CONCATENATE("          ","6119"," - ","SICK LEAVE")</f>
        <v xml:space="preserve">          6119 - SICK LEAVE</v>
      </c>
      <c r="C51" s="12"/>
      <c r="D51" s="7">
        <v>1237.52</v>
      </c>
      <c r="E51" s="3"/>
      <c r="F51" s="8">
        <f t="shared" si="12"/>
        <v>2.4298689309629139E-3</v>
      </c>
      <c r="G51" s="3"/>
      <c r="H51" s="7">
        <v>2766.2618384615398</v>
      </c>
      <c r="I51" s="3"/>
      <c r="J51" s="8">
        <f t="shared" si="13"/>
        <v>1.0740720555939024E-2</v>
      </c>
      <c r="K51" s="3"/>
      <c r="L51" s="7">
        <f t="shared" si="14"/>
        <v>-1528.7418384615398</v>
      </c>
      <c r="M51" s="3"/>
      <c r="N51" s="8">
        <f t="shared" si="15"/>
        <v>-0.55263815493031987</v>
      </c>
      <c r="O51" s="12"/>
      <c r="P51" s="7">
        <v>15837.88</v>
      </c>
      <c r="Q51" s="3"/>
      <c r="R51" s="8">
        <f t="shared" si="16"/>
        <v>4.8197533845763399E-3</v>
      </c>
      <c r="S51" s="3"/>
      <c r="T51" s="7">
        <v>26449.120975000002</v>
      </c>
      <c r="U51" s="3"/>
      <c r="V51" s="8">
        <f t="shared" si="17"/>
        <v>1.082345759580306E-2</v>
      </c>
      <c r="W51" s="3"/>
      <c r="X51" s="7">
        <f t="shared" si="18"/>
        <v>-10611.240975000002</v>
      </c>
      <c r="Y51" s="3"/>
      <c r="Z51" s="8">
        <f t="shared" si="19"/>
        <v>-0.40119446635031325</v>
      </c>
    </row>
    <row r="52" spans="1:26" s="70" customFormat="1" ht="15" hidden="1" customHeight="1" outlineLevel="2" x14ac:dyDescent="0.3">
      <c r="A52" s="26"/>
      <c r="B52" s="12" t="str">
        <f>CONCATENATE("          ","6156"," - ","EMPLOYEE MEALS")</f>
        <v xml:space="preserve">          6156 - EMPLOYEE MEALS</v>
      </c>
      <c r="C52" s="12"/>
      <c r="D52" s="7">
        <v>1062.54</v>
      </c>
      <c r="E52" s="3"/>
      <c r="F52" s="8">
        <f t="shared" si="12"/>
        <v>2.0862959256459164E-3</v>
      </c>
      <c r="G52" s="3"/>
      <c r="H52" s="7">
        <v>875</v>
      </c>
      <c r="I52" s="3"/>
      <c r="J52" s="8">
        <f t="shared" si="13"/>
        <v>3.3974117546563955E-3</v>
      </c>
      <c r="K52" s="3"/>
      <c r="L52" s="7">
        <f t="shared" si="14"/>
        <v>187.53999999999996</v>
      </c>
      <c r="M52" s="3"/>
      <c r="N52" s="8">
        <f t="shared" si="15"/>
        <v>0.21433142857142853</v>
      </c>
      <c r="O52" s="12"/>
      <c r="P52" s="7">
        <v>7418.51</v>
      </c>
      <c r="Q52" s="3"/>
      <c r="R52" s="8">
        <f t="shared" si="16"/>
        <v>2.2575867907203128E-3</v>
      </c>
      <c r="S52" s="3"/>
      <c r="T52" s="7">
        <v>7875</v>
      </c>
      <c r="U52" s="3"/>
      <c r="V52" s="8">
        <f t="shared" si="17"/>
        <v>3.2225921098668611E-3</v>
      </c>
      <c r="W52" s="3"/>
      <c r="X52" s="7">
        <f t="shared" si="18"/>
        <v>-456.48999999999978</v>
      </c>
      <c r="Y52" s="3"/>
      <c r="Z52" s="8">
        <f t="shared" si="19"/>
        <v>-5.7966984126984096E-2</v>
      </c>
    </row>
    <row r="53" spans="1:26" s="69" customFormat="1" ht="15" customHeight="1" outlineLevel="1" collapsed="1" x14ac:dyDescent="0.3">
      <c r="A53" s="25"/>
      <c r="B53" s="14" t="str">
        <f>CONCATENATE("     ","*Payroll                                          ")</f>
        <v xml:space="preserve">     *Payroll                                          </v>
      </c>
      <c r="C53" s="14"/>
      <c r="D53" s="2">
        <f>SUM(OSRRefD22_1x_0)</f>
        <v>74516.400000000009</v>
      </c>
      <c r="E53" s="2"/>
      <c r="F53" s="6">
        <f t="shared" si="12"/>
        <v>0.14631285571724489</v>
      </c>
      <c r="G53" s="2"/>
      <c r="H53" s="2">
        <f>SUM(OSRRefH22_1x_0)</f>
        <v>65046.825692307699</v>
      </c>
      <c r="I53" s="2"/>
      <c r="J53" s="6">
        <f t="shared" si="13"/>
        <v>0.25256097166872205</v>
      </c>
      <c r="K53" s="2"/>
      <c r="L53" s="2">
        <f t="shared" si="14"/>
        <v>9469.57430769231</v>
      </c>
      <c r="M53" s="2"/>
      <c r="N53" s="6">
        <f t="shared" si="15"/>
        <v>0.14558088280105208</v>
      </c>
      <c r="O53" s="14"/>
      <c r="P53" s="2">
        <f>SUM(OSRRefP22_1x_0)</f>
        <v>588827.55000000005</v>
      </c>
      <c r="Q53" s="2"/>
      <c r="R53" s="6">
        <f t="shared" si="16"/>
        <v>0.17919087510729306</v>
      </c>
      <c r="S53" s="2"/>
      <c r="T53" s="2">
        <f>SUM(OSRRefT22_1x_0)</f>
        <v>618847.13350000011</v>
      </c>
      <c r="U53" s="2"/>
      <c r="V53" s="6">
        <f t="shared" si="17"/>
        <v>0.25324341455629518</v>
      </c>
      <c r="W53" s="2"/>
      <c r="X53" s="2">
        <f t="shared" si="18"/>
        <v>-30019.583500000066</v>
      </c>
      <c r="Y53" s="2"/>
      <c r="Z53" s="6">
        <f t="shared" si="19"/>
        <v>-4.8508883494731515E-2</v>
      </c>
    </row>
    <row r="54" spans="1:26" s="70" customFormat="1" ht="15" hidden="1" customHeight="1" outlineLevel="2" x14ac:dyDescent="0.3">
      <c r="A54" s="26"/>
      <c r="B54" s="12" t="str">
        <f>CONCATENATE("          ","6001"," - ","ADMINISTRATIVE SALARIES")</f>
        <v xml:space="preserve">          6001 - ADMINISTRATIVE SALARIES</v>
      </c>
      <c r="C54" s="12"/>
      <c r="D54" s="7"/>
      <c r="E54" s="3"/>
      <c r="F54" s="8">
        <f t="shared" si="12"/>
        <v>0</v>
      </c>
      <c r="G54" s="3"/>
      <c r="H54" s="7">
        <v>0</v>
      </c>
      <c r="I54" s="3"/>
      <c r="J54" s="8">
        <f t="shared" si="13"/>
        <v>0</v>
      </c>
      <c r="K54" s="3"/>
      <c r="L54" s="7">
        <f t="shared" si="14"/>
        <v>0</v>
      </c>
      <c r="M54" s="3"/>
      <c r="N54" s="8">
        <f t="shared" si="15"/>
        <v>0</v>
      </c>
      <c r="O54" s="12"/>
      <c r="P54" s="7"/>
      <c r="Q54" s="3"/>
      <c r="R54" s="8">
        <f t="shared" si="16"/>
        <v>0</v>
      </c>
      <c r="S54" s="3"/>
      <c r="T54" s="7">
        <v>0</v>
      </c>
      <c r="U54" s="3"/>
      <c r="V54" s="8">
        <f t="shared" si="17"/>
        <v>0</v>
      </c>
      <c r="W54" s="3"/>
      <c r="X54" s="7">
        <f t="shared" si="18"/>
        <v>0</v>
      </c>
      <c r="Y54" s="3"/>
      <c r="Z54" s="8">
        <f t="shared" si="19"/>
        <v>0</v>
      </c>
    </row>
    <row r="55" spans="1:26" s="70" customFormat="1" ht="15" hidden="1" customHeight="1" outlineLevel="2" x14ac:dyDescent="0.3">
      <c r="A55" s="26"/>
      <c r="B55" s="12" t="str">
        <f>CONCATENATE("          ","6002"," - ","STAFF SALARIES")</f>
        <v xml:space="preserve">          6002 - STAFF SALARIES</v>
      </c>
      <c r="C55" s="12"/>
      <c r="D55" s="7">
        <v>11334.67</v>
      </c>
      <c r="E55" s="3"/>
      <c r="F55" s="8">
        <f t="shared" si="12"/>
        <v>2.2255609990721289E-2</v>
      </c>
      <c r="G55" s="3"/>
      <c r="H55" s="7">
        <v>14790.807692307701</v>
      </c>
      <c r="I55" s="3"/>
      <c r="J55" s="8">
        <f t="shared" si="13"/>
        <v>5.7429101616809621E-2</v>
      </c>
      <c r="K55" s="3"/>
      <c r="L55" s="7">
        <f t="shared" si="14"/>
        <v>-3456.1376923077005</v>
      </c>
      <c r="M55" s="3"/>
      <c r="N55" s="8">
        <f t="shared" si="15"/>
        <v>-0.23366794864793924</v>
      </c>
      <c r="O55" s="12"/>
      <c r="P55" s="7">
        <v>143653.14000000001</v>
      </c>
      <c r="Q55" s="3"/>
      <c r="R55" s="8">
        <f t="shared" si="16"/>
        <v>4.3716249126778267E-2</v>
      </c>
      <c r="S55" s="3"/>
      <c r="T55" s="7">
        <v>144210.375</v>
      </c>
      <c r="U55" s="3"/>
      <c r="V55" s="8">
        <f t="shared" si="17"/>
        <v>5.9013487826786185E-2</v>
      </c>
      <c r="W55" s="3"/>
      <c r="X55" s="7">
        <f t="shared" si="18"/>
        <v>-557.23499999998603</v>
      </c>
      <c r="Y55" s="3"/>
      <c r="Z55" s="8">
        <f t="shared" si="19"/>
        <v>-3.8640423755918118E-3</v>
      </c>
    </row>
    <row r="56" spans="1:26" s="70" customFormat="1" ht="15" hidden="1" customHeight="1" outlineLevel="2" x14ac:dyDescent="0.3">
      <c r="A56" s="26"/>
      <c r="B56" s="12" t="str">
        <f>CONCATENATE("          ","6003"," - ","STAFF HOURLY-9 MONTH")</f>
        <v xml:space="preserve">          6003 - STAFF HOURLY-9 MONTH</v>
      </c>
      <c r="C56" s="12"/>
      <c r="D56" s="7"/>
      <c r="E56" s="3"/>
      <c r="F56" s="8">
        <f t="shared" si="12"/>
        <v>0</v>
      </c>
      <c r="G56" s="3"/>
      <c r="H56" s="7">
        <v>0</v>
      </c>
      <c r="I56" s="3"/>
      <c r="J56" s="8">
        <f t="shared" si="13"/>
        <v>0</v>
      </c>
      <c r="K56" s="3"/>
      <c r="L56" s="7">
        <f t="shared" si="14"/>
        <v>0</v>
      </c>
      <c r="M56" s="3"/>
      <c r="N56" s="8">
        <f t="shared" si="15"/>
        <v>0</v>
      </c>
      <c r="O56" s="12"/>
      <c r="P56" s="7"/>
      <c r="Q56" s="3"/>
      <c r="R56" s="8">
        <f t="shared" si="16"/>
        <v>0</v>
      </c>
      <c r="S56" s="3"/>
      <c r="T56" s="7">
        <v>0</v>
      </c>
      <c r="U56" s="3"/>
      <c r="V56" s="8">
        <f t="shared" si="17"/>
        <v>0</v>
      </c>
      <c r="W56" s="3"/>
      <c r="X56" s="7">
        <f t="shared" si="18"/>
        <v>0</v>
      </c>
      <c r="Y56" s="3"/>
      <c r="Z56" s="8">
        <f t="shared" si="19"/>
        <v>0</v>
      </c>
    </row>
    <row r="57" spans="1:26" s="70" customFormat="1" ht="15" hidden="1" customHeight="1" outlineLevel="2" x14ac:dyDescent="0.3">
      <c r="A57" s="26"/>
      <c r="B57" s="12" t="str">
        <f>CONCATENATE("          ","6004"," - ","STAFF HOURLY")</f>
        <v xml:space="preserve">          6004 - STAFF HOURLY</v>
      </c>
      <c r="C57" s="12"/>
      <c r="D57" s="7">
        <v>9796.66</v>
      </c>
      <c r="E57" s="3"/>
      <c r="F57" s="8">
        <f t="shared" si="12"/>
        <v>1.9235729330602445E-2</v>
      </c>
      <c r="G57" s="3"/>
      <c r="H57" s="7">
        <v>18345.407999999999</v>
      </c>
      <c r="I57" s="3"/>
      <c r="J57" s="8">
        <f t="shared" si="13"/>
        <v>7.1230748323619975E-2</v>
      </c>
      <c r="K57" s="3"/>
      <c r="L57" s="7">
        <f t="shared" si="14"/>
        <v>-8548.7479999999996</v>
      </c>
      <c r="M57" s="3"/>
      <c r="N57" s="8">
        <f t="shared" si="15"/>
        <v>-0.46598843699742193</v>
      </c>
      <c r="O57" s="12"/>
      <c r="P57" s="7">
        <v>83565.2</v>
      </c>
      <c r="Q57" s="3"/>
      <c r="R57" s="8">
        <f t="shared" si="16"/>
        <v>2.5430402019260077E-2</v>
      </c>
      <c r="S57" s="3"/>
      <c r="T57" s="7">
        <v>176165.77600000001</v>
      </c>
      <c r="U57" s="3"/>
      <c r="V57" s="8">
        <f t="shared" si="17"/>
        <v>7.2090214573482261E-2</v>
      </c>
      <c r="W57" s="3"/>
      <c r="X57" s="7">
        <f t="shared" si="18"/>
        <v>-92600.576000000015</v>
      </c>
      <c r="Y57" s="3"/>
      <c r="Z57" s="8">
        <f t="shared" si="19"/>
        <v>-0.5256445270050637</v>
      </c>
    </row>
    <row r="58" spans="1:26" s="70" customFormat="1" ht="15" hidden="1" customHeight="1" outlineLevel="2" x14ac:dyDescent="0.3">
      <c r="A58" s="26"/>
      <c r="B58" s="12" t="str">
        <f>CONCATENATE("          ","6005"," - ","TEMPORARY WAGES-HOURLY")</f>
        <v xml:space="preserve">          6005 - TEMPORARY WAGES-HOURLY</v>
      </c>
      <c r="C58" s="12"/>
      <c r="D58" s="7">
        <v>1952.65</v>
      </c>
      <c r="E58" s="3"/>
      <c r="F58" s="8">
        <f t="shared" si="12"/>
        <v>3.8340257677005091E-3</v>
      </c>
      <c r="G58" s="3"/>
      <c r="H58" s="7">
        <v>0</v>
      </c>
      <c r="I58" s="3"/>
      <c r="J58" s="8">
        <f t="shared" si="13"/>
        <v>0</v>
      </c>
      <c r="K58" s="3"/>
      <c r="L58" s="7">
        <f t="shared" si="14"/>
        <v>1952.65</v>
      </c>
      <c r="M58" s="3"/>
      <c r="N58" s="8">
        <f t="shared" si="15"/>
        <v>0</v>
      </c>
      <c r="O58" s="12"/>
      <c r="P58" s="7">
        <v>28950.58</v>
      </c>
      <c r="Q58" s="3"/>
      <c r="R58" s="8">
        <f t="shared" si="16"/>
        <v>8.8101851977946625E-3</v>
      </c>
      <c r="S58" s="3"/>
      <c r="T58" s="7">
        <v>0</v>
      </c>
      <c r="U58" s="3"/>
      <c r="V58" s="8">
        <f t="shared" si="17"/>
        <v>0</v>
      </c>
      <c r="W58" s="3"/>
      <c r="X58" s="7">
        <f t="shared" si="18"/>
        <v>28950.58</v>
      </c>
      <c r="Y58" s="3"/>
      <c r="Z58" s="8">
        <f t="shared" si="19"/>
        <v>0</v>
      </c>
    </row>
    <row r="59" spans="1:26" s="70" customFormat="1" ht="15" hidden="1" customHeight="1" outlineLevel="2" x14ac:dyDescent="0.3">
      <c r="A59" s="26"/>
      <c r="B59" s="12" t="str">
        <f>CONCATENATE("          ","6006"," - ","TEMPORARY PART TIME")</f>
        <v xml:space="preserve">          6006 - TEMPORARY PART TIME</v>
      </c>
      <c r="C59" s="12"/>
      <c r="D59" s="7"/>
      <c r="E59" s="3"/>
      <c r="F59" s="8">
        <f t="shared" si="12"/>
        <v>0</v>
      </c>
      <c r="G59" s="3"/>
      <c r="H59" s="7">
        <v>0</v>
      </c>
      <c r="I59" s="3"/>
      <c r="J59" s="8">
        <f t="shared" si="13"/>
        <v>0</v>
      </c>
      <c r="K59" s="3"/>
      <c r="L59" s="7">
        <f t="shared" si="14"/>
        <v>0</v>
      </c>
      <c r="M59" s="3"/>
      <c r="N59" s="8">
        <f t="shared" si="15"/>
        <v>0</v>
      </c>
      <c r="O59" s="12"/>
      <c r="P59" s="7"/>
      <c r="Q59" s="3"/>
      <c r="R59" s="8">
        <f t="shared" si="16"/>
        <v>0</v>
      </c>
      <c r="S59" s="3"/>
      <c r="T59" s="7">
        <v>0</v>
      </c>
      <c r="U59" s="3"/>
      <c r="V59" s="8">
        <f t="shared" si="17"/>
        <v>0</v>
      </c>
      <c r="W59" s="3"/>
      <c r="X59" s="7">
        <f t="shared" si="18"/>
        <v>0</v>
      </c>
      <c r="Y59" s="3"/>
      <c r="Z59" s="8">
        <f t="shared" si="19"/>
        <v>0</v>
      </c>
    </row>
    <row r="60" spans="1:26" s="70" customFormat="1" ht="15" hidden="1" customHeight="1" outlineLevel="2" x14ac:dyDescent="0.3">
      <c r="A60" s="26"/>
      <c r="B60" s="12" t="str">
        <f>CONCATENATE("          ","6007"," - ","STUDENT HOURLY")</f>
        <v xml:space="preserve">          6007 - STUDENT HOURLY</v>
      </c>
      <c r="C60" s="12"/>
      <c r="D60" s="7">
        <v>42859.68</v>
      </c>
      <c r="E60" s="3"/>
      <c r="F60" s="8">
        <f t="shared" si="12"/>
        <v>8.4154926646044168E-2</v>
      </c>
      <c r="G60" s="3"/>
      <c r="H60" s="7">
        <v>29532</v>
      </c>
      <c r="I60" s="3"/>
      <c r="J60" s="8">
        <f t="shared" si="13"/>
        <v>0.11466555878687162</v>
      </c>
      <c r="K60" s="3"/>
      <c r="L60" s="7">
        <f t="shared" si="14"/>
        <v>13327.68</v>
      </c>
      <c r="M60" s="3"/>
      <c r="N60" s="8">
        <f t="shared" si="15"/>
        <v>0.45129622104835432</v>
      </c>
      <c r="O60" s="12"/>
      <c r="P60" s="7">
        <v>268295</v>
      </c>
      <c r="Q60" s="3"/>
      <c r="R60" s="8">
        <f t="shared" si="16"/>
        <v>8.1647021843511206E-2</v>
      </c>
      <c r="S60" s="3"/>
      <c r="T60" s="7">
        <v>218280.75</v>
      </c>
      <c r="U60" s="3"/>
      <c r="V60" s="8">
        <f t="shared" si="17"/>
        <v>8.9324421928358197E-2</v>
      </c>
      <c r="W60" s="3"/>
      <c r="X60" s="7">
        <f t="shared" si="18"/>
        <v>50014.25</v>
      </c>
      <c r="Y60" s="3"/>
      <c r="Z60" s="8">
        <f t="shared" si="19"/>
        <v>0.22912808390112274</v>
      </c>
    </row>
    <row r="61" spans="1:26" s="70" customFormat="1" ht="15" hidden="1" customHeight="1" outlineLevel="2" x14ac:dyDescent="0.3">
      <c r="A61" s="26"/>
      <c r="B61" s="12" t="str">
        <f>CONCATENATE("          ","6008"," - ","STUDENT HOURLY-FICA EXEMPT")</f>
        <v xml:space="preserve">          6008 - STUDENT HOURLY-FICA EXEMPT</v>
      </c>
      <c r="C61" s="12"/>
      <c r="D61" s="7">
        <v>8572.74</v>
      </c>
      <c r="E61" s="3"/>
      <c r="F61" s="8">
        <f t="shared" si="12"/>
        <v>1.6832563982176457E-2</v>
      </c>
      <c r="G61" s="3"/>
      <c r="H61" s="7">
        <v>2378.61</v>
      </c>
      <c r="I61" s="3"/>
      <c r="J61" s="8">
        <f t="shared" si="13"/>
        <v>9.2355629414208572E-3</v>
      </c>
      <c r="K61" s="3"/>
      <c r="L61" s="7">
        <f t="shared" si="14"/>
        <v>6194.1299999999992</v>
      </c>
      <c r="M61" s="3"/>
      <c r="N61" s="8">
        <f t="shared" si="15"/>
        <v>2.604096510146682</v>
      </c>
      <c r="O61" s="12"/>
      <c r="P61" s="7">
        <v>64363.63</v>
      </c>
      <c r="Q61" s="3"/>
      <c r="R61" s="8">
        <f t="shared" si="16"/>
        <v>1.9587016919948835E-2</v>
      </c>
      <c r="S61" s="3"/>
      <c r="T61" s="7">
        <v>80190.232499999998</v>
      </c>
      <c r="U61" s="3"/>
      <c r="V61" s="8">
        <f t="shared" si="17"/>
        <v>3.2815290227668457E-2</v>
      </c>
      <c r="W61" s="3"/>
      <c r="X61" s="7">
        <f t="shared" si="18"/>
        <v>-15826.602500000001</v>
      </c>
      <c r="Y61" s="3"/>
      <c r="Z61" s="8">
        <f t="shared" si="19"/>
        <v>-0.19736322001560477</v>
      </c>
    </row>
    <row r="62" spans="1:26" s="70" customFormat="1" ht="15" hidden="1" customHeight="1" outlineLevel="2" x14ac:dyDescent="0.3">
      <c r="A62" s="26"/>
      <c r="B62" s="12" t="str">
        <f>CONCATENATE("          ","6009"," - ","TEMPORARY-SEASONAL")</f>
        <v xml:space="preserve">          6009 - TEMPORARY-SEASONAL</v>
      </c>
      <c r="C62" s="12"/>
      <c r="D62" s="7"/>
      <c r="E62" s="3"/>
      <c r="F62" s="8">
        <f t="shared" si="12"/>
        <v>0</v>
      </c>
      <c r="G62" s="3"/>
      <c r="H62" s="7">
        <v>0</v>
      </c>
      <c r="I62" s="3"/>
      <c r="J62" s="8">
        <f t="shared" si="13"/>
        <v>0</v>
      </c>
      <c r="K62" s="3"/>
      <c r="L62" s="7">
        <f t="shared" si="14"/>
        <v>0</v>
      </c>
      <c r="M62" s="3"/>
      <c r="N62" s="8">
        <f t="shared" si="15"/>
        <v>0</v>
      </c>
      <c r="O62" s="12"/>
      <c r="P62" s="7"/>
      <c r="Q62" s="3"/>
      <c r="R62" s="8">
        <f t="shared" si="16"/>
        <v>0</v>
      </c>
      <c r="S62" s="3"/>
      <c r="T62" s="7">
        <v>0</v>
      </c>
      <c r="U62" s="3"/>
      <c r="V62" s="8">
        <f t="shared" si="17"/>
        <v>0</v>
      </c>
      <c r="W62" s="3"/>
      <c r="X62" s="7">
        <f t="shared" si="18"/>
        <v>0</v>
      </c>
      <c r="Y62" s="3"/>
      <c r="Z62" s="8">
        <f t="shared" si="19"/>
        <v>0</v>
      </c>
    </row>
    <row r="63" spans="1:26" s="70" customFormat="1" ht="15" hidden="1" customHeight="1" outlineLevel="2" x14ac:dyDescent="0.3">
      <c r="A63" s="26"/>
      <c r="B63" s="12" t="str">
        <f>CONCATENATE("          ","6010"," - ","GRATUITY")</f>
        <v xml:space="preserve">          6010 - GRATUITY</v>
      </c>
      <c r="C63" s="12"/>
      <c r="D63" s="7"/>
      <c r="E63" s="3"/>
      <c r="F63" s="8">
        <f t="shared" si="12"/>
        <v>0</v>
      </c>
      <c r="G63" s="3"/>
      <c r="H63" s="7">
        <v>0</v>
      </c>
      <c r="I63" s="3"/>
      <c r="J63" s="8">
        <f t="shared" si="13"/>
        <v>0</v>
      </c>
      <c r="K63" s="3"/>
      <c r="L63" s="7">
        <f t="shared" si="14"/>
        <v>0</v>
      </c>
      <c r="M63" s="3"/>
      <c r="N63" s="8">
        <f t="shared" si="15"/>
        <v>0</v>
      </c>
      <c r="O63" s="12"/>
      <c r="P63" s="7"/>
      <c r="Q63" s="3"/>
      <c r="R63" s="8">
        <f t="shared" si="16"/>
        <v>0</v>
      </c>
      <c r="S63" s="3"/>
      <c r="T63" s="7">
        <v>0</v>
      </c>
      <c r="U63" s="3"/>
      <c r="V63" s="8">
        <f t="shared" si="17"/>
        <v>0</v>
      </c>
      <c r="W63" s="3"/>
      <c r="X63" s="7">
        <f t="shared" si="18"/>
        <v>0</v>
      </c>
      <c r="Y63" s="3"/>
      <c r="Z63" s="8">
        <f t="shared" si="19"/>
        <v>0</v>
      </c>
    </row>
    <row r="64" spans="1:26" s="69" customFormat="1" ht="15" customHeight="1" outlineLevel="1" collapsed="1" x14ac:dyDescent="0.3">
      <c r="A64" s="25"/>
      <c r="B64" s="14" t="str">
        <f>CONCATENATE("     ","Advertising/Promo                                 ")</f>
        <v xml:space="preserve">     Advertising/Promo                                 </v>
      </c>
      <c r="C64" s="14"/>
      <c r="D64" s="2">
        <f>SUM(OSRRefD22_2x_0)</f>
        <v>2355.75</v>
      </c>
      <c r="E64" s="2"/>
      <c r="F64" s="6">
        <f t="shared" si="12"/>
        <v>4.625512100100107E-3</v>
      </c>
      <c r="G64" s="2"/>
      <c r="H64" s="2">
        <f>SUM(OSRRefH22_2x_0)</f>
        <v>100</v>
      </c>
      <c r="I64" s="2"/>
      <c r="J64" s="6">
        <f t="shared" si="13"/>
        <v>3.8827562910358806E-4</v>
      </c>
      <c r="K64" s="2"/>
      <c r="L64" s="2">
        <f t="shared" si="14"/>
        <v>2255.75</v>
      </c>
      <c r="M64" s="2"/>
      <c r="N64" s="6">
        <f t="shared" si="15"/>
        <v>22.557500000000001</v>
      </c>
      <c r="O64" s="14"/>
      <c r="P64" s="2">
        <f>SUM(OSRRefP22_2x_0)</f>
        <v>6707.24</v>
      </c>
      <c r="Q64" s="2"/>
      <c r="R64" s="6">
        <f t="shared" si="16"/>
        <v>2.0411344631456872E-3</v>
      </c>
      <c r="S64" s="2"/>
      <c r="T64" s="2">
        <f>SUM(OSRRefT22_2x_0)</f>
        <v>2300</v>
      </c>
      <c r="U64" s="2"/>
      <c r="V64" s="6">
        <f t="shared" si="17"/>
        <v>9.4120150510397212E-4</v>
      </c>
      <c r="W64" s="2"/>
      <c r="X64" s="2">
        <f t="shared" si="18"/>
        <v>4407.24</v>
      </c>
      <c r="Y64" s="2"/>
      <c r="Z64" s="6">
        <f t="shared" si="19"/>
        <v>1.916191304347826</v>
      </c>
    </row>
    <row r="65" spans="1:26" s="70" customFormat="1" ht="15" hidden="1" customHeight="1" outlineLevel="2" x14ac:dyDescent="0.3">
      <c r="A65" s="26"/>
      <c r="B65" s="12" t="str">
        <f>CONCATENATE("          ","6362"," - ","ADVERTISING EXPENSE")</f>
        <v xml:space="preserve">          6362 - ADVERTISING EXPENSE</v>
      </c>
      <c r="C65" s="12"/>
      <c r="D65" s="7">
        <v>2355.75</v>
      </c>
      <c r="E65" s="3"/>
      <c r="F65" s="8">
        <f t="shared" si="12"/>
        <v>4.625512100100107E-3</v>
      </c>
      <c r="G65" s="3"/>
      <c r="H65" s="7">
        <v>100</v>
      </c>
      <c r="I65" s="3"/>
      <c r="J65" s="8">
        <f t="shared" si="13"/>
        <v>3.8827562910358806E-4</v>
      </c>
      <c r="K65" s="3"/>
      <c r="L65" s="7">
        <f t="shared" si="14"/>
        <v>2255.75</v>
      </c>
      <c r="M65" s="3"/>
      <c r="N65" s="8">
        <f t="shared" si="15"/>
        <v>22.557500000000001</v>
      </c>
      <c r="O65" s="12"/>
      <c r="P65" s="7">
        <v>6707.24</v>
      </c>
      <c r="Q65" s="3"/>
      <c r="R65" s="8">
        <f t="shared" si="16"/>
        <v>2.0411344631456872E-3</v>
      </c>
      <c r="S65" s="3"/>
      <c r="T65" s="7">
        <v>2300</v>
      </c>
      <c r="U65" s="3"/>
      <c r="V65" s="8">
        <f t="shared" si="17"/>
        <v>9.4120150510397212E-4</v>
      </c>
      <c r="W65" s="3"/>
      <c r="X65" s="7">
        <f t="shared" si="18"/>
        <v>4407.24</v>
      </c>
      <c r="Y65" s="3"/>
      <c r="Z65" s="8">
        <f t="shared" si="19"/>
        <v>1.916191304347826</v>
      </c>
    </row>
    <row r="66" spans="1:26" s="69" customFormat="1" ht="15" customHeight="1" outlineLevel="1" collapsed="1" x14ac:dyDescent="0.3">
      <c r="A66" s="25"/>
      <c r="B66" s="14" t="str">
        <f>CONCATENATE("     ","Bad Debts/Over/Short                              ")</f>
        <v xml:space="preserve">     Bad Debts/Over/Short                              </v>
      </c>
      <c r="C66" s="14"/>
      <c r="D66" s="2">
        <f>SUM(OSRRefD22_3x_0)</f>
        <v>-15.08</v>
      </c>
      <c r="E66" s="2"/>
      <c r="F66" s="6">
        <f t="shared" si="12"/>
        <v>-2.9609560636531723E-5</v>
      </c>
      <c r="G66" s="2"/>
      <c r="H66" s="2">
        <f>SUM(OSRRefH22_3x_0)</f>
        <v>10</v>
      </c>
      <c r="I66" s="2"/>
      <c r="J66" s="6">
        <f t="shared" si="13"/>
        <v>3.8827562910358808E-5</v>
      </c>
      <c r="K66" s="2"/>
      <c r="L66" s="2">
        <f t="shared" si="14"/>
        <v>-25.08</v>
      </c>
      <c r="M66" s="2"/>
      <c r="N66" s="6">
        <f t="shared" si="15"/>
        <v>-2.508</v>
      </c>
      <c r="O66" s="14"/>
      <c r="P66" s="2">
        <f>SUM(OSRRefP22_3x_0)</f>
        <v>-48.48</v>
      </c>
      <c r="Q66" s="2"/>
      <c r="R66" s="6">
        <f t="shared" si="16"/>
        <v>-1.4753340982774271E-5</v>
      </c>
      <c r="S66" s="2"/>
      <c r="T66" s="2">
        <f>SUM(OSRRefT22_3x_0)</f>
        <v>90</v>
      </c>
      <c r="U66" s="2"/>
      <c r="V66" s="6">
        <f t="shared" si="17"/>
        <v>3.6829624112764124E-5</v>
      </c>
      <c r="W66" s="2"/>
      <c r="X66" s="2">
        <f t="shared" si="18"/>
        <v>-138.47999999999999</v>
      </c>
      <c r="Y66" s="2"/>
      <c r="Z66" s="6">
        <f t="shared" si="19"/>
        <v>-1.5386666666666666</v>
      </c>
    </row>
    <row r="67" spans="1:26" s="70" customFormat="1" ht="15" hidden="1" customHeight="1" outlineLevel="2" x14ac:dyDescent="0.3">
      <c r="A67" s="26"/>
      <c r="B67" s="12" t="str">
        <f>CONCATENATE("          ","6272"," - ","CASH (OVER/SHORT)")</f>
        <v xml:space="preserve">          6272 - CASH (OVER/SHORT)</v>
      </c>
      <c r="C67" s="12"/>
      <c r="D67" s="7">
        <v>-15.08</v>
      </c>
      <c r="E67" s="3"/>
      <c r="F67" s="8">
        <f t="shared" si="12"/>
        <v>-2.9609560636531723E-5</v>
      </c>
      <c r="G67" s="3"/>
      <c r="H67" s="7">
        <v>10</v>
      </c>
      <c r="I67" s="3"/>
      <c r="J67" s="8">
        <f t="shared" si="13"/>
        <v>3.8827562910358808E-5</v>
      </c>
      <c r="K67" s="3"/>
      <c r="L67" s="7">
        <f t="shared" si="14"/>
        <v>-25.08</v>
      </c>
      <c r="M67" s="3"/>
      <c r="N67" s="8">
        <f t="shared" si="15"/>
        <v>-2.508</v>
      </c>
      <c r="O67" s="12"/>
      <c r="P67" s="7">
        <v>-48.48</v>
      </c>
      <c r="Q67" s="3"/>
      <c r="R67" s="8">
        <f t="shared" si="16"/>
        <v>-1.4753340982774271E-5</v>
      </c>
      <c r="S67" s="3"/>
      <c r="T67" s="7">
        <v>90</v>
      </c>
      <c r="U67" s="3"/>
      <c r="V67" s="8">
        <f t="shared" si="17"/>
        <v>3.6829624112764124E-5</v>
      </c>
      <c r="W67" s="3"/>
      <c r="X67" s="7">
        <f t="shared" si="18"/>
        <v>-138.47999999999999</v>
      </c>
      <c r="Y67" s="3"/>
      <c r="Z67" s="8">
        <f t="shared" si="19"/>
        <v>-1.5386666666666666</v>
      </c>
    </row>
    <row r="68" spans="1:26" s="69" customFormat="1" ht="15" customHeight="1" outlineLevel="1" collapsed="1" x14ac:dyDescent="0.3">
      <c r="A68" s="25"/>
      <c r="B68" s="14" t="str">
        <f>CONCATENATE("     ","Bank/card Fees                                    ")</f>
        <v xml:space="preserve">     Bank/card Fees                                    </v>
      </c>
      <c r="C68" s="14"/>
      <c r="D68" s="2">
        <f>SUM(OSRRefD22_4x_0)</f>
        <v>508.74</v>
      </c>
      <c r="E68" s="2"/>
      <c r="F68" s="6">
        <f t="shared" si="12"/>
        <v>9.9891033675259607E-4</v>
      </c>
      <c r="G68" s="2"/>
      <c r="H68" s="2">
        <f>SUM(OSRRefH22_4x_0)</f>
        <v>534</v>
      </c>
      <c r="I68" s="2"/>
      <c r="J68" s="6">
        <f t="shared" si="13"/>
        <v>2.0733918594131604E-3</v>
      </c>
      <c r="K68" s="2"/>
      <c r="L68" s="2">
        <f t="shared" si="14"/>
        <v>-25.259999999999991</v>
      </c>
      <c r="M68" s="2"/>
      <c r="N68" s="6">
        <f t="shared" si="15"/>
        <v>-4.7303370786516835E-2</v>
      </c>
      <c r="O68" s="14"/>
      <c r="P68" s="2">
        <f>SUM(OSRRefP22_4x_0)</f>
        <v>4774.95</v>
      </c>
      <c r="Q68" s="2"/>
      <c r="R68" s="6">
        <f t="shared" si="16"/>
        <v>1.4531036618337047E-3</v>
      </c>
      <c r="S68" s="2"/>
      <c r="T68" s="2">
        <f>SUM(OSRRefT22_4x_0)</f>
        <v>4628</v>
      </c>
      <c r="U68" s="2"/>
      <c r="V68" s="6">
        <f t="shared" si="17"/>
        <v>1.8938611154874709E-3</v>
      </c>
      <c r="W68" s="2"/>
      <c r="X68" s="2">
        <f t="shared" si="18"/>
        <v>146.94999999999982</v>
      </c>
      <c r="Y68" s="2"/>
      <c r="Z68" s="6">
        <f t="shared" si="19"/>
        <v>3.1752376836646459E-2</v>
      </c>
    </row>
    <row r="69" spans="1:26" s="70" customFormat="1" ht="15" hidden="1" customHeight="1" outlineLevel="2" x14ac:dyDescent="0.3">
      <c r="A69" s="26"/>
      <c r="B69" s="12" t="str">
        <f>CONCATENATE("          ","6381"," - ","BANK/CREDIT CARD FEES")</f>
        <v xml:space="preserve">          6381 - BANK/CREDIT CARD FEES</v>
      </c>
      <c r="C69" s="12"/>
      <c r="D69" s="7">
        <v>508.74</v>
      </c>
      <c r="E69" s="3"/>
      <c r="F69" s="8">
        <f t="shared" si="12"/>
        <v>9.9891033675259607E-4</v>
      </c>
      <c r="G69" s="3"/>
      <c r="H69" s="7">
        <v>534</v>
      </c>
      <c r="I69" s="3"/>
      <c r="J69" s="8">
        <f t="shared" si="13"/>
        <v>2.0733918594131604E-3</v>
      </c>
      <c r="K69" s="3"/>
      <c r="L69" s="7">
        <f t="shared" si="14"/>
        <v>-25.259999999999991</v>
      </c>
      <c r="M69" s="3"/>
      <c r="N69" s="8">
        <f t="shared" si="15"/>
        <v>-4.7303370786516835E-2</v>
      </c>
      <c r="O69" s="12"/>
      <c r="P69" s="7">
        <v>4774.95</v>
      </c>
      <c r="Q69" s="3"/>
      <c r="R69" s="8">
        <f t="shared" si="16"/>
        <v>1.4531036618337047E-3</v>
      </c>
      <c r="S69" s="3"/>
      <c r="T69" s="7">
        <v>4628</v>
      </c>
      <c r="U69" s="3"/>
      <c r="V69" s="8">
        <f t="shared" si="17"/>
        <v>1.8938611154874709E-3</v>
      </c>
      <c r="W69" s="3"/>
      <c r="X69" s="7">
        <f t="shared" si="18"/>
        <v>146.94999999999982</v>
      </c>
      <c r="Y69" s="3"/>
      <c r="Z69" s="8">
        <f t="shared" si="19"/>
        <v>3.1752376836646459E-2</v>
      </c>
    </row>
    <row r="70" spans="1:26" s="69" customFormat="1" ht="15" customHeight="1" outlineLevel="1" collapsed="1" x14ac:dyDescent="0.3">
      <c r="A70" s="25"/>
      <c r="B70" s="14" t="str">
        <f>CONCATENATE("     ","Discounts and Markdowns                           ")</f>
        <v xml:space="preserve">     Discounts and Markdowns                           </v>
      </c>
      <c r="C70" s="14"/>
      <c r="D70" s="2">
        <f>SUM(OSRRefD22_5x_0)</f>
        <v>0</v>
      </c>
      <c r="E70" s="2"/>
      <c r="F70" s="6">
        <f t="shared" si="12"/>
        <v>0</v>
      </c>
      <c r="G70" s="2"/>
      <c r="H70" s="2">
        <f>SUM(OSRRefH22_5x_0)</f>
        <v>0</v>
      </c>
      <c r="I70" s="2"/>
      <c r="J70" s="6">
        <f t="shared" si="13"/>
        <v>0</v>
      </c>
      <c r="K70" s="2"/>
      <c r="L70" s="2">
        <f t="shared" si="14"/>
        <v>0</v>
      </c>
      <c r="M70" s="2"/>
      <c r="N70" s="6">
        <f t="shared" si="15"/>
        <v>0</v>
      </c>
      <c r="O70" s="14"/>
      <c r="P70" s="2">
        <f>SUM(OSRRefP22_5x_0)</f>
        <v>0</v>
      </c>
      <c r="Q70" s="2"/>
      <c r="R70" s="6">
        <f t="shared" si="16"/>
        <v>0</v>
      </c>
      <c r="S70" s="2"/>
      <c r="T70" s="2">
        <f>SUM(OSRRefT22_5x_0)</f>
        <v>0</v>
      </c>
      <c r="U70" s="2"/>
      <c r="V70" s="6">
        <f t="shared" si="17"/>
        <v>0</v>
      </c>
      <c r="W70" s="2"/>
      <c r="X70" s="2">
        <f t="shared" si="18"/>
        <v>0</v>
      </c>
      <c r="Y70" s="2"/>
      <c r="Z70" s="6">
        <f t="shared" si="19"/>
        <v>0</v>
      </c>
    </row>
    <row r="71" spans="1:26" s="70" customFormat="1" ht="15" hidden="1" customHeight="1" outlineLevel="2" x14ac:dyDescent="0.3">
      <c r="A71" s="26"/>
      <c r="B71" s="12" t="str">
        <f>CONCATENATE("          ","9175"," - ","EARNED DISCOUNTS")</f>
        <v xml:space="preserve">          9175 - EARNED DISCOUNTS</v>
      </c>
      <c r="C71" s="12"/>
      <c r="D71" s="7"/>
      <c r="E71" s="3"/>
      <c r="F71" s="8">
        <f t="shared" si="12"/>
        <v>0</v>
      </c>
      <c r="G71" s="3"/>
      <c r="H71" s="7"/>
      <c r="I71" s="3"/>
      <c r="J71" s="8">
        <f t="shared" si="13"/>
        <v>0</v>
      </c>
      <c r="K71" s="3"/>
      <c r="L71" s="7">
        <f t="shared" si="14"/>
        <v>0</v>
      </c>
      <c r="M71" s="3"/>
      <c r="N71" s="8">
        <f t="shared" si="15"/>
        <v>0</v>
      </c>
      <c r="O71" s="12"/>
      <c r="P71" s="7">
        <v>0</v>
      </c>
      <c r="Q71" s="3"/>
      <c r="R71" s="8">
        <f t="shared" si="16"/>
        <v>0</v>
      </c>
      <c r="S71" s="3"/>
      <c r="T71" s="7"/>
      <c r="U71" s="3"/>
      <c r="V71" s="8">
        <f t="shared" si="17"/>
        <v>0</v>
      </c>
      <c r="W71" s="3"/>
      <c r="X71" s="7">
        <f t="shared" si="18"/>
        <v>0</v>
      </c>
      <c r="Y71" s="3"/>
      <c r="Z71" s="8">
        <f t="shared" si="19"/>
        <v>0</v>
      </c>
    </row>
    <row r="72" spans="1:26" s="69" customFormat="1" ht="15" customHeight="1" outlineLevel="1" collapsed="1" x14ac:dyDescent="0.3">
      <c r="A72" s="25"/>
      <c r="B72" s="14" t="str">
        <f>CONCATENATE("     ","Employees' Appreciation                           ")</f>
        <v xml:space="preserve">     Employees' Appreciation                           </v>
      </c>
      <c r="C72" s="14"/>
      <c r="D72" s="2">
        <f>SUM(OSRRefD22_6x_0)</f>
        <v>74.69</v>
      </c>
      <c r="E72" s="2"/>
      <c r="F72" s="6">
        <f t="shared" si="12"/>
        <v>1.4665371909433386E-4</v>
      </c>
      <c r="G72" s="2"/>
      <c r="H72" s="2">
        <f>SUM(OSRRefH22_6x_0)</f>
        <v>75</v>
      </c>
      <c r="I72" s="2"/>
      <c r="J72" s="6">
        <f t="shared" si="13"/>
        <v>2.9120672182769106E-4</v>
      </c>
      <c r="K72" s="2"/>
      <c r="L72" s="2">
        <f t="shared" si="14"/>
        <v>-0.31000000000000227</v>
      </c>
      <c r="M72" s="2"/>
      <c r="N72" s="6">
        <f t="shared" si="15"/>
        <v>-4.1333333333333638E-3</v>
      </c>
      <c r="O72" s="14"/>
      <c r="P72" s="2">
        <f>SUM(OSRRefP22_6x_0)</f>
        <v>291.13</v>
      </c>
      <c r="Q72" s="2"/>
      <c r="R72" s="6">
        <f t="shared" si="16"/>
        <v>8.8596125419040296E-5</v>
      </c>
      <c r="S72" s="2"/>
      <c r="T72" s="2">
        <f>SUM(OSRRefT22_6x_0)</f>
        <v>675</v>
      </c>
      <c r="U72" s="2"/>
      <c r="V72" s="6">
        <f t="shared" si="17"/>
        <v>2.7622218084573093E-4</v>
      </c>
      <c r="W72" s="2"/>
      <c r="X72" s="2">
        <f t="shared" si="18"/>
        <v>-383.87</v>
      </c>
      <c r="Y72" s="2"/>
      <c r="Z72" s="6">
        <f t="shared" si="19"/>
        <v>-0.56869629629629626</v>
      </c>
    </row>
    <row r="73" spans="1:26" s="70" customFormat="1" ht="15" hidden="1" customHeight="1" outlineLevel="2" x14ac:dyDescent="0.3">
      <c r="A73" s="26"/>
      <c r="B73" s="12" t="str">
        <f>CONCATENATE("          ","6277"," - ","EMPLOYEE APPRECIATION")</f>
        <v xml:space="preserve">          6277 - EMPLOYEE APPRECIATION</v>
      </c>
      <c r="C73" s="12"/>
      <c r="D73" s="7">
        <v>74.69</v>
      </c>
      <c r="E73" s="3"/>
      <c r="F73" s="8">
        <f t="shared" si="12"/>
        <v>1.4665371909433386E-4</v>
      </c>
      <c r="G73" s="3"/>
      <c r="H73" s="7">
        <v>75</v>
      </c>
      <c r="I73" s="3"/>
      <c r="J73" s="8">
        <f t="shared" si="13"/>
        <v>2.9120672182769106E-4</v>
      </c>
      <c r="K73" s="3"/>
      <c r="L73" s="7">
        <f t="shared" si="14"/>
        <v>-0.31000000000000227</v>
      </c>
      <c r="M73" s="3"/>
      <c r="N73" s="8">
        <f t="shared" si="15"/>
        <v>-4.1333333333333638E-3</v>
      </c>
      <c r="O73" s="12"/>
      <c r="P73" s="7">
        <v>291.13</v>
      </c>
      <c r="Q73" s="3"/>
      <c r="R73" s="8">
        <f t="shared" si="16"/>
        <v>8.8596125419040296E-5</v>
      </c>
      <c r="S73" s="3"/>
      <c r="T73" s="7">
        <v>675</v>
      </c>
      <c r="U73" s="3"/>
      <c r="V73" s="8">
        <f t="shared" si="17"/>
        <v>2.7622218084573093E-4</v>
      </c>
      <c r="W73" s="3"/>
      <c r="X73" s="7">
        <f t="shared" si="18"/>
        <v>-383.87</v>
      </c>
      <c r="Y73" s="3"/>
      <c r="Z73" s="8">
        <f t="shared" si="19"/>
        <v>-0.56869629629629626</v>
      </c>
    </row>
    <row r="74" spans="1:26" s="69" customFormat="1" ht="15" customHeight="1" outlineLevel="1" collapsed="1" x14ac:dyDescent="0.3">
      <c r="A74" s="25"/>
      <c r="B74" s="14" t="str">
        <f>CONCATENATE("     ","Equipment Rental                                  ")</f>
        <v xml:space="preserve">     Equipment Rental                                  </v>
      </c>
      <c r="C74" s="14"/>
      <c r="D74" s="2">
        <f>SUM(OSRRefD22_7x_0)</f>
        <v>0</v>
      </c>
      <c r="E74" s="2"/>
      <c r="F74" s="6">
        <f t="shared" ref="F74:F105" si="20">IF(D$12=0,0,D74/D$12)</f>
        <v>0</v>
      </c>
      <c r="G74" s="2"/>
      <c r="H74" s="2">
        <f>SUM(OSRRefH22_7x_0)</f>
        <v>0</v>
      </c>
      <c r="I74" s="2"/>
      <c r="J74" s="6">
        <f t="shared" ref="J74:J105" si="21">IF(H$12=0,0,H74/H$12)</f>
        <v>0</v>
      </c>
      <c r="K74" s="2"/>
      <c r="L74" s="2">
        <f t="shared" ref="L74:L105" si="22">+D74-H74</f>
        <v>0</v>
      </c>
      <c r="M74" s="2"/>
      <c r="N74" s="6">
        <f t="shared" ref="N74:N105" si="23">IF(H74=0,0,L74/H74)</f>
        <v>0</v>
      </c>
      <c r="O74" s="14"/>
      <c r="P74" s="2">
        <f>SUM(OSRRefP22_7x_0)</f>
        <v>118.91</v>
      </c>
      <c r="Q74" s="2"/>
      <c r="R74" s="6">
        <f t="shared" ref="R74:R105" si="24">IF(P$12=0,0,P74/P$12)</f>
        <v>3.6186464031800508E-5</v>
      </c>
      <c r="S74" s="2"/>
      <c r="T74" s="2">
        <f>SUM(OSRRefT22_7x_0)</f>
        <v>0</v>
      </c>
      <c r="U74" s="2"/>
      <c r="V74" s="6">
        <f t="shared" ref="V74:V105" si="25">IF(T$12=0,0,T74/T$12)</f>
        <v>0</v>
      </c>
      <c r="W74" s="2"/>
      <c r="X74" s="2">
        <f t="shared" ref="X74:X105" si="26">+P74-T74</f>
        <v>118.91</v>
      </c>
      <c r="Y74" s="2"/>
      <c r="Z74" s="6">
        <f t="shared" ref="Z74:Z105" si="27">IF(T74=0,0,X74/T74)</f>
        <v>0</v>
      </c>
    </row>
    <row r="75" spans="1:26" s="70" customFormat="1" ht="15" hidden="1" customHeight="1" outlineLevel="2" x14ac:dyDescent="0.3">
      <c r="A75" s="26"/>
      <c r="B75" s="12" t="str">
        <f>CONCATENATE("          ","6351"," - ","EQUIPMENT RENTAL")</f>
        <v xml:space="preserve">          6351 - EQUIPMENT RENTAL</v>
      </c>
      <c r="C75" s="12"/>
      <c r="D75" s="7"/>
      <c r="E75" s="3"/>
      <c r="F75" s="8">
        <f t="shared" si="20"/>
        <v>0</v>
      </c>
      <c r="G75" s="3"/>
      <c r="H75" s="7"/>
      <c r="I75" s="3"/>
      <c r="J75" s="8">
        <f t="shared" si="21"/>
        <v>0</v>
      </c>
      <c r="K75" s="3"/>
      <c r="L75" s="7">
        <f t="shared" si="22"/>
        <v>0</v>
      </c>
      <c r="M75" s="3"/>
      <c r="N75" s="8">
        <f t="shared" si="23"/>
        <v>0</v>
      </c>
      <c r="O75" s="12"/>
      <c r="P75" s="7">
        <v>118.91</v>
      </c>
      <c r="Q75" s="3"/>
      <c r="R75" s="8">
        <f t="shared" si="24"/>
        <v>3.6186464031800508E-5</v>
      </c>
      <c r="S75" s="3"/>
      <c r="T75" s="7"/>
      <c r="U75" s="3"/>
      <c r="V75" s="8">
        <f t="shared" si="25"/>
        <v>0</v>
      </c>
      <c r="W75" s="3"/>
      <c r="X75" s="7">
        <f t="shared" si="26"/>
        <v>118.91</v>
      </c>
      <c r="Y75" s="3"/>
      <c r="Z75" s="8">
        <f t="shared" si="27"/>
        <v>0</v>
      </c>
    </row>
    <row r="76" spans="1:26" s="69" customFormat="1" ht="15" customHeight="1" outlineLevel="1" collapsed="1" x14ac:dyDescent="0.3">
      <c r="A76" s="25"/>
      <c r="B76" s="14" t="str">
        <f>CONCATENATE("     ","Freight out/Postage                               ")</f>
        <v xml:space="preserve">     Freight out/Postage                               </v>
      </c>
      <c r="C76" s="14"/>
      <c r="D76" s="2">
        <f>SUM(OSRRefD22_8x_0)</f>
        <v>0</v>
      </c>
      <c r="E76" s="2"/>
      <c r="F76" s="6">
        <f t="shared" si="20"/>
        <v>0</v>
      </c>
      <c r="G76" s="2"/>
      <c r="H76" s="2">
        <f>SUM(OSRRefH22_8x_0)</f>
        <v>50</v>
      </c>
      <c r="I76" s="2"/>
      <c r="J76" s="6">
        <f t="shared" si="21"/>
        <v>1.9413781455179403E-4</v>
      </c>
      <c r="K76" s="2"/>
      <c r="L76" s="2">
        <f t="shared" si="22"/>
        <v>-50</v>
      </c>
      <c r="M76" s="2"/>
      <c r="N76" s="6">
        <f t="shared" si="23"/>
        <v>-1</v>
      </c>
      <c r="O76" s="14"/>
      <c r="P76" s="2">
        <f>SUM(OSRRefP22_8x_0)</f>
        <v>929.29</v>
      </c>
      <c r="Q76" s="2"/>
      <c r="R76" s="6">
        <f t="shared" si="24"/>
        <v>2.8279975746456896E-4</v>
      </c>
      <c r="S76" s="2"/>
      <c r="T76" s="2">
        <f>SUM(OSRRefT22_8x_0)</f>
        <v>450</v>
      </c>
      <c r="U76" s="2"/>
      <c r="V76" s="6">
        <f t="shared" si="25"/>
        <v>1.8414812056382062E-4</v>
      </c>
      <c r="W76" s="2"/>
      <c r="X76" s="2">
        <f t="shared" si="26"/>
        <v>479.28999999999996</v>
      </c>
      <c r="Y76" s="2"/>
      <c r="Z76" s="6">
        <f t="shared" si="27"/>
        <v>1.0650888888888888</v>
      </c>
    </row>
    <row r="77" spans="1:26" s="70" customFormat="1" ht="15" hidden="1" customHeight="1" outlineLevel="2" x14ac:dyDescent="0.3">
      <c r="A77" s="26"/>
      <c r="B77" s="12" t="str">
        <f>CONCATENATE("          ","6305"," - ","FREIGHT OUT")</f>
        <v xml:space="preserve">          6305 - FREIGHT OUT</v>
      </c>
      <c r="C77" s="12"/>
      <c r="D77" s="7"/>
      <c r="E77" s="3"/>
      <c r="F77" s="8">
        <f t="shared" si="20"/>
        <v>0</v>
      </c>
      <c r="G77" s="3"/>
      <c r="H77" s="7">
        <v>50</v>
      </c>
      <c r="I77" s="3"/>
      <c r="J77" s="8">
        <f t="shared" si="21"/>
        <v>1.9413781455179403E-4</v>
      </c>
      <c r="K77" s="3"/>
      <c r="L77" s="7">
        <f t="shared" si="22"/>
        <v>-50</v>
      </c>
      <c r="M77" s="3"/>
      <c r="N77" s="8">
        <f t="shared" si="23"/>
        <v>-1</v>
      </c>
      <c r="O77" s="12"/>
      <c r="P77" s="7">
        <v>893.87</v>
      </c>
      <c r="Q77" s="3"/>
      <c r="R77" s="8">
        <f t="shared" si="24"/>
        <v>2.7202081073169222E-4</v>
      </c>
      <c r="S77" s="3"/>
      <c r="T77" s="7">
        <v>450</v>
      </c>
      <c r="U77" s="3"/>
      <c r="V77" s="8">
        <f t="shared" si="25"/>
        <v>1.8414812056382062E-4</v>
      </c>
      <c r="W77" s="3"/>
      <c r="X77" s="7">
        <f t="shared" si="26"/>
        <v>443.87</v>
      </c>
      <c r="Y77" s="3"/>
      <c r="Z77" s="8">
        <f t="shared" si="27"/>
        <v>0.9863777777777778</v>
      </c>
    </row>
    <row r="78" spans="1:26" s="70" customFormat="1" ht="15" hidden="1" customHeight="1" outlineLevel="2" x14ac:dyDescent="0.3">
      <c r="A78" s="26"/>
      <c r="B78" s="12" t="str">
        <f>CONCATENATE("          ","6307"," - ","POSTAGE")</f>
        <v xml:space="preserve">          6307 - POSTAGE</v>
      </c>
      <c r="C78" s="12"/>
      <c r="D78" s="7"/>
      <c r="E78" s="3"/>
      <c r="F78" s="8">
        <f t="shared" si="20"/>
        <v>0</v>
      </c>
      <c r="G78" s="3"/>
      <c r="H78" s="7"/>
      <c r="I78" s="3"/>
      <c r="J78" s="8">
        <f t="shared" si="21"/>
        <v>0</v>
      </c>
      <c r="K78" s="3"/>
      <c r="L78" s="7">
        <f t="shared" si="22"/>
        <v>0</v>
      </c>
      <c r="M78" s="3"/>
      <c r="N78" s="8">
        <f t="shared" si="23"/>
        <v>0</v>
      </c>
      <c r="O78" s="12"/>
      <c r="P78" s="7">
        <v>35.42</v>
      </c>
      <c r="Q78" s="3"/>
      <c r="R78" s="8">
        <f t="shared" si="24"/>
        <v>1.0778946732876749E-5</v>
      </c>
      <c r="S78" s="3"/>
      <c r="T78" s="7"/>
      <c r="U78" s="3"/>
      <c r="V78" s="8">
        <f t="shared" si="25"/>
        <v>0</v>
      </c>
      <c r="W78" s="3"/>
      <c r="X78" s="7">
        <f t="shared" si="26"/>
        <v>35.42</v>
      </c>
      <c r="Y78" s="3"/>
      <c r="Z78" s="8">
        <f t="shared" si="27"/>
        <v>0</v>
      </c>
    </row>
    <row r="79" spans="1:26" s="69" customFormat="1" ht="15" customHeight="1" outlineLevel="1" collapsed="1" x14ac:dyDescent="0.3">
      <c r="A79" s="25"/>
      <c r="B79" s="14" t="str">
        <f>CONCATENATE("     ","General                                           ")</f>
        <v xml:space="preserve">     General                                           </v>
      </c>
      <c r="C79" s="14"/>
      <c r="D79" s="2">
        <f>SUM(OSRRefD22_9x_0)</f>
        <v>119.1</v>
      </c>
      <c r="E79" s="2"/>
      <c r="F79" s="6">
        <f t="shared" si="20"/>
        <v>2.3385269706969021E-4</v>
      </c>
      <c r="G79" s="2"/>
      <c r="H79" s="2">
        <f>SUM(OSRRefH22_9x_0)</f>
        <v>0</v>
      </c>
      <c r="I79" s="2"/>
      <c r="J79" s="6">
        <f t="shared" si="21"/>
        <v>0</v>
      </c>
      <c r="K79" s="2"/>
      <c r="L79" s="2">
        <f t="shared" si="22"/>
        <v>119.1</v>
      </c>
      <c r="M79" s="2"/>
      <c r="N79" s="6">
        <f t="shared" si="23"/>
        <v>0</v>
      </c>
      <c r="O79" s="14"/>
      <c r="P79" s="2">
        <f>SUM(OSRRefP22_9x_0)</f>
        <v>2571.3000000000002</v>
      </c>
      <c r="Q79" s="2"/>
      <c r="R79" s="6">
        <f t="shared" si="24"/>
        <v>7.8249310373365284E-4</v>
      </c>
      <c r="S79" s="2"/>
      <c r="T79" s="2">
        <f>SUM(OSRRefT22_9x_0)</f>
        <v>1250</v>
      </c>
      <c r="U79" s="2"/>
      <c r="V79" s="6">
        <f t="shared" si="25"/>
        <v>5.115225571217239E-4</v>
      </c>
      <c r="W79" s="2"/>
      <c r="X79" s="2">
        <f t="shared" si="26"/>
        <v>1321.3000000000002</v>
      </c>
      <c r="Y79" s="2"/>
      <c r="Z79" s="6">
        <f t="shared" si="27"/>
        <v>1.0570400000000002</v>
      </c>
    </row>
    <row r="80" spans="1:26" s="70" customFormat="1" ht="15" hidden="1" customHeight="1" outlineLevel="2" x14ac:dyDescent="0.3">
      <c r="A80" s="26"/>
      <c r="B80" s="12" t="str">
        <f>CONCATENATE("          ","6276"," - ","PROPERTY TAX")</f>
        <v xml:space="preserve">          6276 - PROPERTY TAX</v>
      </c>
      <c r="C80" s="12"/>
      <c r="D80" s="7"/>
      <c r="E80" s="3"/>
      <c r="F80" s="8">
        <f t="shared" si="20"/>
        <v>0</v>
      </c>
      <c r="G80" s="3"/>
      <c r="H80" s="7"/>
      <c r="I80" s="3"/>
      <c r="J80" s="8">
        <f t="shared" si="21"/>
        <v>0</v>
      </c>
      <c r="K80" s="3"/>
      <c r="L80" s="7">
        <f t="shared" si="22"/>
        <v>0</v>
      </c>
      <c r="M80" s="3"/>
      <c r="N80" s="8">
        <f t="shared" si="23"/>
        <v>0</v>
      </c>
      <c r="O80" s="12"/>
      <c r="P80" s="7"/>
      <c r="Q80" s="3"/>
      <c r="R80" s="8">
        <f t="shared" si="24"/>
        <v>0</v>
      </c>
      <c r="S80" s="3"/>
      <c r="T80" s="7">
        <v>1250</v>
      </c>
      <c r="U80" s="3"/>
      <c r="V80" s="8">
        <f t="shared" si="25"/>
        <v>5.115225571217239E-4</v>
      </c>
      <c r="W80" s="3"/>
      <c r="X80" s="7">
        <f t="shared" si="26"/>
        <v>-1250</v>
      </c>
      <c r="Y80" s="3"/>
      <c r="Z80" s="8">
        <f t="shared" si="27"/>
        <v>-1</v>
      </c>
    </row>
    <row r="81" spans="1:26" s="70" customFormat="1" ht="15" hidden="1" customHeight="1" outlineLevel="2" x14ac:dyDescent="0.3">
      <c r="A81" s="26"/>
      <c r="B81" s="12" t="str">
        <f>CONCATENATE("          ","6279"," - ","GENERAL EXPENSE")</f>
        <v xml:space="preserve">          6279 - GENERAL EXPENSE</v>
      </c>
      <c r="C81" s="12"/>
      <c r="D81" s="7">
        <v>119.1</v>
      </c>
      <c r="E81" s="3"/>
      <c r="F81" s="8">
        <f t="shared" si="20"/>
        <v>2.3385269706969021E-4</v>
      </c>
      <c r="G81" s="3"/>
      <c r="H81" s="7">
        <v>0</v>
      </c>
      <c r="I81" s="3"/>
      <c r="J81" s="8">
        <f t="shared" si="21"/>
        <v>0</v>
      </c>
      <c r="K81" s="3"/>
      <c r="L81" s="7">
        <f t="shared" si="22"/>
        <v>119.1</v>
      </c>
      <c r="M81" s="3"/>
      <c r="N81" s="8">
        <f t="shared" si="23"/>
        <v>0</v>
      </c>
      <c r="O81" s="12"/>
      <c r="P81" s="7">
        <v>2571.3000000000002</v>
      </c>
      <c r="Q81" s="3"/>
      <c r="R81" s="8">
        <f t="shared" si="24"/>
        <v>7.8249310373365284E-4</v>
      </c>
      <c r="S81" s="3"/>
      <c r="T81" s="7">
        <v>0</v>
      </c>
      <c r="U81" s="3"/>
      <c r="V81" s="8">
        <f t="shared" si="25"/>
        <v>0</v>
      </c>
      <c r="W81" s="3"/>
      <c r="X81" s="7">
        <f t="shared" si="26"/>
        <v>2571.3000000000002</v>
      </c>
      <c r="Y81" s="3"/>
      <c r="Z81" s="8">
        <f t="shared" si="27"/>
        <v>0</v>
      </c>
    </row>
    <row r="82" spans="1:26" s="69" customFormat="1" ht="15" customHeight="1" outlineLevel="1" collapsed="1" x14ac:dyDescent="0.3">
      <c r="A82" s="25"/>
      <c r="B82" s="14" t="str">
        <f>CONCATENATE("     ","Insurance                                         ")</f>
        <v xml:space="preserve">     Insurance                                         </v>
      </c>
      <c r="C82" s="14"/>
      <c r="D82" s="2">
        <f>SUM(OSRRefD22_10x_0)</f>
        <v>219.08</v>
      </c>
      <c r="E82" s="2"/>
      <c r="F82" s="6">
        <f t="shared" si="20"/>
        <v>4.3016329869040922E-4</v>
      </c>
      <c r="G82" s="2"/>
      <c r="H82" s="2">
        <f>SUM(OSRRefH22_10x_0)</f>
        <v>175</v>
      </c>
      <c r="I82" s="2"/>
      <c r="J82" s="6">
        <f t="shared" si="21"/>
        <v>6.7948235093127907E-4</v>
      </c>
      <c r="K82" s="2"/>
      <c r="L82" s="2">
        <f t="shared" si="22"/>
        <v>44.080000000000013</v>
      </c>
      <c r="M82" s="2"/>
      <c r="N82" s="6">
        <f t="shared" si="23"/>
        <v>0.25188571428571438</v>
      </c>
      <c r="O82" s="14"/>
      <c r="P82" s="2">
        <f>SUM(OSRRefP22_10x_0)</f>
        <v>1971.72</v>
      </c>
      <c r="Q82" s="2"/>
      <c r="R82" s="6">
        <f t="shared" si="24"/>
        <v>6.0003006358406942E-4</v>
      </c>
      <c r="S82" s="2"/>
      <c r="T82" s="2">
        <f>SUM(OSRRefT22_10x_0)</f>
        <v>1575</v>
      </c>
      <c r="U82" s="2"/>
      <c r="V82" s="6">
        <f t="shared" si="25"/>
        <v>6.4451842197337222E-4</v>
      </c>
      <c r="W82" s="2"/>
      <c r="X82" s="2">
        <f t="shared" si="26"/>
        <v>396.72</v>
      </c>
      <c r="Y82" s="2"/>
      <c r="Z82" s="6">
        <f t="shared" si="27"/>
        <v>0.25188571428571432</v>
      </c>
    </row>
    <row r="83" spans="1:26" s="70" customFormat="1" ht="15" hidden="1" customHeight="1" outlineLevel="2" x14ac:dyDescent="0.3">
      <c r="A83" s="26"/>
      <c r="B83" s="12" t="str">
        <f>CONCATENATE("          ","6314"," - ","LIABILITY INSURANCE")</f>
        <v xml:space="preserve">          6314 - LIABILITY INSURANCE</v>
      </c>
      <c r="C83" s="12"/>
      <c r="D83" s="7">
        <v>219.08</v>
      </c>
      <c r="E83" s="3"/>
      <c r="F83" s="8">
        <f t="shared" si="20"/>
        <v>4.3016329869040922E-4</v>
      </c>
      <c r="G83" s="3"/>
      <c r="H83" s="7">
        <v>175</v>
      </c>
      <c r="I83" s="3"/>
      <c r="J83" s="8">
        <f t="shared" si="21"/>
        <v>6.7948235093127907E-4</v>
      </c>
      <c r="K83" s="3"/>
      <c r="L83" s="7">
        <f t="shared" si="22"/>
        <v>44.080000000000013</v>
      </c>
      <c r="M83" s="3"/>
      <c r="N83" s="8">
        <f t="shared" si="23"/>
        <v>0.25188571428571438</v>
      </c>
      <c r="O83" s="12"/>
      <c r="P83" s="7">
        <v>1971.72</v>
      </c>
      <c r="Q83" s="3"/>
      <c r="R83" s="8">
        <f t="shared" si="24"/>
        <v>6.0003006358406942E-4</v>
      </c>
      <c r="S83" s="3"/>
      <c r="T83" s="7">
        <v>1575</v>
      </c>
      <c r="U83" s="3"/>
      <c r="V83" s="8">
        <f t="shared" si="25"/>
        <v>6.4451842197337222E-4</v>
      </c>
      <c r="W83" s="3"/>
      <c r="X83" s="7">
        <f t="shared" si="26"/>
        <v>396.72</v>
      </c>
      <c r="Y83" s="3"/>
      <c r="Z83" s="8">
        <f t="shared" si="27"/>
        <v>0.25188571428571432</v>
      </c>
    </row>
    <row r="84" spans="1:26" s="69" customFormat="1" ht="15" customHeight="1" outlineLevel="1" collapsed="1" x14ac:dyDescent="0.3">
      <c r="A84" s="25"/>
      <c r="B84" s="14" t="str">
        <f>CONCATENATE("     ","Inventory Adjustment                              ")</f>
        <v xml:space="preserve">     Inventory Adjustment                              </v>
      </c>
      <c r="C84" s="14"/>
      <c r="D84" s="2">
        <f>SUM(OSRRefD22_11x_0)</f>
        <v>3450</v>
      </c>
      <c r="E84" s="2"/>
      <c r="F84" s="6">
        <f t="shared" si="20"/>
        <v>6.7740705700288098E-3</v>
      </c>
      <c r="G84" s="2"/>
      <c r="H84" s="2">
        <f>SUM(OSRRefH22_11x_0)</f>
        <v>3450</v>
      </c>
      <c r="I84" s="2"/>
      <c r="J84" s="6">
        <f t="shared" si="21"/>
        <v>1.3395509204073787E-2</v>
      </c>
      <c r="K84" s="2"/>
      <c r="L84" s="2">
        <f t="shared" si="22"/>
        <v>0</v>
      </c>
      <c r="M84" s="2"/>
      <c r="N84" s="6">
        <f t="shared" si="23"/>
        <v>0</v>
      </c>
      <c r="O84" s="14"/>
      <c r="P84" s="2">
        <f>SUM(OSRRefP22_11x_0)</f>
        <v>31050</v>
      </c>
      <c r="Q84" s="2"/>
      <c r="R84" s="6">
        <f t="shared" si="24"/>
        <v>9.449076681417928E-3</v>
      </c>
      <c r="S84" s="2"/>
      <c r="T84" s="2">
        <f>SUM(OSRRefT22_11x_0)</f>
        <v>31050</v>
      </c>
      <c r="U84" s="2"/>
      <c r="V84" s="6">
        <f t="shared" si="25"/>
        <v>1.2706220318903623E-2</v>
      </c>
      <c r="W84" s="2"/>
      <c r="X84" s="2">
        <f t="shared" si="26"/>
        <v>0</v>
      </c>
      <c r="Y84" s="2"/>
      <c r="Z84" s="6">
        <f t="shared" si="27"/>
        <v>0</v>
      </c>
    </row>
    <row r="85" spans="1:26" s="70" customFormat="1" ht="15" hidden="1" customHeight="1" outlineLevel="2" x14ac:dyDescent="0.3">
      <c r="A85" s="26"/>
      <c r="B85" s="12" t="str">
        <f>CONCATENATE("          ","6408"," - ","INVENTORY ADJUSTMENT")</f>
        <v xml:space="preserve">          6408 - INVENTORY ADJUSTMENT</v>
      </c>
      <c r="C85" s="12"/>
      <c r="D85" s="7">
        <v>3450</v>
      </c>
      <c r="E85" s="3"/>
      <c r="F85" s="8">
        <f t="shared" si="20"/>
        <v>6.7740705700288098E-3</v>
      </c>
      <c r="G85" s="3"/>
      <c r="H85" s="7">
        <v>3450</v>
      </c>
      <c r="I85" s="3"/>
      <c r="J85" s="8">
        <f t="shared" si="21"/>
        <v>1.3395509204073787E-2</v>
      </c>
      <c r="K85" s="3"/>
      <c r="L85" s="7">
        <f t="shared" si="22"/>
        <v>0</v>
      </c>
      <c r="M85" s="3"/>
      <c r="N85" s="8">
        <f t="shared" si="23"/>
        <v>0</v>
      </c>
      <c r="O85" s="12"/>
      <c r="P85" s="7">
        <v>31050</v>
      </c>
      <c r="Q85" s="3"/>
      <c r="R85" s="8">
        <f t="shared" si="24"/>
        <v>9.449076681417928E-3</v>
      </c>
      <c r="S85" s="3"/>
      <c r="T85" s="7">
        <v>31050</v>
      </c>
      <c r="U85" s="3"/>
      <c r="V85" s="8">
        <f t="shared" si="25"/>
        <v>1.2706220318903623E-2</v>
      </c>
      <c r="W85" s="3"/>
      <c r="X85" s="7">
        <f t="shared" si="26"/>
        <v>0</v>
      </c>
      <c r="Y85" s="3"/>
      <c r="Z85" s="8">
        <f t="shared" si="27"/>
        <v>0</v>
      </c>
    </row>
    <row r="86" spans="1:26" s="69" customFormat="1" ht="15" customHeight="1" outlineLevel="1" collapsed="1" x14ac:dyDescent="0.3">
      <c r="A86" s="25"/>
      <c r="B86" s="14" t="str">
        <f>CONCATENATE("     ","Professional Services                             ")</f>
        <v xml:space="preserve">     Professional Services                             </v>
      </c>
      <c r="C86" s="14"/>
      <c r="D86" s="2">
        <f>SUM(OSRRefD22_12x_0)</f>
        <v>1050</v>
      </c>
      <c r="E86" s="2"/>
      <c r="F86" s="6">
        <f t="shared" si="20"/>
        <v>2.0616736517478987E-3</v>
      </c>
      <c r="G86" s="2"/>
      <c r="H86" s="2">
        <f>SUM(OSRRefH22_12x_0)</f>
        <v>0</v>
      </c>
      <c r="I86" s="2"/>
      <c r="J86" s="6">
        <f t="shared" si="21"/>
        <v>0</v>
      </c>
      <c r="K86" s="2"/>
      <c r="L86" s="2">
        <f t="shared" si="22"/>
        <v>1050</v>
      </c>
      <c r="M86" s="2"/>
      <c r="N86" s="6">
        <f t="shared" si="23"/>
        <v>0</v>
      </c>
      <c r="O86" s="14"/>
      <c r="P86" s="2">
        <f>SUM(OSRRefP22_12x_0)</f>
        <v>2109.1</v>
      </c>
      <c r="Q86" s="2"/>
      <c r="R86" s="6">
        <f t="shared" si="24"/>
        <v>6.4183728273038807E-4</v>
      </c>
      <c r="S86" s="2"/>
      <c r="T86" s="2">
        <f>SUM(OSRRefT22_12x_0)</f>
        <v>1500</v>
      </c>
      <c r="U86" s="2"/>
      <c r="V86" s="6">
        <f t="shared" si="25"/>
        <v>6.1382706854606873E-4</v>
      </c>
      <c r="W86" s="2"/>
      <c r="X86" s="2">
        <f t="shared" si="26"/>
        <v>609.09999999999991</v>
      </c>
      <c r="Y86" s="2"/>
      <c r="Z86" s="6">
        <f t="shared" si="27"/>
        <v>0.40606666666666663</v>
      </c>
    </row>
    <row r="87" spans="1:26" s="70" customFormat="1" ht="15" hidden="1" customHeight="1" outlineLevel="2" x14ac:dyDescent="0.3">
      <c r="A87" s="26"/>
      <c r="B87" s="12" t="str">
        <f>CONCATENATE("          ","6336"," - ","PROFESSIONAL SERVICES")</f>
        <v xml:space="preserve">          6336 - PROFESSIONAL SERVICES</v>
      </c>
      <c r="C87" s="12"/>
      <c r="D87" s="7">
        <v>1050</v>
      </c>
      <c r="E87" s="3"/>
      <c r="F87" s="8">
        <f t="shared" si="20"/>
        <v>2.0616736517478987E-3</v>
      </c>
      <c r="G87" s="3"/>
      <c r="H87" s="7">
        <v>0</v>
      </c>
      <c r="I87" s="3"/>
      <c r="J87" s="8">
        <f t="shared" si="21"/>
        <v>0</v>
      </c>
      <c r="K87" s="3"/>
      <c r="L87" s="7">
        <f t="shared" si="22"/>
        <v>1050</v>
      </c>
      <c r="M87" s="3"/>
      <c r="N87" s="8">
        <f t="shared" si="23"/>
        <v>0</v>
      </c>
      <c r="O87" s="12"/>
      <c r="P87" s="7">
        <v>2109.1</v>
      </c>
      <c r="Q87" s="3"/>
      <c r="R87" s="8">
        <f t="shared" si="24"/>
        <v>6.4183728273038807E-4</v>
      </c>
      <c r="S87" s="3"/>
      <c r="T87" s="7">
        <v>1500</v>
      </c>
      <c r="U87" s="3"/>
      <c r="V87" s="8">
        <f t="shared" si="25"/>
        <v>6.1382706854606873E-4</v>
      </c>
      <c r="W87" s="3"/>
      <c r="X87" s="7">
        <f t="shared" si="26"/>
        <v>609.09999999999991</v>
      </c>
      <c r="Y87" s="3"/>
      <c r="Z87" s="8">
        <f t="shared" si="27"/>
        <v>0.40606666666666663</v>
      </c>
    </row>
    <row r="88" spans="1:26" s="69" customFormat="1" ht="15" customHeight="1" outlineLevel="1" collapsed="1" x14ac:dyDescent="0.3">
      <c r="A88" s="25"/>
      <c r="B88" s="14" t="str">
        <f>CONCATENATE("     ","Rent                                              ")</f>
        <v xml:space="preserve">     Rent                                              </v>
      </c>
      <c r="C88" s="14"/>
      <c r="D88" s="2">
        <f>SUM(OSRRefD22_13x_0)</f>
        <v>6900</v>
      </c>
      <c r="E88" s="2"/>
      <c r="F88" s="6">
        <f t="shared" si="20"/>
        <v>1.354814114005762E-2</v>
      </c>
      <c r="G88" s="2"/>
      <c r="H88" s="2">
        <f>SUM(OSRRefH22_13x_0)</f>
        <v>6900</v>
      </c>
      <c r="I88" s="2"/>
      <c r="J88" s="6">
        <f t="shared" si="21"/>
        <v>2.6791018408147575E-2</v>
      </c>
      <c r="K88" s="2"/>
      <c r="L88" s="2">
        <f t="shared" si="22"/>
        <v>0</v>
      </c>
      <c r="M88" s="2"/>
      <c r="N88" s="6">
        <f t="shared" si="23"/>
        <v>0</v>
      </c>
      <c r="O88" s="14"/>
      <c r="P88" s="2">
        <f>SUM(OSRRefP22_13x_0)</f>
        <v>62100</v>
      </c>
      <c r="Q88" s="2"/>
      <c r="R88" s="6">
        <f t="shared" si="24"/>
        <v>1.8898153362835856E-2</v>
      </c>
      <c r="S88" s="2"/>
      <c r="T88" s="2">
        <f>SUM(OSRRefT22_13x_0)</f>
        <v>62100</v>
      </c>
      <c r="U88" s="2"/>
      <c r="V88" s="6">
        <f t="shared" si="25"/>
        <v>2.5412440637807246E-2</v>
      </c>
      <c r="W88" s="2"/>
      <c r="X88" s="2">
        <f t="shared" si="26"/>
        <v>0</v>
      </c>
      <c r="Y88" s="2"/>
      <c r="Z88" s="6">
        <f t="shared" si="27"/>
        <v>0</v>
      </c>
    </row>
    <row r="89" spans="1:26" s="70" customFormat="1" ht="15" hidden="1" customHeight="1" outlineLevel="2" x14ac:dyDescent="0.3">
      <c r="A89" s="26"/>
      <c r="B89" s="12" t="str">
        <f>CONCATENATE("          ","6273"," - ","RENT")</f>
        <v xml:space="preserve">          6273 - RENT</v>
      </c>
      <c r="C89" s="12"/>
      <c r="D89" s="7">
        <v>6900</v>
      </c>
      <c r="E89" s="3"/>
      <c r="F89" s="8">
        <f t="shared" si="20"/>
        <v>1.354814114005762E-2</v>
      </c>
      <c r="G89" s="3"/>
      <c r="H89" s="7">
        <v>6900</v>
      </c>
      <c r="I89" s="3"/>
      <c r="J89" s="8">
        <f t="shared" si="21"/>
        <v>2.6791018408147575E-2</v>
      </c>
      <c r="K89" s="3"/>
      <c r="L89" s="7">
        <f t="shared" si="22"/>
        <v>0</v>
      </c>
      <c r="M89" s="3"/>
      <c r="N89" s="8">
        <f t="shared" si="23"/>
        <v>0</v>
      </c>
      <c r="O89" s="12"/>
      <c r="P89" s="7">
        <v>62100</v>
      </c>
      <c r="Q89" s="3"/>
      <c r="R89" s="8">
        <f t="shared" si="24"/>
        <v>1.8898153362835856E-2</v>
      </c>
      <c r="S89" s="3"/>
      <c r="T89" s="7">
        <v>62100</v>
      </c>
      <c r="U89" s="3"/>
      <c r="V89" s="8">
        <f t="shared" si="25"/>
        <v>2.5412440637807246E-2</v>
      </c>
      <c r="W89" s="3"/>
      <c r="X89" s="7">
        <f t="shared" si="26"/>
        <v>0</v>
      </c>
      <c r="Y89" s="3"/>
      <c r="Z89" s="8">
        <f t="shared" si="27"/>
        <v>0</v>
      </c>
    </row>
    <row r="90" spans="1:26" s="69" customFormat="1" ht="15" customHeight="1" outlineLevel="1" collapsed="1" x14ac:dyDescent="0.3">
      <c r="A90" s="25"/>
      <c r="B90" s="14" t="str">
        <f>CONCATENATE("     ","Repair and Maintenance                            ")</f>
        <v xml:space="preserve">     Repair and Maintenance                            </v>
      </c>
      <c r="C90" s="14"/>
      <c r="D90" s="2">
        <f>SUM(OSRRefD22_14x_0)</f>
        <v>232.93</v>
      </c>
      <c r="E90" s="2"/>
      <c r="F90" s="6">
        <f t="shared" si="20"/>
        <v>4.5735775590632194E-4</v>
      </c>
      <c r="G90" s="2"/>
      <c r="H90" s="2">
        <f>SUM(OSRRefH22_14x_0)</f>
        <v>115</v>
      </c>
      <c r="I90" s="2"/>
      <c r="J90" s="6">
        <f t="shared" si="21"/>
        <v>4.4651697346912626E-4</v>
      </c>
      <c r="K90" s="2"/>
      <c r="L90" s="2">
        <f t="shared" si="22"/>
        <v>117.93</v>
      </c>
      <c r="M90" s="2"/>
      <c r="N90" s="6">
        <f t="shared" si="23"/>
        <v>1.0254782608695652</v>
      </c>
      <c r="O90" s="14"/>
      <c r="P90" s="2">
        <f>SUM(OSRRefP22_14x_0)</f>
        <v>3224.15</v>
      </c>
      <c r="Q90" s="2"/>
      <c r="R90" s="6">
        <f t="shared" si="24"/>
        <v>9.8116716851509231E-4</v>
      </c>
      <c r="S90" s="2"/>
      <c r="T90" s="2">
        <f>SUM(OSRRefT22_14x_0)</f>
        <v>1535</v>
      </c>
      <c r="U90" s="2"/>
      <c r="V90" s="6">
        <f t="shared" si="25"/>
        <v>6.2814970014547702E-4</v>
      </c>
      <c r="W90" s="2"/>
      <c r="X90" s="2">
        <f t="shared" si="26"/>
        <v>1689.15</v>
      </c>
      <c r="Y90" s="2"/>
      <c r="Z90" s="6">
        <f t="shared" si="27"/>
        <v>1.1004234527687298</v>
      </c>
    </row>
    <row r="91" spans="1:26" s="70" customFormat="1" ht="15" hidden="1" customHeight="1" outlineLevel="2" x14ac:dyDescent="0.3">
      <c r="A91" s="26"/>
      <c r="B91" s="12" t="str">
        <f>CONCATENATE("          ","6373"," - ","MAINTENANCE CONTRACTS")</f>
        <v xml:space="preserve">          6373 - MAINTENANCE CONTRACTS</v>
      </c>
      <c r="C91" s="12"/>
      <c r="D91" s="7">
        <v>232.93</v>
      </c>
      <c r="E91" s="3"/>
      <c r="F91" s="8">
        <f t="shared" si="20"/>
        <v>4.5735775590632194E-4</v>
      </c>
      <c r="G91" s="3"/>
      <c r="H91" s="7">
        <v>115</v>
      </c>
      <c r="I91" s="3"/>
      <c r="J91" s="8">
        <f t="shared" si="21"/>
        <v>4.4651697346912626E-4</v>
      </c>
      <c r="K91" s="3"/>
      <c r="L91" s="7">
        <f t="shared" si="22"/>
        <v>117.93</v>
      </c>
      <c r="M91" s="3"/>
      <c r="N91" s="8">
        <f t="shared" si="23"/>
        <v>1.0254782608695652</v>
      </c>
      <c r="O91" s="12"/>
      <c r="P91" s="7">
        <v>714.5</v>
      </c>
      <c r="Q91" s="3"/>
      <c r="R91" s="8">
        <f t="shared" si="24"/>
        <v>2.1743527500396487E-4</v>
      </c>
      <c r="S91" s="3"/>
      <c r="T91" s="7">
        <v>1035</v>
      </c>
      <c r="U91" s="3"/>
      <c r="V91" s="8">
        <f t="shared" si="25"/>
        <v>4.2354067729678742E-4</v>
      </c>
      <c r="W91" s="3"/>
      <c r="X91" s="7">
        <f t="shared" si="26"/>
        <v>-320.5</v>
      </c>
      <c r="Y91" s="3"/>
      <c r="Z91" s="8">
        <f t="shared" si="27"/>
        <v>-0.30966183574879225</v>
      </c>
    </row>
    <row r="92" spans="1:26" s="70" customFormat="1" ht="15" hidden="1" customHeight="1" outlineLevel="2" x14ac:dyDescent="0.3">
      <c r="A92" s="26"/>
      <c r="B92" s="12" t="str">
        <f>CONCATENATE("          ","6375"," - ","OUTSIDE REPAIRS &amp; MAINTENANCE")</f>
        <v xml:space="preserve">          6375 - OUTSIDE REPAIRS &amp; MAINTENANCE</v>
      </c>
      <c r="C92" s="12"/>
      <c r="D92" s="7"/>
      <c r="E92" s="3"/>
      <c r="F92" s="8">
        <f t="shared" si="20"/>
        <v>0</v>
      </c>
      <c r="G92" s="3"/>
      <c r="H92" s="7">
        <v>0</v>
      </c>
      <c r="I92" s="3"/>
      <c r="J92" s="8">
        <f t="shared" si="21"/>
        <v>0</v>
      </c>
      <c r="K92" s="3"/>
      <c r="L92" s="7">
        <f t="shared" si="22"/>
        <v>0</v>
      </c>
      <c r="M92" s="3"/>
      <c r="N92" s="8">
        <f t="shared" si="23"/>
        <v>0</v>
      </c>
      <c r="O92" s="12"/>
      <c r="P92" s="7">
        <v>2509.65</v>
      </c>
      <c r="Q92" s="3"/>
      <c r="R92" s="8">
        <f t="shared" si="24"/>
        <v>7.6373189351112731E-4</v>
      </c>
      <c r="S92" s="3"/>
      <c r="T92" s="7">
        <v>500</v>
      </c>
      <c r="U92" s="3"/>
      <c r="V92" s="8">
        <f t="shared" si="25"/>
        <v>2.0460902284868959E-4</v>
      </c>
      <c r="W92" s="3"/>
      <c r="X92" s="7">
        <f t="shared" si="26"/>
        <v>2009.65</v>
      </c>
      <c r="Y92" s="3"/>
      <c r="Z92" s="8">
        <f t="shared" si="27"/>
        <v>4.0193000000000003</v>
      </c>
    </row>
    <row r="93" spans="1:26" s="69" customFormat="1" ht="15" customHeight="1" outlineLevel="1" collapsed="1" x14ac:dyDescent="0.3">
      <c r="A93" s="25"/>
      <c r="B93" s="14" t="str">
        <f>CONCATENATE("     ","Royalty &amp; Commissions                             ")</f>
        <v xml:space="preserve">     Royalty &amp; Commissions                             </v>
      </c>
      <c r="C93" s="14"/>
      <c r="D93" s="2">
        <f>SUM(OSRRefD22_15x_0)</f>
        <v>0</v>
      </c>
      <c r="E93" s="2"/>
      <c r="F93" s="6">
        <f t="shared" si="20"/>
        <v>0</v>
      </c>
      <c r="G93" s="2"/>
      <c r="H93" s="2">
        <f>SUM(OSRRefH22_15x_0)</f>
        <v>2085</v>
      </c>
      <c r="I93" s="2"/>
      <c r="J93" s="6">
        <f t="shared" si="21"/>
        <v>8.0955468668098118E-3</v>
      </c>
      <c r="K93" s="2"/>
      <c r="L93" s="2">
        <f t="shared" si="22"/>
        <v>-2085</v>
      </c>
      <c r="M93" s="2"/>
      <c r="N93" s="6">
        <f t="shared" si="23"/>
        <v>-1</v>
      </c>
      <c r="O93" s="14"/>
      <c r="P93" s="2">
        <f>SUM(OSRRefP22_15x_0)</f>
        <v>42730.310000000005</v>
      </c>
      <c r="Q93" s="2"/>
      <c r="R93" s="6">
        <f t="shared" si="24"/>
        <v>1.3003606306304649E-2</v>
      </c>
      <c r="S93" s="2"/>
      <c r="T93" s="2">
        <f>SUM(OSRRefT22_15x_0)</f>
        <v>39029</v>
      </c>
      <c r="U93" s="2"/>
      <c r="V93" s="6">
        <f t="shared" si="25"/>
        <v>1.5971371105523012E-2</v>
      </c>
      <c r="W93" s="2"/>
      <c r="X93" s="2">
        <f t="shared" si="26"/>
        <v>3701.3100000000049</v>
      </c>
      <c r="Y93" s="2"/>
      <c r="Z93" s="6">
        <f t="shared" si="27"/>
        <v>9.4834866381408825E-2</v>
      </c>
    </row>
    <row r="94" spans="1:26" s="70" customFormat="1" ht="15" hidden="1" customHeight="1" outlineLevel="2" x14ac:dyDescent="0.3">
      <c r="A94" s="26"/>
      <c r="B94" s="12" t="str">
        <f>CONCATENATE("          ","6252"," - ","ROYALTY DUE CSTV")</f>
        <v xml:space="preserve">          6252 - ROYALTY DUE CSTV</v>
      </c>
      <c r="C94" s="12"/>
      <c r="D94" s="7"/>
      <c r="E94" s="3"/>
      <c r="F94" s="8">
        <f t="shared" si="20"/>
        <v>0</v>
      </c>
      <c r="G94" s="3"/>
      <c r="H94" s="7">
        <v>1085</v>
      </c>
      <c r="I94" s="3"/>
      <c r="J94" s="8">
        <f t="shared" si="21"/>
        <v>4.2127905757739304E-3</v>
      </c>
      <c r="K94" s="3"/>
      <c r="L94" s="7">
        <f t="shared" si="22"/>
        <v>-1085</v>
      </c>
      <c r="M94" s="3"/>
      <c r="N94" s="8">
        <f t="shared" si="23"/>
        <v>-1</v>
      </c>
      <c r="O94" s="12"/>
      <c r="P94" s="7"/>
      <c r="Q94" s="3"/>
      <c r="R94" s="8">
        <f t="shared" si="24"/>
        <v>0</v>
      </c>
      <c r="S94" s="3"/>
      <c r="T94" s="7">
        <v>12582</v>
      </c>
      <c r="U94" s="3"/>
      <c r="V94" s="8">
        <f t="shared" si="25"/>
        <v>5.1487814509644245E-3</v>
      </c>
      <c r="W94" s="3"/>
      <c r="X94" s="7">
        <f t="shared" si="26"/>
        <v>-12582</v>
      </c>
      <c r="Y94" s="3"/>
      <c r="Z94" s="8">
        <f t="shared" si="27"/>
        <v>-1</v>
      </c>
    </row>
    <row r="95" spans="1:26" s="70" customFormat="1" ht="15" hidden="1" customHeight="1" outlineLevel="2" x14ac:dyDescent="0.3">
      <c r="A95" s="26"/>
      <c r="B95" s="12" t="str">
        <f>CONCATENATE("          ","6253"," - ","ROYALTY DUE ATHLETICS-LRG")</f>
        <v xml:space="preserve">          6253 - ROYALTY DUE ATHLETICS-LRG</v>
      </c>
      <c r="C95" s="12"/>
      <c r="D95" s="7"/>
      <c r="E95" s="3"/>
      <c r="F95" s="8">
        <f t="shared" si="20"/>
        <v>0</v>
      </c>
      <c r="G95" s="3"/>
      <c r="H95" s="7">
        <v>0</v>
      </c>
      <c r="I95" s="3"/>
      <c r="J95" s="8">
        <f t="shared" si="21"/>
        <v>0</v>
      </c>
      <c r="K95" s="3"/>
      <c r="L95" s="7">
        <f t="shared" si="22"/>
        <v>0</v>
      </c>
      <c r="M95" s="3"/>
      <c r="N95" s="8">
        <f t="shared" si="23"/>
        <v>0</v>
      </c>
      <c r="O95" s="12"/>
      <c r="P95" s="7">
        <v>39221.160000000003</v>
      </c>
      <c r="Q95" s="3"/>
      <c r="R95" s="8">
        <f t="shared" si="24"/>
        <v>1.1935708482259633E-2</v>
      </c>
      <c r="S95" s="3"/>
      <c r="T95" s="7">
        <v>23947</v>
      </c>
      <c r="U95" s="3"/>
      <c r="V95" s="8">
        <f t="shared" si="25"/>
        <v>9.7995445403151384E-3</v>
      </c>
      <c r="W95" s="3"/>
      <c r="X95" s="7">
        <f t="shared" si="26"/>
        <v>15274.160000000003</v>
      </c>
      <c r="Y95" s="3"/>
      <c r="Z95" s="8">
        <f t="shared" si="27"/>
        <v>0.63783187873220037</v>
      </c>
    </row>
    <row r="96" spans="1:26" s="70" customFormat="1" ht="15" hidden="1" customHeight="1" outlineLevel="2" x14ac:dyDescent="0.3">
      <c r="A96" s="26"/>
      <c r="B96" s="12" t="str">
        <f>CONCATENATE("          ","6254"," - ","ROYALTY &amp; COMMISSIONS")</f>
        <v xml:space="preserve">          6254 - ROYALTY &amp; COMMISSIONS</v>
      </c>
      <c r="C96" s="12"/>
      <c r="D96" s="7"/>
      <c r="E96" s="3"/>
      <c r="F96" s="8">
        <f t="shared" si="20"/>
        <v>0</v>
      </c>
      <c r="G96" s="3"/>
      <c r="H96" s="7">
        <v>1000</v>
      </c>
      <c r="I96" s="3"/>
      <c r="J96" s="8">
        <f t="shared" si="21"/>
        <v>3.8827562910358805E-3</v>
      </c>
      <c r="K96" s="3"/>
      <c r="L96" s="7">
        <f t="shared" si="22"/>
        <v>-1000</v>
      </c>
      <c r="M96" s="3"/>
      <c r="N96" s="8">
        <f t="shared" si="23"/>
        <v>-1</v>
      </c>
      <c r="O96" s="12"/>
      <c r="P96" s="7">
        <v>3509.15</v>
      </c>
      <c r="Q96" s="3"/>
      <c r="R96" s="8">
        <f t="shared" si="24"/>
        <v>1.0678978240450151E-3</v>
      </c>
      <c r="S96" s="3"/>
      <c r="T96" s="7">
        <v>2500</v>
      </c>
      <c r="U96" s="3"/>
      <c r="V96" s="8">
        <f t="shared" si="25"/>
        <v>1.0230451142434478E-3</v>
      </c>
      <c r="W96" s="3"/>
      <c r="X96" s="7">
        <f t="shared" si="26"/>
        <v>1009.1500000000001</v>
      </c>
      <c r="Y96" s="3"/>
      <c r="Z96" s="8">
        <f t="shared" si="27"/>
        <v>0.40366000000000002</v>
      </c>
    </row>
    <row r="97" spans="1:26" s="69" customFormat="1" ht="15" customHeight="1" outlineLevel="1" collapsed="1" x14ac:dyDescent="0.3">
      <c r="A97" s="25"/>
      <c r="B97" s="14" t="str">
        <f>CONCATENATE("     ","Services                                          ")</f>
        <v xml:space="preserve">     Services                                          </v>
      </c>
      <c r="C97" s="14"/>
      <c r="D97" s="2">
        <f>SUM(OSRRefD22_16x_0)</f>
        <v>223.45</v>
      </c>
      <c r="E97" s="2"/>
      <c r="F97" s="6">
        <f t="shared" si="20"/>
        <v>4.3874378807911229E-4</v>
      </c>
      <c r="G97" s="2"/>
      <c r="H97" s="2">
        <f>SUM(OSRRefH22_16x_0)</f>
        <v>120</v>
      </c>
      <c r="I97" s="2"/>
      <c r="J97" s="6">
        <f t="shared" si="21"/>
        <v>4.6593075492430566E-4</v>
      </c>
      <c r="K97" s="2"/>
      <c r="L97" s="2">
        <f t="shared" si="22"/>
        <v>103.44999999999999</v>
      </c>
      <c r="M97" s="2"/>
      <c r="N97" s="6">
        <f t="shared" si="23"/>
        <v>0.8620833333333332</v>
      </c>
      <c r="O97" s="14"/>
      <c r="P97" s="2">
        <f>SUM(OSRRefP22_16x_0)</f>
        <v>1578.81</v>
      </c>
      <c r="Q97" s="2"/>
      <c r="R97" s="6">
        <f t="shared" si="24"/>
        <v>4.804604430077114E-4</v>
      </c>
      <c r="S97" s="2"/>
      <c r="T97" s="2">
        <f>SUM(OSRRefT22_16x_0)</f>
        <v>720</v>
      </c>
      <c r="U97" s="2"/>
      <c r="V97" s="6">
        <f t="shared" si="25"/>
        <v>2.9463699290211299E-4</v>
      </c>
      <c r="W97" s="2"/>
      <c r="X97" s="2">
        <f t="shared" si="26"/>
        <v>858.81</v>
      </c>
      <c r="Y97" s="2"/>
      <c r="Z97" s="6">
        <f t="shared" si="27"/>
        <v>1.1927916666666667</v>
      </c>
    </row>
    <row r="98" spans="1:26" s="70" customFormat="1" ht="15" hidden="1" customHeight="1" outlineLevel="2" x14ac:dyDescent="0.3">
      <c r="A98" s="26"/>
      <c r="B98" s="12" t="str">
        <f>CONCATENATE("          ","6284"," - ","TRASH REMOVAL EXPENSE")</f>
        <v xml:space="preserve">          6284 - TRASH REMOVAL EXPENSE</v>
      </c>
      <c r="C98" s="12"/>
      <c r="D98" s="7">
        <v>149.69999999999999</v>
      </c>
      <c r="E98" s="3"/>
      <c r="F98" s="8">
        <f t="shared" si="20"/>
        <v>2.9393575777777179E-4</v>
      </c>
      <c r="G98" s="3"/>
      <c r="H98" s="7">
        <v>120</v>
      </c>
      <c r="I98" s="3"/>
      <c r="J98" s="8">
        <f t="shared" si="21"/>
        <v>4.6593075492430566E-4</v>
      </c>
      <c r="K98" s="3"/>
      <c r="L98" s="7">
        <f t="shared" si="22"/>
        <v>29.699999999999989</v>
      </c>
      <c r="M98" s="3"/>
      <c r="N98" s="8">
        <f t="shared" si="23"/>
        <v>0.24749999999999991</v>
      </c>
      <c r="O98" s="12"/>
      <c r="P98" s="7">
        <v>1340.17</v>
      </c>
      <c r="Q98" s="3"/>
      <c r="R98" s="8">
        <f t="shared" si="24"/>
        <v>4.0783797411065589E-4</v>
      </c>
      <c r="S98" s="3"/>
      <c r="T98" s="7">
        <v>720</v>
      </c>
      <c r="U98" s="3"/>
      <c r="V98" s="8">
        <f t="shared" si="25"/>
        <v>2.9463699290211299E-4</v>
      </c>
      <c r="W98" s="3"/>
      <c r="X98" s="7">
        <f t="shared" si="26"/>
        <v>620.17000000000007</v>
      </c>
      <c r="Y98" s="3"/>
      <c r="Z98" s="8">
        <f t="shared" si="27"/>
        <v>0.86134722222222238</v>
      </c>
    </row>
    <row r="99" spans="1:26" s="70" customFormat="1" ht="15" hidden="1" customHeight="1" outlineLevel="2" x14ac:dyDescent="0.3">
      <c r="A99" s="26"/>
      <c r="B99" s="12" t="str">
        <f>CONCATENATE("          ","6285"," - ","JANITORIAL SERVICES")</f>
        <v xml:space="preserve">          6285 - JANITORIAL SERVICES</v>
      </c>
      <c r="C99" s="12"/>
      <c r="D99" s="7">
        <v>73.75</v>
      </c>
      <c r="E99" s="3"/>
      <c r="F99" s="8">
        <f t="shared" si="20"/>
        <v>1.448080303013405E-4</v>
      </c>
      <c r="G99" s="3"/>
      <c r="H99" s="7"/>
      <c r="I99" s="3"/>
      <c r="J99" s="8">
        <f t="shared" si="21"/>
        <v>0</v>
      </c>
      <c r="K99" s="3"/>
      <c r="L99" s="7">
        <f t="shared" si="22"/>
        <v>73.75</v>
      </c>
      <c r="M99" s="3"/>
      <c r="N99" s="8">
        <f t="shared" si="23"/>
        <v>0</v>
      </c>
      <c r="O99" s="12"/>
      <c r="P99" s="7">
        <v>238.64</v>
      </c>
      <c r="Q99" s="3"/>
      <c r="R99" s="8">
        <f t="shared" si="24"/>
        <v>7.2622468897055525E-5</v>
      </c>
      <c r="S99" s="3"/>
      <c r="T99" s="7"/>
      <c r="U99" s="3"/>
      <c r="V99" s="8">
        <f t="shared" si="25"/>
        <v>0</v>
      </c>
      <c r="W99" s="3"/>
      <c r="X99" s="7">
        <f t="shared" si="26"/>
        <v>238.64</v>
      </c>
      <c r="Y99" s="3"/>
      <c r="Z99" s="8">
        <f t="shared" si="27"/>
        <v>0</v>
      </c>
    </row>
    <row r="100" spans="1:26" s="69" customFormat="1" ht="15" customHeight="1" outlineLevel="1" collapsed="1" x14ac:dyDescent="0.3">
      <c r="A100" s="25"/>
      <c r="B100" s="14" t="str">
        <f>CONCATENATE("     ","Subscriptions &amp; Dues                              ")</f>
        <v xml:space="preserve">     Subscriptions &amp; Dues                              </v>
      </c>
      <c r="C100" s="14"/>
      <c r="D100" s="2">
        <f>SUM(OSRRefD22_17x_0)</f>
        <v>125</v>
      </c>
      <c r="E100" s="2"/>
      <c r="F100" s="6">
        <f t="shared" si="20"/>
        <v>2.4543733949379743E-4</v>
      </c>
      <c r="G100" s="2"/>
      <c r="H100" s="2">
        <f>SUM(OSRRefH22_17x_0)</f>
        <v>181</v>
      </c>
      <c r="I100" s="2"/>
      <c r="J100" s="6">
        <f t="shared" si="21"/>
        <v>7.0277888867749437E-4</v>
      </c>
      <c r="K100" s="2"/>
      <c r="L100" s="2">
        <f t="shared" si="22"/>
        <v>-56</v>
      </c>
      <c r="M100" s="2"/>
      <c r="N100" s="6">
        <f t="shared" si="23"/>
        <v>-0.30939226519337015</v>
      </c>
      <c r="O100" s="14"/>
      <c r="P100" s="2">
        <f>SUM(OSRRefP22_17x_0)</f>
        <v>125</v>
      </c>
      <c r="Q100" s="2"/>
      <c r="R100" s="6">
        <f t="shared" si="24"/>
        <v>3.8039761197334656E-5</v>
      </c>
      <c r="S100" s="2"/>
      <c r="T100" s="2">
        <f>SUM(OSRRefT22_17x_0)</f>
        <v>2344</v>
      </c>
      <c r="U100" s="2"/>
      <c r="V100" s="6">
        <f t="shared" si="25"/>
        <v>9.5920709911465681E-4</v>
      </c>
      <c r="W100" s="2"/>
      <c r="X100" s="2">
        <f t="shared" si="26"/>
        <v>-2219</v>
      </c>
      <c r="Y100" s="2"/>
      <c r="Z100" s="6">
        <f t="shared" si="27"/>
        <v>-0.94667235494880542</v>
      </c>
    </row>
    <row r="101" spans="1:26" s="70" customFormat="1" ht="15" hidden="1" customHeight="1" outlineLevel="2" x14ac:dyDescent="0.3">
      <c r="A101" s="26"/>
      <c r="B101" s="12" t="str">
        <f>CONCATENATE("          ","6258"," - ","MEMBERSHIP DUES")</f>
        <v xml:space="preserve">          6258 - MEMBERSHIP DUES</v>
      </c>
      <c r="C101" s="12"/>
      <c r="D101" s="7">
        <v>125</v>
      </c>
      <c r="E101" s="3"/>
      <c r="F101" s="8">
        <f t="shared" si="20"/>
        <v>2.4543733949379743E-4</v>
      </c>
      <c r="G101" s="3"/>
      <c r="H101" s="7">
        <v>0</v>
      </c>
      <c r="I101" s="3"/>
      <c r="J101" s="8">
        <f t="shared" si="21"/>
        <v>0</v>
      </c>
      <c r="K101" s="3"/>
      <c r="L101" s="7">
        <f t="shared" si="22"/>
        <v>125</v>
      </c>
      <c r="M101" s="3"/>
      <c r="N101" s="8">
        <f t="shared" si="23"/>
        <v>0</v>
      </c>
      <c r="O101" s="12"/>
      <c r="P101" s="7">
        <v>125</v>
      </c>
      <c r="Q101" s="3"/>
      <c r="R101" s="8">
        <f t="shared" si="24"/>
        <v>3.8039761197334656E-5</v>
      </c>
      <c r="S101" s="3"/>
      <c r="T101" s="7">
        <v>1395</v>
      </c>
      <c r="U101" s="3"/>
      <c r="V101" s="8">
        <f t="shared" si="25"/>
        <v>5.7085917374784397E-4</v>
      </c>
      <c r="W101" s="3"/>
      <c r="X101" s="7">
        <f t="shared" si="26"/>
        <v>-1270</v>
      </c>
      <c r="Y101" s="3"/>
      <c r="Z101" s="8">
        <f t="shared" si="27"/>
        <v>-0.91039426523297495</v>
      </c>
    </row>
    <row r="102" spans="1:26" s="70" customFormat="1" ht="15" hidden="1" customHeight="1" outlineLevel="2" x14ac:dyDescent="0.3">
      <c r="A102" s="26"/>
      <c r="B102" s="12" t="str">
        <f>CONCATENATE("          ","6275"," - ","SUBSCRIPTIONS")</f>
        <v xml:space="preserve">          6275 - SUBSCRIPTIONS</v>
      </c>
      <c r="C102" s="12"/>
      <c r="D102" s="7"/>
      <c r="E102" s="3"/>
      <c r="F102" s="8">
        <f t="shared" si="20"/>
        <v>0</v>
      </c>
      <c r="G102" s="3"/>
      <c r="H102" s="7">
        <v>181</v>
      </c>
      <c r="I102" s="3"/>
      <c r="J102" s="8">
        <f t="shared" si="21"/>
        <v>7.0277888867749437E-4</v>
      </c>
      <c r="K102" s="3"/>
      <c r="L102" s="7">
        <f t="shared" si="22"/>
        <v>-181</v>
      </c>
      <c r="M102" s="3"/>
      <c r="N102" s="8">
        <f t="shared" si="23"/>
        <v>-1</v>
      </c>
      <c r="O102" s="12"/>
      <c r="P102" s="7"/>
      <c r="Q102" s="3"/>
      <c r="R102" s="8">
        <f t="shared" si="24"/>
        <v>0</v>
      </c>
      <c r="S102" s="3"/>
      <c r="T102" s="7">
        <v>949</v>
      </c>
      <c r="U102" s="3"/>
      <c r="V102" s="8">
        <f t="shared" si="25"/>
        <v>3.8834792536681284E-4</v>
      </c>
      <c r="W102" s="3"/>
      <c r="X102" s="7">
        <f t="shared" si="26"/>
        <v>-949</v>
      </c>
      <c r="Y102" s="3"/>
      <c r="Z102" s="8">
        <f t="shared" si="27"/>
        <v>-1</v>
      </c>
    </row>
    <row r="103" spans="1:26" s="69" customFormat="1" ht="15" customHeight="1" outlineLevel="1" collapsed="1" x14ac:dyDescent="0.3">
      <c r="A103" s="25"/>
      <c r="B103" s="14" t="str">
        <f>CONCATENATE("     ","Supplies                                          ")</f>
        <v xml:space="preserve">     Supplies                                          </v>
      </c>
      <c r="C103" s="14"/>
      <c r="D103" s="2">
        <f>SUM(OSRRefD22_18x_0)</f>
        <v>326.77000000000004</v>
      </c>
      <c r="E103" s="2"/>
      <c r="F103" s="6">
        <f t="shared" si="20"/>
        <v>6.4161247541110562E-4</v>
      </c>
      <c r="G103" s="2"/>
      <c r="H103" s="2">
        <f>SUM(OSRRefH22_18x_0)</f>
        <v>105</v>
      </c>
      <c r="I103" s="2"/>
      <c r="J103" s="6">
        <f t="shared" si="21"/>
        <v>4.0768941055876746E-4</v>
      </c>
      <c r="K103" s="2"/>
      <c r="L103" s="2">
        <f t="shared" si="22"/>
        <v>221.77000000000004</v>
      </c>
      <c r="M103" s="2"/>
      <c r="N103" s="6">
        <f t="shared" si="23"/>
        <v>2.1120952380952382</v>
      </c>
      <c r="O103" s="14"/>
      <c r="P103" s="2">
        <f>SUM(OSRRefP22_18x_0)</f>
        <v>9523.6200000000008</v>
      </c>
      <c r="Q103" s="2"/>
      <c r="R103" s="6">
        <f t="shared" si="24"/>
        <v>2.898209844273282E-3</v>
      </c>
      <c r="S103" s="2"/>
      <c r="T103" s="2">
        <f>SUM(OSRRefT22_18x_0)</f>
        <v>1025</v>
      </c>
      <c r="U103" s="2"/>
      <c r="V103" s="6">
        <f t="shared" si="25"/>
        <v>4.1944849683981365E-4</v>
      </c>
      <c r="W103" s="2"/>
      <c r="X103" s="2">
        <f t="shared" si="26"/>
        <v>8498.6200000000008</v>
      </c>
      <c r="Y103" s="2"/>
      <c r="Z103" s="6">
        <f t="shared" si="27"/>
        <v>8.2913365853658547</v>
      </c>
    </row>
    <row r="104" spans="1:26" s="70" customFormat="1" ht="15" hidden="1" customHeight="1" outlineLevel="2" x14ac:dyDescent="0.3">
      <c r="A104" s="26"/>
      <c r="B104" s="12" t="str">
        <f>CONCATENATE("          ","6235"," - ","COVID-19 EXPENSES")</f>
        <v xml:space="preserve">          6235 - COVID-19 EXPENSES</v>
      </c>
      <c r="C104" s="12"/>
      <c r="D104" s="7"/>
      <c r="E104" s="3"/>
      <c r="F104" s="8">
        <f t="shared" si="20"/>
        <v>0</v>
      </c>
      <c r="G104" s="3"/>
      <c r="H104" s="7">
        <v>0</v>
      </c>
      <c r="I104" s="3"/>
      <c r="J104" s="8">
        <f t="shared" si="21"/>
        <v>0</v>
      </c>
      <c r="K104" s="3"/>
      <c r="L104" s="7">
        <f t="shared" si="22"/>
        <v>0</v>
      </c>
      <c r="M104" s="3"/>
      <c r="N104" s="8">
        <f t="shared" si="23"/>
        <v>0</v>
      </c>
      <c r="O104" s="12"/>
      <c r="P104" s="7"/>
      <c r="Q104" s="3"/>
      <c r="R104" s="8">
        <f t="shared" si="24"/>
        <v>0</v>
      </c>
      <c r="S104" s="3"/>
      <c r="T104" s="7">
        <v>0</v>
      </c>
      <c r="U104" s="3"/>
      <c r="V104" s="8">
        <f t="shared" si="25"/>
        <v>0</v>
      </c>
      <c r="W104" s="3"/>
      <c r="X104" s="7">
        <f t="shared" si="26"/>
        <v>0</v>
      </c>
      <c r="Y104" s="3"/>
      <c r="Z104" s="8">
        <f t="shared" si="27"/>
        <v>0</v>
      </c>
    </row>
    <row r="105" spans="1:26" s="70" customFormat="1" ht="15" hidden="1" customHeight="1" outlineLevel="2" x14ac:dyDescent="0.3">
      <c r="A105" s="26"/>
      <c r="B105" s="12" t="str">
        <f>CONCATENATE("          ","6237"," - ","JANITORIAL SUPPLIES")</f>
        <v xml:space="preserve">          6237 - JANITORIAL SUPPLIES</v>
      </c>
      <c r="C105" s="12"/>
      <c r="D105" s="7"/>
      <c r="E105" s="3"/>
      <c r="F105" s="8">
        <f t="shared" si="20"/>
        <v>0</v>
      </c>
      <c r="G105" s="3"/>
      <c r="H105" s="7">
        <v>10</v>
      </c>
      <c r="I105" s="3"/>
      <c r="J105" s="8">
        <f t="shared" si="21"/>
        <v>3.8827562910358808E-5</v>
      </c>
      <c r="K105" s="3"/>
      <c r="L105" s="7">
        <f t="shared" si="22"/>
        <v>-10</v>
      </c>
      <c r="M105" s="3"/>
      <c r="N105" s="8">
        <f t="shared" si="23"/>
        <v>-1</v>
      </c>
      <c r="O105" s="12"/>
      <c r="P105" s="7">
        <v>77.17</v>
      </c>
      <c r="Q105" s="3"/>
      <c r="R105" s="8">
        <f t="shared" si="24"/>
        <v>2.348422697278652E-5</v>
      </c>
      <c r="S105" s="3"/>
      <c r="T105" s="7">
        <v>170</v>
      </c>
      <c r="U105" s="3"/>
      <c r="V105" s="8">
        <f t="shared" si="25"/>
        <v>6.956706776855446E-5</v>
      </c>
      <c r="W105" s="3"/>
      <c r="X105" s="7">
        <f t="shared" si="26"/>
        <v>-92.83</v>
      </c>
      <c r="Y105" s="3"/>
      <c r="Z105" s="8">
        <f t="shared" si="27"/>
        <v>-0.54605882352941171</v>
      </c>
    </row>
    <row r="106" spans="1:26" s="70" customFormat="1" ht="15" hidden="1" customHeight="1" outlineLevel="2" x14ac:dyDescent="0.3">
      <c r="A106" s="26"/>
      <c r="B106" s="12" t="str">
        <f>CONCATENATE("          ","6241"," - ","OFFICE EXPENSE")</f>
        <v xml:space="preserve">          6241 - OFFICE EXPENSE</v>
      </c>
      <c r="C106" s="12"/>
      <c r="D106" s="7">
        <v>258.54000000000002</v>
      </c>
      <c r="E106" s="3"/>
      <c r="F106" s="8">
        <f t="shared" ref="F106:F117" si="28">IF(D$12=0,0,D106/D$12)</f>
        <v>5.0764295802181118E-4</v>
      </c>
      <c r="G106" s="3"/>
      <c r="H106" s="7">
        <v>45</v>
      </c>
      <c r="I106" s="3"/>
      <c r="J106" s="8">
        <f t="shared" ref="J106:J117" si="29">IF(H$12=0,0,H106/H$12)</f>
        <v>1.7472403309661463E-4</v>
      </c>
      <c r="K106" s="3"/>
      <c r="L106" s="7">
        <f t="shared" ref="L106:L117" si="30">+D106-H106</f>
        <v>213.54000000000002</v>
      </c>
      <c r="M106" s="3"/>
      <c r="N106" s="8">
        <f t="shared" ref="N106:N117" si="31">IF(H106=0,0,L106/H106)</f>
        <v>4.7453333333333338</v>
      </c>
      <c r="O106" s="12"/>
      <c r="P106" s="7">
        <v>2281.81</v>
      </c>
      <c r="Q106" s="3"/>
      <c r="R106" s="8">
        <f t="shared" ref="R106:R117" si="32">IF(P$12=0,0,P106/P$12)</f>
        <v>6.943960599815215E-4</v>
      </c>
      <c r="S106" s="3"/>
      <c r="T106" s="7">
        <v>405</v>
      </c>
      <c r="U106" s="3"/>
      <c r="V106" s="8">
        <f t="shared" ref="V106:V117" si="33">IF(T$12=0,0,T106/T$12)</f>
        <v>1.6573330850743856E-4</v>
      </c>
      <c r="W106" s="3"/>
      <c r="X106" s="7">
        <f t="shared" ref="X106:X117" si="34">+P106-T106</f>
        <v>1876.81</v>
      </c>
      <c r="Y106" s="3"/>
      <c r="Z106" s="8">
        <f t="shared" ref="Z106:Z117" si="35">IF(T106=0,0,X106/T106)</f>
        <v>4.6340987654320989</v>
      </c>
    </row>
    <row r="107" spans="1:26" s="70" customFormat="1" ht="15" hidden="1" customHeight="1" outlineLevel="2" x14ac:dyDescent="0.3">
      <c r="A107" s="26"/>
      <c r="B107" s="12" t="str">
        <f>CONCATENATE("          ","6245"," - ","PRINTING")</f>
        <v xml:space="preserve">          6245 - PRINTING</v>
      </c>
      <c r="C107" s="12"/>
      <c r="D107" s="7">
        <v>10.8</v>
      </c>
      <c r="E107" s="3"/>
      <c r="F107" s="8">
        <f t="shared" si="28"/>
        <v>2.1205786132264101E-5</v>
      </c>
      <c r="G107" s="3"/>
      <c r="H107" s="7"/>
      <c r="I107" s="3"/>
      <c r="J107" s="8">
        <f t="shared" si="29"/>
        <v>0</v>
      </c>
      <c r="K107" s="3"/>
      <c r="L107" s="7">
        <f t="shared" si="30"/>
        <v>10.8</v>
      </c>
      <c r="M107" s="3"/>
      <c r="N107" s="8">
        <f t="shared" si="31"/>
        <v>0</v>
      </c>
      <c r="O107" s="12"/>
      <c r="P107" s="7">
        <v>35.549999999999997</v>
      </c>
      <c r="Q107" s="3"/>
      <c r="R107" s="8">
        <f t="shared" si="32"/>
        <v>1.0818508084521974E-5</v>
      </c>
      <c r="S107" s="3"/>
      <c r="T107" s="7"/>
      <c r="U107" s="3"/>
      <c r="V107" s="8">
        <f t="shared" si="33"/>
        <v>0</v>
      </c>
      <c r="W107" s="3"/>
      <c r="X107" s="7">
        <f t="shared" si="34"/>
        <v>35.549999999999997</v>
      </c>
      <c r="Y107" s="3"/>
      <c r="Z107" s="8">
        <f t="shared" si="35"/>
        <v>0</v>
      </c>
    </row>
    <row r="108" spans="1:26" s="70" customFormat="1" ht="15" hidden="1" customHeight="1" outlineLevel="2" x14ac:dyDescent="0.3">
      <c r="A108" s="26"/>
      <c r="B108" s="12" t="str">
        <f>CONCATENATE("          ","6247"," - ","STORE SUPPLIES")</f>
        <v xml:space="preserve">          6247 - STORE SUPPLIES</v>
      </c>
      <c r="C108" s="12"/>
      <c r="D108" s="7">
        <v>57.43</v>
      </c>
      <c r="E108" s="3"/>
      <c r="F108" s="8">
        <f t="shared" si="28"/>
        <v>1.127637312570303E-4</v>
      </c>
      <c r="G108" s="3"/>
      <c r="H108" s="7">
        <v>50</v>
      </c>
      <c r="I108" s="3"/>
      <c r="J108" s="8">
        <f t="shared" si="29"/>
        <v>1.9413781455179403E-4</v>
      </c>
      <c r="K108" s="3"/>
      <c r="L108" s="7">
        <f t="shared" si="30"/>
        <v>7.43</v>
      </c>
      <c r="M108" s="3"/>
      <c r="N108" s="8">
        <f t="shared" si="31"/>
        <v>0.14859999999999998</v>
      </c>
      <c r="O108" s="12"/>
      <c r="P108" s="7">
        <v>7129.09</v>
      </c>
      <c r="Q108" s="3"/>
      <c r="R108" s="8">
        <f t="shared" si="32"/>
        <v>2.1695110492344523E-3</v>
      </c>
      <c r="S108" s="3"/>
      <c r="T108" s="7">
        <v>450</v>
      </c>
      <c r="U108" s="3"/>
      <c r="V108" s="8">
        <f t="shared" si="33"/>
        <v>1.8414812056382062E-4</v>
      </c>
      <c r="W108" s="3"/>
      <c r="X108" s="7">
        <f t="shared" si="34"/>
        <v>6679.09</v>
      </c>
      <c r="Y108" s="3"/>
      <c r="Z108" s="8">
        <f t="shared" si="35"/>
        <v>14.842422222222222</v>
      </c>
    </row>
    <row r="109" spans="1:26" s="69" customFormat="1" ht="15" customHeight="1" outlineLevel="1" collapsed="1" x14ac:dyDescent="0.3">
      <c r="A109" s="25"/>
      <c r="B109" s="14" t="str">
        <f>CONCATENATE("     ","Telephone/Data Lines                              ")</f>
        <v xml:space="preserve">     Telephone/Data Lines                              </v>
      </c>
      <c r="C109" s="14"/>
      <c r="D109" s="2">
        <f>SUM(OSRRefD22_19x_0)</f>
        <v>536.59</v>
      </c>
      <c r="E109" s="2"/>
      <c r="F109" s="6">
        <f t="shared" si="28"/>
        <v>1.0535937759918142E-3</v>
      </c>
      <c r="G109" s="2"/>
      <c r="H109" s="2">
        <f>SUM(OSRRefH22_19x_0)</f>
        <v>550</v>
      </c>
      <c r="I109" s="2"/>
      <c r="J109" s="6">
        <f t="shared" si="29"/>
        <v>2.1355159600697344E-3</v>
      </c>
      <c r="K109" s="2"/>
      <c r="L109" s="2">
        <f t="shared" si="30"/>
        <v>-13.409999999999968</v>
      </c>
      <c r="M109" s="2"/>
      <c r="N109" s="6">
        <f t="shared" si="31"/>
        <v>-2.4381818181818123E-2</v>
      </c>
      <c r="O109" s="14"/>
      <c r="P109" s="2">
        <f>SUM(OSRRefP22_19x_0)</f>
        <v>4678.51</v>
      </c>
      <c r="Q109" s="2"/>
      <c r="R109" s="6">
        <f t="shared" si="32"/>
        <v>1.4237552252747373E-3</v>
      </c>
      <c r="S109" s="2"/>
      <c r="T109" s="2">
        <f>SUM(OSRRefT22_19x_0)</f>
        <v>4950</v>
      </c>
      <c r="U109" s="2"/>
      <c r="V109" s="6">
        <f t="shared" si="33"/>
        <v>2.0256293262020269E-3</v>
      </c>
      <c r="W109" s="2"/>
      <c r="X109" s="2">
        <f t="shared" si="34"/>
        <v>-271.48999999999978</v>
      </c>
      <c r="Y109" s="2"/>
      <c r="Z109" s="6">
        <f t="shared" si="35"/>
        <v>-5.4846464646464602E-2</v>
      </c>
    </row>
    <row r="110" spans="1:26" s="70" customFormat="1" ht="15" hidden="1" customHeight="1" outlineLevel="2" x14ac:dyDescent="0.3">
      <c r="A110" s="26"/>
      <c r="B110" s="12" t="str">
        <f>CONCATENATE("          ","6309"," - ","TELEPHONE")</f>
        <v xml:space="preserve">          6309 - TELEPHONE</v>
      </c>
      <c r="C110" s="12"/>
      <c r="D110" s="7">
        <v>536.59</v>
      </c>
      <c r="E110" s="3"/>
      <c r="F110" s="8">
        <f t="shared" si="28"/>
        <v>1.0535937759918142E-3</v>
      </c>
      <c r="G110" s="3"/>
      <c r="H110" s="7">
        <v>550</v>
      </c>
      <c r="I110" s="3"/>
      <c r="J110" s="8">
        <f t="shared" si="29"/>
        <v>2.1355159600697344E-3</v>
      </c>
      <c r="K110" s="3"/>
      <c r="L110" s="7">
        <f t="shared" si="30"/>
        <v>-13.409999999999968</v>
      </c>
      <c r="M110" s="3"/>
      <c r="N110" s="8">
        <f t="shared" si="31"/>
        <v>-2.4381818181818123E-2</v>
      </c>
      <c r="O110" s="12"/>
      <c r="P110" s="7">
        <v>4678.51</v>
      </c>
      <c r="Q110" s="3"/>
      <c r="R110" s="8">
        <f t="shared" si="32"/>
        <v>1.4237552252747373E-3</v>
      </c>
      <c r="S110" s="3"/>
      <c r="T110" s="7">
        <v>4950</v>
      </c>
      <c r="U110" s="3"/>
      <c r="V110" s="8">
        <f t="shared" si="33"/>
        <v>2.0256293262020269E-3</v>
      </c>
      <c r="W110" s="3"/>
      <c r="X110" s="7">
        <f t="shared" si="34"/>
        <v>-271.48999999999978</v>
      </c>
      <c r="Y110" s="3"/>
      <c r="Z110" s="8">
        <f t="shared" si="35"/>
        <v>-5.4846464646464602E-2</v>
      </c>
    </row>
    <row r="111" spans="1:26" s="69" customFormat="1" ht="15" customHeight="1" outlineLevel="1" collapsed="1" x14ac:dyDescent="0.3">
      <c r="A111" s="25"/>
      <c r="B111" s="14" t="str">
        <f>CONCATENATE("     ","Training                                          ")</f>
        <v xml:space="preserve">     Training                                          </v>
      </c>
      <c r="C111" s="14"/>
      <c r="D111" s="2">
        <f>SUM(OSRRefD22_20x_0)</f>
        <v>0</v>
      </c>
      <c r="E111" s="2"/>
      <c r="F111" s="6">
        <f t="shared" si="28"/>
        <v>0</v>
      </c>
      <c r="G111" s="2"/>
      <c r="H111" s="2">
        <f>SUM(OSRRefH22_20x_0)</f>
        <v>0</v>
      </c>
      <c r="I111" s="2"/>
      <c r="J111" s="6">
        <f t="shared" si="29"/>
        <v>0</v>
      </c>
      <c r="K111" s="2"/>
      <c r="L111" s="2">
        <f t="shared" si="30"/>
        <v>0</v>
      </c>
      <c r="M111" s="2"/>
      <c r="N111" s="6">
        <f t="shared" si="31"/>
        <v>0</v>
      </c>
      <c r="O111" s="14"/>
      <c r="P111" s="2">
        <f>SUM(OSRRefP22_20x_0)</f>
        <v>300</v>
      </c>
      <c r="Q111" s="2"/>
      <c r="R111" s="6">
        <f t="shared" si="32"/>
        <v>9.1295426873603169E-5</v>
      </c>
      <c r="S111" s="2"/>
      <c r="T111" s="2">
        <f>SUM(OSRRefT22_20x_0)</f>
        <v>0</v>
      </c>
      <c r="U111" s="2"/>
      <c r="V111" s="6">
        <f t="shared" si="33"/>
        <v>0</v>
      </c>
      <c r="W111" s="2"/>
      <c r="X111" s="2">
        <f t="shared" si="34"/>
        <v>300</v>
      </c>
      <c r="Y111" s="2"/>
      <c r="Z111" s="6">
        <f t="shared" si="35"/>
        <v>0</v>
      </c>
    </row>
    <row r="112" spans="1:26" s="70" customFormat="1" ht="15" hidden="1" customHeight="1" outlineLevel="2" x14ac:dyDescent="0.3">
      <c r="A112" s="26"/>
      <c r="B112" s="12" t="str">
        <f>CONCATENATE("          ","6376"," - ","TRAINING")</f>
        <v xml:space="preserve">          6376 - TRAINING</v>
      </c>
      <c r="C112" s="12"/>
      <c r="D112" s="7"/>
      <c r="E112" s="3"/>
      <c r="F112" s="8">
        <f t="shared" si="28"/>
        <v>0</v>
      </c>
      <c r="G112" s="3"/>
      <c r="H112" s="7"/>
      <c r="I112" s="3"/>
      <c r="J112" s="8">
        <f t="shared" si="29"/>
        <v>0</v>
      </c>
      <c r="K112" s="3"/>
      <c r="L112" s="7">
        <f t="shared" si="30"/>
        <v>0</v>
      </c>
      <c r="M112" s="3"/>
      <c r="N112" s="8">
        <f t="shared" si="31"/>
        <v>0</v>
      </c>
      <c r="O112" s="12"/>
      <c r="P112" s="7">
        <v>300</v>
      </c>
      <c r="Q112" s="3"/>
      <c r="R112" s="8">
        <f t="shared" si="32"/>
        <v>9.1295426873603169E-5</v>
      </c>
      <c r="S112" s="3"/>
      <c r="T112" s="7"/>
      <c r="U112" s="3"/>
      <c r="V112" s="8">
        <f t="shared" si="33"/>
        <v>0</v>
      </c>
      <c r="W112" s="3"/>
      <c r="X112" s="7">
        <f t="shared" si="34"/>
        <v>300</v>
      </c>
      <c r="Y112" s="3"/>
      <c r="Z112" s="8">
        <f t="shared" si="35"/>
        <v>0</v>
      </c>
    </row>
    <row r="113" spans="1:26" s="69" customFormat="1" ht="15" customHeight="1" outlineLevel="1" collapsed="1" x14ac:dyDescent="0.3">
      <c r="A113" s="25"/>
      <c r="B113" s="14" t="str">
        <f>CONCATENATE("     ","Travel                                            ")</f>
        <v xml:space="preserve">     Travel                                            </v>
      </c>
      <c r="C113" s="14"/>
      <c r="D113" s="2">
        <f>SUM(OSRRefD22_21x_0)</f>
        <v>46.81</v>
      </c>
      <c r="E113" s="2"/>
      <c r="F113" s="6">
        <f t="shared" si="28"/>
        <v>9.1911374893637274E-5</v>
      </c>
      <c r="G113" s="2"/>
      <c r="H113" s="2">
        <f>SUM(OSRRefH22_21x_0)</f>
        <v>50</v>
      </c>
      <c r="I113" s="2"/>
      <c r="J113" s="6">
        <f t="shared" si="29"/>
        <v>1.9413781455179403E-4</v>
      </c>
      <c r="K113" s="2"/>
      <c r="L113" s="2">
        <f t="shared" si="30"/>
        <v>-3.1899999999999977</v>
      </c>
      <c r="M113" s="2"/>
      <c r="N113" s="6">
        <f t="shared" si="31"/>
        <v>-6.3799999999999954E-2</v>
      </c>
      <c r="O113" s="14"/>
      <c r="P113" s="2">
        <f>SUM(OSRRefP22_21x_0)</f>
        <v>403.48</v>
      </c>
      <c r="Q113" s="2"/>
      <c r="R113" s="6">
        <f t="shared" si="32"/>
        <v>1.227862627832047E-4</v>
      </c>
      <c r="S113" s="2"/>
      <c r="T113" s="2">
        <f>SUM(OSRRefT22_21x_0)</f>
        <v>700</v>
      </c>
      <c r="U113" s="2"/>
      <c r="V113" s="6">
        <f t="shared" si="33"/>
        <v>2.8645263198816539E-4</v>
      </c>
      <c r="W113" s="2"/>
      <c r="X113" s="2">
        <f t="shared" si="34"/>
        <v>-296.52</v>
      </c>
      <c r="Y113" s="2"/>
      <c r="Z113" s="6">
        <f t="shared" si="35"/>
        <v>-0.42359999999999998</v>
      </c>
    </row>
    <row r="114" spans="1:26" s="70" customFormat="1" ht="15" hidden="1" customHeight="1" outlineLevel="2" x14ac:dyDescent="0.3">
      <c r="A114" s="26"/>
      <c r="B114" s="12" t="str">
        <f>CONCATENATE("          ","6294"," - ","TRAVEL OPERATIONAL")</f>
        <v xml:space="preserve">          6294 - TRAVEL OPERATIONAL</v>
      </c>
      <c r="C114" s="12"/>
      <c r="D114" s="7">
        <v>46.81</v>
      </c>
      <c r="E114" s="3"/>
      <c r="F114" s="8">
        <f t="shared" si="28"/>
        <v>9.1911374893637274E-5</v>
      </c>
      <c r="G114" s="3"/>
      <c r="H114" s="7">
        <v>25</v>
      </c>
      <c r="I114" s="3"/>
      <c r="J114" s="8">
        <f t="shared" si="29"/>
        <v>9.7068907275897016E-5</v>
      </c>
      <c r="K114" s="3"/>
      <c r="L114" s="7">
        <f t="shared" si="30"/>
        <v>21.810000000000002</v>
      </c>
      <c r="M114" s="3"/>
      <c r="N114" s="8">
        <f t="shared" si="31"/>
        <v>0.87240000000000006</v>
      </c>
      <c r="O114" s="12"/>
      <c r="P114" s="7">
        <v>403.48</v>
      </c>
      <c r="Q114" s="3"/>
      <c r="R114" s="8">
        <f t="shared" si="32"/>
        <v>1.227862627832047E-4</v>
      </c>
      <c r="S114" s="3"/>
      <c r="T114" s="7">
        <v>225</v>
      </c>
      <c r="U114" s="3"/>
      <c r="V114" s="8">
        <f t="shared" si="33"/>
        <v>9.2074060281910309E-5</v>
      </c>
      <c r="W114" s="3"/>
      <c r="X114" s="7">
        <f t="shared" si="34"/>
        <v>178.48000000000002</v>
      </c>
      <c r="Y114" s="3"/>
      <c r="Z114" s="8">
        <f t="shared" si="35"/>
        <v>0.79324444444444453</v>
      </c>
    </row>
    <row r="115" spans="1:26" s="70" customFormat="1" ht="15" hidden="1" customHeight="1" outlineLevel="2" x14ac:dyDescent="0.3">
      <c r="A115" s="26"/>
      <c r="B115" s="12" t="str">
        <f>CONCATENATE("          ","6298"," - ","VEHICLE MILEAGE")</f>
        <v xml:space="preserve">          6298 - VEHICLE MILEAGE</v>
      </c>
      <c r="C115" s="12"/>
      <c r="D115" s="7"/>
      <c r="E115" s="3"/>
      <c r="F115" s="8">
        <f t="shared" si="28"/>
        <v>0</v>
      </c>
      <c r="G115" s="3"/>
      <c r="H115" s="7">
        <v>25</v>
      </c>
      <c r="I115" s="3"/>
      <c r="J115" s="8">
        <f t="shared" si="29"/>
        <v>9.7068907275897016E-5</v>
      </c>
      <c r="K115" s="3"/>
      <c r="L115" s="7">
        <f t="shared" si="30"/>
        <v>-25</v>
      </c>
      <c r="M115" s="3"/>
      <c r="N115" s="8">
        <f t="shared" si="31"/>
        <v>-1</v>
      </c>
      <c r="O115" s="12"/>
      <c r="P115" s="7"/>
      <c r="Q115" s="3"/>
      <c r="R115" s="8">
        <f t="shared" si="32"/>
        <v>0</v>
      </c>
      <c r="S115" s="3"/>
      <c r="T115" s="7">
        <v>475</v>
      </c>
      <c r="U115" s="3"/>
      <c r="V115" s="8">
        <f t="shared" si="33"/>
        <v>1.9437857170625511E-4</v>
      </c>
      <c r="W115" s="3"/>
      <c r="X115" s="7">
        <f t="shared" si="34"/>
        <v>-475</v>
      </c>
      <c r="Y115" s="3"/>
      <c r="Z115" s="8">
        <f t="shared" si="35"/>
        <v>-1</v>
      </c>
    </row>
    <row r="116" spans="1:26" s="69" customFormat="1" ht="15" customHeight="1" outlineLevel="1" collapsed="1" x14ac:dyDescent="0.3">
      <c r="A116" s="25"/>
      <c r="B116" s="14" t="str">
        <f>CONCATENATE("     ","Utilities                                         ")</f>
        <v xml:space="preserve">     Utilities                                         </v>
      </c>
      <c r="C116" s="14"/>
      <c r="D116" s="2">
        <f>SUM(OSRRefD22_22x_0)</f>
        <v>137.83000000000001</v>
      </c>
      <c r="E116" s="2"/>
      <c r="F116" s="6">
        <f t="shared" si="28"/>
        <v>2.7062902801944087E-4</v>
      </c>
      <c r="G116" s="2"/>
      <c r="H116" s="2">
        <f>SUM(OSRRefH22_22x_0)</f>
        <v>120</v>
      </c>
      <c r="I116" s="2"/>
      <c r="J116" s="6">
        <f t="shared" si="29"/>
        <v>4.6593075492430566E-4</v>
      </c>
      <c r="K116" s="2"/>
      <c r="L116" s="2">
        <f t="shared" si="30"/>
        <v>17.830000000000013</v>
      </c>
      <c r="M116" s="2"/>
      <c r="N116" s="6">
        <f t="shared" si="31"/>
        <v>0.14858333333333343</v>
      </c>
      <c r="O116" s="14"/>
      <c r="P116" s="2">
        <f>SUM(OSRRefP22_22x_0)</f>
        <v>1032.9000000000001</v>
      </c>
      <c r="Q116" s="2"/>
      <c r="R116" s="6">
        <f t="shared" si="32"/>
        <v>3.1433015472581574E-4</v>
      </c>
      <c r="S116" s="2"/>
      <c r="T116" s="2">
        <f>SUM(OSRRefT22_22x_0)</f>
        <v>3760</v>
      </c>
      <c r="U116" s="2"/>
      <c r="V116" s="6">
        <f t="shared" si="33"/>
        <v>1.5386598518221458E-3</v>
      </c>
      <c r="W116" s="2"/>
      <c r="X116" s="2">
        <f t="shared" si="34"/>
        <v>-2727.1</v>
      </c>
      <c r="Y116" s="2"/>
      <c r="Z116" s="6">
        <f t="shared" si="35"/>
        <v>-0.72529255319148933</v>
      </c>
    </row>
    <row r="117" spans="1:26" s="70" customFormat="1" ht="15" hidden="1" customHeight="1" outlineLevel="2" x14ac:dyDescent="0.3">
      <c r="A117" s="26"/>
      <c r="B117" s="12" t="str">
        <f>CONCATENATE("          ","6274"," - ","UTILITIES")</f>
        <v xml:space="preserve">          6274 - UTILITIES</v>
      </c>
      <c r="C117" s="12"/>
      <c r="D117" s="7">
        <v>137.83000000000001</v>
      </c>
      <c r="E117" s="3"/>
      <c r="F117" s="8">
        <f t="shared" si="28"/>
        <v>2.7062902801944087E-4</v>
      </c>
      <c r="G117" s="3"/>
      <c r="H117" s="7">
        <v>120</v>
      </c>
      <c r="I117" s="3"/>
      <c r="J117" s="8">
        <f t="shared" si="29"/>
        <v>4.6593075492430566E-4</v>
      </c>
      <c r="K117" s="3"/>
      <c r="L117" s="7">
        <f t="shared" si="30"/>
        <v>17.830000000000013</v>
      </c>
      <c r="M117" s="3"/>
      <c r="N117" s="8">
        <f t="shared" si="31"/>
        <v>0.14858333333333343</v>
      </c>
      <c r="O117" s="12"/>
      <c r="P117" s="7">
        <v>1032.9000000000001</v>
      </c>
      <c r="Q117" s="3"/>
      <c r="R117" s="8">
        <f t="shared" si="32"/>
        <v>3.1433015472581574E-4</v>
      </c>
      <c r="S117" s="3"/>
      <c r="T117" s="7">
        <v>3760</v>
      </c>
      <c r="U117" s="3"/>
      <c r="V117" s="8">
        <f t="shared" si="33"/>
        <v>1.5386598518221458E-3</v>
      </c>
      <c r="W117" s="3"/>
      <c r="X117" s="7">
        <f t="shared" si="34"/>
        <v>-2727.1</v>
      </c>
      <c r="Y117" s="3"/>
      <c r="Z117" s="8">
        <f t="shared" si="35"/>
        <v>-0.72529255319148933</v>
      </c>
    </row>
    <row r="118" spans="1:26" s="65" customFormat="1" ht="15" customHeight="1" x14ac:dyDescent="0.3">
      <c r="A118" s="35"/>
      <c r="B118" s="35"/>
      <c r="C118" s="35"/>
      <c r="D118" s="2"/>
      <c r="E118" s="2"/>
      <c r="F118" s="6"/>
      <c r="G118" s="2"/>
      <c r="H118" s="2"/>
      <c r="I118" s="2"/>
      <c r="J118" s="6"/>
      <c r="K118" s="2"/>
      <c r="L118" s="2"/>
      <c r="M118" s="2"/>
      <c r="N118" s="6"/>
      <c r="O118" s="35"/>
      <c r="P118" s="2"/>
      <c r="Q118" s="2"/>
      <c r="R118" s="6"/>
      <c r="S118" s="2"/>
      <c r="T118" s="2"/>
      <c r="U118" s="2"/>
      <c r="V118" s="6"/>
      <c r="W118" s="2"/>
      <c r="X118" s="2"/>
      <c r="Y118" s="2"/>
      <c r="Z118" s="6"/>
    </row>
    <row r="119" spans="1:26" s="63" customFormat="1" ht="15" customHeight="1" collapsed="1" x14ac:dyDescent="0.3">
      <c r="A119" s="11"/>
      <c r="B119" s="28" t="s">
        <v>291</v>
      </c>
      <c r="C119" s="11"/>
      <c r="D119" s="5">
        <f>SUM(OSRRefD25x_0)</f>
        <v>175055</v>
      </c>
      <c r="E119" s="5"/>
      <c r="F119" s="13">
        <f>IF(D$12=0,0,D119/D$12)</f>
        <v>0.3437202677206937</v>
      </c>
      <c r="G119" s="5"/>
      <c r="H119" s="5">
        <f>SUM(OSRRefH25x_0)</f>
        <v>58333</v>
      </c>
      <c r="I119" s="5"/>
      <c r="J119" s="13">
        <f>IF(H$12=0,0,H119/H$12)</f>
        <v>0.22649282272499602</v>
      </c>
      <c r="K119" s="5"/>
      <c r="L119" s="5">
        <f>+D119-H119</f>
        <v>116722</v>
      </c>
      <c r="M119" s="5"/>
      <c r="N119" s="13">
        <f>IF(H119=0,0,L119/H119)</f>
        <v>2.0009600054857457</v>
      </c>
      <c r="O119" s="11"/>
      <c r="P119" s="5">
        <f>SUM(OSRRefP25x_0)</f>
        <v>333702.37</v>
      </c>
      <c r="Q119" s="5"/>
      <c r="R119" s="13">
        <f>IF(P$12=0,0,P119/P$12)</f>
        <v>0.10155166772627688</v>
      </c>
      <c r="S119" s="5"/>
      <c r="T119" s="5">
        <f>SUM(OSRRefT25x_0)</f>
        <v>164561</v>
      </c>
      <c r="U119" s="5"/>
      <c r="V119" s="13">
        <f>IF(T$12=0,0,T119/T$12)</f>
        <v>6.7341330818006417E-2</v>
      </c>
      <c r="W119" s="5"/>
      <c r="X119" s="5">
        <f>+P119-T119</f>
        <v>169141.37</v>
      </c>
      <c r="Y119" s="5"/>
      <c r="Z119" s="13">
        <f>IF(T119=0,0,X119/T119)</f>
        <v>1.0278338731534202</v>
      </c>
    </row>
    <row r="120" spans="1:26" s="70" customFormat="1" ht="15" hidden="1" customHeight="1" outlineLevel="1" x14ac:dyDescent="0.3">
      <c r="A120" s="42"/>
      <c r="B120" s="12" t="str">
        <f>CONCATENATE("          ","9150"," - ","MISC. INCOME")</f>
        <v xml:space="preserve">          9150 - MISC. INCOME</v>
      </c>
      <c r="C120" s="12"/>
      <c r="D120" s="3">
        <f>0</f>
        <v>0</v>
      </c>
      <c r="E120" s="3"/>
      <c r="F120" s="20">
        <f>IF(D$12=0,0,D120/D$12)</f>
        <v>0</v>
      </c>
      <c r="G120" s="3"/>
      <c r="H120" s="3">
        <v>0</v>
      </c>
      <c r="I120" s="3"/>
      <c r="J120" s="20">
        <f>IF(H$12=0,0,H120/H$12)</f>
        <v>0</v>
      </c>
      <c r="K120" s="3"/>
      <c r="L120" s="3">
        <f>+D120-H120</f>
        <v>0</v>
      </c>
      <c r="M120" s="3"/>
      <c r="N120" s="20">
        <f>IF(H120=0,0,L120/H120)</f>
        <v>0</v>
      </c>
      <c r="O120" s="12"/>
      <c r="P120" s="3">
        <f>--78871.67</f>
        <v>78871.67</v>
      </c>
      <c r="Q120" s="3"/>
      <c r="R120" s="20">
        <f>IF(P$12=0,0,P120/P$12)</f>
        <v>2.4002075936279867E-2</v>
      </c>
      <c r="S120" s="3"/>
      <c r="T120" s="3">
        <v>47895</v>
      </c>
      <c r="U120" s="3"/>
      <c r="V120" s="20">
        <f>IF(T$12=0,0,T120/T$12)</f>
        <v>1.9599498298675976E-2</v>
      </c>
      <c r="W120" s="3"/>
      <c r="X120" s="3">
        <f>+P120-T120</f>
        <v>30976.67</v>
      </c>
      <c r="Y120" s="3"/>
      <c r="Z120" s="20">
        <f>IF(T120=0,0,X120/T120)</f>
        <v>0.6467620837248147</v>
      </c>
    </row>
    <row r="121" spans="1:26" s="70" customFormat="1" ht="15" hidden="1" customHeight="1" outlineLevel="1" x14ac:dyDescent="0.3">
      <c r="A121" s="42"/>
      <c r="B121" s="12" t="str">
        <f>CONCATENATE("          ","9160"," - ","MISC. INCOME")</f>
        <v xml:space="preserve">          9160 - MISC. INCOME</v>
      </c>
      <c r="C121" s="12"/>
      <c r="D121" s="3">
        <f>0</f>
        <v>0</v>
      </c>
      <c r="E121" s="3"/>
      <c r="F121" s="20">
        <f>IF(D$12=0,0,D121/D$12)</f>
        <v>0</v>
      </c>
      <c r="G121" s="3"/>
      <c r="H121" s="3">
        <v>58333</v>
      </c>
      <c r="I121" s="3"/>
      <c r="J121" s="20">
        <f>IF(H$12=0,0,H121/H$12)</f>
        <v>0.22649282272499602</v>
      </c>
      <c r="K121" s="3"/>
      <c r="L121" s="3">
        <f>+D121-H121</f>
        <v>-58333</v>
      </c>
      <c r="M121" s="3"/>
      <c r="N121" s="20">
        <f>IF(H121=0,0,L121/H121)</f>
        <v>-1</v>
      </c>
      <c r="O121" s="12"/>
      <c r="P121" s="3">
        <f>0</f>
        <v>0</v>
      </c>
      <c r="Q121" s="3"/>
      <c r="R121" s="20">
        <f>IF(P$12=0,0,P121/P$12)</f>
        <v>0</v>
      </c>
      <c r="S121" s="3"/>
      <c r="T121" s="3">
        <v>116666</v>
      </c>
      <c r="U121" s="3"/>
      <c r="V121" s="20">
        <f>IF(T$12=0,0,T121/T$12)</f>
        <v>4.7741832519330438E-2</v>
      </c>
      <c r="W121" s="3"/>
      <c r="X121" s="3">
        <f>+P121-T121</f>
        <v>-116666</v>
      </c>
      <c r="Y121" s="3"/>
      <c r="Z121" s="20">
        <f>IF(T121=0,0,X121/T121)</f>
        <v>-1</v>
      </c>
    </row>
    <row r="122" spans="1:26" s="70" customFormat="1" ht="15" hidden="1" customHeight="1" outlineLevel="1" x14ac:dyDescent="0.3">
      <c r="A122" s="42"/>
      <c r="B122" s="12" t="str">
        <f>CONCATENATE("          ","9163"," - ","MISC. INCOME")</f>
        <v xml:space="preserve">          9163 - MISC. INCOME</v>
      </c>
      <c r="C122" s="12"/>
      <c r="D122" s="3">
        <f>--175055</f>
        <v>175055</v>
      </c>
      <c r="E122" s="3"/>
      <c r="F122" s="20">
        <f>IF(D$12=0,0,D122/D$12)</f>
        <v>0.3437202677206937</v>
      </c>
      <c r="G122" s="3"/>
      <c r="H122" s="3"/>
      <c r="I122" s="3"/>
      <c r="J122" s="20">
        <f>IF(H$12=0,0,H122/H$12)</f>
        <v>0</v>
      </c>
      <c r="K122" s="3"/>
      <c r="L122" s="3">
        <f>+D122-H122</f>
        <v>175055</v>
      </c>
      <c r="M122" s="3"/>
      <c r="N122" s="20">
        <f>IF(H122=0,0,L122/H122)</f>
        <v>0</v>
      </c>
      <c r="O122" s="12"/>
      <c r="P122" s="3">
        <f>--254830.7</f>
        <v>254830.7</v>
      </c>
      <c r="Q122" s="3"/>
      <c r="R122" s="20">
        <f>IF(P$12=0,0,P122/P$12)</f>
        <v>7.7549591789997027E-2</v>
      </c>
      <c r="S122" s="3"/>
      <c r="T122" s="3"/>
      <c r="U122" s="3"/>
      <c r="V122" s="20">
        <f>IF(T$12=0,0,T122/T$12)</f>
        <v>0</v>
      </c>
      <c r="W122" s="3"/>
      <c r="X122" s="3">
        <f>+P122-T122</f>
        <v>254830.7</v>
      </c>
      <c r="Y122" s="3"/>
      <c r="Z122" s="20">
        <f>IF(T122=0,0,X122/T122)</f>
        <v>0</v>
      </c>
    </row>
    <row r="123" spans="1:26" ht="15" customHeight="1" x14ac:dyDescent="0.3">
      <c r="A123" s="10"/>
      <c r="B123" s="11"/>
      <c r="C123" s="11"/>
      <c r="D123" s="4"/>
      <c r="E123" s="4"/>
      <c r="F123" s="9"/>
      <c r="G123" s="4"/>
      <c r="H123" s="4"/>
      <c r="I123" s="4"/>
      <c r="J123" s="9"/>
      <c r="K123" s="4"/>
      <c r="L123" s="4"/>
      <c r="M123" s="4"/>
      <c r="N123" s="9"/>
      <c r="O123" s="11"/>
      <c r="P123" s="4"/>
      <c r="Q123" s="4"/>
      <c r="R123" s="9"/>
      <c r="S123" s="4"/>
      <c r="T123" s="4"/>
      <c r="U123" s="4"/>
      <c r="V123" s="9"/>
      <c r="W123" s="4"/>
      <c r="X123" s="4"/>
      <c r="Y123" s="4"/>
      <c r="Z123" s="9"/>
    </row>
    <row r="124" spans="1:26" s="63" customFormat="1" ht="15" customHeight="1" x14ac:dyDescent="0.3">
      <c r="A124" s="11"/>
      <c r="B124" s="27" t="s">
        <v>292</v>
      </c>
      <c r="C124" s="27"/>
      <c r="D124" s="21">
        <f>+D40-D42+D119</f>
        <v>361263.93000000005</v>
      </c>
      <c r="E124" s="15"/>
      <c r="F124" s="23">
        <f>IF(D$12=0,0,D124/D$12)</f>
        <v>0.70934126267418796</v>
      </c>
      <c r="G124" s="15"/>
      <c r="H124" s="21">
        <f>+H40-H42+H119</f>
        <v>90525.897258107667</v>
      </c>
      <c r="I124" s="15"/>
      <c r="J124" s="23">
        <f>IF(H$12=0,0,H124/H$12)</f>
        <v>0.35148999708058531</v>
      </c>
      <c r="K124" s="16"/>
      <c r="L124" s="21">
        <f>+D124-H124</f>
        <v>270738.03274189238</v>
      </c>
      <c r="M124" s="16"/>
      <c r="N124" s="23">
        <f>IF(H124=0,0,L124/H124)</f>
        <v>2.9907246538519625</v>
      </c>
      <c r="O124" s="28"/>
      <c r="P124" s="21">
        <f>+P40-P42+P119</f>
        <v>1161966.4999999995</v>
      </c>
      <c r="Q124" s="15"/>
      <c r="R124" s="23">
        <f>IF(P$12=0,0,P124/P$12)</f>
        <v>0.35360742543442192</v>
      </c>
      <c r="S124" s="15"/>
      <c r="T124" s="21">
        <f>+T40-T42+T119</f>
        <v>398246.93235635001</v>
      </c>
      <c r="U124" s="15"/>
      <c r="V124" s="23">
        <f>IF(T$12=0,0,T124/T$12)</f>
        <v>0.16296983136384191</v>
      </c>
      <c r="W124" s="16"/>
      <c r="X124" s="21">
        <f>+P124-T124</f>
        <v>763719.56764364953</v>
      </c>
      <c r="Y124" s="16"/>
      <c r="Z124" s="23">
        <f>IF(T124=0,0,X124/T124)</f>
        <v>1.9177035793467854</v>
      </c>
    </row>
    <row r="125" spans="1:26" ht="15" customHeight="1" x14ac:dyDescent="0.3">
      <c r="A125" s="10"/>
      <c r="B125" s="11"/>
      <c r="C125" s="10"/>
      <c r="D125" s="4"/>
      <c r="E125" s="4"/>
      <c r="F125" s="9"/>
      <c r="G125" s="4"/>
      <c r="H125" s="4"/>
      <c r="I125" s="4"/>
      <c r="J125" s="9"/>
      <c r="K125" s="4"/>
      <c r="L125" s="4"/>
      <c r="M125" s="4"/>
      <c r="N125" s="9"/>
      <c r="P125" s="4"/>
      <c r="Q125" s="4"/>
      <c r="R125" s="9"/>
      <c r="S125" s="4"/>
      <c r="T125" s="4"/>
      <c r="U125" s="4"/>
      <c r="V125" s="9"/>
      <c r="W125" s="4"/>
      <c r="X125" s="4"/>
      <c r="Y125" s="4"/>
      <c r="Z125" s="9"/>
    </row>
    <row r="126" spans="1:26" s="63" customFormat="1" ht="15" customHeight="1" x14ac:dyDescent="0.3">
      <c r="A126" s="49"/>
      <c r="B126" s="11" t="s">
        <v>293</v>
      </c>
      <c r="C126" s="11"/>
      <c r="D126" s="5">
        <v>45580.01</v>
      </c>
      <c r="E126" s="5"/>
      <c r="F126" s="13">
        <f>IF(D$12=0,0,D126/D$12)</f>
        <v>8.9496291108005471E-2</v>
      </c>
      <c r="G126" s="5"/>
      <c r="H126" s="5">
        <v>30346</v>
      </c>
      <c r="I126" s="5"/>
      <c r="J126" s="13">
        <f>IF(H$12=0,0,H126/H$12)</f>
        <v>0.11782612240777483</v>
      </c>
      <c r="K126" s="5"/>
      <c r="L126" s="5">
        <f>+D126-H126</f>
        <v>15234.010000000002</v>
      </c>
      <c r="M126" s="5"/>
      <c r="N126" s="13">
        <f>IF(H126=0,0,L126/H126)</f>
        <v>0.50201047914057872</v>
      </c>
      <c r="O126" s="11"/>
      <c r="P126" s="5">
        <v>392180.26</v>
      </c>
      <c r="Q126" s="5"/>
      <c r="R126" s="13">
        <f>IF(P$12=0,0,P126/P$12)</f>
        <v>0.11934754749366892</v>
      </c>
      <c r="S126" s="5"/>
      <c r="T126" s="5">
        <v>297596</v>
      </c>
      <c r="U126" s="5"/>
      <c r="V126" s="13">
        <f>IF(T$12=0,0,T126/T$12)</f>
        <v>0.12178165352735724</v>
      </c>
      <c r="W126" s="5"/>
      <c r="X126" s="5">
        <f>+P126-T126</f>
        <v>94584.260000000009</v>
      </c>
      <c r="Y126" s="5"/>
      <c r="Z126" s="13">
        <f>IF(T126=0,0,X126/T126)</f>
        <v>0.31782772617911537</v>
      </c>
    </row>
    <row r="127" spans="1:26" ht="15" customHeight="1" x14ac:dyDescent="0.3">
      <c r="A127" s="10"/>
      <c r="B127" s="11"/>
      <c r="C127" s="11"/>
      <c r="D127" s="4"/>
      <c r="E127" s="4"/>
      <c r="F127" s="9"/>
      <c r="G127" s="4"/>
      <c r="H127" s="4"/>
      <c r="I127" s="4"/>
      <c r="J127" s="9"/>
      <c r="K127" s="4"/>
      <c r="L127" s="4"/>
      <c r="M127" s="4"/>
      <c r="N127" s="9"/>
      <c r="O127" s="11"/>
      <c r="P127" s="4"/>
      <c r="Q127" s="4"/>
      <c r="R127" s="9"/>
      <c r="S127" s="4"/>
      <c r="T127" s="4"/>
      <c r="U127" s="4"/>
      <c r="V127" s="9"/>
      <c r="W127" s="4"/>
      <c r="X127" s="4"/>
      <c r="Y127" s="4"/>
      <c r="Z127" s="9"/>
    </row>
    <row r="128" spans="1:26" s="63" customFormat="1" ht="15" customHeight="1" x14ac:dyDescent="0.3">
      <c r="A128" s="11"/>
      <c r="B128" s="27" t="s">
        <v>294</v>
      </c>
      <c r="C128" s="27"/>
      <c r="D128" s="34">
        <f>+D124-D126</f>
        <v>315683.92000000004</v>
      </c>
      <c r="E128" s="15"/>
      <c r="F128" s="29">
        <f>IF(D$12=0,0,D128/D$12)</f>
        <v>0.61984497156618246</v>
      </c>
      <c r="G128" s="15"/>
      <c r="H128" s="34">
        <f>+H124-H126</f>
        <v>60179.897258107667</v>
      </c>
      <c r="I128" s="15"/>
      <c r="J128" s="29">
        <f>IF(H$12=0,0,H128/H$12)</f>
        <v>0.2336638746728105</v>
      </c>
      <c r="K128" s="16"/>
      <c r="L128" s="34">
        <f>D128-H128</f>
        <v>255504.02274189238</v>
      </c>
      <c r="M128" s="16"/>
      <c r="N128" s="29">
        <f>IF(H128=0,0,L128/H128)</f>
        <v>4.2456706372570263</v>
      </c>
      <c r="O128" s="28"/>
      <c r="P128" s="34">
        <f>+P124-P126</f>
        <v>769786.23999999953</v>
      </c>
      <c r="Q128" s="15"/>
      <c r="R128" s="29">
        <f>IF(P$12=0,0,P128/P$12)</f>
        <v>0.23425987794075298</v>
      </c>
      <c r="S128" s="15"/>
      <c r="T128" s="34">
        <f>+T124-T126</f>
        <v>100650.93235635001</v>
      </c>
      <c r="U128" s="15"/>
      <c r="V128" s="29">
        <f>IF(T$12=0,0,T128/T$12)</f>
        <v>4.1188177836484659E-2</v>
      </c>
      <c r="W128" s="16"/>
      <c r="X128" s="34">
        <f>P128-T128</f>
        <v>669135.30764364952</v>
      </c>
      <c r="Y128" s="16"/>
      <c r="Z128" s="29">
        <f>IF(T128=0,0,X128/T128)</f>
        <v>6.6480785818715189</v>
      </c>
    </row>
    <row r="129" spans="1:26" ht="15" customHeight="1" x14ac:dyDescent="0.3">
      <c r="A129" s="10"/>
      <c r="B129" s="10"/>
      <c r="C129" s="10"/>
      <c r="D129" s="4"/>
      <c r="E129" s="4"/>
      <c r="F129" s="9"/>
      <c r="G129" s="4"/>
      <c r="H129" s="4"/>
      <c r="I129" s="4"/>
      <c r="J129" s="9"/>
      <c r="K129" s="4"/>
      <c r="L129" s="4"/>
      <c r="M129" s="4"/>
      <c r="N129" s="9"/>
      <c r="P129" s="4"/>
      <c r="Q129" s="4"/>
      <c r="R129" s="9"/>
      <c r="S129" s="4"/>
      <c r="T129" s="4"/>
      <c r="U129" s="4"/>
      <c r="V129" s="9"/>
      <c r="W129" s="4"/>
      <c r="X129" s="4"/>
      <c r="Y129" s="4"/>
      <c r="Z129" s="9"/>
    </row>
    <row r="130" spans="1:26" ht="15" customHeight="1" x14ac:dyDescent="0.3">
      <c r="A130" s="10"/>
      <c r="B130" s="10"/>
      <c r="C130" s="10"/>
      <c r="D130" s="4"/>
      <c r="E130" s="4"/>
      <c r="F130" s="9"/>
      <c r="G130" s="4"/>
      <c r="H130" s="4"/>
      <c r="I130" s="4"/>
      <c r="J130" s="9"/>
      <c r="K130" s="4"/>
      <c r="L130" s="4"/>
      <c r="M130" s="4"/>
      <c r="N130" s="9"/>
      <c r="P130" s="4"/>
      <c r="Q130" s="4"/>
      <c r="R130" s="9"/>
      <c r="S130" s="4"/>
      <c r="T130" s="4"/>
      <c r="U130" s="4"/>
      <c r="V130" s="9"/>
      <c r="W130" s="4"/>
      <c r="X130" s="4"/>
      <c r="Y130" s="4"/>
      <c r="Z130" s="9"/>
    </row>
    <row r="131" spans="1:26" s="63" customFormat="1" ht="15" customHeight="1" x14ac:dyDescent="0.3">
      <c r="A131" s="11"/>
      <c r="B131" s="27" t="s">
        <v>297</v>
      </c>
      <c r="C131" s="27"/>
      <c r="D131" s="32">
        <f>SUM(D128:D130)</f>
        <v>315683.92000000004</v>
      </c>
      <c r="E131" s="15"/>
      <c r="F131" s="31">
        <f>IF(D$12=0,0,D131/D$12)</f>
        <v>0.61984497156618246</v>
      </c>
      <c r="G131" s="15"/>
      <c r="H131" s="32">
        <f>SUM(H128:H130)</f>
        <v>60179.897258107667</v>
      </c>
      <c r="I131" s="15"/>
      <c r="J131" s="31">
        <f>IF(H$12=0,0,H131/H$12)</f>
        <v>0.2336638746728105</v>
      </c>
      <c r="K131" s="16"/>
      <c r="L131" s="32">
        <f>+D131-H131</f>
        <v>255504.02274189238</v>
      </c>
      <c r="M131" s="16"/>
      <c r="N131" s="31">
        <f>IF(H131=0,0,L131/H131)</f>
        <v>4.2456706372570263</v>
      </c>
      <c r="O131" s="28"/>
      <c r="P131" s="32">
        <f>SUM(P128:P130)</f>
        <v>769786.23999999953</v>
      </c>
      <c r="Q131" s="15"/>
      <c r="R131" s="31">
        <f>IF(P$12=0,0,P131/P$12)</f>
        <v>0.23425987794075298</v>
      </c>
      <c r="S131" s="15"/>
      <c r="T131" s="32">
        <f>SUM(T128:T130)</f>
        <v>100650.93235635001</v>
      </c>
      <c r="U131" s="15"/>
      <c r="V131" s="31">
        <f>IF(T$12=0,0,T131/T$12)</f>
        <v>4.1188177836484659E-2</v>
      </c>
      <c r="W131" s="16"/>
      <c r="X131" s="32">
        <f>+P131-T131</f>
        <v>669135.30764364952</v>
      </c>
      <c r="Y131" s="16"/>
      <c r="Z131" s="31">
        <f>IF(T131=0,0,X131/T131)</f>
        <v>6.6480785818715189</v>
      </c>
    </row>
    <row r="132" spans="1:26" ht="15" customHeight="1" x14ac:dyDescent="0.3">
      <c r="A132" s="10"/>
      <c r="C132" s="10"/>
      <c r="D132" s="19"/>
      <c r="E132" s="19"/>
      <c r="G132" s="19"/>
      <c r="H132" s="19"/>
      <c r="I132" s="19"/>
      <c r="J132" s="40"/>
      <c r="K132" s="19"/>
      <c r="L132" s="19"/>
      <c r="M132" s="19"/>
      <c r="P132" s="19"/>
      <c r="Q132" s="19"/>
      <c r="R132" s="40"/>
      <c r="S132" s="19"/>
      <c r="T132" s="19"/>
      <c r="U132" s="19"/>
      <c r="V132" s="40"/>
      <c r="W132" s="19"/>
      <c r="X132" s="19"/>
    </row>
    <row r="133" spans="1:26" ht="15" customHeight="1" x14ac:dyDescent="0.3">
      <c r="A133" s="10"/>
      <c r="B133" s="51">
        <v>44663.047633298615</v>
      </c>
      <c r="D133" s="19"/>
      <c r="E133" s="19"/>
      <c r="G133" s="19"/>
      <c r="H133" s="19"/>
      <c r="I133" s="19"/>
      <c r="J133" s="40"/>
      <c r="K133" s="19"/>
      <c r="L133" s="19"/>
      <c r="M133" s="19"/>
      <c r="P133" s="19"/>
      <c r="Q133" s="19"/>
      <c r="R133" s="40"/>
      <c r="S133" s="19"/>
      <c r="T133" s="19"/>
      <c r="U133" s="19"/>
      <c r="V133" s="40"/>
      <c r="W133" s="19"/>
      <c r="X133" s="19"/>
    </row>
    <row r="134" spans="1:26" ht="15" customHeight="1" x14ac:dyDescent="0.3">
      <c r="A134" s="10"/>
      <c r="B134" s="58" t="s">
        <v>298</v>
      </c>
      <c r="D134" s="19"/>
      <c r="E134" s="19"/>
      <c r="G134" s="19"/>
      <c r="H134" s="19"/>
      <c r="I134" s="19"/>
      <c r="J134" s="40"/>
      <c r="K134" s="19"/>
      <c r="L134" s="19"/>
      <c r="M134" s="19"/>
      <c r="P134" s="19"/>
      <c r="Q134" s="19"/>
      <c r="R134" s="40"/>
      <c r="S134" s="19"/>
      <c r="T134" s="19"/>
      <c r="U134" s="19"/>
      <c r="V134" s="40"/>
      <c r="W134" s="19"/>
      <c r="X134" s="19"/>
    </row>
    <row r="135" spans="1:26" ht="15" customHeight="1" x14ac:dyDescent="0.3">
      <c r="A135" s="10"/>
      <c r="B135" s="50"/>
      <c r="D135" s="19"/>
      <c r="E135" s="19"/>
      <c r="G135" s="19"/>
      <c r="H135" s="19"/>
      <c r="I135" s="19"/>
      <c r="J135" s="40"/>
      <c r="K135" s="19"/>
      <c r="L135" s="19"/>
      <c r="M135" s="19"/>
      <c r="P135" s="19"/>
      <c r="Q135" s="19"/>
      <c r="R135" s="40"/>
      <c r="S135" s="19"/>
      <c r="T135" s="19"/>
      <c r="U135" s="19"/>
      <c r="V135" s="40"/>
      <c r="W135" s="19"/>
      <c r="X135" s="19"/>
    </row>
    <row r="136" spans="1:26" ht="15" customHeight="1" x14ac:dyDescent="0.3">
      <c r="D136" s="19"/>
      <c r="E136" s="19"/>
      <c r="G136" s="19"/>
      <c r="H136" s="19"/>
      <c r="I136" s="19"/>
      <c r="J136" s="40"/>
      <c r="K136" s="19"/>
      <c r="L136" s="19"/>
      <c r="M136" s="19"/>
      <c r="P136" s="19"/>
      <c r="Q136" s="19"/>
      <c r="R136" s="40"/>
      <c r="S136" s="19"/>
      <c r="T136" s="19"/>
      <c r="U136" s="19"/>
      <c r="V136" s="40"/>
      <c r="W136" s="19"/>
      <c r="X136" s="19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CC26EF-7958-67F7-29D6-E7FCDE761A8E}">
  <sheetPr>
    <tabColor rgb="FFFFFF00"/>
    <outlinePr summaryBelow="0" summaryRight="0"/>
  </sheetPr>
  <dimension ref="A2:Z89"/>
  <sheetViews>
    <sheetView showGridLines="0" defaultGridColor="0" colorId="8"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6" customWidth="1"/>
    <col min="2" max="2" width="33.44140625" style="66" customWidth="1"/>
    <col min="3" max="3" width="1.88671875" style="66" customWidth="1"/>
    <col min="4" max="4" width="15" style="66" customWidth="1"/>
    <col min="5" max="5" width="1.88671875" style="66" customWidth="1" outlineLevel="1"/>
    <col min="6" max="6" width="15" style="67" customWidth="1" outlineLevel="1"/>
    <col min="7" max="7" width="1.88671875" style="66" customWidth="1" outlineLevel="1"/>
    <col min="8" max="8" width="15" style="66" customWidth="1" outlineLevel="1"/>
    <col min="9" max="9" width="1.88671875" style="66" customWidth="1" outlineLevel="1"/>
    <col min="10" max="10" width="15" style="68" customWidth="1" outlineLevel="1"/>
    <col min="11" max="11" width="1.88671875" style="66" customWidth="1" outlineLevel="1"/>
    <col min="12" max="12" width="15" style="66" customWidth="1" outlineLevel="1"/>
    <col min="13" max="13" width="1.88671875" style="66" customWidth="1" outlineLevel="1"/>
    <col min="14" max="14" width="15" style="67" customWidth="1" outlineLevel="1"/>
    <col min="15" max="15" width="1.88671875" style="64" customWidth="1"/>
    <col min="16" max="16" width="15" style="66" customWidth="1"/>
    <col min="17" max="17" width="1.88671875" style="66" customWidth="1" outlineLevel="1"/>
    <col min="18" max="18" width="15" style="68" customWidth="1" outlineLevel="1"/>
    <col min="19" max="19" width="1.88671875" style="66" customWidth="1" outlineLevel="1"/>
    <col min="20" max="20" width="15" style="66" customWidth="1" outlineLevel="1"/>
    <col min="21" max="21" width="1.88671875" style="66" customWidth="1" outlineLevel="1"/>
    <col min="22" max="22" width="15" style="68" customWidth="1" outlineLevel="1"/>
    <col min="23" max="23" width="1.88671875" style="66" customWidth="1" outlineLevel="1"/>
    <col min="24" max="24" width="15" style="66" customWidth="1" outlineLevel="1"/>
    <col min="25" max="25" width="1.88671875" style="66" customWidth="1" outlineLevel="1"/>
    <col min="26" max="26" width="15" style="68" customWidth="1" outlineLevel="1"/>
  </cols>
  <sheetData>
    <row r="2" spans="1:26" ht="15" customHeight="1" x14ac:dyDescent="0.3">
      <c r="D2" s="54" t="s">
        <v>276</v>
      </c>
    </row>
    <row r="3" spans="1:26" ht="15" customHeight="1" x14ac:dyDescent="0.3">
      <c r="D3" s="54" t="s">
        <v>277</v>
      </c>
      <c r="E3" s="18"/>
      <c r="F3" s="44"/>
      <c r="G3" s="18"/>
      <c r="H3" s="18"/>
      <c r="I3" s="18"/>
      <c r="J3" s="38"/>
      <c r="K3" s="18"/>
      <c r="L3" s="18"/>
      <c r="M3" s="18"/>
      <c r="N3" s="44"/>
      <c r="O3" s="53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ht="15" customHeight="1" x14ac:dyDescent="0.3">
      <c r="D4" s="54" t="str">
        <f>CONCATENATE("Period ",RIGHT(202209,2),", ",2022)</f>
        <v>Period 09, 2022</v>
      </c>
      <c r="E4" s="18"/>
      <c r="F4" s="44"/>
      <c r="G4" s="18"/>
      <c r="H4" s="18"/>
      <c r="I4" s="18"/>
      <c r="J4" s="38"/>
      <c r="K4" s="18"/>
      <c r="L4" s="18"/>
      <c r="M4" s="18"/>
      <c r="N4" s="44"/>
      <c r="O4" s="53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ht="15" customHeight="1" x14ac:dyDescent="0.3">
      <c r="A5" s="24"/>
      <c r="D5" s="60">
        <v>44646</v>
      </c>
      <c r="E5" s="18"/>
      <c r="F5" s="44"/>
      <c r="G5" s="18"/>
      <c r="H5" s="18"/>
      <c r="I5" s="18"/>
      <c r="J5" s="38"/>
      <c r="K5" s="18"/>
      <c r="L5" s="18"/>
      <c r="M5" s="18"/>
      <c r="N5" s="44"/>
      <c r="O5" s="53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ht="15" customHeight="1" x14ac:dyDescent="0.3">
      <c r="A6" s="24"/>
      <c r="B6" s="47"/>
      <c r="C6" s="47"/>
      <c r="D6" s="24" t="s">
        <v>308</v>
      </c>
      <c r="E6" s="18"/>
      <c r="F6" s="44"/>
      <c r="G6" s="18"/>
      <c r="H6" s="18"/>
      <c r="I6" s="18"/>
      <c r="J6" s="38"/>
      <c r="K6" s="18"/>
      <c r="L6" s="18"/>
      <c r="M6" s="18"/>
      <c r="N6" s="44"/>
      <c r="O6" s="59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ht="15" customHeight="1" x14ac:dyDescent="0.3">
      <c r="B7" s="52"/>
    </row>
    <row r="8" spans="1:26" ht="15" customHeight="1" x14ac:dyDescent="0.3">
      <c r="B8" s="52"/>
    </row>
    <row r="9" spans="1:26" ht="15" customHeight="1" x14ac:dyDescent="0.3">
      <c r="B9" s="10"/>
      <c r="C9" s="10"/>
      <c r="D9" s="17" t="s">
        <v>279</v>
      </c>
      <c r="E9" s="17"/>
      <c r="F9" s="36"/>
      <c r="G9" s="17"/>
      <c r="H9" s="17"/>
      <c r="I9" s="17"/>
      <c r="J9" s="43"/>
      <c r="K9" s="17"/>
      <c r="L9" s="17"/>
      <c r="M9" s="17"/>
      <c r="N9" s="36"/>
      <c r="P9" s="17" t="s">
        <v>280</v>
      </c>
      <c r="Q9" s="17"/>
      <c r="R9" s="36"/>
      <c r="S9" s="17"/>
      <c r="T9" s="17"/>
      <c r="U9" s="17"/>
      <c r="V9" s="43"/>
      <c r="W9" s="17"/>
      <c r="X9" s="17"/>
      <c r="Y9" s="17"/>
      <c r="Z9" s="36"/>
    </row>
    <row r="10" spans="1:26" ht="15" customHeight="1" x14ac:dyDescent="0.3">
      <c r="A10" s="11"/>
      <c r="B10" s="57"/>
      <c r="C10" s="11"/>
      <c r="D10" s="41" t="s">
        <v>281</v>
      </c>
      <c r="E10" s="33"/>
      <c r="F10" s="37" t="s">
        <v>282</v>
      </c>
      <c r="G10" s="33"/>
      <c r="H10" s="48" t="s">
        <v>283</v>
      </c>
      <c r="I10" s="33"/>
      <c r="J10" s="45" t="s">
        <v>284</v>
      </c>
      <c r="K10" s="11"/>
      <c r="L10" s="41" t="s">
        <v>285</v>
      </c>
      <c r="M10" s="11"/>
      <c r="N10" s="37" t="s">
        <v>286</v>
      </c>
      <c r="O10" s="11"/>
      <c r="P10" s="56" t="s">
        <v>281</v>
      </c>
      <c r="Q10" s="33"/>
      <c r="R10" s="37" t="s">
        <v>282</v>
      </c>
      <c r="S10" s="33"/>
      <c r="T10" s="48" t="s">
        <v>283</v>
      </c>
      <c r="U10" s="33"/>
      <c r="V10" s="45" t="s">
        <v>284</v>
      </c>
      <c r="W10" s="11"/>
      <c r="X10" s="41" t="s">
        <v>285</v>
      </c>
      <c r="Y10" s="11"/>
      <c r="Z10" s="37" t="s">
        <v>286</v>
      </c>
    </row>
    <row r="11" spans="1:26" ht="16.5" customHeight="1" x14ac:dyDescent="0.3">
      <c r="A11" s="10"/>
      <c r="B11" s="55"/>
      <c r="C11" s="10"/>
      <c r="D11" s="10"/>
      <c r="E11" s="10"/>
      <c r="F11" s="9"/>
      <c r="G11" s="10"/>
      <c r="H11" s="10"/>
      <c r="I11" s="10"/>
      <c r="J11" s="46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6"/>
      <c r="W11" s="10"/>
      <c r="X11" s="10"/>
      <c r="Y11" s="10"/>
      <c r="Z11" s="9"/>
    </row>
    <row r="12" spans="1:26" s="63" customFormat="1" ht="15" customHeight="1" collapsed="1" x14ac:dyDescent="0.3">
      <c r="A12" s="11"/>
      <c r="B12" s="28" t="s">
        <v>287</v>
      </c>
      <c r="C12" s="11"/>
      <c r="D12" s="5">
        <f>SUM(OSRRefD13x_0)</f>
        <v>18218.639999999996</v>
      </c>
      <c r="E12" s="5"/>
      <c r="F12" s="13"/>
      <c r="G12" s="5"/>
      <c r="H12" s="5">
        <f>SUM(OSRRefH13x_0)</f>
        <v>46600</v>
      </c>
      <c r="I12" s="5"/>
      <c r="J12" s="13"/>
      <c r="K12" s="5"/>
      <c r="L12" s="5">
        <f t="shared" ref="L12:L17" si="0">+D12-H12</f>
        <v>-28381.360000000004</v>
      </c>
      <c r="M12" s="5"/>
      <c r="N12" s="13">
        <f t="shared" ref="N12:N17" si="1">IF(H12=0,0,L12/H12)</f>
        <v>-0.60904206008583706</v>
      </c>
      <c r="O12" s="11"/>
      <c r="P12" s="5">
        <f>SUM(OSRRefP13x_0)</f>
        <v>164634.62</v>
      </c>
      <c r="Q12" s="5"/>
      <c r="R12" s="13"/>
      <c r="S12" s="5"/>
      <c r="T12" s="5">
        <f>SUM(OSRRefT13x_0)</f>
        <v>313330</v>
      </c>
      <c r="U12" s="5"/>
      <c r="V12" s="13"/>
      <c r="W12" s="5"/>
      <c r="X12" s="5">
        <f t="shared" ref="X12:X17" si="2">+P12-T12</f>
        <v>-148695.38</v>
      </c>
      <c r="Y12" s="5"/>
      <c r="Z12" s="13">
        <f t="shared" ref="Z12:Z17" si="3">IF(T12=0,0,X12/T12)</f>
        <v>-0.47456477196565922</v>
      </c>
    </row>
    <row r="13" spans="1:26" s="70" customFormat="1" ht="15" hidden="1" customHeight="1" outlineLevel="1" x14ac:dyDescent="0.3">
      <c r="A13" s="42"/>
      <c r="B13" s="12" t="str">
        <f>CONCATENATE("          ","4000"," - ","TAXABLE SALES")</f>
        <v xml:space="preserve">          4000 - TAXABLE SALES</v>
      </c>
      <c r="C13" s="12"/>
      <c r="D13" s="3">
        <f>--10589.72</f>
        <v>10589.72</v>
      </c>
      <c r="E13" s="3"/>
      <c r="F13" s="20"/>
      <c r="G13" s="3"/>
      <c r="H13" s="3">
        <v>12100</v>
      </c>
      <c r="I13" s="3"/>
      <c r="J13" s="20"/>
      <c r="K13" s="3"/>
      <c r="L13" s="3">
        <f t="shared" si="0"/>
        <v>-1510.2800000000007</v>
      </c>
      <c r="M13" s="3"/>
      <c r="N13" s="20">
        <f t="shared" si="1"/>
        <v>-0.12481652892561988</v>
      </c>
      <c r="O13" s="12"/>
      <c r="P13" s="3">
        <f>--128105.83</f>
        <v>128105.83</v>
      </c>
      <c r="Q13" s="3"/>
      <c r="R13" s="20"/>
      <c r="S13" s="3"/>
      <c r="T13" s="3">
        <v>163530</v>
      </c>
      <c r="U13" s="3"/>
      <c r="V13" s="20"/>
      <c r="W13" s="3"/>
      <c r="X13" s="3">
        <f t="shared" si="2"/>
        <v>-35424.17</v>
      </c>
      <c r="Y13" s="3"/>
      <c r="Z13" s="20">
        <f t="shared" si="3"/>
        <v>-0.21662184308689536</v>
      </c>
    </row>
    <row r="14" spans="1:26" s="70" customFormat="1" ht="15" hidden="1" customHeight="1" outlineLevel="1" x14ac:dyDescent="0.3">
      <c r="A14" s="42"/>
      <c r="B14" s="12" t="str">
        <f>CONCATENATE("          ","4100"," - ","NON-TAXABLE SALES")</f>
        <v xml:space="preserve">          4100 - NON-TAXABLE SALES</v>
      </c>
      <c r="C14" s="12"/>
      <c r="D14" s="3">
        <f>--7630.91</f>
        <v>7630.91</v>
      </c>
      <c r="E14" s="3"/>
      <c r="F14" s="20"/>
      <c r="G14" s="3"/>
      <c r="H14" s="3">
        <v>34500</v>
      </c>
      <c r="I14" s="3"/>
      <c r="J14" s="20"/>
      <c r="K14" s="3"/>
      <c r="L14" s="3">
        <f t="shared" si="0"/>
        <v>-26869.09</v>
      </c>
      <c r="M14" s="3"/>
      <c r="N14" s="20">
        <f t="shared" si="1"/>
        <v>-0.77881420289855074</v>
      </c>
      <c r="O14" s="12"/>
      <c r="P14" s="3">
        <f>--37217.53</f>
        <v>37217.53</v>
      </c>
      <c r="Q14" s="3"/>
      <c r="R14" s="20"/>
      <c r="S14" s="3"/>
      <c r="T14" s="3">
        <v>149800</v>
      </c>
      <c r="U14" s="3"/>
      <c r="V14" s="20"/>
      <c r="W14" s="3"/>
      <c r="X14" s="3">
        <f t="shared" si="2"/>
        <v>-112582.47</v>
      </c>
      <c r="Y14" s="3"/>
      <c r="Z14" s="20">
        <f t="shared" si="3"/>
        <v>-0.7515518691588785</v>
      </c>
    </row>
    <row r="15" spans="1:26" s="70" customFormat="1" ht="15" hidden="1" customHeight="1" outlineLevel="1" x14ac:dyDescent="0.3">
      <c r="A15" s="42"/>
      <c r="B15" s="12" t="str">
        <f>CONCATENATE("          ","4141"," - ","NON-TAXABLE SALES-LOGO GIFTS")</f>
        <v xml:space="preserve">          4141 - NON-TAXABLE SALES-LOGO GIFTS</v>
      </c>
      <c r="C15" s="12"/>
      <c r="D15" s="3">
        <f>0</f>
        <v>0</v>
      </c>
      <c r="E15" s="3"/>
      <c r="F15" s="20"/>
      <c r="G15" s="3"/>
      <c r="H15" s="3"/>
      <c r="I15" s="3"/>
      <c r="J15" s="20"/>
      <c r="K15" s="3"/>
      <c r="L15" s="3">
        <f t="shared" si="0"/>
        <v>0</v>
      </c>
      <c r="M15" s="3"/>
      <c r="N15" s="20">
        <f t="shared" si="1"/>
        <v>0</v>
      </c>
      <c r="O15" s="12"/>
      <c r="P15" s="3">
        <f>0</f>
        <v>0</v>
      </c>
      <c r="Q15" s="3"/>
      <c r="R15" s="20"/>
      <c r="S15" s="3"/>
      <c r="T15" s="3"/>
      <c r="U15" s="3"/>
      <c r="V15" s="20"/>
      <c r="W15" s="3"/>
      <c r="X15" s="3">
        <f t="shared" si="2"/>
        <v>0</v>
      </c>
      <c r="Y15" s="3"/>
      <c r="Z15" s="20">
        <f t="shared" si="3"/>
        <v>0</v>
      </c>
    </row>
    <row r="16" spans="1:26" s="70" customFormat="1" ht="15" hidden="1" customHeight="1" outlineLevel="1" x14ac:dyDescent="0.3">
      <c r="A16" s="42"/>
      <c r="B16" s="12" t="str">
        <f>CONCATENATE("          ","4146"," - ","NON-TAXABLE SALES-COIN OP MACH")</f>
        <v xml:space="preserve">          4146 - NON-TAXABLE SALES-COIN OP MACH</v>
      </c>
      <c r="C16" s="12"/>
      <c r="D16" s="3">
        <f>0</f>
        <v>0</v>
      </c>
      <c r="E16" s="3"/>
      <c r="F16" s="20"/>
      <c r="G16" s="3"/>
      <c r="H16" s="3"/>
      <c r="I16" s="3"/>
      <c r="J16" s="20"/>
      <c r="K16" s="3"/>
      <c r="L16" s="3">
        <f t="shared" si="0"/>
        <v>0</v>
      </c>
      <c r="M16" s="3"/>
      <c r="N16" s="20">
        <f t="shared" si="1"/>
        <v>0</v>
      </c>
      <c r="O16" s="12"/>
      <c r="P16" s="3">
        <f>0</f>
        <v>0</v>
      </c>
      <c r="Q16" s="3"/>
      <c r="R16" s="20"/>
      <c r="S16" s="3"/>
      <c r="T16" s="3"/>
      <c r="U16" s="3"/>
      <c r="V16" s="20"/>
      <c r="W16" s="3"/>
      <c r="X16" s="3">
        <f t="shared" si="2"/>
        <v>0</v>
      </c>
      <c r="Y16" s="3"/>
      <c r="Z16" s="20">
        <f t="shared" si="3"/>
        <v>0</v>
      </c>
    </row>
    <row r="17" spans="1:26" s="70" customFormat="1" ht="15" hidden="1" customHeight="1" outlineLevel="1" x14ac:dyDescent="0.3">
      <c r="A17" s="42"/>
      <c r="B17" s="12" t="str">
        <f>CONCATENATE("          ","4200"," - ","TAXABLE RETURNS")</f>
        <v xml:space="preserve">          4200 - TAXABLE RETURNS</v>
      </c>
      <c r="C17" s="12"/>
      <c r="D17" s="3">
        <f>-1.99</f>
        <v>-1.99</v>
      </c>
      <c r="E17" s="3"/>
      <c r="F17" s="20"/>
      <c r="G17" s="3"/>
      <c r="H17" s="3"/>
      <c r="I17" s="3"/>
      <c r="J17" s="20"/>
      <c r="K17" s="3"/>
      <c r="L17" s="3">
        <f t="shared" si="0"/>
        <v>-1.99</v>
      </c>
      <c r="M17" s="3"/>
      <c r="N17" s="20">
        <f t="shared" si="1"/>
        <v>0</v>
      </c>
      <c r="O17" s="12"/>
      <c r="P17" s="3">
        <f>-688.74</f>
        <v>-688.74</v>
      </c>
      <c r="Q17" s="3"/>
      <c r="R17" s="20"/>
      <c r="S17" s="3"/>
      <c r="T17" s="3"/>
      <c r="U17" s="3"/>
      <c r="V17" s="20"/>
      <c r="W17" s="3"/>
      <c r="X17" s="3">
        <f t="shared" si="2"/>
        <v>-688.74</v>
      </c>
      <c r="Y17" s="3"/>
      <c r="Z17" s="20">
        <f t="shared" si="3"/>
        <v>0</v>
      </c>
    </row>
    <row r="18" spans="1:26" ht="15" customHeight="1" x14ac:dyDescent="0.3">
      <c r="A18" s="10"/>
      <c r="B18" s="11"/>
      <c r="C18" s="10"/>
      <c r="D18" s="4"/>
      <c r="E18" s="4"/>
      <c r="F18" s="9"/>
      <c r="G18" s="4"/>
      <c r="H18" s="4"/>
      <c r="I18" s="4"/>
      <c r="J18" s="9"/>
      <c r="K18" s="4"/>
      <c r="L18" s="4"/>
      <c r="M18" s="4"/>
      <c r="N18" s="9"/>
      <c r="P18" s="4"/>
      <c r="Q18" s="4"/>
      <c r="R18" s="9"/>
      <c r="S18" s="4"/>
      <c r="T18" s="4"/>
      <c r="U18" s="4"/>
      <c r="V18" s="9"/>
      <c r="W18" s="4"/>
      <c r="X18" s="4"/>
      <c r="Y18" s="4"/>
      <c r="Z18" s="9"/>
    </row>
    <row r="19" spans="1:26" s="63" customFormat="1" ht="15" customHeight="1" collapsed="1" x14ac:dyDescent="0.3">
      <c r="A19" s="11"/>
      <c r="B19" s="28" t="s">
        <v>288</v>
      </c>
      <c r="C19" s="11"/>
      <c r="D19" s="5">
        <f>SUM(OSRRefD16x_0)</f>
        <v>0</v>
      </c>
      <c r="E19" s="5"/>
      <c r="F19" s="13">
        <f>IF(D$12=0,0,D19/D$12)</f>
        <v>0</v>
      </c>
      <c r="G19" s="5"/>
      <c r="H19" s="5">
        <f>SUM(OSRRefH16x_0)</f>
        <v>0</v>
      </c>
      <c r="I19" s="5"/>
      <c r="J19" s="13">
        <f>IF(H$12=0,0,H19/H$12)</f>
        <v>0</v>
      </c>
      <c r="K19" s="5"/>
      <c r="L19" s="5">
        <f>+D19-H19</f>
        <v>0</v>
      </c>
      <c r="M19" s="5"/>
      <c r="N19" s="13">
        <f>IF(H19=0,0,L19/H19)</f>
        <v>0</v>
      </c>
      <c r="O19" s="11"/>
      <c r="P19" s="5">
        <f>SUM(OSRRefP16x_0)</f>
        <v>8.26</v>
      </c>
      <c r="Q19" s="5"/>
      <c r="R19" s="13">
        <f>IF(P$12=0,0,P19/P$12)</f>
        <v>5.0171707505991149E-5</v>
      </c>
      <c r="S19" s="5"/>
      <c r="T19" s="5">
        <f>SUM(OSRRefT16x_0)</f>
        <v>0</v>
      </c>
      <c r="U19" s="5"/>
      <c r="V19" s="13">
        <f>IF(T$12=0,0,T19/T$12)</f>
        <v>0</v>
      </c>
      <c r="W19" s="5"/>
      <c r="X19" s="5">
        <f>+P19-T19</f>
        <v>8.26</v>
      </c>
      <c r="Y19" s="5"/>
      <c r="Z19" s="13">
        <f>IF(T19=0,0,X19/T19)</f>
        <v>0</v>
      </c>
    </row>
    <row r="20" spans="1:26" s="70" customFormat="1" ht="15" hidden="1" customHeight="1" outlineLevel="1" x14ac:dyDescent="0.3">
      <c r="A20" s="42"/>
      <c r="B20" s="12" t="str">
        <f>CONCATENATE("          ","5000"," - ","PURCHASES @ COST")</f>
        <v xml:space="preserve">          5000 - PURCHASES @ COST</v>
      </c>
      <c r="C20" s="12"/>
      <c r="D20" s="3"/>
      <c r="E20" s="3"/>
      <c r="F20" s="20">
        <f>IF(D$12=0,0,D20/D$12)</f>
        <v>0</v>
      </c>
      <c r="G20" s="3"/>
      <c r="H20" s="3">
        <v>0</v>
      </c>
      <c r="I20" s="3"/>
      <c r="J20" s="20">
        <f>IF(H$12=0,0,H20/H$12)</f>
        <v>0</v>
      </c>
      <c r="K20" s="3"/>
      <c r="L20" s="3">
        <f>+D20-H20</f>
        <v>0</v>
      </c>
      <c r="M20" s="3"/>
      <c r="N20" s="20">
        <f>IF(H20=0,0,L20/H20)</f>
        <v>0</v>
      </c>
      <c r="O20" s="12"/>
      <c r="P20" s="3"/>
      <c r="Q20" s="3"/>
      <c r="R20" s="20">
        <f>IF(P$12=0,0,P20/P$12)</f>
        <v>0</v>
      </c>
      <c r="S20" s="3"/>
      <c r="T20" s="3">
        <v>0</v>
      </c>
      <c r="U20" s="3"/>
      <c r="V20" s="20">
        <f>IF(T$12=0,0,T20/T$12)</f>
        <v>0</v>
      </c>
      <c r="W20" s="3"/>
      <c r="X20" s="3">
        <f>+P20-T20</f>
        <v>0</v>
      </c>
      <c r="Y20" s="3"/>
      <c r="Z20" s="20">
        <f>IF(T20=0,0,X20/T20)</f>
        <v>0</v>
      </c>
    </row>
    <row r="21" spans="1:26" s="70" customFormat="1" ht="15" hidden="1" customHeight="1" outlineLevel="1" x14ac:dyDescent="0.3">
      <c r="A21" s="42"/>
      <c r="B21" s="12" t="str">
        <f>CONCATENATE("          ","5500"," - ","FREIGHT-IN")</f>
        <v xml:space="preserve">          5500 - FREIGHT-IN</v>
      </c>
      <c r="C21" s="12"/>
      <c r="D21" s="3"/>
      <c r="E21" s="3"/>
      <c r="F21" s="20">
        <f>IF(D$12=0,0,D21/D$12)</f>
        <v>0</v>
      </c>
      <c r="G21" s="3"/>
      <c r="H21" s="3"/>
      <c r="I21" s="3"/>
      <c r="J21" s="20">
        <f>IF(H$12=0,0,H21/H$12)</f>
        <v>0</v>
      </c>
      <c r="K21" s="3"/>
      <c r="L21" s="3">
        <f>+D21-H21</f>
        <v>0</v>
      </c>
      <c r="M21" s="3"/>
      <c r="N21" s="20">
        <f>IF(H21=0,0,L21/H21)</f>
        <v>0</v>
      </c>
      <c r="O21" s="12"/>
      <c r="P21" s="3">
        <v>8.26</v>
      </c>
      <c r="Q21" s="3"/>
      <c r="R21" s="20">
        <f>IF(P$12=0,0,P21/P$12)</f>
        <v>5.0171707505991149E-5</v>
      </c>
      <c r="S21" s="3"/>
      <c r="T21" s="3"/>
      <c r="U21" s="3"/>
      <c r="V21" s="20">
        <f>IF(T$12=0,0,T21/T$12)</f>
        <v>0</v>
      </c>
      <c r="W21" s="3"/>
      <c r="X21" s="3">
        <f>+P21-T21</f>
        <v>8.26</v>
      </c>
      <c r="Y21" s="3"/>
      <c r="Z21" s="20">
        <f>IF(T21=0,0,X21/T21)</f>
        <v>0</v>
      </c>
    </row>
    <row r="22" spans="1:26" ht="15" customHeight="1" x14ac:dyDescent="0.3">
      <c r="A22" s="10"/>
      <c r="B22" s="11"/>
      <c r="C22" s="11"/>
      <c r="D22" s="4"/>
      <c r="E22" s="4"/>
      <c r="F22" s="9"/>
      <c r="G22" s="4"/>
      <c r="H22" s="4"/>
      <c r="I22" s="4"/>
      <c r="J22" s="9"/>
      <c r="K22" s="4"/>
      <c r="L22" s="4"/>
      <c r="M22" s="4"/>
      <c r="N22" s="9"/>
      <c r="O22" s="11"/>
      <c r="P22" s="4"/>
      <c r="Q22" s="4"/>
      <c r="R22" s="9"/>
      <c r="S22" s="4"/>
      <c r="T22" s="4"/>
      <c r="U22" s="4"/>
      <c r="V22" s="9"/>
      <c r="W22" s="4"/>
      <c r="X22" s="4"/>
      <c r="Y22" s="4"/>
      <c r="Z22" s="9"/>
    </row>
    <row r="23" spans="1:26" s="63" customFormat="1" ht="15" customHeight="1" x14ac:dyDescent="0.3">
      <c r="A23" s="11"/>
      <c r="B23" s="27" t="s">
        <v>289</v>
      </c>
      <c r="C23" s="27"/>
      <c r="D23" s="21">
        <f>D12-D19</f>
        <v>18218.639999999996</v>
      </c>
      <c r="E23" s="15"/>
      <c r="F23" s="23">
        <f>IF(D$12=0,0,D23/D$12)</f>
        <v>1</v>
      </c>
      <c r="G23" s="15"/>
      <c r="H23" s="21">
        <f>H12-H19</f>
        <v>46600</v>
      </c>
      <c r="I23" s="15"/>
      <c r="J23" s="23">
        <f>IF(H$12=0,0,H23/H$12)</f>
        <v>1</v>
      </c>
      <c r="K23" s="16"/>
      <c r="L23" s="21">
        <f>+D23-H23</f>
        <v>-28381.360000000004</v>
      </c>
      <c r="M23" s="16"/>
      <c r="N23" s="23">
        <f>IF(H23=0,0,L23/H23)</f>
        <v>-0.60904206008583706</v>
      </c>
      <c r="O23" s="28"/>
      <c r="P23" s="21">
        <f>P12-P19</f>
        <v>164626.35999999999</v>
      </c>
      <c r="Q23" s="15"/>
      <c r="R23" s="23">
        <f>IF(P$12=0,0,P23/P$12)</f>
        <v>0.9999498282924939</v>
      </c>
      <c r="S23" s="15"/>
      <c r="T23" s="21">
        <f>T12-T19</f>
        <v>313330</v>
      </c>
      <c r="U23" s="15"/>
      <c r="V23" s="23">
        <f>IF(T$12=0,0,T23/T$12)</f>
        <v>1</v>
      </c>
      <c r="W23" s="16"/>
      <c r="X23" s="21">
        <f>+P23-T23</f>
        <v>-148703.64000000001</v>
      </c>
      <c r="Y23" s="16"/>
      <c r="Z23" s="23">
        <f>IF(T23=0,0,X23/T23)</f>
        <v>-0.47459113394823355</v>
      </c>
    </row>
    <row r="24" spans="1:26" ht="15" customHeight="1" x14ac:dyDescent="0.3">
      <c r="A24" s="10"/>
      <c r="B24" s="11"/>
      <c r="C24" s="10"/>
      <c r="D24" s="2"/>
      <c r="E24" s="2"/>
      <c r="F24" s="6"/>
      <c r="G24" s="2"/>
      <c r="H24" s="2"/>
      <c r="I24" s="2"/>
      <c r="J24" s="6"/>
      <c r="K24" s="2"/>
      <c r="L24" s="2"/>
      <c r="M24" s="2"/>
      <c r="N24" s="6"/>
      <c r="O24" s="35"/>
      <c r="P24" s="2"/>
      <c r="Q24" s="2"/>
      <c r="R24" s="6"/>
      <c r="S24" s="2"/>
      <c r="T24" s="2"/>
      <c r="U24" s="2"/>
      <c r="V24" s="6"/>
      <c r="W24" s="2"/>
      <c r="X24" s="2"/>
      <c r="Y24" s="2"/>
      <c r="Z24" s="6"/>
    </row>
    <row r="25" spans="1:26" s="63" customFormat="1" ht="15" customHeight="1" x14ac:dyDescent="0.3">
      <c r="A25" s="11"/>
      <c r="B25" s="28" t="s">
        <v>290</v>
      </c>
      <c r="C25" s="11"/>
      <c r="D25" s="22" cm="1">
        <f t="array" ref="D25">SUM(OSRRefD22x_0)</f>
        <v>33901.689999999995</v>
      </c>
      <c r="E25" s="22"/>
      <c r="F25" s="30">
        <f t="shared" ref="F25:F72" si="4">IF(D$12=0,0,D25/D$12)</f>
        <v>1.860824408408092</v>
      </c>
      <c r="G25" s="22"/>
      <c r="H25" s="22" cm="1">
        <f t="array" ref="H25">SUM(OSRRefH22x_0)</f>
        <v>23986.604975615395</v>
      </c>
      <c r="I25" s="22"/>
      <c r="J25" s="30">
        <f t="shared" ref="J25:J72" si="5">IF(H$12=0,0,H25/H$12)</f>
        <v>0.51473401235226168</v>
      </c>
      <c r="K25" s="5"/>
      <c r="L25" s="22">
        <f t="shared" ref="L25:L72" si="6">+D25-H25</f>
        <v>9915.0850243845998</v>
      </c>
      <c r="M25" s="5"/>
      <c r="N25" s="30">
        <f t="shared" ref="N25:N72" si="7">IF(H25=0,0,L25/H25)</f>
        <v>0.41335924923365358</v>
      </c>
      <c r="O25" s="11"/>
      <c r="P25" s="22" cm="1">
        <f t="array" ref="P25">SUM(OSRRefP22x_0)</f>
        <v>216887.65000000002</v>
      </c>
      <c r="Q25" s="22"/>
      <c r="R25" s="30">
        <f t="shared" ref="R25:R72" si="8">IF(P$12=0,0,P25/P$12)</f>
        <v>1.3173878616781818</v>
      </c>
      <c r="S25" s="22"/>
      <c r="T25" s="22" cm="1">
        <f t="array" ref="T25">SUM(OSRRefT22x_0)</f>
        <v>276298.94523894246</v>
      </c>
      <c r="U25" s="22"/>
      <c r="V25" s="30">
        <f t="shared" ref="V25:V72" si="9">IF(T$12=0,0,T25/T$12)</f>
        <v>0.88181452538519278</v>
      </c>
      <c r="W25" s="5"/>
      <c r="X25" s="22">
        <f t="shared" ref="X25:X72" si="10">+P25-T25</f>
        <v>-59411.295238942432</v>
      </c>
      <c r="Y25" s="5"/>
      <c r="Z25" s="30">
        <f t="shared" ref="Z25:Z72" si="11">IF(T25=0,0,X25/T25)</f>
        <v>-0.21502541454714469</v>
      </c>
    </row>
    <row r="26" spans="1:26" s="69" customFormat="1" ht="15" customHeight="1" outlineLevel="1" collapsed="1" x14ac:dyDescent="0.3">
      <c r="A26" s="25"/>
      <c r="B26" s="14" t="str">
        <f>CONCATENATE("     ","*Benefits                                         ")</f>
        <v xml:space="preserve">     *Benefits                                         </v>
      </c>
      <c r="C26" s="14"/>
      <c r="D26" s="2">
        <f>SUM(OSRRefD22_0x_0)</f>
        <v>4409.54</v>
      </c>
      <c r="E26" s="2"/>
      <c r="F26" s="6">
        <f t="shared" si="4"/>
        <v>0.24203453166646913</v>
      </c>
      <c r="G26" s="2"/>
      <c r="H26" s="2">
        <f>SUM(OSRRefH22_0x_0)</f>
        <v>4438.2928217692333</v>
      </c>
      <c r="I26" s="2"/>
      <c r="J26" s="6">
        <f t="shared" si="5"/>
        <v>9.5242335231099429E-2</v>
      </c>
      <c r="K26" s="2"/>
      <c r="L26" s="2">
        <f t="shared" si="6"/>
        <v>-28.752821769233378</v>
      </c>
      <c r="M26" s="2"/>
      <c r="N26" s="6">
        <f t="shared" si="7"/>
        <v>-6.4783516824767915E-3</v>
      </c>
      <c r="O26" s="14"/>
      <c r="P26" s="2">
        <f>SUM(OSRRefP22_0x_0)</f>
        <v>67168.75</v>
      </c>
      <c r="Q26" s="2"/>
      <c r="R26" s="6">
        <f t="shared" si="8"/>
        <v>0.40798678916985992</v>
      </c>
      <c r="S26" s="2"/>
      <c r="T26" s="2">
        <f>SUM(OSRRefT22_0x_0)</f>
        <v>53859.621200480768</v>
      </c>
      <c r="U26" s="2"/>
      <c r="V26" s="6">
        <f t="shared" si="9"/>
        <v>0.17189423674873383</v>
      </c>
      <c r="W26" s="2"/>
      <c r="X26" s="2">
        <f t="shared" si="10"/>
        <v>13309.128799519232</v>
      </c>
      <c r="Y26" s="2"/>
      <c r="Z26" s="6">
        <f t="shared" si="11"/>
        <v>0.24710773122556665</v>
      </c>
    </row>
    <row r="27" spans="1:26" s="70" customFormat="1" ht="15" hidden="1" customHeight="1" outlineLevel="2" x14ac:dyDescent="0.3">
      <c r="A27" s="26"/>
      <c r="B27" s="12" t="str">
        <f>CONCATENATE("          ","6111"," - ","F.I.C.A.")</f>
        <v xml:space="preserve">          6111 - F.I.C.A.</v>
      </c>
      <c r="C27" s="12"/>
      <c r="D27" s="7">
        <v>671.98</v>
      </c>
      <c r="E27" s="3"/>
      <c r="F27" s="8">
        <f t="shared" si="4"/>
        <v>3.6884202113878981E-2</v>
      </c>
      <c r="G27" s="3"/>
      <c r="H27" s="7">
        <v>849.25988561538497</v>
      </c>
      <c r="I27" s="3"/>
      <c r="J27" s="8">
        <f t="shared" si="5"/>
        <v>1.8224461064707834E-2</v>
      </c>
      <c r="K27" s="3"/>
      <c r="L27" s="7">
        <f t="shared" si="6"/>
        <v>-177.27988561538496</v>
      </c>
      <c r="M27" s="3"/>
      <c r="N27" s="8">
        <f t="shared" si="7"/>
        <v>-0.20874633150360752</v>
      </c>
      <c r="O27" s="12"/>
      <c r="P27" s="7">
        <v>11181.19</v>
      </c>
      <c r="Q27" s="3"/>
      <c r="R27" s="8">
        <f t="shared" si="8"/>
        <v>6.7915180901805469E-2</v>
      </c>
      <c r="S27" s="3"/>
      <c r="T27" s="7">
        <v>9297.9498014423098</v>
      </c>
      <c r="U27" s="3"/>
      <c r="V27" s="8">
        <f t="shared" si="9"/>
        <v>2.9674623564428269E-2</v>
      </c>
      <c r="W27" s="3"/>
      <c r="X27" s="7">
        <f t="shared" si="10"/>
        <v>1883.2401985576907</v>
      </c>
      <c r="Y27" s="3"/>
      <c r="Z27" s="8">
        <f t="shared" si="11"/>
        <v>0.20254359711272696</v>
      </c>
    </row>
    <row r="28" spans="1:26" s="70" customFormat="1" ht="15" hidden="1" customHeight="1" outlineLevel="2" x14ac:dyDescent="0.3">
      <c r="A28" s="26"/>
      <c r="B28" s="12" t="str">
        <f>CONCATENATE("          ","6112"," - ","COMPENSATION INSURANCE")</f>
        <v xml:space="preserve">          6112 - COMPENSATION INSURANCE</v>
      </c>
      <c r="C28" s="12"/>
      <c r="D28" s="7">
        <v>181</v>
      </c>
      <c r="E28" s="3"/>
      <c r="F28" s="8">
        <f t="shared" si="4"/>
        <v>9.9348798812644648E-3</v>
      </c>
      <c r="G28" s="3"/>
      <c r="H28" s="7">
        <v>173.11452</v>
      </c>
      <c r="I28" s="3"/>
      <c r="J28" s="8">
        <f t="shared" si="5"/>
        <v>3.7149038626609443E-3</v>
      </c>
      <c r="K28" s="3"/>
      <c r="L28" s="7">
        <f t="shared" si="6"/>
        <v>7.8854800000000012</v>
      </c>
      <c r="M28" s="3"/>
      <c r="N28" s="8">
        <f t="shared" si="7"/>
        <v>4.5550656293879922E-2</v>
      </c>
      <c r="O28" s="12"/>
      <c r="P28" s="7">
        <v>2535.13</v>
      </c>
      <c r="Q28" s="3"/>
      <c r="R28" s="8">
        <f t="shared" si="8"/>
        <v>1.5398523105286119E-2</v>
      </c>
      <c r="S28" s="3"/>
      <c r="T28" s="7">
        <v>1901.8612499999999</v>
      </c>
      <c r="U28" s="3"/>
      <c r="V28" s="8">
        <f t="shared" si="9"/>
        <v>6.069834519516165E-3</v>
      </c>
      <c r="W28" s="3"/>
      <c r="X28" s="7">
        <f t="shared" si="10"/>
        <v>633.26875000000018</v>
      </c>
      <c r="Y28" s="3"/>
      <c r="Z28" s="8">
        <f t="shared" si="11"/>
        <v>0.33297315984538839</v>
      </c>
    </row>
    <row r="29" spans="1:26" s="70" customFormat="1" ht="15" hidden="1" customHeight="1" outlineLevel="2" x14ac:dyDescent="0.3">
      <c r="A29" s="26"/>
      <c r="B29" s="12" t="str">
        <f>CONCATENATE("          ","6113"," - ","GROUP INSURANCE")</f>
        <v xml:space="preserve">          6113 - GROUP INSURANCE</v>
      </c>
      <c r="C29" s="12"/>
      <c r="D29" s="7">
        <v>1287</v>
      </c>
      <c r="E29" s="3"/>
      <c r="F29" s="8">
        <f t="shared" si="4"/>
        <v>7.0641935951311421E-2</v>
      </c>
      <c r="G29" s="3"/>
      <c r="H29" s="7">
        <v>1326</v>
      </c>
      <c r="I29" s="3"/>
      <c r="J29" s="8">
        <f t="shared" si="5"/>
        <v>2.8454935622317597E-2</v>
      </c>
      <c r="K29" s="3"/>
      <c r="L29" s="7">
        <f t="shared" si="6"/>
        <v>-39</v>
      </c>
      <c r="M29" s="3"/>
      <c r="N29" s="8">
        <f t="shared" si="7"/>
        <v>-2.9411764705882353E-2</v>
      </c>
      <c r="O29" s="12"/>
      <c r="P29" s="7">
        <v>21747.02</v>
      </c>
      <c r="Q29" s="3"/>
      <c r="R29" s="8">
        <f t="shared" si="8"/>
        <v>0.13209263033498059</v>
      </c>
      <c r="S29" s="3"/>
      <c r="T29" s="7">
        <v>16876.5</v>
      </c>
      <c r="U29" s="3"/>
      <c r="V29" s="8">
        <f t="shared" si="9"/>
        <v>5.3861743210034146E-2</v>
      </c>
      <c r="W29" s="3"/>
      <c r="X29" s="7">
        <f t="shared" si="10"/>
        <v>4870.5200000000004</v>
      </c>
      <c r="Y29" s="3"/>
      <c r="Z29" s="8">
        <f t="shared" si="11"/>
        <v>0.28859775427369422</v>
      </c>
    </row>
    <row r="30" spans="1:26" s="70" customFormat="1" ht="15" hidden="1" customHeight="1" outlineLevel="2" x14ac:dyDescent="0.3">
      <c r="A30" s="26"/>
      <c r="B30" s="12" t="str">
        <f>CONCATENATE("          ","6114"," - ","STATE UNEMPLOYMENT INSURANCE")</f>
        <v xml:space="preserve">          6114 - STATE UNEMPLOYMENT INSURANCE</v>
      </c>
      <c r="C30" s="12"/>
      <c r="D30" s="7">
        <v>31.8</v>
      </c>
      <c r="E30" s="3"/>
      <c r="F30" s="8">
        <f t="shared" si="4"/>
        <v>1.7454650841116576E-3</v>
      </c>
      <c r="G30" s="3"/>
      <c r="H30" s="7">
        <v>23.303877692307701</v>
      </c>
      <c r="I30" s="3"/>
      <c r="J30" s="8">
        <f t="shared" si="5"/>
        <v>5.0008321228128111E-4</v>
      </c>
      <c r="K30" s="3"/>
      <c r="L30" s="7">
        <f t="shared" si="6"/>
        <v>8.4961223076922998</v>
      </c>
      <c r="M30" s="3"/>
      <c r="N30" s="8">
        <f t="shared" si="7"/>
        <v>0.36457976736192521</v>
      </c>
      <c r="O30" s="12"/>
      <c r="P30" s="7">
        <v>445.36</v>
      </c>
      <c r="Q30" s="3"/>
      <c r="R30" s="8">
        <f t="shared" si="8"/>
        <v>2.7051418468363462E-3</v>
      </c>
      <c r="S30" s="3"/>
      <c r="T30" s="7">
        <v>256.01978365384599</v>
      </c>
      <c r="U30" s="3"/>
      <c r="V30" s="8">
        <f t="shared" si="9"/>
        <v>8.1709310839640629E-4</v>
      </c>
      <c r="W30" s="3"/>
      <c r="X30" s="7">
        <f t="shared" si="10"/>
        <v>189.34021634615402</v>
      </c>
      <c r="Y30" s="3"/>
      <c r="Z30" s="8">
        <f t="shared" si="11"/>
        <v>0.73955306751666228</v>
      </c>
    </row>
    <row r="31" spans="1:26" s="70" customFormat="1" ht="15" hidden="1" customHeight="1" outlineLevel="2" x14ac:dyDescent="0.3">
      <c r="A31" s="26"/>
      <c r="B31" s="12" t="str">
        <f>CONCATENATE("          ","6115"," - ","P.E.R.S.")</f>
        <v xml:space="preserve">          6115 - P.E.R.S.</v>
      </c>
      <c r="C31" s="12"/>
      <c r="D31" s="7">
        <v>793.49</v>
      </c>
      <c r="E31" s="3"/>
      <c r="F31" s="8">
        <f t="shared" si="4"/>
        <v>4.3553744955715692E-2</v>
      </c>
      <c r="G31" s="3"/>
      <c r="H31" s="7">
        <v>762.81007692307799</v>
      </c>
      <c r="I31" s="3"/>
      <c r="J31" s="8">
        <f t="shared" si="5"/>
        <v>1.6369314955430859E-2</v>
      </c>
      <c r="K31" s="3"/>
      <c r="L31" s="7">
        <f t="shared" si="6"/>
        <v>30.679923076922023</v>
      </c>
      <c r="M31" s="3"/>
      <c r="N31" s="8">
        <f t="shared" si="7"/>
        <v>4.0219609054818237E-2</v>
      </c>
      <c r="O31" s="12"/>
      <c r="P31" s="7">
        <v>14085.32</v>
      </c>
      <c r="Q31" s="3"/>
      <c r="R31" s="8">
        <f t="shared" si="8"/>
        <v>8.5555030892044456E-2</v>
      </c>
      <c r="S31" s="3"/>
      <c r="T31" s="7">
        <v>9254.9917115384596</v>
      </c>
      <c r="U31" s="3"/>
      <c r="V31" s="8">
        <f t="shared" si="9"/>
        <v>2.9537521818971881E-2</v>
      </c>
      <c r="W31" s="3"/>
      <c r="X31" s="7">
        <f t="shared" si="10"/>
        <v>4830.3282884615401</v>
      </c>
      <c r="Y31" s="3"/>
      <c r="Z31" s="8">
        <f t="shared" si="11"/>
        <v>0.52191600371067148</v>
      </c>
    </row>
    <row r="32" spans="1:26" s="70" customFormat="1" ht="15" hidden="1" customHeight="1" outlineLevel="2" x14ac:dyDescent="0.3">
      <c r="A32" s="26"/>
      <c r="B32" s="12" t="str">
        <f>CONCATENATE("          ","6116"," - ","EDUCATIONAL BENEFITS")</f>
        <v xml:space="preserve">          6116 - EDUCATIONAL BENEFITS</v>
      </c>
      <c r="C32" s="12"/>
      <c r="D32" s="7"/>
      <c r="E32" s="3"/>
      <c r="F32" s="8">
        <f t="shared" si="4"/>
        <v>0</v>
      </c>
      <c r="G32" s="3"/>
      <c r="H32" s="7">
        <v>0</v>
      </c>
      <c r="I32" s="3"/>
      <c r="J32" s="8">
        <f t="shared" si="5"/>
        <v>0</v>
      </c>
      <c r="K32" s="3"/>
      <c r="L32" s="7">
        <f t="shared" si="6"/>
        <v>0</v>
      </c>
      <c r="M32" s="3"/>
      <c r="N32" s="8">
        <f t="shared" si="7"/>
        <v>0</v>
      </c>
      <c r="O32" s="12"/>
      <c r="P32" s="7"/>
      <c r="Q32" s="3"/>
      <c r="R32" s="8">
        <f t="shared" si="8"/>
        <v>0</v>
      </c>
      <c r="S32" s="3"/>
      <c r="T32" s="7">
        <v>0</v>
      </c>
      <c r="U32" s="3"/>
      <c r="V32" s="8">
        <f t="shared" si="9"/>
        <v>0</v>
      </c>
      <c r="W32" s="3"/>
      <c r="X32" s="7">
        <f t="shared" si="10"/>
        <v>0</v>
      </c>
      <c r="Y32" s="3"/>
      <c r="Z32" s="8">
        <f t="shared" si="11"/>
        <v>0</v>
      </c>
    </row>
    <row r="33" spans="1:26" s="70" customFormat="1" ht="15" hidden="1" customHeight="1" outlineLevel="2" x14ac:dyDescent="0.3">
      <c r="A33" s="26"/>
      <c r="B33" s="12" t="str">
        <f>CONCATENATE("          ","6118"," - ","VACATION")</f>
        <v xml:space="preserve">          6118 - VACATION</v>
      </c>
      <c r="C33" s="12"/>
      <c r="D33" s="7">
        <v>640.52</v>
      </c>
      <c r="E33" s="3"/>
      <c r="F33" s="8">
        <f t="shared" si="4"/>
        <v>3.5157399235069144E-2</v>
      </c>
      <c r="G33" s="3"/>
      <c r="H33" s="7">
        <v>620.89192307692304</v>
      </c>
      <c r="I33" s="3"/>
      <c r="J33" s="8">
        <f t="shared" si="5"/>
        <v>1.3323861010234399E-2</v>
      </c>
      <c r="K33" s="3"/>
      <c r="L33" s="7">
        <f t="shared" si="6"/>
        <v>19.628076923076947</v>
      </c>
      <c r="M33" s="3"/>
      <c r="N33" s="8">
        <f t="shared" si="7"/>
        <v>3.1612710994543249E-2</v>
      </c>
      <c r="O33" s="12"/>
      <c r="P33" s="7">
        <v>7525.19</v>
      </c>
      <c r="Q33" s="3"/>
      <c r="R33" s="8">
        <f t="shared" si="8"/>
        <v>4.5708429976635531E-2</v>
      </c>
      <c r="S33" s="3"/>
      <c r="T33" s="7">
        <v>8167.1770192307604</v>
      </c>
      <c r="U33" s="3"/>
      <c r="V33" s="8">
        <f t="shared" si="9"/>
        <v>2.606573586707548E-2</v>
      </c>
      <c r="W33" s="3"/>
      <c r="X33" s="7">
        <f t="shared" si="10"/>
        <v>-641.98701923076078</v>
      </c>
      <c r="Y33" s="3"/>
      <c r="Z33" s="8">
        <f t="shared" si="11"/>
        <v>-7.8605743174062784E-2</v>
      </c>
    </row>
    <row r="34" spans="1:26" s="70" customFormat="1" ht="15" hidden="1" customHeight="1" outlineLevel="2" x14ac:dyDescent="0.3">
      <c r="A34" s="26"/>
      <c r="B34" s="12" t="str">
        <f>CONCATENATE("          ","6119"," - ","SICK LEAVE")</f>
        <v xml:space="preserve">          6119 - SICK LEAVE</v>
      </c>
      <c r="C34" s="12"/>
      <c r="D34" s="7">
        <v>411.06</v>
      </c>
      <c r="E34" s="3"/>
      <c r="F34" s="8">
        <f t="shared" si="4"/>
        <v>2.2562606209903708E-2</v>
      </c>
      <c r="G34" s="3"/>
      <c r="H34" s="7">
        <v>332.91253846153899</v>
      </c>
      <c r="I34" s="3"/>
      <c r="J34" s="8">
        <f t="shared" si="5"/>
        <v>7.1440458897325965E-3</v>
      </c>
      <c r="K34" s="3"/>
      <c r="L34" s="7">
        <f t="shared" si="6"/>
        <v>78.147461538461016</v>
      </c>
      <c r="M34" s="3"/>
      <c r="N34" s="8">
        <f t="shared" si="7"/>
        <v>0.23473871515803332</v>
      </c>
      <c r="O34" s="12"/>
      <c r="P34" s="7">
        <v>5786.78</v>
      </c>
      <c r="Q34" s="3"/>
      <c r="R34" s="8">
        <f t="shared" si="8"/>
        <v>3.5149229244736006E-2</v>
      </c>
      <c r="S34" s="3"/>
      <c r="T34" s="7">
        <v>4080.1216346153901</v>
      </c>
      <c r="U34" s="3"/>
      <c r="V34" s="8">
        <f t="shared" si="9"/>
        <v>1.3021803321148278E-2</v>
      </c>
      <c r="W34" s="3"/>
      <c r="X34" s="7">
        <f t="shared" si="10"/>
        <v>1706.6583653846096</v>
      </c>
      <c r="Y34" s="3"/>
      <c r="Z34" s="8">
        <f t="shared" si="11"/>
        <v>0.41828614885043414</v>
      </c>
    </row>
    <row r="35" spans="1:26" s="70" customFormat="1" ht="15" hidden="1" customHeight="1" outlineLevel="2" x14ac:dyDescent="0.3">
      <c r="A35" s="26"/>
      <c r="B35" s="12" t="str">
        <f>CONCATENATE("          ","6156"," - ","EMPLOYEE MEALS")</f>
        <v xml:space="preserve">          6156 - EMPLOYEE MEALS</v>
      </c>
      <c r="C35" s="12"/>
      <c r="D35" s="7">
        <v>392.69</v>
      </c>
      <c r="E35" s="3"/>
      <c r="F35" s="8">
        <f t="shared" si="4"/>
        <v>2.1554298235214049E-2</v>
      </c>
      <c r="G35" s="3"/>
      <c r="H35" s="7">
        <v>350</v>
      </c>
      <c r="I35" s="3"/>
      <c r="J35" s="8">
        <f t="shared" si="5"/>
        <v>7.5107296137339056E-3</v>
      </c>
      <c r="K35" s="3"/>
      <c r="L35" s="7">
        <f t="shared" si="6"/>
        <v>42.69</v>
      </c>
      <c r="M35" s="3"/>
      <c r="N35" s="8">
        <f t="shared" si="7"/>
        <v>0.12197142857142856</v>
      </c>
      <c r="O35" s="12"/>
      <c r="P35" s="7">
        <v>3862.76</v>
      </c>
      <c r="Q35" s="3"/>
      <c r="R35" s="8">
        <f t="shared" si="8"/>
        <v>2.3462622867535397E-2</v>
      </c>
      <c r="S35" s="3"/>
      <c r="T35" s="7">
        <v>4025</v>
      </c>
      <c r="U35" s="3"/>
      <c r="V35" s="8">
        <f t="shared" si="9"/>
        <v>1.2845881339163182E-2</v>
      </c>
      <c r="W35" s="3"/>
      <c r="X35" s="7">
        <f t="shared" si="10"/>
        <v>-162.23999999999978</v>
      </c>
      <c r="Y35" s="3"/>
      <c r="Z35" s="8">
        <f t="shared" si="11"/>
        <v>-4.0308074534161437E-2</v>
      </c>
    </row>
    <row r="36" spans="1:26" s="69" customFormat="1" ht="15" customHeight="1" outlineLevel="1" collapsed="1" x14ac:dyDescent="0.3">
      <c r="A36" s="25"/>
      <c r="B36" s="14" t="str">
        <f>CONCATENATE("     ","*Payroll                                          ")</f>
        <v xml:space="preserve">     *Payroll                                          </v>
      </c>
      <c r="C36" s="14"/>
      <c r="D36" s="2">
        <f>SUM(OSRRefD22_1x_0)</f>
        <v>13661.55</v>
      </c>
      <c r="E36" s="2"/>
      <c r="F36" s="6">
        <f t="shared" si="4"/>
        <v>0.74986662012093119</v>
      </c>
      <c r="G36" s="2"/>
      <c r="H36" s="2">
        <f>SUM(OSRRefH22_1x_0)</f>
        <v>10303.312153846158</v>
      </c>
      <c r="I36" s="2"/>
      <c r="J36" s="6">
        <f t="shared" si="5"/>
        <v>0.22110111918124803</v>
      </c>
      <c r="K36" s="2"/>
      <c r="L36" s="2">
        <f t="shared" si="6"/>
        <v>3358.237846153841</v>
      </c>
      <c r="M36" s="2"/>
      <c r="N36" s="6">
        <f t="shared" si="7"/>
        <v>0.32593769809257239</v>
      </c>
      <c r="O36" s="14"/>
      <c r="P36" s="2">
        <f>SUM(OSRRefP22_1x_0)</f>
        <v>126860.69</v>
      </c>
      <c r="Q36" s="2"/>
      <c r="R36" s="6">
        <f t="shared" si="8"/>
        <v>0.77055901122133363</v>
      </c>
      <c r="S36" s="2"/>
      <c r="T36" s="2">
        <f>SUM(OSRRefT22_1x_0)</f>
        <v>110634.32403846169</v>
      </c>
      <c r="U36" s="2"/>
      <c r="V36" s="6">
        <f t="shared" si="9"/>
        <v>0.35309202450598953</v>
      </c>
      <c r="W36" s="2"/>
      <c r="X36" s="2">
        <f t="shared" si="10"/>
        <v>16226.365961538308</v>
      </c>
      <c r="Y36" s="2"/>
      <c r="Z36" s="6">
        <f t="shared" si="11"/>
        <v>0.1466666525290764</v>
      </c>
    </row>
    <row r="37" spans="1:26" s="70" customFormat="1" ht="15" hidden="1" customHeight="1" outlineLevel="2" x14ac:dyDescent="0.3">
      <c r="A37" s="26"/>
      <c r="B37" s="12" t="str">
        <f>CONCATENATE("          ","6001"," - ","ADMINISTRATIVE SALARIES")</f>
        <v xml:space="preserve">          6001 - ADMINISTRATIVE SALARIES</v>
      </c>
      <c r="C37" s="12"/>
      <c r="D37" s="7"/>
      <c r="E37" s="3"/>
      <c r="F37" s="8">
        <f t="shared" si="4"/>
        <v>0</v>
      </c>
      <c r="G37" s="3"/>
      <c r="H37" s="7">
        <v>0</v>
      </c>
      <c r="I37" s="3"/>
      <c r="J37" s="8">
        <f t="shared" si="5"/>
        <v>0</v>
      </c>
      <c r="K37" s="3"/>
      <c r="L37" s="7">
        <f t="shared" si="6"/>
        <v>0</v>
      </c>
      <c r="M37" s="3"/>
      <c r="N37" s="8">
        <f t="shared" si="7"/>
        <v>0</v>
      </c>
      <c r="O37" s="12"/>
      <c r="P37" s="7"/>
      <c r="Q37" s="3"/>
      <c r="R37" s="8">
        <f t="shared" si="8"/>
        <v>0</v>
      </c>
      <c r="S37" s="3"/>
      <c r="T37" s="7">
        <v>0</v>
      </c>
      <c r="U37" s="3"/>
      <c r="V37" s="8">
        <f t="shared" si="9"/>
        <v>0</v>
      </c>
      <c r="W37" s="3"/>
      <c r="X37" s="7">
        <f t="shared" si="10"/>
        <v>0</v>
      </c>
      <c r="Y37" s="3"/>
      <c r="Z37" s="8">
        <f t="shared" si="11"/>
        <v>0</v>
      </c>
    </row>
    <row r="38" spans="1:26" s="70" customFormat="1" ht="15" hidden="1" customHeight="1" outlineLevel="2" x14ac:dyDescent="0.3">
      <c r="A38" s="26"/>
      <c r="B38" s="12" t="str">
        <f>CONCATENATE("          ","6002"," - ","STAFF SALARIES")</f>
        <v xml:space="preserve">          6002 - STAFF SALARIES</v>
      </c>
      <c r="C38" s="12"/>
      <c r="D38" s="7">
        <v>9955.57</v>
      </c>
      <c r="E38" s="3"/>
      <c r="F38" s="8">
        <f t="shared" si="4"/>
        <v>0.54644968010784567</v>
      </c>
      <c r="G38" s="3"/>
      <c r="H38" s="7">
        <v>7982.8961538461599</v>
      </c>
      <c r="I38" s="3"/>
      <c r="J38" s="8">
        <f t="shared" si="5"/>
        <v>0.17130678441729957</v>
      </c>
      <c r="K38" s="3"/>
      <c r="L38" s="7">
        <f t="shared" si="6"/>
        <v>1972.6738461538398</v>
      </c>
      <c r="M38" s="3"/>
      <c r="N38" s="8">
        <f t="shared" si="7"/>
        <v>0.24711255265464094</v>
      </c>
      <c r="O38" s="12"/>
      <c r="P38" s="7">
        <v>103037.42</v>
      </c>
      <c r="Q38" s="3"/>
      <c r="R38" s="8">
        <f t="shared" si="8"/>
        <v>0.6258551208731189</v>
      </c>
      <c r="S38" s="3"/>
      <c r="T38" s="7">
        <v>95797.824038461695</v>
      </c>
      <c r="U38" s="3"/>
      <c r="V38" s="8">
        <f t="shared" si="9"/>
        <v>0.30574098885667411</v>
      </c>
      <c r="W38" s="3"/>
      <c r="X38" s="7">
        <f t="shared" si="10"/>
        <v>7239.5959615383035</v>
      </c>
      <c r="Y38" s="3"/>
      <c r="Z38" s="8">
        <f t="shared" si="11"/>
        <v>7.5571611716688802E-2</v>
      </c>
    </row>
    <row r="39" spans="1:26" s="70" customFormat="1" ht="15" hidden="1" customHeight="1" outlineLevel="2" x14ac:dyDescent="0.3">
      <c r="A39" s="26"/>
      <c r="B39" s="12" t="str">
        <f>CONCATENATE("          ","6003"," - ","STAFF HOURLY-9 MONTH")</f>
        <v xml:space="preserve">          6003 - STAFF HOURLY-9 MONTH</v>
      </c>
      <c r="C39" s="12"/>
      <c r="D39" s="7"/>
      <c r="E39" s="3"/>
      <c r="F39" s="8">
        <f t="shared" si="4"/>
        <v>0</v>
      </c>
      <c r="G39" s="3"/>
      <c r="H39" s="7">
        <v>0</v>
      </c>
      <c r="I39" s="3"/>
      <c r="J39" s="8">
        <f t="shared" si="5"/>
        <v>0</v>
      </c>
      <c r="K39" s="3"/>
      <c r="L39" s="7">
        <f t="shared" si="6"/>
        <v>0</v>
      </c>
      <c r="M39" s="3"/>
      <c r="N39" s="8">
        <f t="shared" si="7"/>
        <v>0</v>
      </c>
      <c r="O39" s="12"/>
      <c r="P39" s="7"/>
      <c r="Q39" s="3"/>
      <c r="R39" s="8">
        <f t="shared" si="8"/>
        <v>0</v>
      </c>
      <c r="S39" s="3"/>
      <c r="T39" s="7">
        <v>0</v>
      </c>
      <c r="U39" s="3"/>
      <c r="V39" s="8">
        <f t="shared" si="9"/>
        <v>0</v>
      </c>
      <c r="W39" s="3"/>
      <c r="X39" s="7">
        <f t="shared" si="10"/>
        <v>0</v>
      </c>
      <c r="Y39" s="3"/>
      <c r="Z39" s="8">
        <f t="shared" si="11"/>
        <v>0</v>
      </c>
    </row>
    <row r="40" spans="1:26" s="70" customFormat="1" ht="15" hidden="1" customHeight="1" outlineLevel="2" x14ac:dyDescent="0.3">
      <c r="A40" s="26"/>
      <c r="B40" s="12" t="str">
        <f>CONCATENATE("          ","6004"," - ","STAFF HOURLY")</f>
        <v xml:space="preserve">          6004 - STAFF HOURLY</v>
      </c>
      <c r="C40" s="12"/>
      <c r="D40" s="7"/>
      <c r="E40" s="3"/>
      <c r="F40" s="8">
        <f t="shared" si="4"/>
        <v>0</v>
      </c>
      <c r="G40" s="3"/>
      <c r="H40" s="7">
        <v>1386</v>
      </c>
      <c r="I40" s="3"/>
      <c r="J40" s="8">
        <f t="shared" si="5"/>
        <v>2.9742489270386266E-2</v>
      </c>
      <c r="K40" s="3"/>
      <c r="L40" s="7">
        <f t="shared" si="6"/>
        <v>-1386</v>
      </c>
      <c r="M40" s="3"/>
      <c r="N40" s="8">
        <f t="shared" si="7"/>
        <v>-1</v>
      </c>
      <c r="O40" s="12"/>
      <c r="P40" s="7"/>
      <c r="Q40" s="3"/>
      <c r="R40" s="8">
        <f t="shared" si="8"/>
        <v>0</v>
      </c>
      <c r="S40" s="3"/>
      <c r="T40" s="7">
        <v>5751.9</v>
      </c>
      <c r="U40" s="3"/>
      <c r="V40" s="8">
        <f t="shared" si="9"/>
        <v>1.835732295024415E-2</v>
      </c>
      <c r="W40" s="3"/>
      <c r="X40" s="7">
        <f t="shared" si="10"/>
        <v>-5751.9</v>
      </c>
      <c r="Y40" s="3"/>
      <c r="Z40" s="8">
        <f t="shared" si="11"/>
        <v>-1</v>
      </c>
    </row>
    <row r="41" spans="1:26" s="70" customFormat="1" ht="15" hidden="1" customHeight="1" outlineLevel="2" x14ac:dyDescent="0.3">
      <c r="A41" s="26"/>
      <c r="B41" s="12" t="str">
        <f>CONCATENATE("          ","6005"," - ","TEMPORARY WAGES-HOURLY")</f>
        <v xml:space="preserve">          6005 - TEMPORARY WAGES-HOURLY</v>
      </c>
      <c r="C41" s="12"/>
      <c r="D41" s="7"/>
      <c r="E41" s="3"/>
      <c r="F41" s="8">
        <f t="shared" si="4"/>
        <v>0</v>
      </c>
      <c r="G41" s="3"/>
      <c r="H41" s="7">
        <v>0</v>
      </c>
      <c r="I41" s="3"/>
      <c r="J41" s="8">
        <f t="shared" si="5"/>
        <v>0</v>
      </c>
      <c r="K41" s="3"/>
      <c r="L41" s="7">
        <f t="shared" si="6"/>
        <v>0</v>
      </c>
      <c r="M41" s="3"/>
      <c r="N41" s="8">
        <f t="shared" si="7"/>
        <v>0</v>
      </c>
      <c r="O41" s="12"/>
      <c r="P41" s="7"/>
      <c r="Q41" s="3"/>
      <c r="R41" s="8">
        <f t="shared" si="8"/>
        <v>0</v>
      </c>
      <c r="S41" s="3"/>
      <c r="T41" s="7">
        <v>0</v>
      </c>
      <c r="U41" s="3"/>
      <c r="V41" s="8">
        <f t="shared" si="9"/>
        <v>0</v>
      </c>
      <c r="W41" s="3"/>
      <c r="X41" s="7">
        <f t="shared" si="10"/>
        <v>0</v>
      </c>
      <c r="Y41" s="3"/>
      <c r="Z41" s="8">
        <f t="shared" si="11"/>
        <v>0</v>
      </c>
    </row>
    <row r="42" spans="1:26" s="70" customFormat="1" ht="15" hidden="1" customHeight="1" outlineLevel="2" x14ac:dyDescent="0.3">
      <c r="A42" s="26"/>
      <c r="B42" s="12" t="str">
        <f>CONCATENATE("          ","6006"," - ","TEMPORARY PART TIME")</f>
        <v xml:space="preserve">          6006 - TEMPORARY PART TIME</v>
      </c>
      <c r="C42" s="12"/>
      <c r="D42" s="7"/>
      <c r="E42" s="3"/>
      <c r="F42" s="8">
        <f t="shared" si="4"/>
        <v>0</v>
      </c>
      <c r="G42" s="3"/>
      <c r="H42" s="7">
        <v>0</v>
      </c>
      <c r="I42" s="3"/>
      <c r="J42" s="8">
        <f t="shared" si="5"/>
        <v>0</v>
      </c>
      <c r="K42" s="3"/>
      <c r="L42" s="7">
        <f t="shared" si="6"/>
        <v>0</v>
      </c>
      <c r="M42" s="3"/>
      <c r="N42" s="8">
        <f t="shared" si="7"/>
        <v>0</v>
      </c>
      <c r="O42" s="12"/>
      <c r="P42" s="7"/>
      <c r="Q42" s="3"/>
      <c r="R42" s="8">
        <f t="shared" si="8"/>
        <v>0</v>
      </c>
      <c r="S42" s="3"/>
      <c r="T42" s="7">
        <v>0</v>
      </c>
      <c r="U42" s="3"/>
      <c r="V42" s="8">
        <f t="shared" si="9"/>
        <v>0</v>
      </c>
      <c r="W42" s="3"/>
      <c r="X42" s="7">
        <f t="shared" si="10"/>
        <v>0</v>
      </c>
      <c r="Y42" s="3"/>
      <c r="Z42" s="8">
        <f t="shared" si="11"/>
        <v>0</v>
      </c>
    </row>
    <row r="43" spans="1:26" s="70" customFormat="1" ht="15" hidden="1" customHeight="1" outlineLevel="2" x14ac:dyDescent="0.3">
      <c r="A43" s="26"/>
      <c r="B43" s="12" t="str">
        <f>CONCATENATE("          ","6007"," - ","STUDENT HOURLY")</f>
        <v xml:space="preserve">          6007 - STUDENT HOURLY</v>
      </c>
      <c r="C43" s="12"/>
      <c r="D43" s="7">
        <v>3705.98</v>
      </c>
      <c r="E43" s="3"/>
      <c r="F43" s="8">
        <f t="shared" si="4"/>
        <v>0.20341694001308555</v>
      </c>
      <c r="G43" s="3"/>
      <c r="H43" s="7">
        <v>934.41600000000005</v>
      </c>
      <c r="I43" s="3"/>
      <c r="J43" s="8">
        <f t="shared" si="5"/>
        <v>2.0051845493562231E-2</v>
      </c>
      <c r="K43" s="3"/>
      <c r="L43" s="7">
        <f t="shared" si="6"/>
        <v>2771.5639999999999</v>
      </c>
      <c r="M43" s="3"/>
      <c r="N43" s="8">
        <f t="shared" si="7"/>
        <v>2.9660921902022221</v>
      </c>
      <c r="O43" s="12"/>
      <c r="P43" s="7">
        <v>23823.27</v>
      </c>
      <c r="Q43" s="3"/>
      <c r="R43" s="8">
        <f t="shared" si="8"/>
        <v>0.14470389034821474</v>
      </c>
      <c r="S43" s="3"/>
      <c r="T43" s="7">
        <v>8652</v>
      </c>
      <c r="U43" s="3"/>
      <c r="V43" s="8">
        <f t="shared" si="9"/>
        <v>2.7613059713401205E-2</v>
      </c>
      <c r="W43" s="3"/>
      <c r="X43" s="7">
        <f t="shared" si="10"/>
        <v>15171.27</v>
      </c>
      <c r="Y43" s="3"/>
      <c r="Z43" s="8">
        <f t="shared" si="11"/>
        <v>1.7534986130374481</v>
      </c>
    </row>
    <row r="44" spans="1:26" s="70" customFormat="1" ht="15" hidden="1" customHeight="1" outlineLevel="2" x14ac:dyDescent="0.3">
      <c r="A44" s="26"/>
      <c r="B44" s="12" t="str">
        <f>CONCATENATE("          ","6008"," - ","STUDENT HOURLY-FICA EXEMPT")</f>
        <v xml:space="preserve">          6008 - STUDENT HOURLY-FICA EXEMPT</v>
      </c>
      <c r="C44" s="12"/>
      <c r="D44" s="7"/>
      <c r="E44" s="3"/>
      <c r="F44" s="8">
        <f t="shared" si="4"/>
        <v>0</v>
      </c>
      <c r="G44" s="3"/>
      <c r="H44" s="7">
        <v>0</v>
      </c>
      <c r="I44" s="3"/>
      <c r="J44" s="8">
        <f t="shared" si="5"/>
        <v>0</v>
      </c>
      <c r="K44" s="3"/>
      <c r="L44" s="7">
        <f t="shared" si="6"/>
        <v>0</v>
      </c>
      <c r="M44" s="3"/>
      <c r="N44" s="8">
        <f t="shared" si="7"/>
        <v>0</v>
      </c>
      <c r="O44" s="12"/>
      <c r="P44" s="7"/>
      <c r="Q44" s="3"/>
      <c r="R44" s="8">
        <f t="shared" si="8"/>
        <v>0</v>
      </c>
      <c r="S44" s="3"/>
      <c r="T44" s="7">
        <v>432.6</v>
      </c>
      <c r="U44" s="3"/>
      <c r="V44" s="8">
        <f t="shared" si="9"/>
        <v>1.3806529856700603E-3</v>
      </c>
      <c r="W44" s="3"/>
      <c r="X44" s="7">
        <f t="shared" si="10"/>
        <v>-432.6</v>
      </c>
      <c r="Y44" s="3"/>
      <c r="Z44" s="8">
        <f t="shared" si="11"/>
        <v>-1</v>
      </c>
    </row>
    <row r="45" spans="1:26" s="70" customFormat="1" ht="15" hidden="1" customHeight="1" outlineLevel="2" x14ac:dyDescent="0.3">
      <c r="A45" s="26"/>
      <c r="B45" s="12" t="str">
        <f>CONCATENATE("          ","6009"," - ","TEMPORARY-SEASONAL")</f>
        <v xml:space="preserve">          6009 - TEMPORARY-SEASONAL</v>
      </c>
      <c r="C45" s="12"/>
      <c r="D45" s="7"/>
      <c r="E45" s="3"/>
      <c r="F45" s="8">
        <f t="shared" si="4"/>
        <v>0</v>
      </c>
      <c r="G45" s="3"/>
      <c r="H45" s="7">
        <v>0</v>
      </c>
      <c r="I45" s="3"/>
      <c r="J45" s="8">
        <f t="shared" si="5"/>
        <v>0</v>
      </c>
      <c r="K45" s="3"/>
      <c r="L45" s="7">
        <f t="shared" si="6"/>
        <v>0</v>
      </c>
      <c r="M45" s="3"/>
      <c r="N45" s="8">
        <f t="shared" si="7"/>
        <v>0</v>
      </c>
      <c r="O45" s="12"/>
      <c r="P45" s="7"/>
      <c r="Q45" s="3"/>
      <c r="R45" s="8">
        <f t="shared" si="8"/>
        <v>0</v>
      </c>
      <c r="S45" s="3"/>
      <c r="T45" s="7">
        <v>0</v>
      </c>
      <c r="U45" s="3"/>
      <c r="V45" s="8">
        <f t="shared" si="9"/>
        <v>0</v>
      </c>
      <c r="W45" s="3"/>
      <c r="X45" s="7">
        <f t="shared" si="10"/>
        <v>0</v>
      </c>
      <c r="Y45" s="3"/>
      <c r="Z45" s="8">
        <f t="shared" si="11"/>
        <v>0</v>
      </c>
    </row>
    <row r="46" spans="1:26" s="70" customFormat="1" ht="15" hidden="1" customHeight="1" outlineLevel="2" x14ac:dyDescent="0.3">
      <c r="A46" s="26"/>
      <c r="B46" s="12" t="str">
        <f>CONCATENATE("          ","6010"," - ","GRATUITY")</f>
        <v xml:space="preserve">          6010 - GRATUITY</v>
      </c>
      <c r="C46" s="12"/>
      <c r="D46" s="7"/>
      <c r="E46" s="3"/>
      <c r="F46" s="8">
        <f t="shared" si="4"/>
        <v>0</v>
      </c>
      <c r="G46" s="3"/>
      <c r="H46" s="7">
        <v>0</v>
      </c>
      <c r="I46" s="3"/>
      <c r="J46" s="8">
        <f t="shared" si="5"/>
        <v>0</v>
      </c>
      <c r="K46" s="3"/>
      <c r="L46" s="7">
        <f t="shared" si="6"/>
        <v>0</v>
      </c>
      <c r="M46" s="3"/>
      <c r="N46" s="8">
        <f t="shared" si="7"/>
        <v>0</v>
      </c>
      <c r="O46" s="12"/>
      <c r="P46" s="7"/>
      <c r="Q46" s="3"/>
      <c r="R46" s="8">
        <f t="shared" si="8"/>
        <v>0</v>
      </c>
      <c r="S46" s="3"/>
      <c r="T46" s="7">
        <v>0</v>
      </c>
      <c r="U46" s="3"/>
      <c r="V46" s="8">
        <f t="shared" si="9"/>
        <v>0</v>
      </c>
      <c r="W46" s="3"/>
      <c r="X46" s="7">
        <f t="shared" si="10"/>
        <v>0</v>
      </c>
      <c r="Y46" s="3"/>
      <c r="Z46" s="8">
        <f t="shared" si="11"/>
        <v>0</v>
      </c>
    </row>
    <row r="47" spans="1:26" s="69" customFormat="1" ht="15" customHeight="1" outlineLevel="1" collapsed="1" x14ac:dyDescent="0.3">
      <c r="A47" s="25"/>
      <c r="B47" s="14" t="str">
        <f>CONCATENATE("     ","Advertising/Promo                                 ")</f>
        <v xml:space="preserve">     Advertising/Promo                                 </v>
      </c>
      <c r="C47" s="14"/>
      <c r="D47" s="2">
        <f>SUM(OSRRefD22_2x_0)</f>
        <v>0</v>
      </c>
      <c r="E47" s="2"/>
      <c r="F47" s="6">
        <f t="shared" si="4"/>
        <v>0</v>
      </c>
      <c r="G47" s="2"/>
      <c r="H47" s="2">
        <f>SUM(OSRRefH22_2x_0)</f>
        <v>50</v>
      </c>
      <c r="I47" s="2"/>
      <c r="J47" s="6">
        <f t="shared" si="5"/>
        <v>1.0729613733905579E-3</v>
      </c>
      <c r="K47" s="2"/>
      <c r="L47" s="2">
        <f t="shared" si="6"/>
        <v>-50</v>
      </c>
      <c r="M47" s="2"/>
      <c r="N47" s="6">
        <f t="shared" si="7"/>
        <v>-1</v>
      </c>
      <c r="O47" s="14"/>
      <c r="P47" s="2">
        <f>SUM(OSRRefP22_2x_0)</f>
        <v>151.85</v>
      </c>
      <c r="Q47" s="2"/>
      <c r="R47" s="6">
        <f t="shared" si="8"/>
        <v>9.2234549452599945E-4</v>
      </c>
      <c r="S47" s="2"/>
      <c r="T47" s="2">
        <f>SUM(OSRRefT22_2x_0)</f>
        <v>450</v>
      </c>
      <c r="U47" s="2"/>
      <c r="V47" s="6">
        <f t="shared" si="9"/>
        <v>1.4361854913350141E-3</v>
      </c>
      <c r="W47" s="2"/>
      <c r="X47" s="2">
        <f t="shared" si="10"/>
        <v>-298.14999999999998</v>
      </c>
      <c r="Y47" s="2"/>
      <c r="Z47" s="6">
        <f t="shared" si="11"/>
        <v>-0.66255555555555545</v>
      </c>
    </row>
    <row r="48" spans="1:26" s="70" customFormat="1" ht="15" hidden="1" customHeight="1" outlineLevel="2" x14ac:dyDescent="0.3">
      <c r="A48" s="26"/>
      <c r="B48" s="12" t="str">
        <f>CONCATENATE("          ","6362"," - ","ADVERTISING EXPENSE")</f>
        <v xml:space="preserve">          6362 - ADVERTISING EXPENSE</v>
      </c>
      <c r="C48" s="12"/>
      <c r="D48" s="7"/>
      <c r="E48" s="3"/>
      <c r="F48" s="8">
        <f t="shared" si="4"/>
        <v>0</v>
      </c>
      <c r="G48" s="3"/>
      <c r="H48" s="7">
        <v>50</v>
      </c>
      <c r="I48" s="3"/>
      <c r="J48" s="8">
        <f t="shared" si="5"/>
        <v>1.0729613733905579E-3</v>
      </c>
      <c r="K48" s="3"/>
      <c r="L48" s="7">
        <f t="shared" si="6"/>
        <v>-50</v>
      </c>
      <c r="M48" s="3"/>
      <c r="N48" s="8">
        <f t="shared" si="7"/>
        <v>-1</v>
      </c>
      <c r="O48" s="12"/>
      <c r="P48" s="7">
        <v>151.85</v>
      </c>
      <c r="Q48" s="3"/>
      <c r="R48" s="8">
        <f t="shared" si="8"/>
        <v>9.2234549452599945E-4</v>
      </c>
      <c r="S48" s="3"/>
      <c r="T48" s="7">
        <v>450</v>
      </c>
      <c r="U48" s="3"/>
      <c r="V48" s="8">
        <f t="shared" si="9"/>
        <v>1.4361854913350141E-3</v>
      </c>
      <c r="W48" s="3"/>
      <c r="X48" s="7">
        <f t="shared" si="10"/>
        <v>-298.14999999999998</v>
      </c>
      <c r="Y48" s="3"/>
      <c r="Z48" s="8">
        <f t="shared" si="11"/>
        <v>-0.66255555555555545</v>
      </c>
    </row>
    <row r="49" spans="1:26" s="69" customFormat="1" ht="15" customHeight="1" outlineLevel="1" collapsed="1" x14ac:dyDescent="0.3">
      <c r="A49" s="25"/>
      <c r="B49" s="14" t="str">
        <f>CONCATENATE("     ","Depreciation                                      ")</f>
        <v xml:space="preserve">     Depreciation                                      </v>
      </c>
      <c r="C49" s="14"/>
      <c r="D49" s="2">
        <f>SUM(OSRRefD22_3x_0)</f>
        <v>169.88</v>
      </c>
      <c r="E49" s="2"/>
      <c r="F49" s="6">
        <f t="shared" si="4"/>
        <v>9.3245159902166155E-3</v>
      </c>
      <c r="G49" s="2"/>
      <c r="H49" s="2">
        <f>SUM(OSRRefH22_3x_0)</f>
        <v>170</v>
      </c>
      <c r="I49" s="2"/>
      <c r="J49" s="6">
        <f t="shared" si="5"/>
        <v>3.6480686695278971E-3</v>
      </c>
      <c r="K49" s="2"/>
      <c r="L49" s="2">
        <f t="shared" si="6"/>
        <v>-0.12000000000000455</v>
      </c>
      <c r="M49" s="2"/>
      <c r="N49" s="6">
        <f t="shared" si="7"/>
        <v>-7.0588235294120319E-4</v>
      </c>
      <c r="O49" s="14"/>
      <c r="P49" s="2">
        <f>SUM(OSRRefP22_3x_0)</f>
        <v>1528.92</v>
      </c>
      <c r="Q49" s="2"/>
      <c r="R49" s="6">
        <f t="shared" si="8"/>
        <v>9.286746615019369E-3</v>
      </c>
      <c r="S49" s="2"/>
      <c r="T49" s="2">
        <f>SUM(OSRRefT22_3x_0)</f>
        <v>1530</v>
      </c>
      <c r="U49" s="2"/>
      <c r="V49" s="6">
        <f t="shared" si="9"/>
        <v>4.8830306705390479E-3</v>
      </c>
      <c r="W49" s="2"/>
      <c r="X49" s="2">
        <f t="shared" si="10"/>
        <v>-1.0799999999999272</v>
      </c>
      <c r="Y49" s="2"/>
      <c r="Z49" s="6">
        <f t="shared" si="11"/>
        <v>-7.0588235294112892E-4</v>
      </c>
    </row>
    <row r="50" spans="1:26" s="70" customFormat="1" ht="15" hidden="1" customHeight="1" outlineLevel="2" x14ac:dyDescent="0.3">
      <c r="A50" s="26"/>
      <c r="B50" s="12" t="str">
        <f>CONCATENATE("          ","6322"," - ","EQUIPMENT DEPRECIATION EXPENSE")</f>
        <v xml:space="preserve">          6322 - EQUIPMENT DEPRECIATION EXPENSE</v>
      </c>
      <c r="C50" s="12"/>
      <c r="D50" s="7">
        <v>169.88</v>
      </c>
      <c r="E50" s="3"/>
      <c r="F50" s="8">
        <f t="shared" si="4"/>
        <v>9.3245159902166155E-3</v>
      </c>
      <c r="G50" s="3"/>
      <c r="H50" s="7">
        <v>170</v>
      </c>
      <c r="I50" s="3"/>
      <c r="J50" s="8">
        <f t="shared" si="5"/>
        <v>3.6480686695278971E-3</v>
      </c>
      <c r="K50" s="3"/>
      <c r="L50" s="7">
        <f t="shared" si="6"/>
        <v>-0.12000000000000455</v>
      </c>
      <c r="M50" s="3"/>
      <c r="N50" s="8">
        <f t="shared" si="7"/>
        <v>-7.0588235294120319E-4</v>
      </c>
      <c r="O50" s="12"/>
      <c r="P50" s="7">
        <v>1528.92</v>
      </c>
      <c r="Q50" s="3"/>
      <c r="R50" s="8">
        <f t="shared" si="8"/>
        <v>9.286746615019369E-3</v>
      </c>
      <c r="S50" s="3"/>
      <c r="T50" s="7">
        <v>1530</v>
      </c>
      <c r="U50" s="3"/>
      <c r="V50" s="8">
        <f t="shared" si="9"/>
        <v>4.8830306705390479E-3</v>
      </c>
      <c r="W50" s="3"/>
      <c r="X50" s="7">
        <f t="shared" si="10"/>
        <v>-1.0799999999999272</v>
      </c>
      <c r="Y50" s="3"/>
      <c r="Z50" s="8">
        <f t="shared" si="11"/>
        <v>-7.0588235294112892E-4</v>
      </c>
    </row>
    <row r="51" spans="1:26" s="69" customFormat="1" ht="15" customHeight="1" outlineLevel="1" collapsed="1" x14ac:dyDescent="0.3">
      <c r="A51" s="25"/>
      <c r="B51" s="14" t="str">
        <f>CONCATENATE("     ","Equipment Rental                                  ")</f>
        <v xml:space="preserve">     Equipment Rental                                  </v>
      </c>
      <c r="C51" s="14"/>
      <c r="D51" s="2">
        <f>SUM(OSRRefD22_4x_0)</f>
        <v>1205.6400000000001</v>
      </c>
      <c r="E51" s="2"/>
      <c r="F51" s="6">
        <f t="shared" si="4"/>
        <v>6.6176180000263485E-2</v>
      </c>
      <c r="G51" s="2"/>
      <c r="H51" s="2">
        <f>SUM(OSRRefH22_4x_0)</f>
        <v>1300</v>
      </c>
      <c r="I51" s="2"/>
      <c r="J51" s="6">
        <f t="shared" si="5"/>
        <v>2.7896995708154508E-2</v>
      </c>
      <c r="K51" s="2"/>
      <c r="L51" s="2">
        <f t="shared" si="6"/>
        <v>-94.3599999999999</v>
      </c>
      <c r="M51" s="2"/>
      <c r="N51" s="6">
        <f t="shared" si="7"/>
        <v>-7.2584615384615303E-2</v>
      </c>
      <c r="O51" s="14"/>
      <c r="P51" s="2">
        <f>SUM(OSRRefP22_4x_0)</f>
        <v>10942.02</v>
      </c>
      <c r="Q51" s="2"/>
      <c r="R51" s="6">
        <f t="shared" si="8"/>
        <v>6.6462448785073278E-2</v>
      </c>
      <c r="S51" s="2"/>
      <c r="T51" s="2">
        <f>SUM(OSRRefT22_4x_0)</f>
        <v>11500</v>
      </c>
      <c r="U51" s="2"/>
      <c r="V51" s="6">
        <f t="shared" si="9"/>
        <v>3.6702518111894809E-2</v>
      </c>
      <c r="W51" s="2"/>
      <c r="X51" s="2">
        <f t="shared" si="10"/>
        <v>-557.97999999999956</v>
      </c>
      <c r="Y51" s="2"/>
      <c r="Z51" s="6">
        <f t="shared" si="11"/>
        <v>-4.8519999999999959E-2</v>
      </c>
    </row>
    <row r="52" spans="1:26" s="70" customFormat="1" ht="15" hidden="1" customHeight="1" outlineLevel="2" x14ac:dyDescent="0.3">
      <c r="A52" s="26"/>
      <c r="B52" s="12" t="str">
        <f>CONCATENATE("          ","6351"," - ","EQUIPMENT RENTAL")</f>
        <v xml:space="preserve">          6351 - EQUIPMENT RENTAL</v>
      </c>
      <c r="C52" s="12"/>
      <c r="D52" s="7">
        <v>1205.6400000000001</v>
      </c>
      <c r="E52" s="3"/>
      <c r="F52" s="8">
        <f t="shared" si="4"/>
        <v>6.6176180000263485E-2</v>
      </c>
      <c r="G52" s="3"/>
      <c r="H52" s="7">
        <v>1300</v>
      </c>
      <c r="I52" s="3"/>
      <c r="J52" s="8">
        <f t="shared" si="5"/>
        <v>2.7896995708154508E-2</v>
      </c>
      <c r="K52" s="3"/>
      <c r="L52" s="7">
        <f t="shared" si="6"/>
        <v>-94.3599999999999</v>
      </c>
      <c r="M52" s="3"/>
      <c r="N52" s="8">
        <f t="shared" si="7"/>
        <v>-7.2584615384615303E-2</v>
      </c>
      <c r="O52" s="12"/>
      <c r="P52" s="7">
        <v>10942.02</v>
      </c>
      <c r="Q52" s="3"/>
      <c r="R52" s="8">
        <f t="shared" si="8"/>
        <v>6.6462448785073278E-2</v>
      </c>
      <c r="S52" s="3"/>
      <c r="T52" s="7">
        <v>11500</v>
      </c>
      <c r="U52" s="3"/>
      <c r="V52" s="8">
        <f t="shared" si="9"/>
        <v>3.6702518111894809E-2</v>
      </c>
      <c r="W52" s="3"/>
      <c r="X52" s="7">
        <f t="shared" si="10"/>
        <v>-557.97999999999956</v>
      </c>
      <c r="Y52" s="3"/>
      <c r="Z52" s="8">
        <f t="shared" si="11"/>
        <v>-4.8519999999999959E-2</v>
      </c>
    </row>
    <row r="53" spans="1:26" s="69" customFormat="1" ht="15" customHeight="1" outlineLevel="1" collapsed="1" x14ac:dyDescent="0.3">
      <c r="A53" s="25"/>
      <c r="B53" s="14" t="str">
        <f>CONCATENATE("     ","Freight out/Postage                               ")</f>
        <v xml:space="preserve">     Freight out/Postage                               </v>
      </c>
      <c r="C53" s="14"/>
      <c r="D53" s="2">
        <f>SUM(OSRRefD22_5x_0)</f>
        <v>1763.2199999999993</v>
      </c>
      <c r="E53" s="2"/>
      <c r="F53" s="6">
        <f t="shared" si="4"/>
        <v>9.6781098918470296E-2</v>
      </c>
      <c r="G53" s="2"/>
      <c r="H53" s="2">
        <f>SUM(OSRRefH22_5x_0)</f>
        <v>0</v>
      </c>
      <c r="I53" s="2"/>
      <c r="J53" s="6">
        <f t="shared" si="5"/>
        <v>0</v>
      </c>
      <c r="K53" s="2"/>
      <c r="L53" s="2">
        <f t="shared" si="6"/>
        <v>1763.2199999999993</v>
      </c>
      <c r="M53" s="2"/>
      <c r="N53" s="6">
        <f t="shared" si="7"/>
        <v>0</v>
      </c>
      <c r="O53" s="14"/>
      <c r="P53" s="2">
        <f>SUM(OSRRefP22_5x_0)</f>
        <v>-62599.829999999987</v>
      </c>
      <c r="Q53" s="2"/>
      <c r="R53" s="6">
        <f t="shared" si="8"/>
        <v>-0.38023491049452413</v>
      </c>
      <c r="S53" s="2"/>
      <c r="T53" s="2">
        <f>SUM(OSRRefT22_5x_0)</f>
        <v>-26700</v>
      </c>
      <c r="U53" s="2"/>
      <c r="V53" s="6">
        <f t="shared" si="9"/>
        <v>-8.5213672485877509E-2</v>
      </c>
      <c r="W53" s="2"/>
      <c r="X53" s="2">
        <f t="shared" si="10"/>
        <v>-35899.829999999987</v>
      </c>
      <c r="Y53" s="2"/>
      <c r="Z53" s="6">
        <f t="shared" si="11"/>
        <v>1.3445629213483141</v>
      </c>
    </row>
    <row r="54" spans="1:26" s="70" customFormat="1" ht="15" hidden="1" customHeight="1" outlineLevel="2" x14ac:dyDescent="0.3">
      <c r="A54" s="26"/>
      <c r="B54" s="12" t="str">
        <f>CONCATENATE("          ","6305"," - ","FREIGHT OUT")</f>
        <v xml:space="preserve">          6305 - FREIGHT OUT</v>
      </c>
      <c r="C54" s="12"/>
      <c r="D54" s="7">
        <v>10386.42</v>
      </c>
      <c r="E54" s="3"/>
      <c r="F54" s="8">
        <f t="shared" si="4"/>
        <v>0.57009853644399378</v>
      </c>
      <c r="G54" s="3"/>
      <c r="H54" s="7">
        <v>6000</v>
      </c>
      <c r="I54" s="3"/>
      <c r="J54" s="8">
        <f t="shared" si="5"/>
        <v>0.12875536480686695</v>
      </c>
      <c r="K54" s="3"/>
      <c r="L54" s="7">
        <f t="shared" si="6"/>
        <v>4386.42</v>
      </c>
      <c r="M54" s="3"/>
      <c r="N54" s="8">
        <f t="shared" si="7"/>
        <v>0.73107</v>
      </c>
      <c r="O54" s="12"/>
      <c r="P54" s="7">
        <v>105602.41</v>
      </c>
      <c r="Q54" s="3"/>
      <c r="R54" s="8">
        <f t="shared" si="8"/>
        <v>0.64143501530844493</v>
      </c>
      <c r="S54" s="3"/>
      <c r="T54" s="7">
        <v>134300</v>
      </c>
      <c r="U54" s="3"/>
      <c r="V54" s="8">
        <f t="shared" si="9"/>
        <v>0.42862158108064979</v>
      </c>
      <c r="W54" s="3"/>
      <c r="X54" s="7">
        <f t="shared" si="10"/>
        <v>-28697.589999999997</v>
      </c>
      <c r="Y54" s="3"/>
      <c r="Z54" s="8">
        <f t="shared" si="11"/>
        <v>-0.2136827252419955</v>
      </c>
    </row>
    <row r="55" spans="1:26" s="70" customFormat="1" ht="15" hidden="1" customHeight="1" outlineLevel="2" x14ac:dyDescent="0.3">
      <c r="A55" s="26"/>
      <c r="B55" s="12" t="str">
        <f>CONCATENATE("          ","6307"," - ","POSTAGE")</f>
        <v xml:space="preserve">          6307 - POSTAGE</v>
      </c>
      <c r="C55" s="12"/>
      <c r="D55" s="7">
        <v>-8623.2000000000007</v>
      </c>
      <c r="E55" s="3"/>
      <c r="F55" s="8">
        <f t="shared" si="4"/>
        <v>-0.47331743752552347</v>
      </c>
      <c r="G55" s="3"/>
      <c r="H55" s="7">
        <v>-6000</v>
      </c>
      <c r="I55" s="3"/>
      <c r="J55" s="8">
        <f t="shared" si="5"/>
        <v>-0.12875536480686695</v>
      </c>
      <c r="K55" s="3"/>
      <c r="L55" s="7">
        <f t="shared" si="6"/>
        <v>-2623.2000000000007</v>
      </c>
      <c r="M55" s="3"/>
      <c r="N55" s="8">
        <f t="shared" si="7"/>
        <v>0.43720000000000014</v>
      </c>
      <c r="O55" s="12"/>
      <c r="P55" s="7">
        <v>-168202.23999999999</v>
      </c>
      <c r="Q55" s="3"/>
      <c r="R55" s="8">
        <f t="shared" si="8"/>
        <v>-1.0216699258029689</v>
      </c>
      <c r="S55" s="3"/>
      <c r="T55" s="7">
        <v>-161000</v>
      </c>
      <c r="U55" s="3"/>
      <c r="V55" s="8">
        <f t="shared" si="9"/>
        <v>-0.51383525356652726</v>
      </c>
      <c r="W55" s="3"/>
      <c r="X55" s="7">
        <f t="shared" si="10"/>
        <v>-7202.2399999999907</v>
      </c>
      <c r="Y55" s="3"/>
      <c r="Z55" s="8">
        <f t="shared" si="11"/>
        <v>4.4734409937888138E-2</v>
      </c>
    </row>
    <row r="56" spans="1:26" s="69" customFormat="1" ht="15" customHeight="1" outlineLevel="1" collapsed="1" x14ac:dyDescent="0.3">
      <c r="A56" s="25"/>
      <c r="B56" s="14" t="str">
        <f>CONCATENATE("     ","General                                           ")</f>
        <v xml:space="preserve">     General                                           </v>
      </c>
      <c r="C56" s="14"/>
      <c r="D56" s="2">
        <f>SUM(OSRRefD22_6x_0)</f>
        <v>0</v>
      </c>
      <c r="E56" s="2"/>
      <c r="F56" s="6">
        <f t="shared" si="4"/>
        <v>0</v>
      </c>
      <c r="G56" s="2"/>
      <c r="H56" s="2">
        <f>SUM(OSRRefH22_6x_0)</f>
        <v>0</v>
      </c>
      <c r="I56" s="2"/>
      <c r="J56" s="6">
        <f t="shared" si="5"/>
        <v>0</v>
      </c>
      <c r="K56" s="2"/>
      <c r="L56" s="2">
        <f t="shared" si="6"/>
        <v>0</v>
      </c>
      <c r="M56" s="2"/>
      <c r="N56" s="6">
        <f t="shared" si="7"/>
        <v>0</v>
      </c>
      <c r="O56" s="14"/>
      <c r="P56" s="2">
        <f>SUM(OSRRefP22_6x_0)</f>
        <v>91.31</v>
      </c>
      <c r="Q56" s="2"/>
      <c r="R56" s="6">
        <f t="shared" si="8"/>
        <v>5.546221080353573E-4</v>
      </c>
      <c r="S56" s="2"/>
      <c r="T56" s="2">
        <f>SUM(OSRRefT22_6x_0)</f>
        <v>0</v>
      </c>
      <c r="U56" s="2"/>
      <c r="V56" s="6">
        <f t="shared" si="9"/>
        <v>0</v>
      </c>
      <c r="W56" s="2"/>
      <c r="X56" s="2">
        <f t="shared" si="10"/>
        <v>91.31</v>
      </c>
      <c r="Y56" s="2"/>
      <c r="Z56" s="6">
        <f t="shared" si="11"/>
        <v>0</v>
      </c>
    </row>
    <row r="57" spans="1:26" s="70" customFormat="1" ht="15" hidden="1" customHeight="1" outlineLevel="2" x14ac:dyDescent="0.3">
      <c r="A57" s="26"/>
      <c r="B57" s="12" t="str">
        <f>CONCATENATE("          ","6279"," - ","GENERAL EXPENSE")</f>
        <v xml:space="preserve">          6279 - GENERAL EXPENSE</v>
      </c>
      <c r="C57" s="12"/>
      <c r="D57" s="7"/>
      <c r="E57" s="3"/>
      <c r="F57" s="8">
        <f t="shared" si="4"/>
        <v>0</v>
      </c>
      <c r="G57" s="3"/>
      <c r="H57" s="7"/>
      <c r="I57" s="3"/>
      <c r="J57" s="8">
        <f t="shared" si="5"/>
        <v>0</v>
      </c>
      <c r="K57" s="3"/>
      <c r="L57" s="7">
        <f t="shared" si="6"/>
        <v>0</v>
      </c>
      <c r="M57" s="3"/>
      <c r="N57" s="8">
        <f t="shared" si="7"/>
        <v>0</v>
      </c>
      <c r="O57" s="12"/>
      <c r="P57" s="7">
        <v>91.31</v>
      </c>
      <c r="Q57" s="3"/>
      <c r="R57" s="8">
        <f t="shared" si="8"/>
        <v>5.546221080353573E-4</v>
      </c>
      <c r="S57" s="3"/>
      <c r="T57" s="7"/>
      <c r="U57" s="3"/>
      <c r="V57" s="8">
        <f t="shared" si="9"/>
        <v>0</v>
      </c>
      <c r="W57" s="3"/>
      <c r="X57" s="7">
        <f t="shared" si="10"/>
        <v>91.31</v>
      </c>
      <c r="Y57" s="3"/>
      <c r="Z57" s="8">
        <f t="shared" si="11"/>
        <v>0</v>
      </c>
    </row>
    <row r="58" spans="1:26" s="69" customFormat="1" ht="15" customHeight="1" outlineLevel="1" collapsed="1" x14ac:dyDescent="0.3">
      <c r="A58" s="25"/>
      <c r="B58" s="14" t="str">
        <f>CONCATENATE("     ","Repair and Maintenance                            ")</f>
        <v xml:space="preserve">     Repair and Maintenance                            </v>
      </c>
      <c r="C58" s="14"/>
      <c r="D58" s="2">
        <f>SUM(OSRRefD22_7x_0)</f>
        <v>2724.17</v>
      </c>
      <c r="E58" s="2"/>
      <c r="F58" s="6">
        <f t="shared" si="4"/>
        <v>0.14952652887372497</v>
      </c>
      <c r="G58" s="2"/>
      <c r="H58" s="2">
        <f>SUM(OSRRefH22_7x_0)</f>
        <v>5600</v>
      </c>
      <c r="I58" s="2"/>
      <c r="J58" s="6">
        <f t="shared" si="5"/>
        <v>0.12017167381974249</v>
      </c>
      <c r="K58" s="2"/>
      <c r="L58" s="2">
        <f t="shared" si="6"/>
        <v>-2875.83</v>
      </c>
      <c r="M58" s="2"/>
      <c r="N58" s="6">
        <f t="shared" si="7"/>
        <v>-0.51354107142857142</v>
      </c>
      <c r="O58" s="14"/>
      <c r="P58" s="2">
        <f>SUM(OSRRefP22_7x_0)</f>
        <v>26095.590000000004</v>
      </c>
      <c r="Q58" s="2"/>
      <c r="R58" s="6">
        <f t="shared" si="8"/>
        <v>0.15850609063877333</v>
      </c>
      <c r="S58" s="2"/>
      <c r="T58" s="2">
        <f>SUM(OSRRefT22_7x_0)</f>
        <v>49300</v>
      </c>
      <c r="U58" s="2"/>
      <c r="V58" s="6">
        <f t="shared" si="9"/>
        <v>0.15734209938403601</v>
      </c>
      <c r="W58" s="2"/>
      <c r="X58" s="2">
        <f t="shared" si="10"/>
        <v>-23204.409999999996</v>
      </c>
      <c r="Y58" s="2"/>
      <c r="Z58" s="6">
        <f t="shared" si="11"/>
        <v>-0.47067768762677475</v>
      </c>
    </row>
    <row r="59" spans="1:26" s="70" customFormat="1" ht="15" hidden="1" customHeight="1" outlineLevel="2" x14ac:dyDescent="0.3">
      <c r="A59" s="26"/>
      <c r="B59" s="12" t="str">
        <f>CONCATENATE("          ","6371"," - ","COMPUTER SOFTWARE MAINTENANCE")</f>
        <v xml:space="preserve">          6371 - COMPUTER SOFTWARE MAINTENANCE</v>
      </c>
      <c r="C59" s="12"/>
      <c r="D59" s="7"/>
      <c r="E59" s="3"/>
      <c r="F59" s="8">
        <f t="shared" si="4"/>
        <v>0</v>
      </c>
      <c r="G59" s="3"/>
      <c r="H59" s="7"/>
      <c r="I59" s="3"/>
      <c r="J59" s="8">
        <f t="shared" si="5"/>
        <v>0</v>
      </c>
      <c r="K59" s="3"/>
      <c r="L59" s="7">
        <f t="shared" si="6"/>
        <v>0</v>
      </c>
      <c r="M59" s="3"/>
      <c r="N59" s="8">
        <f t="shared" si="7"/>
        <v>0</v>
      </c>
      <c r="O59" s="12"/>
      <c r="P59" s="7"/>
      <c r="Q59" s="3"/>
      <c r="R59" s="8">
        <f t="shared" si="8"/>
        <v>0</v>
      </c>
      <c r="S59" s="3"/>
      <c r="T59" s="7">
        <v>100</v>
      </c>
      <c r="U59" s="3"/>
      <c r="V59" s="8">
        <f t="shared" si="9"/>
        <v>3.1915233140778095E-4</v>
      </c>
      <c r="W59" s="3"/>
      <c r="X59" s="7">
        <f t="shared" si="10"/>
        <v>-100</v>
      </c>
      <c r="Y59" s="3"/>
      <c r="Z59" s="8">
        <f t="shared" si="11"/>
        <v>-1</v>
      </c>
    </row>
    <row r="60" spans="1:26" s="70" customFormat="1" ht="15" hidden="1" customHeight="1" outlineLevel="2" x14ac:dyDescent="0.3">
      <c r="A60" s="26"/>
      <c r="B60" s="12" t="str">
        <f>CONCATENATE("          ","6373"," - ","MAINTENANCE CONTRACTS")</f>
        <v xml:space="preserve">          6373 - MAINTENANCE CONTRACTS</v>
      </c>
      <c r="C60" s="12"/>
      <c r="D60" s="7">
        <v>964.58</v>
      </c>
      <c r="E60" s="3"/>
      <c r="F60" s="8">
        <f t="shared" si="4"/>
        <v>5.2944676441271155E-2</v>
      </c>
      <c r="G60" s="3"/>
      <c r="H60" s="7">
        <v>5600</v>
      </c>
      <c r="I60" s="3"/>
      <c r="J60" s="8">
        <f t="shared" si="5"/>
        <v>0.12017167381974249</v>
      </c>
      <c r="K60" s="3"/>
      <c r="L60" s="7">
        <f t="shared" si="6"/>
        <v>-4635.42</v>
      </c>
      <c r="M60" s="3"/>
      <c r="N60" s="8">
        <f t="shared" si="7"/>
        <v>-0.82775357142857142</v>
      </c>
      <c r="O60" s="12"/>
      <c r="P60" s="7">
        <v>8477.85</v>
      </c>
      <c r="Q60" s="3"/>
      <c r="R60" s="8">
        <f t="shared" si="8"/>
        <v>5.1494940736037172E-2</v>
      </c>
      <c r="S60" s="3"/>
      <c r="T60" s="7">
        <v>49200</v>
      </c>
      <c r="U60" s="3"/>
      <c r="V60" s="8">
        <f t="shared" si="9"/>
        <v>0.15702294705262823</v>
      </c>
      <c r="W60" s="3"/>
      <c r="X60" s="7">
        <f t="shared" si="10"/>
        <v>-40722.15</v>
      </c>
      <c r="Y60" s="3"/>
      <c r="Z60" s="8">
        <f t="shared" si="11"/>
        <v>-0.8276859756097561</v>
      </c>
    </row>
    <row r="61" spans="1:26" s="70" customFormat="1" ht="15" hidden="1" customHeight="1" outlineLevel="2" x14ac:dyDescent="0.3">
      <c r="A61" s="26"/>
      <c r="B61" s="12" t="str">
        <f>CONCATENATE("          ","6375"," - ","OUTSIDE REPAIRS &amp; MAINTENANCE")</f>
        <v xml:space="preserve">          6375 - OUTSIDE REPAIRS &amp; MAINTENANCE</v>
      </c>
      <c r="C61" s="12"/>
      <c r="D61" s="7">
        <v>1759.59</v>
      </c>
      <c r="E61" s="3"/>
      <c r="F61" s="8">
        <f t="shared" si="4"/>
        <v>9.6581852432453819E-2</v>
      </c>
      <c r="G61" s="3"/>
      <c r="H61" s="7"/>
      <c r="I61" s="3"/>
      <c r="J61" s="8">
        <f t="shared" si="5"/>
        <v>0</v>
      </c>
      <c r="K61" s="3"/>
      <c r="L61" s="7">
        <f t="shared" si="6"/>
        <v>1759.59</v>
      </c>
      <c r="M61" s="3"/>
      <c r="N61" s="8">
        <f t="shared" si="7"/>
        <v>0</v>
      </c>
      <c r="O61" s="12"/>
      <c r="P61" s="7">
        <v>17617.740000000002</v>
      </c>
      <c r="Q61" s="3"/>
      <c r="R61" s="8">
        <f t="shared" si="8"/>
        <v>0.10701114990273615</v>
      </c>
      <c r="S61" s="3"/>
      <c r="T61" s="7"/>
      <c r="U61" s="3"/>
      <c r="V61" s="8">
        <f t="shared" si="9"/>
        <v>0</v>
      </c>
      <c r="W61" s="3"/>
      <c r="X61" s="7">
        <f t="shared" si="10"/>
        <v>17617.740000000002</v>
      </c>
      <c r="Y61" s="3"/>
      <c r="Z61" s="8">
        <f t="shared" si="11"/>
        <v>0</v>
      </c>
    </row>
    <row r="62" spans="1:26" s="69" customFormat="1" ht="15" customHeight="1" outlineLevel="1" collapsed="1" x14ac:dyDescent="0.3">
      <c r="A62" s="25"/>
      <c r="B62" s="14" t="str">
        <f>CONCATENATE("     ","Royalty &amp; Commissions                             ")</f>
        <v xml:space="preserve">     Royalty &amp; Commissions                             </v>
      </c>
      <c r="C62" s="14"/>
      <c r="D62" s="2">
        <f>SUM(OSRRefD22_8x_0)</f>
        <v>2502.14</v>
      </c>
      <c r="E62" s="2"/>
      <c r="F62" s="6">
        <f t="shared" si="4"/>
        <v>0.13733955992324348</v>
      </c>
      <c r="G62" s="2"/>
      <c r="H62" s="2">
        <f>SUM(OSRRefH22_8x_0)</f>
        <v>600</v>
      </c>
      <c r="I62" s="2"/>
      <c r="J62" s="6">
        <f t="shared" si="5"/>
        <v>1.2875536480686695E-2</v>
      </c>
      <c r="K62" s="2"/>
      <c r="L62" s="2">
        <f t="shared" si="6"/>
        <v>1902.1399999999999</v>
      </c>
      <c r="M62" s="2"/>
      <c r="N62" s="6">
        <f t="shared" si="7"/>
        <v>3.170233333333333</v>
      </c>
      <c r="O62" s="14"/>
      <c r="P62" s="2">
        <f>SUM(OSRRefP22_8x_0)</f>
        <v>10005.620000000001</v>
      </c>
      <c r="Q62" s="2"/>
      <c r="R62" s="6">
        <f t="shared" si="8"/>
        <v>6.0774702185967942E-2</v>
      </c>
      <c r="S62" s="2"/>
      <c r="T62" s="2">
        <f>SUM(OSRRefT22_8x_0)</f>
        <v>33300</v>
      </c>
      <c r="U62" s="2"/>
      <c r="V62" s="6">
        <f t="shared" si="9"/>
        <v>0.10627772635879106</v>
      </c>
      <c r="W62" s="2"/>
      <c r="X62" s="2">
        <f t="shared" si="10"/>
        <v>-23294.379999999997</v>
      </c>
      <c r="Y62" s="2"/>
      <c r="Z62" s="6">
        <f t="shared" si="11"/>
        <v>-0.69953093093093088</v>
      </c>
    </row>
    <row r="63" spans="1:26" s="70" customFormat="1" ht="15" hidden="1" customHeight="1" outlineLevel="2" x14ac:dyDescent="0.3">
      <c r="A63" s="26"/>
      <c r="B63" s="12" t="str">
        <f>CONCATENATE("          ","6259"," - ","ROYALTY &amp; COMMISSIONS")</f>
        <v xml:space="preserve">          6259 - ROYALTY &amp; COMMISSIONS</v>
      </c>
      <c r="C63" s="12"/>
      <c r="D63" s="7">
        <v>2502.14</v>
      </c>
      <c r="E63" s="3"/>
      <c r="F63" s="8">
        <f t="shared" si="4"/>
        <v>0.13733955992324348</v>
      </c>
      <c r="G63" s="3"/>
      <c r="H63" s="7">
        <v>600</v>
      </c>
      <c r="I63" s="3"/>
      <c r="J63" s="8">
        <f t="shared" si="5"/>
        <v>1.2875536480686695E-2</v>
      </c>
      <c r="K63" s="3"/>
      <c r="L63" s="7">
        <f t="shared" si="6"/>
        <v>1902.1399999999999</v>
      </c>
      <c r="M63" s="3"/>
      <c r="N63" s="8">
        <f t="shared" si="7"/>
        <v>3.170233333333333</v>
      </c>
      <c r="O63" s="12"/>
      <c r="P63" s="7">
        <v>10005.620000000001</v>
      </c>
      <c r="Q63" s="3"/>
      <c r="R63" s="8">
        <f t="shared" si="8"/>
        <v>6.0774702185967942E-2</v>
      </c>
      <c r="S63" s="3"/>
      <c r="T63" s="7">
        <v>33300</v>
      </c>
      <c r="U63" s="3"/>
      <c r="V63" s="8">
        <f t="shared" si="9"/>
        <v>0.10627772635879106</v>
      </c>
      <c r="W63" s="3"/>
      <c r="X63" s="7">
        <f t="shared" si="10"/>
        <v>-23294.379999999997</v>
      </c>
      <c r="Y63" s="3"/>
      <c r="Z63" s="8">
        <f t="shared" si="11"/>
        <v>-0.69953093093093088</v>
      </c>
    </row>
    <row r="64" spans="1:26" s="69" customFormat="1" ht="15" customHeight="1" outlineLevel="1" collapsed="1" x14ac:dyDescent="0.3">
      <c r="A64" s="25"/>
      <c r="B64" s="14" t="str">
        <f>CONCATENATE("     ","Subscriptions &amp; Dues                              ")</f>
        <v xml:space="preserve">     Subscriptions &amp; Dues                              </v>
      </c>
      <c r="C64" s="14"/>
      <c r="D64" s="2">
        <f>SUM(OSRRefD22_9x_0)</f>
        <v>5.28</v>
      </c>
      <c r="E64" s="2"/>
      <c r="F64" s="6">
        <f t="shared" si="4"/>
        <v>2.8981307056948275E-4</v>
      </c>
      <c r="G64" s="2"/>
      <c r="H64" s="2">
        <f>SUM(OSRRefH22_9x_0)</f>
        <v>0</v>
      </c>
      <c r="I64" s="2"/>
      <c r="J64" s="6">
        <f t="shared" si="5"/>
        <v>0</v>
      </c>
      <c r="K64" s="2"/>
      <c r="L64" s="2">
        <f t="shared" si="6"/>
        <v>5.28</v>
      </c>
      <c r="M64" s="2"/>
      <c r="N64" s="6">
        <f t="shared" si="7"/>
        <v>0</v>
      </c>
      <c r="O64" s="14"/>
      <c r="P64" s="2">
        <f>SUM(OSRRefP22_9x_0)</f>
        <v>5.28</v>
      </c>
      <c r="Q64" s="2"/>
      <c r="R64" s="6">
        <f t="shared" si="8"/>
        <v>3.2071018841602091E-5</v>
      </c>
      <c r="S64" s="2"/>
      <c r="T64" s="2">
        <f>SUM(OSRRefT22_9x_0)</f>
        <v>0</v>
      </c>
      <c r="U64" s="2"/>
      <c r="V64" s="6">
        <f t="shared" si="9"/>
        <v>0</v>
      </c>
      <c r="W64" s="2"/>
      <c r="X64" s="2">
        <f t="shared" si="10"/>
        <v>5.28</v>
      </c>
      <c r="Y64" s="2"/>
      <c r="Z64" s="6">
        <f t="shared" si="11"/>
        <v>0</v>
      </c>
    </row>
    <row r="65" spans="1:26" s="70" customFormat="1" ht="15" hidden="1" customHeight="1" outlineLevel="2" x14ac:dyDescent="0.3">
      <c r="A65" s="26"/>
      <c r="B65" s="12" t="str">
        <f>CONCATENATE("          ","6258"," - ","MEMBERSHIP DUES")</f>
        <v xml:space="preserve">          6258 - MEMBERSHIP DUES</v>
      </c>
      <c r="C65" s="12"/>
      <c r="D65" s="7">
        <v>5.28</v>
      </c>
      <c r="E65" s="3"/>
      <c r="F65" s="8">
        <f t="shared" si="4"/>
        <v>2.8981307056948275E-4</v>
      </c>
      <c r="G65" s="3"/>
      <c r="H65" s="7"/>
      <c r="I65" s="3"/>
      <c r="J65" s="8">
        <f t="shared" si="5"/>
        <v>0</v>
      </c>
      <c r="K65" s="3"/>
      <c r="L65" s="7">
        <f t="shared" si="6"/>
        <v>5.28</v>
      </c>
      <c r="M65" s="3"/>
      <c r="N65" s="8">
        <f t="shared" si="7"/>
        <v>0</v>
      </c>
      <c r="O65" s="12"/>
      <c r="P65" s="7">
        <v>5.28</v>
      </c>
      <c r="Q65" s="3"/>
      <c r="R65" s="8">
        <f t="shared" si="8"/>
        <v>3.2071018841602091E-5</v>
      </c>
      <c r="S65" s="3"/>
      <c r="T65" s="7"/>
      <c r="U65" s="3"/>
      <c r="V65" s="8">
        <f t="shared" si="9"/>
        <v>0</v>
      </c>
      <c r="W65" s="3"/>
      <c r="X65" s="7">
        <f t="shared" si="10"/>
        <v>5.28</v>
      </c>
      <c r="Y65" s="3"/>
      <c r="Z65" s="8">
        <f t="shared" si="11"/>
        <v>0</v>
      </c>
    </row>
    <row r="66" spans="1:26" s="69" customFormat="1" ht="15" customHeight="1" outlineLevel="1" collapsed="1" x14ac:dyDescent="0.3">
      <c r="A66" s="25"/>
      <c r="B66" s="14" t="str">
        <f>CONCATENATE("     ","Supplies                                          ")</f>
        <v xml:space="preserve">     Supplies                                          </v>
      </c>
      <c r="C66" s="14"/>
      <c r="D66" s="2">
        <f>SUM(OSRRefD22_10x_0)</f>
        <v>7414.27</v>
      </c>
      <c r="E66" s="2"/>
      <c r="F66" s="6">
        <f t="shared" si="4"/>
        <v>0.40696067324454527</v>
      </c>
      <c r="G66" s="2"/>
      <c r="H66" s="2">
        <f>SUM(OSRRefH22_10x_0)</f>
        <v>1350</v>
      </c>
      <c r="I66" s="2"/>
      <c r="J66" s="6">
        <f t="shared" si="5"/>
        <v>2.8969957081545063E-2</v>
      </c>
      <c r="K66" s="2"/>
      <c r="L66" s="2">
        <f t="shared" si="6"/>
        <v>6064.27</v>
      </c>
      <c r="M66" s="2"/>
      <c r="N66" s="6">
        <f t="shared" si="7"/>
        <v>4.4920518518518522</v>
      </c>
      <c r="O66" s="14"/>
      <c r="P66" s="2">
        <f>SUM(OSRRefP22_10x_0)</f>
        <v>35707.050000000003</v>
      </c>
      <c r="Q66" s="2"/>
      <c r="R66" s="6">
        <f t="shared" si="8"/>
        <v>0.21688664267576288</v>
      </c>
      <c r="S66" s="2"/>
      <c r="T66" s="2">
        <f>SUM(OSRRefT22_10x_0)</f>
        <v>40850</v>
      </c>
      <c r="U66" s="2"/>
      <c r="V66" s="6">
        <f t="shared" si="9"/>
        <v>0.13037372738007852</v>
      </c>
      <c r="W66" s="2"/>
      <c r="X66" s="2">
        <f t="shared" si="10"/>
        <v>-5142.9499999999971</v>
      </c>
      <c r="Y66" s="2"/>
      <c r="Z66" s="6">
        <f t="shared" si="11"/>
        <v>-0.12589840881272943</v>
      </c>
    </row>
    <row r="67" spans="1:26" s="70" customFormat="1" ht="15" hidden="1" customHeight="1" outlineLevel="2" x14ac:dyDescent="0.3">
      <c r="A67" s="26"/>
      <c r="B67" s="12" t="str">
        <f>CONCATENATE("          ","6241"," - ","OFFICE EXPENSE")</f>
        <v xml:space="preserve">          6241 - OFFICE EXPENSE</v>
      </c>
      <c r="C67" s="12"/>
      <c r="D67" s="7">
        <v>1063.92</v>
      </c>
      <c r="E67" s="3"/>
      <c r="F67" s="8">
        <f t="shared" si="4"/>
        <v>5.8397333719750776E-2</v>
      </c>
      <c r="G67" s="3"/>
      <c r="H67" s="7"/>
      <c r="I67" s="3"/>
      <c r="J67" s="8">
        <f t="shared" si="5"/>
        <v>0</v>
      </c>
      <c r="K67" s="3"/>
      <c r="L67" s="7">
        <f t="shared" si="6"/>
        <v>1063.92</v>
      </c>
      <c r="M67" s="3"/>
      <c r="N67" s="8">
        <f t="shared" si="7"/>
        <v>0</v>
      </c>
      <c r="O67" s="12"/>
      <c r="P67" s="7">
        <v>9221.3799999999992</v>
      </c>
      <c r="Q67" s="3"/>
      <c r="R67" s="8">
        <f t="shared" si="8"/>
        <v>5.6011184038934216E-2</v>
      </c>
      <c r="S67" s="3"/>
      <c r="T67" s="7">
        <v>50</v>
      </c>
      <c r="U67" s="3"/>
      <c r="V67" s="8">
        <f t="shared" si="9"/>
        <v>1.5957616570389047E-4</v>
      </c>
      <c r="W67" s="3"/>
      <c r="X67" s="7">
        <f t="shared" si="10"/>
        <v>9171.3799999999992</v>
      </c>
      <c r="Y67" s="3"/>
      <c r="Z67" s="8">
        <f t="shared" si="11"/>
        <v>183.42759999999998</v>
      </c>
    </row>
    <row r="68" spans="1:26" s="70" customFormat="1" ht="15" hidden="1" customHeight="1" outlineLevel="2" x14ac:dyDescent="0.3">
      <c r="A68" s="26"/>
      <c r="B68" s="12" t="str">
        <f>CONCATENATE("          ","6243"," - ","PAPER SUPPLIES")</f>
        <v xml:space="preserve">          6243 - PAPER SUPPLIES</v>
      </c>
      <c r="C68" s="12"/>
      <c r="D68" s="7">
        <v>1213.21</v>
      </c>
      <c r="E68" s="3"/>
      <c r="F68" s="8">
        <f t="shared" si="4"/>
        <v>6.6591688512424654E-2</v>
      </c>
      <c r="G68" s="3"/>
      <c r="H68" s="7">
        <v>150</v>
      </c>
      <c r="I68" s="3"/>
      <c r="J68" s="8">
        <f t="shared" si="5"/>
        <v>3.2188841201716738E-3</v>
      </c>
      <c r="K68" s="3"/>
      <c r="L68" s="7">
        <f t="shared" si="6"/>
        <v>1063.21</v>
      </c>
      <c r="M68" s="3"/>
      <c r="N68" s="8">
        <f t="shared" si="7"/>
        <v>7.0880666666666672</v>
      </c>
      <c r="O68" s="12"/>
      <c r="P68" s="7">
        <v>6835.14</v>
      </c>
      <c r="Q68" s="3"/>
      <c r="R68" s="8">
        <f t="shared" si="8"/>
        <v>4.151702722064169E-2</v>
      </c>
      <c r="S68" s="3"/>
      <c r="T68" s="7">
        <v>30350</v>
      </c>
      <c r="U68" s="3"/>
      <c r="V68" s="8">
        <f t="shared" si="9"/>
        <v>9.686273258226151E-2</v>
      </c>
      <c r="W68" s="3"/>
      <c r="X68" s="7">
        <f t="shared" si="10"/>
        <v>-23514.86</v>
      </c>
      <c r="Y68" s="3"/>
      <c r="Z68" s="8">
        <f t="shared" si="11"/>
        <v>-0.77478945634266894</v>
      </c>
    </row>
    <row r="69" spans="1:26" s="70" customFormat="1" ht="15" hidden="1" customHeight="1" outlineLevel="2" x14ac:dyDescent="0.3">
      <c r="A69" s="26"/>
      <c r="B69" s="12" t="str">
        <f>CONCATENATE("          ","6245"," - ","PRINTING")</f>
        <v xml:space="preserve">          6245 - PRINTING</v>
      </c>
      <c r="C69" s="12"/>
      <c r="D69" s="7">
        <v>3671.2</v>
      </c>
      <c r="E69" s="3"/>
      <c r="F69" s="8">
        <f t="shared" si="4"/>
        <v>0.20150790618838732</v>
      </c>
      <c r="G69" s="3"/>
      <c r="H69" s="7">
        <v>500</v>
      </c>
      <c r="I69" s="3"/>
      <c r="J69" s="8">
        <f t="shared" si="5"/>
        <v>1.0729613733905579E-2</v>
      </c>
      <c r="K69" s="3"/>
      <c r="L69" s="7">
        <f t="shared" si="6"/>
        <v>3171.2</v>
      </c>
      <c r="M69" s="3"/>
      <c r="N69" s="8">
        <f t="shared" si="7"/>
        <v>6.3423999999999996</v>
      </c>
      <c r="O69" s="12"/>
      <c r="P69" s="7">
        <v>5332.53</v>
      </c>
      <c r="Q69" s="3"/>
      <c r="R69" s="8">
        <f t="shared" si="8"/>
        <v>3.2390089034736433E-2</v>
      </c>
      <c r="S69" s="3"/>
      <c r="T69" s="7">
        <v>7995</v>
      </c>
      <c r="U69" s="3"/>
      <c r="V69" s="8">
        <f t="shared" si="9"/>
        <v>2.5516228896052085E-2</v>
      </c>
      <c r="W69" s="3"/>
      <c r="X69" s="7">
        <f t="shared" si="10"/>
        <v>-2662.4700000000003</v>
      </c>
      <c r="Y69" s="3"/>
      <c r="Z69" s="8">
        <f t="shared" si="11"/>
        <v>-0.33301688555347098</v>
      </c>
    </row>
    <row r="70" spans="1:26" s="70" customFormat="1" ht="15" hidden="1" customHeight="1" outlineLevel="2" x14ac:dyDescent="0.3">
      <c r="A70" s="26"/>
      <c r="B70" s="12" t="str">
        <f>CONCATENATE("          ","6247"," - ","STORE SUPPLIES")</f>
        <v xml:space="preserve">          6247 - STORE SUPPLIES</v>
      </c>
      <c r="C70" s="12"/>
      <c r="D70" s="7">
        <v>1465.94</v>
      </c>
      <c r="E70" s="3"/>
      <c r="F70" s="8">
        <f t="shared" si="4"/>
        <v>8.0463744823982497E-2</v>
      </c>
      <c r="G70" s="3"/>
      <c r="H70" s="7">
        <v>700</v>
      </c>
      <c r="I70" s="3"/>
      <c r="J70" s="8">
        <f t="shared" si="5"/>
        <v>1.5021459227467811E-2</v>
      </c>
      <c r="K70" s="3"/>
      <c r="L70" s="7">
        <f t="shared" si="6"/>
        <v>765.94</v>
      </c>
      <c r="M70" s="3"/>
      <c r="N70" s="8">
        <f t="shared" si="7"/>
        <v>1.0942000000000001</v>
      </c>
      <c r="O70" s="12"/>
      <c r="P70" s="7">
        <v>14318</v>
      </c>
      <c r="Q70" s="3"/>
      <c r="R70" s="8">
        <f t="shared" si="8"/>
        <v>8.6968342381450514E-2</v>
      </c>
      <c r="S70" s="3"/>
      <c r="T70" s="7">
        <v>2455</v>
      </c>
      <c r="U70" s="3"/>
      <c r="V70" s="8">
        <f t="shared" si="9"/>
        <v>7.8351897360610222E-3</v>
      </c>
      <c r="W70" s="3"/>
      <c r="X70" s="7">
        <f t="shared" si="10"/>
        <v>11863</v>
      </c>
      <c r="Y70" s="3"/>
      <c r="Z70" s="8">
        <f t="shared" si="11"/>
        <v>4.8321792260692469</v>
      </c>
    </row>
    <row r="71" spans="1:26" s="69" customFormat="1" ht="15" customHeight="1" outlineLevel="1" collapsed="1" x14ac:dyDescent="0.3">
      <c r="A71" s="25"/>
      <c r="B71" s="14" t="str">
        <f>CONCATENATE("     ","Telephone/Data Lines                              ")</f>
        <v xml:space="preserve">     Telephone/Data Lines                              </v>
      </c>
      <c r="C71" s="14"/>
      <c r="D71" s="2">
        <f>SUM(OSRRefD22_11x_0)</f>
        <v>46</v>
      </c>
      <c r="E71" s="2"/>
      <c r="F71" s="6">
        <f t="shared" si="4"/>
        <v>2.5248865996583725E-3</v>
      </c>
      <c r="G71" s="2"/>
      <c r="H71" s="2">
        <f>SUM(OSRRefH22_11x_0)</f>
        <v>175</v>
      </c>
      <c r="I71" s="2"/>
      <c r="J71" s="6">
        <f t="shared" si="5"/>
        <v>3.7553648068669528E-3</v>
      </c>
      <c r="K71" s="2"/>
      <c r="L71" s="2">
        <f t="shared" si="6"/>
        <v>-129</v>
      </c>
      <c r="M71" s="2"/>
      <c r="N71" s="6">
        <f t="shared" si="7"/>
        <v>-0.7371428571428571</v>
      </c>
      <c r="O71" s="14"/>
      <c r="P71" s="2">
        <f>SUM(OSRRefP22_11x_0)</f>
        <v>930.4</v>
      </c>
      <c r="Q71" s="2"/>
      <c r="R71" s="6">
        <f t="shared" si="8"/>
        <v>5.6513022595126106E-3</v>
      </c>
      <c r="S71" s="2"/>
      <c r="T71" s="2">
        <f>SUM(OSRRefT22_11x_0)</f>
        <v>1575</v>
      </c>
      <c r="U71" s="2"/>
      <c r="V71" s="6">
        <f t="shared" si="9"/>
        <v>5.0266492196725495E-3</v>
      </c>
      <c r="W71" s="2"/>
      <c r="X71" s="2">
        <f t="shared" si="10"/>
        <v>-644.6</v>
      </c>
      <c r="Y71" s="2"/>
      <c r="Z71" s="6">
        <f t="shared" si="11"/>
        <v>-0.40926984126984128</v>
      </c>
    </row>
    <row r="72" spans="1:26" s="70" customFormat="1" ht="15" hidden="1" customHeight="1" outlineLevel="2" x14ac:dyDescent="0.3">
      <c r="A72" s="26"/>
      <c r="B72" s="12" t="str">
        <f>CONCATENATE("          ","6309"," - ","TELEPHONE")</f>
        <v xml:space="preserve">          6309 - TELEPHONE</v>
      </c>
      <c r="C72" s="12"/>
      <c r="D72" s="7">
        <v>46</v>
      </c>
      <c r="E72" s="3"/>
      <c r="F72" s="8">
        <f t="shared" si="4"/>
        <v>2.5248865996583725E-3</v>
      </c>
      <c r="G72" s="3"/>
      <c r="H72" s="7">
        <v>175</v>
      </c>
      <c r="I72" s="3"/>
      <c r="J72" s="8">
        <f t="shared" si="5"/>
        <v>3.7553648068669528E-3</v>
      </c>
      <c r="K72" s="3"/>
      <c r="L72" s="7">
        <f t="shared" si="6"/>
        <v>-129</v>
      </c>
      <c r="M72" s="3"/>
      <c r="N72" s="8">
        <f t="shared" si="7"/>
        <v>-0.7371428571428571</v>
      </c>
      <c r="O72" s="12"/>
      <c r="P72" s="7">
        <v>930.4</v>
      </c>
      <c r="Q72" s="3"/>
      <c r="R72" s="8">
        <f t="shared" si="8"/>
        <v>5.6513022595126106E-3</v>
      </c>
      <c r="S72" s="3"/>
      <c r="T72" s="7">
        <v>1575</v>
      </c>
      <c r="U72" s="3"/>
      <c r="V72" s="8">
        <f t="shared" si="9"/>
        <v>5.0266492196725495E-3</v>
      </c>
      <c r="W72" s="3"/>
      <c r="X72" s="7">
        <f t="shared" si="10"/>
        <v>-644.6</v>
      </c>
      <c r="Y72" s="3"/>
      <c r="Z72" s="8">
        <f t="shared" si="11"/>
        <v>-0.40926984126984128</v>
      </c>
    </row>
    <row r="73" spans="1:26" s="65" customFormat="1" ht="15" customHeight="1" x14ac:dyDescent="0.3">
      <c r="A73" s="35"/>
      <c r="B73" s="35"/>
      <c r="C73" s="35"/>
      <c r="D73" s="2"/>
      <c r="E73" s="2"/>
      <c r="F73" s="6"/>
      <c r="G73" s="2"/>
      <c r="H73" s="2"/>
      <c r="I73" s="2"/>
      <c r="J73" s="6"/>
      <c r="K73" s="2"/>
      <c r="L73" s="2"/>
      <c r="M73" s="2"/>
      <c r="N73" s="6"/>
      <c r="O73" s="35"/>
      <c r="P73" s="2"/>
      <c r="Q73" s="2"/>
      <c r="R73" s="6"/>
      <c r="S73" s="2"/>
      <c r="T73" s="2"/>
      <c r="U73" s="2"/>
      <c r="V73" s="6"/>
      <c r="W73" s="2"/>
      <c r="X73" s="2"/>
      <c r="Y73" s="2"/>
      <c r="Z73" s="6"/>
    </row>
    <row r="74" spans="1:26" s="63" customFormat="1" ht="15" customHeight="1" collapsed="1" x14ac:dyDescent="0.3">
      <c r="A74" s="11"/>
      <c r="B74" s="28" t="s">
        <v>291</v>
      </c>
      <c r="C74" s="11"/>
      <c r="D74" s="5">
        <f>SUM(OSRRefD25x_0)</f>
        <v>0</v>
      </c>
      <c r="E74" s="5"/>
      <c r="F74" s="13">
        <f>IF(D$12=0,0,D74/D$12)</f>
        <v>0</v>
      </c>
      <c r="G74" s="5"/>
      <c r="H74" s="5">
        <f>SUM(OSRRefH25x_0)</f>
        <v>0</v>
      </c>
      <c r="I74" s="5"/>
      <c r="J74" s="13">
        <f>IF(H$12=0,0,H74/H$12)</f>
        <v>0</v>
      </c>
      <c r="K74" s="5"/>
      <c r="L74" s="5">
        <f>+D74-H74</f>
        <v>0</v>
      </c>
      <c r="M74" s="5"/>
      <c r="N74" s="13">
        <f>IF(H74=0,0,L74/H74)</f>
        <v>0</v>
      </c>
      <c r="O74" s="11"/>
      <c r="P74" s="5">
        <f>SUM(OSRRefP25x_0)</f>
        <v>15135.44</v>
      </c>
      <c r="Q74" s="5"/>
      <c r="R74" s="13">
        <f>IF(P$12=0,0,P74/P$12)</f>
        <v>9.1933519207563999E-2</v>
      </c>
      <c r="S74" s="5"/>
      <c r="T74" s="5">
        <f>SUM(OSRRefT25x_0)</f>
        <v>33910</v>
      </c>
      <c r="U74" s="5"/>
      <c r="V74" s="13">
        <f>IF(T$12=0,0,T74/T$12)</f>
        <v>0.10822455558037851</v>
      </c>
      <c r="W74" s="5"/>
      <c r="X74" s="5">
        <f>+P74-T74</f>
        <v>-18774.559999999998</v>
      </c>
      <c r="Y74" s="5"/>
      <c r="Z74" s="13">
        <f>IF(T74=0,0,X74/T74)</f>
        <v>-0.55365850781480386</v>
      </c>
    </row>
    <row r="75" spans="1:26" s="70" customFormat="1" ht="15" hidden="1" customHeight="1" outlineLevel="1" x14ac:dyDescent="0.3">
      <c r="A75" s="42"/>
      <c r="B75" s="12" t="str">
        <f>CONCATENATE("          ","9150"," - ","MISC. INCOME")</f>
        <v xml:space="preserve">          9150 - MISC. INCOME</v>
      </c>
      <c r="C75" s="12"/>
      <c r="D75" s="3">
        <f>0</f>
        <v>0</v>
      </c>
      <c r="E75" s="3"/>
      <c r="F75" s="20">
        <f>IF(D$12=0,0,D75/D$12)</f>
        <v>0</v>
      </c>
      <c r="G75" s="3"/>
      <c r="H75" s="3"/>
      <c r="I75" s="3"/>
      <c r="J75" s="20">
        <f>IF(H$12=0,0,H75/H$12)</f>
        <v>0</v>
      </c>
      <c r="K75" s="3"/>
      <c r="L75" s="3">
        <f>+D75-H75</f>
        <v>0</v>
      </c>
      <c r="M75" s="3"/>
      <c r="N75" s="20">
        <f>IF(H75=0,0,L75/H75)</f>
        <v>0</v>
      </c>
      <c r="O75" s="12"/>
      <c r="P75" s="3">
        <f>--15135.44</f>
        <v>15135.44</v>
      </c>
      <c r="Q75" s="3"/>
      <c r="R75" s="20">
        <f>IF(P$12=0,0,P75/P$12)</f>
        <v>9.1933519207563999E-2</v>
      </c>
      <c r="S75" s="3"/>
      <c r="T75" s="3">
        <v>33910</v>
      </c>
      <c r="U75" s="3"/>
      <c r="V75" s="20">
        <f>IF(T$12=0,0,T75/T$12)</f>
        <v>0.10822455558037851</v>
      </c>
      <c r="W75" s="3"/>
      <c r="X75" s="3">
        <f>+P75-T75</f>
        <v>-18774.559999999998</v>
      </c>
      <c r="Y75" s="3"/>
      <c r="Z75" s="20">
        <f>IF(T75=0,0,X75/T75)</f>
        <v>-0.55365850781480386</v>
      </c>
    </row>
    <row r="76" spans="1:26" ht="15" customHeight="1" x14ac:dyDescent="0.3">
      <c r="A76" s="10"/>
      <c r="B76" s="11"/>
      <c r="C76" s="11"/>
      <c r="D76" s="4"/>
      <c r="E76" s="4"/>
      <c r="F76" s="9"/>
      <c r="G76" s="4"/>
      <c r="H76" s="4"/>
      <c r="I76" s="4"/>
      <c r="J76" s="9"/>
      <c r="K76" s="4"/>
      <c r="L76" s="4"/>
      <c r="M76" s="4"/>
      <c r="N76" s="9"/>
      <c r="O76" s="11"/>
      <c r="P76" s="4"/>
      <c r="Q76" s="4"/>
      <c r="R76" s="9"/>
      <c r="S76" s="4"/>
      <c r="T76" s="4"/>
      <c r="U76" s="4"/>
      <c r="V76" s="9"/>
      <c r="W76" s="4"/>
      <c r="X76" s="4"/>
      <c r="Y76" s="4"/>
      <c r="Z76" s="9"/>
    </row>
    <row r="77" spans="1:26" s="63" customFormat="1" ht="15" customHeight="1" x14ac:dyDescent="0.3">
      <c r="A77" s="11"/>
      <c r="B77" s="27" t="s">
        <v>292</v>
      </c>
      <c r="C77" s="27"/>
      <c r="D77" s="21">
        <f>+D23-D25+D74</f>
        <v>-15683.05</v>
      </c>
      <c r="E77" s="15"/>
      <c r="F77" s="23">
        <f>IF(D$12=0,0,D77/D$12)</f>
        <v>-0.86082440840809205</v>
      </c>
      <c r="G77" s="15"/>
      <c r="H77" s="21">
        <f>+H23-H25+H74</f>
        <v>22613.395024384605</v>
      </c>
      <c r="I77" s="15"/>
      <c r="J77" s="23">
        <f>IF(H$12=0,0,H77/H$12)</f>
        <v>0.48526598764773832</v>
      </c>
      <c r="K77" s="16"/>
      <c r="L77" s="21">
        <f>+D77-H77</f>
        <v>-38296.445024384608</v>
      </c>
      <c r="M77" s="16"/>
      <c r="N77" s="23">
        <f>IF(H77=0,0,L77/H77)</f>
        <v>-1.6935292105890587</v>
      </c>
      <c r="O77" s="28"/>
      <c r="P77" s="21">
        <f>+P23-P25+P74</f>
        <v>-37125.850000000035</v>
      </c>
      <c r="Q77" s="15"/>
      <c r="R77" s="23">
        <f>IF(P$12=0,0,P77/P$12)</f>
        <v>-0.22550451417812387</v>
      </c>
      <c r="S77" s="15"/>
      <c r="T77" s="21">
        <f>+T23-T25+T74</f>
        <v>70941.054761057545</v>
      </c>
      <c r="U77" s="15"/>
      <c r="V77" s="23">
        <f>IF(T$12=0,0,T77/T$12)</f>
        <v>0.22641003019518574</v>
      </c>
      <c r="W77" s="16"/>
      <c r="X77" s="21">
        <f>+P77-T77</f>
        <v>-108066.90476105758</v>
      </c>
      <c r="Y77" s="16"/>
      <c r="Z77" s="23">
        <f>IF(T77=0,0,X77/T77)</f>
        <v>-1.5233337751327027</v>
      </c>
    </row>
    <row r="78" spans="1:26" ht="15" customHeight="1" x14ac:dyDescent="0.3">
      <c r="A78" s="10"/>
      <c r="B78" s="11"/>
      <c r="C78" s="10"/>
      <c r="D78" s="4"/>
      <c r="E78" s="4"/>
      <c r="F78" s="9"/>
      <c r="G78" s="4"/>
      <c r="H78" s="4"/>
      <c r="I78" s="4"/>
      <c r="J78" s="9"/>
      <c r="K78" s="4"/>
      <c r="L78" s="4"/>
      <c r="M78" s="4"/>
      <c r="N78" s="9"/>
      <c r="P78" s="4"/>
      <c r="Q78" s="4"/>
      <c r="R78" s="9"/>
      <c r="S78" s="4"/>
      <c r="T78" s="4"/>
      <c r="U78" s="4"/>
      <c r="V78" s="9"/>
      <c r="W78" s="4"/>
      <c r="X78" s="4"/>
      <c r="Y78" s="4"/>
      <c r="Z78" s="9"/>
    </row>
    <row r="79" spans="1:26" s="63" customFormat="1" ht="15" customHeight="1" x14ac:dyDescent="0.3">
      <c r="A79" s="49"/>
      <c r="B79" s="11" t="s">
        <v>293</v>
      </c>
      <c r="C79" s="11"/>
      <c r="D79" s="5">
        <v>1372.7</v>
      </c>
      <c r="E79" s="5"/>
      <c r="F79" s="13">
        <f>IF(D$12=0,0,D79/D$12)</f>
        <v>7.5345909464153218E-2</v>
      </c>
      <c r="G79" s="5"/>
      <c r="H79" s="5">
        <v>5551</v>
      </c>
      <c r="I79" s="5"/>
      <c r="J79" s="13">
        <f>IF(H$12=0,0,H79/H$12)</f>
        <v>0.11912017167381975</v>
      </c>
      <c r="K79" s="5"/>
      <c r="L79" s="5">
        <f>+D79-H79</f>
        <v>-4178.3</v>
      </c>
      <c r="M79" s="5"/>
      <c r="N79" s="13">
        <f>IF(H79=0,0,L79/H79)</f>
        <v>-0.75271122320302652</v>
      </c>
      <c r="O79" s="11"/>
      <c r="P79" s="5">
        <v>19648.740000000002</v>
      </c>
      <c r="Q79" s="5"/>
      <c r="R79" s="13">
        <f>IF(P$12=0,0,P79/P$12)</f>
        <v>0.11934755885487514</v>
      </c>
      <c r="S79" s="5"/>
      <c r="T79" s="5">
        <v>38159</v>
      </c>
      <c r="U79" s="5"/>
      <c r="V79" s="13">
        <f>IF(T$12=0,0,T79/T$12)</f>
        <v>0.12178533814189513</v>
      </c>
      <c r="W79" s="5"/>
      <c r="X79" s="5">
        <f>+P79-T79</f>
        <v>-18510.259999999998</v>
      </c>
      <c r="Y79" s="5"/>
      <c r="Z79" s="13">
        <f>IF(T79=0,0,X79/T79)</f>
        <v>-0.48508241830236637</v>
      </c>
    </row>
    <row r="80" spans="1:26" ht="15" customHeight="1" x14ac:dyDescent="0.3">
      <c r="A80" s="10"/>
      <c r="B80" s="11"/>
      <c r="C80" s="11"/>
      <c r="D80" s="4"/>
      <c r="E80" s="4"/>
      <c r="F80" s="9"/>
      <c r="G80" s="4"/>
      <c r="H80" s="4"/>
      <c r="I80" s="4"/>
      <c r="J80" s="9"/>
      <c r="K80" s="4"/>
      <c r="L80" s="4"/>
      <c r="M80" s="4"/>
      <c r="N80" s="9"/>
      <c r="O80" s="11"/>
      <c r="P80" s="4"/>
      <c r="Q80" s="4"/>
      <c r="R80" s="9"/>
      <c r="S80" s="4"/>
      <c r="T80" s="4"/>
      <c r="U80" s="4"/>
      <c r="V80" s="9"/>
      <c r="W80" s="4"/>
      <c r="X80" s="4"/>
      <c r="Y80" s="4"/>
      <c r="Z80" s="9"/>
    </row>
    <row r="81" spans="1:26" s="63" customFormat="1" ht="15" customHeight="1" x14ac:dyDescent="0.3">
      <c r="A81" s="11"/>
      <c r="B81" s="27" t="s">
        <v>294</v>
      </c>
      <c r="C81" s="27"/>
      <c r="D81" s="34">
        <f>+D77-D79</f>
        <v>-17055.75</v>
      </c>
      <c r="E81" s="15"/>
      <c r="F81" s="29">
        <f>IF(D$12=0,0,D81/D$12)</f>
        <v>-0.93617031787224536</v>
      </c>
      <c r="G81" s="15"/>
      <c r="H81" s="34">
        <f>+H77-H79</f>
        <v>17062.395024384605</v>
      </c>
      <c r="I81" s="15"/>
      <c r="J81" s="29">
        <f>IF(H$12=0,0,H81/H$12)</f>
        <v>0.36614581597391854</v>
      </c>
      <c r="K81" s="16"/>
      <c r="L81" s="34">
        <f>D81-H81</f>
        <v>-34118.145024384605</v>
      </c>
      <c r="M81" s="16"/>
      <c r="N81" s="29">
        <f>IF(H81=0,0,L81/H81)</f>
        <v>-1.9996105456253295</v>
      </c>
      <c r="O81" s="28"/>
      <c r="P81" s="34">
        <f>+P77-P79</f>
        <v>-56774.59000000004</v>
      </c>
      <c r="Q81" s="15"/>
      <c r="R81" s="29">
        <f>IF(P$12=0,0,P81/P$12)</f>
        <v>-0.34485207303299903</v>
      </c>
      <c r="S81" s="15"/>
      <c r="T81" s="34">
        <f>+T77-T79</f>
        <v>32782.054761057545</v>
      </c>
      <c r="U81" s="15"/>
      <c r="V81" s="29">
        <f>IF(T$12=0,0,T81/T$12)</f>
        <v>0.1046246920532906</v>
      </c>
      <c r="W81" s="16"/>
      <c r="X81" s="34">
        <f>P81-T81</f>
        <v>-89556.644761057585</v>
      </c>
      <c r="Y81" s="16"/>
      <c r="Z81" s="29">
        <f>IF(T81=0,0,X81/T81)</f>
        <v>-2.7318801525352736</v>
      </c>
    </row>
    <row r="82" spans="1:26" ht="15" customHeight="1" x14ac:dyDescent="0.3">
      <c r="A82" s="10"/>
      <c r="B82" s="10"/>
      <c r="C82" s="10"/>
      <c r="D82" s="4"/>
      <c r="E82" s="4"/>
      <c r="F82" s="9"/>
      <c r="G82" s="4"/>
      <c r="H82" s="4"/>
      <c r="I82" s="4"/>
      <c r="J82" s="9"/>
      <c r="K82" s="4"/>
      <c r="L82" s="4"/>
      <c r="M82" s="4"/>
      <c r="N82" s="9"/>
      <c r="P82" s="4"/>
      <c r="Q82" s="4"/>
      <c r="R82" s="9"/>
      <c r="S82" s="4"/>
      <c r="T82" s="4"/>
      <c r="U82" s="4"/>
      <c r="V82" s="9"/>
      <c r="W82" s="4"/>
      <c r="X82" s="4"/>
      <c r="Y82" s="4"/>
      <c r="Z82" s="9"/>
    </row>
    <row r="83" spans="1:26" ht="15" customHeight="1" x14ac:dyDescent="0.3">
      <c r="A83" s="10"/>
      <c r="B83" s="10"/>
      <c r="C83" s="10"/>
      <c r="D83" s="4"/>
      <c r="E83" s="4"/>
      <c r="F83" s="9"/>
      <c r="G83" s="4"/>
      <c r="H83" s="4"/>
      <c r="I83" s="4"/>
      <c r="J83" s="9"/>
      <c r="K83" s="4"/>
      <c r="L83" s="4"/>
      <c r="M83" s="4"/>
      <c r="N83" s="9"/>
      <c r="P83" s="4"/>
      <c r="Q83" s="4"/>
      <c r="R83" s="9"/>
      <c r="S83" s="4"/>
      <c r="T83" s="4"/>
      <c r="U83" s="4"/>
      <c r="V83" s="9"/>
      <c r="W83" s="4"/>
      <c r="X83" s="4"/>
      <c r="Y83" s="4"/>
      <c r="Z83" s="9"/>
    </row>
    <row r="84" spans="1:26" s="63" customFormat="1" ht="15" customHeight="1" x14ac:dyDescent="0.3">
      <c r="A84" s="11"/>
      <c r="B84" s="27" t="s">
        <v>297</v>
      </c>
      <c r="C84" s="27"/>
      <c r="D84" s="32">
        <f>SUM(D81:D83)</f>
        <v>-17055.75</v>
      </c>
      <c r="E84" s="15"/>
      <c r="F84" s="31">
        <f>IF(D$12=0,0,D84/D$12)</f>
        <v>-0.93617031787224536</v>
      </c>
      <c r="G84" s="15"/>
      <c r="H84" s="32">
        <f>SUM(H81:H83)</f>
        <v>17062.395024384605</v>
      </c>
      <c r="I84" s="15"/>
      <c r="J84" s="31">
        <f>IF(H$12=0,0,H84/H$12)</f>
        <v>0.36614581597391854</v>
      </c>
      <c r="K84" s="16"/>
      <c r="L84" s="32">
        <f>+D84-H84</f>
        <v>-34118.145024384605</v>
      </c>
      <c r="M84" s="16"/>
      <c r="N84" s="31">
        <f>IF(H84=0,0,L84/H84)</f>
        <v>-1.9996105456253295</v>
      </c>
      <c r="O84" s="28"/>
      <c r="P84" s="32">
        <f>SUM(P81:P83)</f>
        <v>-56774.59000000004</v>
      </c>
      <c r="Q84" s="15"/>
      <c r="R84" s="31">
        <f>IF(P$12=0,0,P84/P$12)</f>
        <v>-0.34485207303299903</v>
      </c>
      <c r="S84" s="15"/>
      <c r="T84" s="32">
        <f>SUM(T81:T83)</f>
        <v>32782.054761057545</v>
      </c>
      <c r="U84" s="15"/>
      <c r="V84" s="31">
        <f>IF(T$12=0,0,T84/T$12)</f>
        <v>0.1046246920532906</v>
      </c>
      <c r="W84" s="16"/>
      <c r="X84" s="32">
        <f>+P84-T84</f>
        <v>-89556.644761057585</v>
      </c>
      <c r="Y84" s="16"/>
      <c r="Z84" s="31">
        <f>IF(T84=0,0,X84/T84)</f>
        <v>-2.7318801525352736</v>
      </c>
    </row>
    <row r="85" spans="1:26" ht="15" customHeight="1" x14ac:dyDescent="0.3">
      <c r="A85" s="10"/>
      <c r="C85" s="10"/>
      <c r="D85" s="19"/>
      <c r="E85" s="19"/>
      <c r="G85" s="19"/>
      <c r="H85" s="19"/>
      <c r="I85" s="19"/>
      <c r="J85" s="40"/>
      <c r="K85" s="19"/>
      <c r="L85" s="19"/>
      <c r="M85" s="19"/>
      <c r="P85" s="19"/>
      <c r="Q85" s="19"/>
      <c r="R85" s="40"/>
      <c r="S85" s="19"/>
      <c r="T85" s="19"/>
      <c r="U85" s="19"/>
      <c r="V85" s="40"/>
      <c r="W85" s="19"/>
      <c r="X85" s="19"/>
    </row>
    <row r="86" spans="1:26" ht="15" customHeight="1" x14ac:dyDescent="0.3">
      <c r="A86" s="10"/>
      <c r="B86" s="51">
        <v>44663.04764675926</v>
      </c>
      <c r="D86" s="19"/>
      <c r="E86" s="19"/>
      <c r="G86" s="19"/>
      <c r="H86" s="19"/>
      <c r="I86" s="19"/>
      <c r="J86" s="40"/>
      <c r="K86" s="19"/>
      <c r="L86" s="19"/>
      <c r="M86" s="19"/>
      <c r="P86" s="19"/>
      <c r="Q86" s="19"/>
      <c r="R86" s="40"/>
      <c r="S86" s="19"/>
      <c r="T86" s="19"/>
      <c r="U86" s="19"/>
      <c r="V86" s="40"/>
      <c r="W86" s="19"/>
      <c r="X86" s="19"/>
    </row>
    <row r="87" spans="1:26" ht="15" customHeight="1" x14ac:dyDescent="0.3">
      <c r="A87" s="10"/>
      <c r="B87" s="58" t="s">
        <v>298</v>
      </c>
      <c r="D87" s="19"/>
      <c r="E87" s="19"/>
      <c r="G87" s="19"/>
      <c r="H87" s="19"/>
      <c r="I87" s="19"/>
      <c r="J87" s="40"/>
      <c r="K87" s="19"/>
      <c r="L87" s="19"/>
      <c r="M87" s="19"/>
      <c r="P87" s="19"/>
      <c r="Q87" s="19"/>
      <c r="R87" s="40"/>
      <c r="S87" s="19"/>
      <c r="T87" s="19"/>
      <c r="U87" s="19"/>
      <c r="V87" s="40"/>
      <c r="W87" s="19"/>
      <c r="X87" s="19"/>
    </row>
    <row r="88" spans="1:26" ht="15" customHeight="1" x14ac:dyDescent="0.3">
      <c r="A88" s="10"/>
      <c r="B88" s="50"/>
      <c r="D88" s="19"/>
      <c r="E88" s="19"/>
      <c r="G88" s="19"/>
      <c r="H88" s="19"/>
      <c r="I88" s="19"/>
      <c r="J88" s="40"/>
      <c r="K88" s="19"/>
      <c r="L88" s="19"/>
      <c r="M88" s="19"/>
      <c r="P88" s="19"/>
      <c r="Q88" s="19"/>
      <c r="R88" s="40"/>
      <c r="S88" s="19"/>
      <c r="T88" s="19"/>
      <c r="U88" s="19"/>
      <c r="V88" s="40"/>
      <c r="W88" s="19"/>
      <c r="X88" s="19"/>
    </row>
    <row r="89" spans="1:26" ht="15" customHeight="1" x14ac:dyDescent="0.3">
      <c r="D89" s="19"/>
      <c r="E89" s="19"/>
      <c r="G89" s="19"/>
      <c r="H89" s="19"/>
      <c r="I89" s="19"/>
      <c r="J89" s="40"/>
      <c r="K89" s="19"/>
      <c r="L89" s="19"/>
      <c r="M89" s="19"/>
      <c r="P89" s="19"/>
      <c r="Q89" s="19"/>
      <c r="R89" s="40"/>
      <c r="S89" s="19"/>
      <c r="T89" s="19"/>
      <c r="U89" s="19"/>
      <c r="V89" s="40"/>
      <c r="W89" s="19"/>
      <c r="X89" s="19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6522D7-FFD6-F10C-8C07-68D3631991ED}">
  <sheetPr>
    <tabColor rgb="FF92D050"/>
    <outlinePr summaryBelow="0" summaryRight="0"/>
  </sheetPr>
  <dimension ref="A2:Z124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6" customWidth="1"/>
    <col min="2" max="2" width="33.44140625" style="66" customWidth="1"/>
    <col min="3" max="3" width="1.88671875" style="66" customWidth="1"/>
    <col min="4" max="4" width="15" style="66" customWidth="1"/>
    <col min="5" max="5" width="1.88671875" style="66" customWidth="1" outlineLevel="1"/>
    <col min="6" max="6" width="15" style="67" customWidth="1" outlineLevel="1"/>
    <col min="7" max="7" width="1.88671875" style="66" customWidth="1" outlineLevel="1"/>
    <col min="8" max="8" width="15" style="66" customWidth="1" outlineLevel="1"/>
    <col min="9" max="9" width="1.88671875" style="66" customWidth="1" outlineLevel="1"/>
    <col min="10" max="10" width="15" style="68" customWidth="1" outlineLevel="1"/>
    <col min="11" max="11" width="1.88671875" style="66" customWidth="1" outlineLevel="1"/>
    <col min="12" max="12" width="15" style="66" customWidth="1" outlineLevel="1"/>
    <col min="13" max="13" width="1.88671875" style="66" customWidth="1" outlineLevel="1"/>
    <col min="14" max="14" width="15" style="67" customWidth="1" outlineLevel="1"/>
    <col min="15" max="15" width="1.88671875" style="64" customWidth="1"/>
    <col min="16" max="16" width="15" style="66" customWidth="1"/>
    <col min="17" max="17" width="1.88671875" style="66" customWidth="1" outlineLevel="1"/>
    <col min="18" max="18" width="15" style="68" customWidth="1" outlineLevel="1"/>
    <col min="19" max="19" width="1.88671875" style="66" customWidth="1" outlineLevel="1"/>
    <col min="20" max="20" width="15" style="66" customWidth="1" outlineLevel="1"/>
    <col min="21" max="21" width="1.88671875" style="66" customWidth="1" outlineLevel="1"/>
    <col min="22" max="22" width="15" style="68" customWidth="1" outlineLevel="1"/>
    <col min="23" max="23" width="1.88671875" style="66" customWidth="1" outlineLevel="1"/>
    <col min="24" max="24" width="15" style="66" customWidth="1" outlineLevel="1"/>
    <col min="25" max="25" width="1.88671875" style="66" customWidth="1" outlineLevel="1"/>
    <col min="26" max="26" width="15" style="68" customWidth="1" outlineLevel="1"/>
  </cols>
  <sheetData>
    <row r="2" spans="1:26" ht="15" customHeight="1" x14ac:dyDescent="0.3">
      <c r="D2" s="54" t="s">
        <v>276</v>
      </c>
    </row>
    <row r="3" spans="1:26" ht="15" customHeight="1" x14ac:dyDescent="0.3">
      <c r="D3" s="54" t="s">
        <v>277</v>
      </c>
      <c r="E3" s="18"/>
      <c r="F3" s="44"/>
      <c r="G3" s="18"/>
      <c r="H3" s="18"/>
      <c r="I3" s="18"/>
      <c r="J3" s="38"/>
      <c r="K3" s="18"/>
      <c r="L3" s="18"/>
      <c r="M3" s="18"/>
      <c r="N3" s="44"/>
      <c r="O3" s="53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ht="15" customHeight="1" x14ac:dyDescent="0.3">
      <c r="D4" s="54" t="str">
        <f>CONCATENATE("Period ",RIGHT(202209,2),", ",2022)</f>
        <v>Period 09, 2022</v>
      </c>
      <c r="E4" s="18"/>
      <c r="F4" s="44"/>
      <c r="G4" s="18"/>
      <c r="H4" s="18"/>
      <c r="I4" s="18"/>
      <c r="J4" s="38"/>
      <c r="K4" s="18"/>
      <c r="L4" s="18"/>
      <c r="M4" s="18"/>
      <c r="N4" s="44"/>
      <c r="O4" s="53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ht="15" customHeight="1" x14ac:dyDescent="0.3">
      <c r="A5" s="24"/>
      <c r="D5" s="60">
        <v>44646</v>
      </c>
      <c r="E5" s="18"/>
      <c r="F5" s="44"/>
      <c r="G5" s="18"/>
      <c r="H5" s="18"/>
      <c r="I5" s="18"/>
      <c r="J5" s="38"/>
      <c r="K5" s="18"/>
      <c r="L5" s="18"/>
      <c r="M5" s="18"/>
      <c r="N5" s="44"/>
      <c r="O5" s="53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ht="15" customHeight="1" x14ac:dyDescent="0.3">
      <c r="A6" s="24"/>
      <c r="B6" s="47"/>
      <c r="C6" s="47"/>
      <c r="D6" s="24" t="str">
        <f>CONCATENATE("Department ","315"," - ","Bookstore Retail")</f>
        <v>Department 315 - Bookstore Retail</v>
      </c>
      <c r="E6" s="18"/>
      <c r="F6" s="44"/>
      <c r="G6" s="18"/>
      <c r="H6" s="18"/>
      <c r="I6" s="18"/>
      <c r="J6" s="38"/>
      <c r="K6" s="18"/>
      <c r="L6" s="18"/>
      <c r="M6" s="18"/>
      <c r="N6" s="44"/>
      <c r="O6" s="59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ht="15" customHeight="1" x14ac:dyDescent="0.3">
      <c r="B7" s="52"/>
    </row>
    <row r="8" spans="1:26" ht="15" customHeight="1" x14ac:dyDescent="0.3">
      <c r="B8" s="52"/>
    </row>
    <row r="9" spans="1:26" ht="15" customHeight="1" x14ac:dyDescent="0.3">
      <c r="B9" s="10"/>
      <c r="C9" s="10"/>
      <c r="D9" s="17" t="s">
        <v>279</v>
      </c>
      <c r="E9" s="17"/>
      <c r="F9" s="36"/>
      <c r="G9" s="17"/>
      <c r="H9" s="17"/>
      <c r="I9" s="17"/>
      <c r="J9" s="43"/>
      <c r="K9" s="17"/>
      <c r="L9" s="17"/>
      <c r="M9" s="17"/>
      <c r="N9" s="36"/>
      <c r="P9" s="17" t="s">
        <v>280</v>
      </c>
      <c r="Q9" s="17"/>
      <c r="R9" s="36"/>
      <c r="S9" s="17"/>
      <c r="T9" s="17"/>
      <c r="U9" s="17"/>
      <c r="V9" s="43"/>
      <c r="W9" s="17"/>
      <c r="X9" s="17"/>
      <c r="Y9" s="17"/>
      <c r="Z9" s="36"/>
    </row>
    <row r="10" spans="1:26" ht="15" customHeight="1" x14ac:dyDescent="0.3">
      <c r="A10" s="11"/>
      <c r="B10" s="57"/>
      <c r="C10" s="11"/>
      <c r="D10" s="41" t="s">
        <v>281</v>
      </c>
      <c r="E10" s="33"/>
      <c r="F10" s="37" t="s">
        <v>282</v>
      </c>
      <c r="G10" s="33"/>
      <c r="H10" s="48" t="s">
        <v>283</v>
      </c>
      <c r="I10" s="33"/>
      <c r="J10" s="45" t="s">
        <v>284</v>
      </c>
      <c r="K10" s="11"/>
      <c r="L10" s="41" t="s">
        <v>285</v>
      </c>
      <c r="M10" s="11"/>
      <c r="N10" s="37" t="s">
        <v>286</v>
      </c>
      <c r="O10" s="11"/>
      <c r="P10" s="56" t="s">
        <v>281</v>
      </c>
      <c r="Q10" s="33"/>
      <c r="R10" s="37" t="s">
        <v>282</v>
      </c>
      <c r="S10" s="33"/>
      <c r="T10" s="48" t="s">
        <v>283</v>
      </c>
      <c r="U10" s="33"/>
      <c r="V10" s="45" t="s">
        <v>284</v>
      </c>
      <c r="W10" s="11"/>
      <c r="X10" s="41" t="s">
        <v>285</v>
      </c>
      <c r="Y10" s="11"/>
      <c r="Z10" s="37" t="s">
        <v>286</v>
      </c>
    </row>
    <row r="11" spans="1:26" ht="16.5" customHeight="1" x14ac:dyDescent="0.3">
      <c r="A11" s="10"/>
      <c r="B11" s="55"/>
      <c r="C11" s="10"/>
      <c r="D11" s="10"/>
      <c r="E11" s="10"/>
      <c r="F11" s="9"/>
      <c r="G11" s="10"/>
      <c r="H11" s="10"/>
      <c r="I11" s="10"/>
      <c r="J11" s="46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6"/>
      <c r="W11" s="10"/>
      <c r="X11" s="10"/>
      <c r="Y11" s="10"/>
      <c r="Z11" s="9"/>
    </row>
    <row r="12" spans="1:26" s="63" customFormat="1" ht="15" customHeight="1" collapsed="1" x14ac:dyDescent="0.3">
      <c r="A12" s="11"/>
      <c r="B12" s="28" t="s">
        <v>287</v>
      </c>
      <c r="C12" s="11"/>
      <c r="D12" s="5">
        <f>SUM(OSRRefD13x_0)</f>
        <v>476662.26999999996</v>
      </c>
      <c r="E12" s="5"/>
      <c r="F12" s="13"/>
      <c r="G12" s="5"/>
      <c r="H12" s="5">
        <f>SUM(OSRRefH13x_0)</f>
        <v>229580</v>
      </c>
      <c r="I12" s="5"/>
      <c r="J12" s="13"/>
      <c r="K12" s="5"/>
      <c r="L12" s="5">
        <f t="shared" ref="L12:L17" si="0">+D12-H12</f>
        <v>247082.26999999996</v>
      </c>
      <c r="M12" s="5"/>
      <c r="N12" s="13">
        <f t="shared" ref="N12:N17" si="1">IF(H12=0,0,L12/H12)</f>
        <v>1.0762360397247146</v>
      </c>
      <c r="O12" s="11"/>
      <c r="P12" s="5">
        <f>SUM(OSRRefP13x_0)</f>
        <v>2995261.03</v>
      </c>
      <c r="Q12" s="5"/>
      <c r="R12" s="13"/>
      <c r="S12" s="5"/>
      <c r="T12" s="5">
        <f>SUM(OSRRefT13x_0)</f>
        <v>2201007</v>
      </c>
      <c r="U12" s="5"/>
      <c r="V12" s="13"/>
      <c r="W12" s="5"/>
      <c r="X12" s="5">
        <f t="shared" ref="X12:X17" si="2">+P12-T12</f>
        <v>794254.0299999998</v>
      </c>
      <c r="Y12" s="5"/>
      <c r="Z12" s="13">
        <f t="shared" ref="Z12:Z17" si="3">IF(T12=0,0,X12/T12)</f>
        <v>0.36085938390927419</v>
      </c>
    </row>
    <row r="13" spans="1:26" s="70" customFormat="1" ht="15" hidden="1" customHeight="1" outlineLevel="1" x14ac:dyDescent="0.3">
      <c r="A13" s="42"/>
      <c r="B13" s="12" t="str">
        <f>CONCATENATE("          ","4000"," - ","TAXABLE SALES")</f>
        <v xml:space="preserve">          4000 - TAXABLE SALES</v>
      </c>
      <c r="C13" s="12"/>
      <c r="D13" s="3">
        <f>--430208.89</f>
        <v>430208.89</v>
      </c>
      <c r="E13" s="3"/>
      <c r="F13" s="20"/>
      <c r="G13" s="3"/>
      <c r="H13" s="3">
        <v>229580</v>
      </c>
      <c r="I13" s="3"/>
      <c r="J13" s="20"/>
      <c r="K13" s="3"/>
      <c r="L13" s="3">
        <f t="shared" si="0"/>
        <v>200628.89</v>
      </c>
      <c r="M13" s="3"/>
      <c r="N13" s="20">
        <f t="shared" si="1"/>
        <v>0.87389533060371116</v>
      </c>
      <c r="O13" s="12"/>
      <c r="P13" s="3">
        <f>--2768592.05</f>
        <v>2768592.05</v>
      </c>
      <c r="Q13" s="3"/>
      <c r="R13" s="20"/>
      <c r="S13" s="3"/>
      <c r="T13" s="3">
        <v>2201007</v>
      </c>
      <c r="U13" s="3"/>
      <c r="V13" s="20"/>
      <c r="W13" s="3"/>
      <c r="X13" s="3">
        <f t="shared" si="2"/>
        <v>567585.04999999981</v>
      </c>
      <c r="Y13" s="3"/>
      <c r="Z13" s="20">
        <f t="shared" si="3"/>
        <v>0.25787516804807975</v>
      </c>
    </row>
    <row r="14" spans="1:26" s="70" customFormat="1" ht="15" hidden="1" customHeight="1" outlineLevel="1" x14ac:dyDescent="0.3">
      <c r="A14" s="42"/>
      <c r="B14" s="12" t="str">
        <f>CONCATENATE("          ","4100"," - ","NON-TAXABLE SALES")</f>
        <v xml:space="preserve">          4100 - NON-TAXABLE SALES</v>
      </c>
      <c r="C14" s="12"/>
      <c r="D14" s="3">
        <f>--68802.85</f>
        <v>68802.850000000006</v>
      </c>
      <c r="E14" s="3"/>
      <c r="F14" s="20"/>
      <c r="G14" s="3"/>
      <c r="H14" s="3"/>
      <c r="I14" s="3"/>
      <c r="J14" s="20"/>
      <c r="K14" s="3"/>
      <c r="L14" s="3">
        <f t="shared" si="0"/>
        <v>68802.850000000006</v>
      </c>
      <c r="M14" s="3"/>
      <c r="N14" s="20">
        <f t="shared" si="1"/>
        <v>0</v>
      </c>
      <c r="O14" s="12"/>
      <c r="P14" s="3">
        <f>--386256.86</f>
        <v>386256.86</v>
      </c>
      <c r="Q14" s="3"/>
      <c r="R14" s="20"/>
      <c r="S14" s="3"/>
      <c r="T14" s="3"/>
      <c r="U14" s="3"/>
      <c r="V14" s="20"/>
      <c r="W14" s="3"/>
      <c r="X14" s="3">
        <f t="shared" si="2"/>
        <v>386256.86</v>
      </c>
      <c r="Y14" s="3"/>
      <c r="Z14" s="20">
        <f t="shared" si="3"/>
        <v>0</v>
      </c>
    </row>
    <row r="15" spans="1:26" s="70" customFormat="1" ht="15" hidden="1" customHeight="1" outlineLevel="1" x14ac:dyDescent="0.3">
      <c r="A15" s="42"/>
      <c r="B15" s="12" t="str">
        <f>CONCATENATE("          ","4200"," - ","TAXABLE RETURNS")</f>
        <v xml:space="preserve">          4200 - TAXABLE RETURNS</v>
      </c>
      <c r="C15" s="12"/>
      <c r="D15" s="3">
        <f>-13913.76</f>
        <v>-13913.76</v>
      </c>
      <c r="E15" s="3"/>
      <c r="F15" s="20"/>
      <c r="G15" s="3"/>
      <c r="H15" s="3"/>
      <c r="I15" s="3"/>
      <c r="J15" s="20"/>
      <c r="K15" s="3"/>
      <c r="L15" s="3">
        <f t="shared" si="0"/>
        <v>-13913.76</v>
      </c>
      <c r="M15" s="3"/>
      <c r="N15" s="20">
        <f t="shared" si="1"/>
        <v>0</v>
      </c>
      <c r="O15" s="12"/>
      <c r="P15" s="3">
        <f>-81406.23</f>
        <v>-81406.23</v>
      </c>
      <c r="Q15" s="3"/>
      <c r="R15" s="20"/>
      <c r="S15" s="3"/>
      <c r="T15" s="3"/>
      <c r="U15" s="3"/>
      <c r="V15" s="20"/>
      <c r="W15" s="3"/>
      <c r="X15" s="3">
        <f t="shared" si="2"/>
        <v>-81406.23</v>
      </c>
      <c r="Y15" s="3"/>
      <c r="Z15" s="20">
        <f t="shared" si="3"/>
        <v>0</v>
      </c>
    </row>
    <row r="16" spans="1:26" s="70" customFormat="1" ht="15" hidden="1" customHeight="1" outlineLevel="1" x14ac:dyDescent="0.3">
      <c r="A16" s="42"/>
      <c r="B16" s="12" t="str">
        <f>CONCATENATE("          ","4300"," - ","NON-TAX RETURNS")</f>
        <v xml:space="preserve">          4300 - NON-TAX RETURNS</v>
      </c>
      <c r="C16" s="12"/>
      <c r="D16" s="3">
        <f>0</f>
        <v>0</v>
      </c>
      <c r="E16" s="3"/>
      <c r="F16" s="20"/>
      <c r="G16" s="3"/>
      <c r="H16" s="3"/>
      <c r="I16" s="3"/>
      <c r="J16" s="20"/>
      <c r="K16" s="3"/>
      <c r="L16" s="3">
        <f t="shared" si="0"/>
        <v>0</v>
      </c>
      <c r="M16" s="3"/>
      <c r="N16" s="20">
        <f t="shared" si="1"/>
        <v>0</v>
      </c>
      <c r="O16" s="12"/>
      <c r="P16" s="3">
        <f>-1898.53</f>
        <v>-1898.53</v>
      </c>
      <c r="Q16" s="3"/>
      <c r="R16" s="20"/>
      <c r="S16" s="3"/>
      <c r="T16" s="3"/>
      <c r="U16" s="3"/>
      <c r="V16" s="20"/>
      <c r="W16" s="3"/>
      <c r="X16" s="3">
        <f t="shared" si="2"/>
        <v>-1898.53</v>
      </c>
      <c r="Y16" s="3"/>
      <c r="Z16" s="20">
        <f t="shared" si="3"/>
        <v>0</v>
      </c>
    </row>
    <row r="17" spans="1:26" s="70" customFormat="1" ht="15" hidden="1" customHeight="1" outlineLevel="1" x14ac:dyDescent="0.3">
      <c r="A17" s="42"/>
      <c r="B17" s="12" t="str">
        <f>CONCATENATE("          ","4500"," - ","SALES DISCOUNT")</f>
        <v xml:space="preserve">          4500 - SALES DISCOUNT</v>
      </c>
      <c r="C17" s="12"/>
      <c r="D17" s="3">
        <f>-8435.71</f>
        <v>-8435.7099999999991</v>
      </c>
      <c r="E17" s="3"/>
      <c r="F17" s="20"/>
      <c r="G17" s="3"/>
      <c r="H17" s="3"/>
      <c r="I17" s="3"/>
      <c r="J17" s="20"/>
      <c r="K17" s="3"/>
      <c r="L17" s="3">
        <f t="shared" si="0"/>
        <v>-8435.7099999999991</v>
      </c>
      <c r="M17" s="3"/>
      <c r="N17" s="20">
        <f t="shared" si="1"/>
        <v>0</v>
      </c>
      <c r="O17" s="12"/>
      <c r="P17" s="3">
        <f>-76283.12</f>
        <v>-76283.12</v>
      </c>
      <c r="Q17" s="3"/>
      <c r="R17" s="20"/>
      <c r="S17" s="3"/>
      <c r="T17" s="3"/>
      <c r="U17" s="3"/>
      <c r="V17" s="20"/>
      <c r="W17" s="3"/>
      <c r="X17" s="3">
        <f t="shared" si="2"/>
        <v>-76283.12</v>
      </c>
      <c r="Y17" s="3"/>
      <c r="Z17" s="20">
        <f t="shared" si="3"/>
        <v>0</v>
      </c>
    </row>
    <row r="18" spans="1:26" ht="15" customHeight="1" x14ac:dyDescent="0.3">
      <c r="A18" s="10"/>
      <c r="B18" s="11"/>
      <c r="C18" s="10"/>
      <c r="D18" s="4"/>
      <c r="E18" s="4"/>
      <c r="F18" s="9"/>
      <c r="G18" s="4"/>
      <c r="H18" s="4"/>
      <c r="I18" s="4"/>
      <c r="J18" s="9"/>
      <c r="K18" s="4"/>
      <c r="L18" s="4"/>
      <c r="M18" s="4"/>
      <c r="N18" s="9"/>
      <c r="P18" s="4"/>
      <c r="Q18" s="4"/>
      <c r="R18" s="9"/>
      <c r="S18" s="4"/>
      <c r="T18" s="4"/>
      <c r="U18" s="4"/>
      <c r="V18" s="9"/>
      <c r="W18" s="4"/>
      <c r="X18" s="4"/>
      <c r="Y18" s="4"/>
      <c r="Z18" s="9"/>
    </row>
    <row r="19" spans="1:26" s="63" customFormat="1" ht="15" customHeight="1" collapsed="1" x14ac:dyDescent="0.3">
      <c r="A19" s="11"/>
      <c r="B19" s="28" t="s">
        <v>288</v>
      </c>
      <c r="C19" s="11"/>
      <c r="D19" s="5">
        <f>SUM(OSRRefD16x_0)</f>
        <v>206428.73</v>
      </c>
      <c r="E19" s="5"/>
      <c r="F19" s="13">
        <f t="shared" ref="F19:F38" si="4">IF(D$12=0,0,D19/D$12)</f>
        <v>0.4330712602866596</v>
      </c>
      <c r="G19" s="5"/>
      <c r="H19" s="5">
        <f>SUM(OSRRefH16x_0)</f>
        <v>112808</v>
      </c>
      <c r="I19" s="5"/>
      <c r="J19" s="13">
        <f t="shared" ref="J19:J38" si="5">IF(H$12=0,0,H19/H$12)</f>
        <v>0.49136684380172491</v>
      </c>
      <c r="K19" s="5"/>
      <c r="L19" s="5">
        <f t="shared" ref="L19:L38" si="6">+D19-H19</f>
        <v>93620.73000000001</v>
      </c>
      <c r="M19" s="5"/>
      <c r="N19" s="13">
        <f t="shared" ref="N19:N38" si="7">IF(H19=0,0,L19/H19)</f>
        <v>0.82991215162045251</v>
      </c>
      <c r="O19" s="11"/>
      <c r="P19" s="5">
        <f>SUM(OSRRefP16x_0)</f>
        <v>1426940.0799999998</v>
      </c>
      <c r="Q19" s="5"/>
      <c r="R19" s="13">
        <f t="shared" ref="R19:R38" si="8">IF(P$12=0,0,P19/P$12)</f>
        <v>0.47639924056969418</v>
      </c>
      <c r="S19" s="5"/>
      <c r="T19" s="5">
        <f>SUM(OSRRefT16x_0)</f>
        <v>1135388</v>
      </c>
      <c r="U19" s="5"/>
      <c r="V19" s="13">
        <f t="shared" ref="V19:V38" si="9">IF(T$12=0,0,T19/T$12)</f>
        <v>0.51584933623564122</v>
      </c>
      <c r="W19" s="5"/>
      <c r="X19" s="5">
        <f t="shared" ref="X19:X38" si="10">+P19-T19</f>
        <v>291552.07999999984</v>
      </c>
      <c r="Y19" s="5"/>
      <c r="Z19" s="13">
        <f t="shared" ref="Z19:Z38" si="11">IF(T19=0,0,X19/T19)</f>
        <v>0.2567862968430174</v>
      </c>
    </row>
    <row r="20" spans="1:26" s="70" customFormat="1" ht="15" hidden="1" customHeight="1" outlineLevel="1" x14ac:dyDescent="0.3">
      <c r="A20" s="42"/>
      <c r="B20" s="12" t="str">
        <f>CONCATENATE("          ","5000"," - ","PURCHASES @ COST")</f>
        <v xml:space="preserve">          5000 - PURCHASES @ COST</v>
      </c>
      <c r="C20" s="12"/>
      <c r="D20" s="3">
        <v>364854.79</v>
      </c>
      <c r="E20" s="3"/>
      <c r="F20" s="20">
        <f t="shared" si="4"/>
        <v>0.76543668958736766</v>
      </c>
      <c r="G20" s="3"/>
      <c r="H20" s="3">
        <v>112808</v>
      </c>
      <c r="I20" s="3"/>
      <c r="J20" s="20">
        <f t="shared" si="5"/>
        <v>0.49136684380172491</v>
      </c>
      <c r="K20" s="3"/>
      <c r="L20" s="3">
        <f t="shared" si="6"/>
        <v>252046.78999999998</v>
      </c>
      <c r="M20" s="3"/>
      <c r="N20" s="20">
        <f t="shared" si="7"/>
        <v>2.23429889724133</v>
      </c>
      <c r="O20" s="12"/>
      <c r="P20" s="3">
        <v>1781220.38</v>
      </c>
      <c r="Q20" s="3"/>
      <c r="R20" s="20">
        <f t="shared" si="8"/>
        <v>0.59467951612884973</v>
      </c>
      <c r="S20" s="3"/>
      <c r="T20" s="3">
        <v>1135388</v>
      </c>
      <c r="U20" s="3"/>
      <c r="V20" s="20">
        <f t="shared" si="9"/>
        <v>0.51584933623564122</v>
      </c>
      <c r="W20" s="3"/>
      <c r="X20" s="3">
        <f t="shared" si="10"/>
        <v>645832.37999999989</v>
      </c>
      <c r="Y20" s="3"/>
      <c r="Z20" s="20">
        <f t="shared" si="11"/>
        <v>0.56882086123862496</v>
      </c>
    </row>
    <row r="21" spans="1:26" s="70" customFormat="1" ht="15" hidden="1" customHeight="1" outlineLevel="1" x14ac:dyDescent="0.3">
      <c r="A21" s="42"/>
      <c r="B21" s="12" t="str">
        <f>CONCATENATE("          ","5027"," - ","PURCHASES @ COST-SCHOOL SUPPLI")</f>
        <v xml:space="preserve">          5027 - PURCHASES @ COST-SCHOOL SUPPLI</v>
      </c>
      <c r="C21" s="12"/>
      <c r="D21" s="3"/>
      <c r="E21" s="3"/>
      <c r="F21" s="20">
        <f t="shared" si="4"/>
        <v>0</v>
      </c>
      <c r="G21" s="3"/>
      <c r="H21" s="3"/>
      <c r="I21" s="3"/>
      <c r="J21" s="20">
        <f t="shared" si="5"/>
        <v>0</v>
      </c>
      <c r="K21" s="3"/>
      <c r="L21" s="3">
        <f t="shared" si="6"/>
        <v>0</v>
      </c>
      <c r="M21" s="3"/>
      <c r="N21" s="20">
        <f t="shared" si="7"/>
        <v>0</v>
      </c>
      <c r="O21" s="12"/>
      <c r="P21" s="3">
        <v>0</v>
      </c>
      <c r="Q21" s="3"/>
      <c r="R21" s="20">
        <f t="shared" si="8"/>
        <v>0</v>
      </c>
      <c r="S21" s="3"/>
      <c r="T21" s="3"/>
      <c r="U21" s="3"/>
      <c r="V21" s="20">
        <f t="shared" si="9"/>
        <v>0</v>
      </c>
      <c r="W21" s="3"/>
      <c r="X21" s="3">
        <f t="shared" si="10"/>
        <v>0</v>
      </c>
      <c r="Y21" s="3"/>
      <c r="Z21" s="20">
        <f t="shared" si="11"/>
        <v>0</v>
      </c>
    </row>
    <row r="22" spans="1:26" s="70" customFormat="1" ht="15" hidden="1" customHeight="1" outlineLevel="1" x14ac:dyDescent="0.3">
      <c r="A22" s="42"/>
      <c r="B22" s="12" t="str">
        <f>CONCATENATE("          ","5028"," - ","PURCHASES @ COST-ART/TECH")</f>
        <v xml:space="preserve">          5028 - PURCHASES @ COST-ART/TECH</v>
      </c>
      <c r="C22" s="12"/>
      <c r="D22" s="3"/>
      <c r="E22" s="3"/>
      <c r="F22" s="20">
        <f t="shared" si="4"/>
        <v>0</v>
      </c>
      <c r="G22" s="3"/>
      <c r="H22" s="3"/>
      <c r="I22" s="3"/>
      <c r="J22" s="20">
        <f t="shared" si="5"/>
        <v>0</v>
      </c>
      <c r="K22" s="3"/>
      <c r="L22" s="3">
        <f t="shared" si="6"/>
        <v>0</v>
      </c>
      <c r="M22" s="3"/>
      <c r="N22" s="20">
        <f t="shared" si="7"/>
        <v>0</v>
      </c>
      <c r="O22" s="12"/>
      <c r="P22" s="3">
        <v>0</v>
      </c>
      <c r="Q22" s="3"/>
      <c r="R22" s="20">
        <f t="shared" si="8"/>
        <v>0</v>
      </c>
      <c r="S22" s="3"/>
      <c r="T22" s="3"/>
      <c r="U22" s="3"/>
      <c r="V22" s="20">
        <f t="shared" si="9"/>
        <v>0</v>
      </c>
      <c r="W22" s="3"/>
      <c r="X22" s="3">
        <f t="shared" si="10"/>
        <v>0</v>
      </c>
      <c r="Y22" s="3"/>
      <c r="Z22" s="20">
        <f t="shared" si="11"/>
        <v>0</v>
      </c>
    </row>
    <row r="23" spans="1:26" s="70" customFormat="1" ht="15" hidden="1" customHeight="1" outlineLevel="1" x14ac:dyDescent="0.3">
      <c r="A23" s="42"/>
      <c r="B23" s="12" t="str">
        <f>CONCATENATE("          ","5031"," - ","PURCHASES @ COST-FOOD")</f>
        <v xml:space="preserve">          5031 - PURCHASES @ COST-FOOD</v>
      </c>
      <c r="C23" s="12"/>
      <c r="D23" s="3"/>
      <c r="E23" s="3"/>
      <c r="F23" s="20">
        <f t="shared" si="4"/>
        <v>0</v>
      </c>
      <c r="G23" s="3"/>
      <c r="H23" s="3"/>
      <c r="I23" s="3"/>
      <c r="J23" s="20">
        <f t="shared" si="5"/>
        <v>0</v>
      </c>
      <c r="K23" s="3"/>
      <c r="L23" s="3">
        <f t="shared" si="6"/>
        <v>0</v>
      </c>
      <c r="M23" s="3"/>
      <c r="N23" s="20">
        <f t="shared" si="7"/>
        <v>0</v>
      </c>
      <c r="O23" s="12"/>
      <c r="P23" s="3">
        <v>0</v>
      </c>
      <c r="Q23" s="3"/>
      <c r="R23" s="20">
        <f t="shared" si="8"/>
        <v>0</v>
      </c>
      <c r="S23" s="3"/>
      <c r="T23" s="3"/>
      <c r="U23" s="3"/>
      <c r="V23" s="20">
        <f t="shared" si="9"/>
        <v>0</v>
      </c>
      <c r="W23" s="3"/>
      <c r="X23" s="3">
        <f t="shared" si="10"/>
        <v>0</v>
      </c>
      <c r="Y23" s="3"/>
      <c r="Z23" s="20">
        <f t="shared" si="11"/>
        <v>0</v>
      </c>
    </row>
    <row r="24" spans="1:26" s="70" customFormat="1" ht="15" hidden="1" customHeight="1" outlineLevel="1" x14ac:dyDescent="0.3">
      <c r="A24" s="42"/>
      <c r="B24" s="12" t="str">
        <f>CONCATENATE("          ","5040"," - ","PURCHASES @ COST-LOGO CLOTHING")</f>
        <v xml:space="preserve">          5040 - PURCHASES @ COST-LOGO CLOTHING</v>
      </c>
      <c r="C24" s="12"/>
      <c r="D24" s="3"/>
      <c r="E24" s="3"/>
      <c r="F24" s="20">
        <f t="shared" si="4"/>
        <v>0</v>
      </c>
      <c r="G24" s="3"/>
      <c r="H24" s="3"/>
      <c r="I24" s="3"/>
      <c r="J24" s="20">
        <f t="shared" si="5"/>
        <v>0</v>
      </c>
      <c r="K24" s="3"/>
      <c r="L24" s="3">
        <f t="shared" si="6"/>
        <v>0</v>
      </c>
      <c r="M24" s="3"/>
      <c r="N24" s="20">
        <f t="shared" si="7"/>
        <v>0</v>
      </c>
      <c r="O24" s="12"/>
      <c r="P24" s="3">
        <v>0</v>
      </c>
      <c r="Q24" s="3"/>
      <c r="R24" s="20">
        <f t="shared" si="8"/>
        <v>0</v>
      </c>
      <c r="S24" s="3"/>
      <c r="T24" s="3"/>
      <c r="U24" s="3"/>
      <c r="V24" s="20">
        <f t="shared" si="9"/>
        <v>0</v>
      </c>
      <c r="W24" s="3"/>
      <c r="X24" s="3">
        <f t="shared" si="10"/>
        <v>0</v>
      </c>
      <c r="Y24" s="3"/>
      <c r="Z24" s="20">
        <f t="shared" si="11"/>
        <v>0</v>
      </c>
    </row>
    <row r="25" spans="1:26" s="70" customFormat="1" ht="15" hidden="1" customHeight="1" outlineLevel="1" x14ac:dyDescent="0.3">
      <c r="A25" s="42"/>
      <c r="B25" s="12" t="str">
        <f>CONCATENATE("          ","5041"," - ","PURCHASES @ COST-LOGO GIFTS")</f>
        <v xml:space="preserve">          5041 - PURCHASES @ COST-LOGO GIFTS</v>
      </c>
      <c r="C25" s="12"/>
      <c r="D25" s="3"/>
      <c r="E25" s="3"/>
      <c r="F25" s="20">
        <f t="shared" si="4"/>
        <v>0</v>
      </c>
      <c r="G25" s="3"/>
      <c r="H25" s="3"/>
      <c r="I25" s="3"/>
      <c r="J25" s="20">
        <f t="shared" si="5"/>
        <v>0</v>
      </c>
      <c r="K25" s="3"/>
      <c r="L25" s="3">
        <f t="shared" si="6"/>
        <v>0</v>
      </c>
      <c r="M25" s="3"/>
      <c r="N25" s="20">
        <f t="shared" si="7"/>
        <v>0</v>
      </c>
      <c r="O25" s="12"/>
      <c r="P25" s="3">
        <v>0</v>
      </c>
      <c r="Q25" s="3"/>
      <c r="R25" s="20">
        <f t="shared" si="8"/>
        <v>0</v>
      </c>
      <c r="S25" s="3"/>
      <c r="T25" s="3"/>
      <c r="U25" s="3"/>
      <c r="V25" s="20">
        <f t="shared" si="9"/>
        <v>0</v>
      </c>
      <c r="W25" s="3"/>
      <c r="X25" s="3">
        <f t="shared" si="10"/>
        <v>0</v>
      </c>
      <c r="Y25" s="3"/>
      <c r="Z25" s="20">
        <f t="shared" si="11"/>
        <v>0</v>
      </c>
    </row>
    <row r="26" spans="1:26" s="70" customFormat="1" ht="15" hidden="1" customHeight="1" outlineLevel="1" x14ac:dyDescent="0.3">
      <c r="A26" s="42"/>
      <c r="B26" s="12" t="str">
        <f>CONCATENATE("          ","5042"," - ","PURCHASES @ COST-EVERYDAY GIFT")</f>
        <v xml:space="preserve">          5042 - PURCHASES @ COST-EVERYDAY GIFT</v>
      </c>
      <c r="C26" s="12"/>
      <c r="D26" s="3"/>
      <c r="E26" s="3"/>
      <c r="F26" s="20">
        <f t="shared" si="4"/>
        <v>0</v>
      </c>
      <c r="G26" s="3"/>
      <c r="H26" s="3"/>
      <c r="I26" s="3"/>
      <c r="J26" s="20">
        <f t="shared" si="5"/>
        <v>0</v>
      </c>
      <c r="K26" s="3"/>
      <c r="L26" s="3">
        <f t="shared" si="6"/>
        <v>0</v>
      </c>
      <c r="M26" s="3"/>
      <c r="N26" s="20">
        <f t="shared" si="7"/>
        <v>0</v>
      </c>
      <c r="O26" s="12"/>
      <c r="P26" s="3">
        <v>0</v>
      </c>
      <c r="Q26" s="3"/>
      <c r="R26" s="20">
        <f t="shared" si="8"/>
        <v>0</v>
      </c>
      <c r="S26" s="3"/>
      <c r="T26" s="3"/>
      <c r="U26" s="3"/>
      <c r="V26" s="20">
        <f t="shared" si="9"/>
        <v>0</v>
      </c>
      <c r="W26" s="3"/>
      <c r="X26" s="3">
        <f t="shared" si="10"/>
        <v>0</v>
      </c>
      <c r="Y26" s="3"/>
      <c r="Z26" s="20">
        <f t="shared" si="11"/>
        <v>0</v>
      </c>
    </row>
    <row r="27" spans="1:26" s="70" customFormat="1" ht="15" hidden="1" customHeight="1" outlineLevel="1" x14ac:dyDescent="0.3">
      <c r="A27" s="42"/>
      <c r="B27" s="12" t="str">
        <f>CONCATENATE("          ","5043"," - ","PURCHASES @ COST-CARDS")</f>
        <v xml:space="preserve">          5043 - PURCHASES @ COST-CARDS</v>
      </c>
      <c r="C27" s="12"/>
      <c r="D27" s="3"/>
      <c r="E27" s="3"/>
      <c r="F27" s="20">
        <f t="shared" si="4"/>
        <v>0</v>
      </c>
      <c r="G27" s="3"/>
      <c r="H27" s="3"/>
      <c r="I27" s="3"/>
      <c r="J27" s="20">
        <f t="shared" si="5"/>
        <v>0</v>
      </c>
      <c r="K27" s="3"/>
      <c r="L27" s="3">
        <f t="shared" si="6"/>
        <v>0</v>
      </c>
      <c r="M27" s="3"/>
      <c r="N27" s="20">
        <f t="shared" si="7"/>
        <v>0</v>
      </c>
      <c r="O27" s="12"/>
      <c r="P27" s="3">
        <v>0</v>
      </c>
      <c r="Q27" s="3"/>
      <c r="R27" s="20">
        <f t="shared" si="8"/>
        <v>0</v>
      </c>
      <c r="S27" s="3"/>
      <c r="T27" s="3"/>
      <c r="U27" s="3"/>
      <c r="V27" s="20">
        <f t="shared" si="9"/>
        <v>0</v>
      </c>
      <c r="W27" s="3"/>
      <c r="X27" s="3">
        <f t="shared" si="10"/>
        <v>0</v>
      </c>
      <c r="Y27" s="3"/>
      <c r="Z27" s="20">
        <f t="shared" si="11"/>
        <v>0</v>
      </c>
    </row>
    <row r="28" spans="1:26" s="70" customFormat="1" ht="15" hidden="1" customHeight="1" outlineLevel="1" x14ac:dyDescent="0.3">
      <c r="A28" s="42"/>
      <c r="B28" s="12" t="str">
        <f>CONCATENATE("          ","5044"," - ","PURCHASES @ COST-ACCESSORIES")</f>
        <v xml:space="preserve">          5044 - PURCHASES @ COST-ACCESSORIES</v>
      </c>
      <c r="C28" s="12"/>
      <c r="D28" s="3"/>
      <c r="E28" s="3"/>
      <c r="F28" s="20">
        <f t="shared" si="4"/>
        <v>0</v>
      </c>
      <c r="G28" s="3"/>
      <c r="H28" s="3"/>
      <c r="I28" s="3"/>
      <c r="J28" s="20">
        <f t="shared" si="5"/>
        <v>0</v>
      </c>
      <c r="K28" s="3"/>
      <c r="L28" s="3">
        <f t="shared" si="6"/>
        <v>0</v>
      </c>
      <c r="M28" s="3"/>
      <c r="N28" s="20">
        <f t="shared" si="7"/>
        <v>0</v>
      </c>
      <c r="O28" s="12"/>
      <c r="P28" s="3">
        <v>0</v>
      </c>
      <c r="Q28" s="3"/>
      <c r="R28" s="20">
        <f t="shared" si="8"/>
        <v>0</v>
      </c>
      <c r="S28" s="3"/>
      <c r="T28" s="3"/>
      <c r="U28" s="3"/>
      <c r="V28" s="20">
        <f t="shared" si="9"/>
        <v>0</v>
      </c>
      <c r="W28" s="3"/>
      <c r="X28" s="3">
        <f t="shared" si="10"/>
        <v>0</v>
      </c>
      <c r="Y28" s="3"/>
      <c r="Z28" s="20">
        <f t="shared" si="11"/>
        <v>0</v>
      </c>
    </row>
    <row r="29" spans="1:26" s="70" customFormat="1" ht="15" hidden="1" customHeight="1" outlineLevel="1" x14ac:dyDescent="0.3">
      <c r="A29" s="42"/>
      <c r="B29" s="12" t="str">
        <f>CONCATENATE("          ","5045"," - ","PURCHASES @ COST-SPECIAL ORDER")</f>
        <v xml:space="preserve">          5045 - PURCHASES @ COST-SPECIAL ORDER</v>
      </c>
      <c r="C29" s="12"/>
      <c r="D29" s="3"/>
      <c r="E29" s="3"/>
      <c r="F29" s="20">
        <f t="shared" si="4"/>
        <v>0</v>
      </c>
      <c r="G29" s="3"/>
      <c r="H29" s="3"/>
      <c r="I29" s="3"/>
      <c r="J29" s="20">
        <f t="shared" si="5"/>
        <v>0</v>
      </c>
      <c r="K29" s="3"/>
      <c r="L29" s="3">
        <f t="shared" si="6"/>
        <v>0</v>
      </c>
      <c r="M29" s="3"/>
      <c r="N29" s="20">
        <f t="shared" si="7"/>
        <v>0</v>
      </c>
      <c r="O29" s="12"/>
      <c r="P29" s="3">
        <v>0</v>
      </c>
      <c r="Q29" s="3"/>
      <c r="R29" s="20">
        <f t="shared" si="8"/>
        <v>0</v>
      </c>
      <c r="S29" s="3"/>
      <c r="T29" s="3"/>
      <c r="U29" s="3"/>
      <c r="V29" s="20">
        <f t="shared" si="9"/>
        <v>0</v>
      </c>
      <c r="W29" s="3"/>
      <c r="X29" s="3">
        <f t="shared" si="10"/>
        <v>0</v>
      </c>
      <c r="Y29" s="3"/>
      <c r="Z29" s="20">
        <f t="shared" si="11"/>
        <v>0</v>
      </c>
    </row>
    <row r="30" spans="1:26" s="70" customFormat="1" ht="15" hidden="1" customHeight="1" outlineLevel="1" x14ac:dyDescent="0.3">
      <c r="A30" s="42"/>
      <c r="B30" s="12" t="str">
        <f>CONCATENATE("          ","5200"," - ","PURCHASES OFFSET")</f>
        <v xml:space="preserve">          5200 - PURCHASES OFFSET</v>
      </c>
      <c r="C30" s="12"/>
      <c r="D30" s="3">
        <v>-385967.61</v>
      </c>
      <c r="E30" s="3"/>
      <c r="F30" s="20">
        <f t="shared" si="4"/>
        <v>-0.80972972750706707</v>
      </c>
      <c r="G30" s="3"/>
      <c r="H30" s="3"/>
      <c r="I30" s="3"/>
      <c r="J30" s="20">
        <f t="shared" si="5"/>
        <v>0</v>
      </c>
      <c r="K30" s="3"/>
      <c r="L30" s="3">
        <f t="shared" si="6"/>
        <v>-385967.61</v>
      </c>
      <c r="M30" s="3"/>
      <c r="N30" s="20">
        <f t="shared" si="7"/>
        <v>0</v>
      </c>
      <c r="O30" s="12"/>
      <c r="P30" s="3">
        <v>-1854439.02</v>
      </c>
      <c r="Q30" s="3"/>
      <c r="R30" s="20">
        <f t="shared" si="8"/>
        <v>-0.61912434389733306</v>
      </c>
      <c r="S30" s="3"/>
      <c r="T30" s="3"/>
      <c r="U30" s="3"/>
      <c r="V30" s="20">
        <f t="shared" si="9"/>
        <v>0</v>
      </c>
      <c r="W30" s="3"/>
      <c r="X30" s="3">
        <f t="shared" si="10"/>
        <v>-1854439.02</v>
      </c>
      <c r="Y30" s="3"/>
      <c r="Z30" s="20">
        <f t="shared" si="11"/>
        <v>0</v>
      </c>
    </row>
    <row r="31" spans="1:26" s="70" customFormat="1" ht="15" hidden="1" customHeight="1" outlineLevel="1" x14ac:dyDescent="0.3">
      <c r="A31" s="42"/>
      <c r="B31" s="12" t="str">
        <f>CONCATENATE("          ","5300"," - ","COG$ OFFSET")</f>
        <v xml:space="preserve">          5300 - COG$ OFFSET</v>
      </c>
      <c r="C31" s="12"/>
      <c r="D31" s="3">
        <v>209428.73</v>
      </c>
      <c r="E31" s="3"/>
      <c r="F31" s="20">
        <f t="shared" si="4"/>
        <v>0.43936502463263988</v>
      </c>
      <c r="G31" s="3"/>
      <c r="H31" s="3"/>
      <c r="I31" s="3"/>
      <c r="J31" s="20">
        <f t="shared" si="5"/>
        <v>0</v>
      </c>
      <c r="K31" s="3"/>
      <c r="L31" s="3">
        <f t="shared" si="6"/>
        <v>209428.73</v>
      </c>
      <c r="M31" s="3"/>
      <c r="N31" s="20">
        <f t="shared" si="7"/>
        <v>0</v>
      </c>
      <c r="O31" s="12"/>
      <c r="P31" s="3">
        <v>1429940.08</v>
      </c>
      <c r="Q31" s="3"/>
      <c r="R31" s="20">
        <f t="shared" si="8"/>
        <v>0.47740082272562406</v>
      </c>
      <c r="S31" s="3"/>
      <c r="T31" s="3"/>
      <c r="U31" s="3"/>
      <c r="V31" s="20">
        <f t="shared" si="9"/>
        <v>0</v>
      </c>
      <c r="W31" s="3"/>
      <c r="X31" s="3">
        <f t="shared" si="10"/>
        <v>1429940.08</v>
      </c>
      <c r="Y31" s="3"/>
      <c r="Z31" s="20">
        <f t="shared" si="11"/>
        <v>0</v>
      </c>
    </row>
    <row r="32" spans="1:26" s="70" customFormat="1" ht="15" hidden="1" customHeight="1" outlineLevel="1" x14ac:dyDescent="0.3">
      <c r="A32" s="42"/>
      <c r="B32" s="12" t="str">
        <f>CONCATENATE("          ","5500"," - ","FREIGHT-IN")</f>
        <v xml:space="preserve">          5500 - FREIGHT-IN</v>
      </c>
      <c r="C32" s="12"/>
      <c r="D32" s="3">
        <v>18112.82</v>
      </c>
      <c r="E32" s="3"/>
      <c r="F32" s="20">
        <f t="shared" si="4"/>
        <v>3.799927357371919E-2</v>
      </c>
      <c r="G32" s="3"/>
      <c r="H32" s="3"/>
      <c r="I32" s="3"/>
      <c r="J32" s="20">
        <f t="shared" si="5"/>
        <v>0</v>
      </c>
      <c r="K32" s="3"/>
      <c r="L32" s="3">
        <f t="shared" si="6"/>
        <v>18112.82</v>
      </c>
      <c r="M32" s="3"/>
      <c r="N32" s="20">
        <f t="shared" si="7"/>
        <v>0</v>
      </c>
      <c r="O32" s="12"/>
      <c r="P32" s="3">
        <v>70218.64</v>
      </c>
      <c r="Q32" s="3"/>
      <c r="R32" s="20">
        <f t="shared" si="8"/>
        <v>2.3443245612553509E-2</v>
      </c>
      <c r="S32" s="3"/>
      <c r="T32" s="3"/>
      <c r="U32" s="3"/>
      <c r="V32" s="20">
        <f t="shared" si="9"/>
        <v>0</v>
      </c>
      <c r="W32" s="3"/>
      <c r="X32" s="3">
        <f t="shared" si="10"/>
        <v>70218.64</v>
      </c>
      <c r="Y32" s="3"/>
      <c r="Z32" s="20">
        <f t="shared" si="11"/>
        <v>0</v>
      </c>
    </row>
    <row r="33" spans="1:26" s="70" customFormat="1" ht="15" hidden="1" customHeight="1" outlineLevel="1" x14ac:dyDescent="0.3">
      <c r="A33" s="42"/>
      <c r="B33" s="12" t="str">
        <f>CONCATENATE("          ","5527"," - ","FREIGHT-IN-SCHOOL SUPPLIES")</f>
        <v xml:space="preserve">          5527 - FREIGHT-IN-SCHOOL SUPPLIES</v>
      </c>
      <c r="C33" s="12"/>
      <c r="D33" s="3"/>
      <c r="E33" s="3"/>
      <c r="F33" s="20">
        <f t="shared" si="4"/>
        <v>0</v>
      </c>
      <c r="G33" s="3"/>
      <c r="H33" s="3"/>
      <c r="I33" s="3"/>
      <c r="J33" s="20">
        <f t="shared" si="5"/>
        <v>0</v>
      </c>
      <c r="K33" s="3"/>
      <c r="L33" s="3">
        <f t="shared" si="6"/>
        <v>0</v>
      </c>
      <c r="M33" s="3"/>
      <c r="N33" s="20">
        <f t="shared" si="7"/>
        <v>0</v>
      </c>
      <c r="O33" s="12"/>
      <c r="P33" s="3">
        <v>0</v>
      </c>
      <c r="Q33" s="3"/>
      <c r="R33" s="20">
        <f t="shared" si="8"/>
        <v>0</v>
      </c>
      <c r="S33" s="3"/>
      <c r="T33" s="3"/>
      <c r="U33" s="3"/>
      <c r="V33" s="20">
        <f t="shared" si="9"/>
        <v>0</v>
      </c>
      <c r="W33" s="3"/>
      <c r="X33" s="3">
        <f t="shared" si="10"/>
        <v>0</v>
      </c>
      <c r="Y33" s="3"/>
      <c r="Z33" s="20">
        <f t="shared" si="11"/>
        <v>0</v>
      </c>
    </row>
    <row r="34" spans="1:26" s="70" customFormat="1" ht="15" hidden="1" customHeight="1" outlineLevel="1" x14ac:dyDescent="0.3">
      <c r="A34" s="42"/>
      <c r="B34" s="12" t="str">
        <f>CONCATENATE("          ","5540"," - ","FREIGHT-IN-LOGO CLOTHING")</f>
        <v xml:space="preserve">          5540 - FREIGHT-IN-LOGO CLOTHING</v>
      </c>
      <c r="C34" s="12"/>
      <c r="D34" s="3"/>
      <c r="E34" s="3"/>
      <c r="F34" s="20">
        <f t="shared" si="4"/>
        <v>0</v>
      </c>
      <c r="G34" s="3"/>
      <c r="H34" s="3"/>
      <c r="I34" s="3"/>
      <c r="J34" s="20">
        <f t="shared" si="5"/>
        <v>0</v>
      </c>
      <c r="K34" s="3"/>
      <c r="L34" s="3">
        <f t="shared" si="6"/>
        <v>0</v>
      </c>
      <c r="M34" s="3"/>
      <c r="N34" s="20">
        <f t="shared" si="7"/>
        <v>0</v>
      </c>
      <c r="O34" s="12"/>
      <c r="P34" s="3">
        <v>0</v>
      </c>
      <c r="Q34" s="3"/>
      <c r="R34" s="20">
        <f t="shared" si="8"/>
        <v>0</v>
      </c>
      <c r="S34" s="3"/>
      <c r="T34" s="3"/>
      <c r="U34" s="3"/>
      <c r="V34" s="20">
        <f t="shared" si="9"/>
        <v>0</v>
      </c>
      <c r="W34" s="3"/>
      <c r="X34" s="3">
        <f t="shared" si="10"/>
        <v>0</v>
      </c>
      <c r="Y34" s="3"/>
      <c r="Z34" s="20">
        <f t="shared" si="11"/>
        <v>0</v>
      </c>
    </row>
    <row r="35" spans="1:26" s="70" customFormat="1" ht="15" hidden="1" customHeight="1" outlineLevel="1" x14ac:dyDescent="0.3">
      <c r="A35" s="42"/>
      <c r="B35" s="12" t="str">
        <f>CONCATENATE("          ","5541"," - ","FREIGHT-IN-LOGO GIFTS")</f>
        <v xml:space="preserve">          5541 - FREIGHT-IN-LOGO GIFTS</v>
      </c>
      <c r="C35" s="12"/>
      <c r="D35" s="3"/>
      <c r="E35" s="3"/>
      <c r="F35" s="20">
        <f t="shared" si="4"/>
        <v>0</v>
      </c>
      <c r="G35" s="3"/>
      <c r="H35" s="3"/>
      <c r="I35" s="3"/>
      <c r="J35" s="20">
        <f t="shared" si="5"/>
        <v>0</v>
      </c>
      <c r="K35" s="3"/>
      <c r="L35" s="3">
        <f t="shared" si="6"/>
        <v>0</v>
      </c>
      <c r="M35" s="3"/>
      <c r="N35" s="20">
        <f t="shared" si="7"/>
        <v>0</v>
      </c>
      <c r="O35" s="12"/>
      <c r="P35" s="3">
        <v>0</v>
      </c>
      <c r="Q35" s="3"/>
      <c r="R35" s="20">
        <f t="shared" si="8"/>
        <v>0</v>
      </c>
      <c r="S35" s="3"/>
      <c r="T35" s="3"/>
      <c r="U35" s="3"/>
      <c r="V35" s="20">
        <f t="shared" si="9"/>
        <v>0</v>
      </c>
      <c r="W35" s="3"/>
      <c r="X35" s="3">
        <f t="shared" si="10"/>
        <v>0</v>
      </c>
      <c r="Y35" s="3"/>
      <c r="Z35" s="20">
        <f t="shared" si="11"/>
        <v>0</v>
      </c>
    </row>
    <row r="36" spans="1:26" s="70" customFormat="1" ht="15" hidden="1" customHeight="1" outlineLevel="1" x14ac:dyDescent="0.3">
      <c r="A36" s="42"/>
      <c r="B36" s="12" t="str">
        <f>CONCATENATE("          ","5542"," - ","FREIGHT-IN-EVERYDAY GIFTS")</f>
        <v xml:space="preserve">          5542 - FREIGHT-IN-EVERYDAY GIFTS</v>
      </c>
      <c r="C36" s="12"/>
      <c r="D36" s="3"/>
      <c r="E36" s="3"/>
      <c r="F36" s="20">
        <f t="shared" si="4"/>
        <v>0</v>
      </c>
      <c r="G36" s="3"/>
      <c r="H36" s="3"/>
      <c r="I36" s="3"/>
      <c r="J36" s="20">
        <f t="shared" si="5"/>
        <v>0</v>
      </c>
      <c r="K36" s="3"/>
      <c r="L36" s="3">
        <f t="shared" si="6"/>
        <v>0</v>
      </c>
      <c r="M36" s="3"/>
      <c r="N36" s="20">
        <f t="shared" si="7"/>
        <v>0</v>
      </c>
      <c r="O36" s="12"/>
      <c r="P36" s="3">
        <v>0</v>
      </c>
      <c r="Q36" s="3"/>
      <c r="R36" s="20">
        <f t="shared" si="8"/>
        <v>0</v>
      </c>
      <c r="S36" s="3"/>
      <c r="T36" s="3"/>
      <c r="U36" s="3"/>
      <c r="V36" s="20">
        <f t="shared" si="9"/>
        <v>0</v>
      </c>
      <c r="W36" s="3"/>
      <c r="X36" s="3">
        <f t="shared" si="10"/>
        <v>0</v>
      </c>
      <c r="Y36" s="3"/>
      <c r="Z36" s="20">
        <f t="shared" si="11"/>
        <v>0</v>
      </c>
    </row>
    <row r="37" spans="1:26" s="70" customFormat="1" ht="15" hidden="1" customHeight="1" outlineLevel="1" x14ac:dyDescent="0.3">
      <c r="A37" s="42"/>
      <c r="B37" s="12" t="str">
        <f>CONCATENATE("          ","5544"," - ","FREIGHT-IN-ACCESSORIES")</f>
        <v xml:space="preserve">          5544 - FREIGHT-IN-ACCESSORIES</v>
      </c>
      <c r="C37" s="12"/>
      <c r="D37" s="3"/>
      <c r="E37" s="3"/>
      <c r="F37" s="20">
        <f t="shared" si="4"/>
        <v>0</v>
      </c>
      <c r="G37" s="3"/>
      <c r="H37" s="3"/>
      <c r="I37" s="3"/>
      <c r="J37" s="20">
        <f t="shared" si="5"/>
        <v>0</v>
      </c>
      <c r="K37" s="3"/>
      <c r="L37" s="3">
        <f t="shared" si="6"/>
        <v>0</v>
      </c>
      <c r="M37" s="3"/>
      <c r="N37" s="20">
        <f t="shared" si="7"/>
        <v>0</v>
      </c>
      <c r="O37" s="12"/>
      <c r="P37" s="3">
        <v>0</v>
      </c>
      <c r="Q37" s="3"/>
      <c r="R37" s="20">
        <f t="shared" si="8"/>
        <v>0</v>
      </c>
      <c r="S37" s="3"/>
      <c r="T37" s="3"/>
      <c r="U37" s="3"/>
      <c r="V37" s="20">
        <f t="shared" si="9"/>
        <v>0</v>
      </c>
      <c r="W37" s="3"/>
      <c r="X37" s="3">
        <f t="shared" si="10"/>
        <v>0</v>
      </c>
      <c r="Y37" s="3"/>
      <c r="Z37" s="20">
        <f t="shared" si="11"/>
        <v>0</v>
      </c>
    </row>
    <row r="38" spans="1:26" s="70" customFormat="1" ht="15" hidden="1" customHeight="1" outlineLevel="1" x14ac:dyDescent="0.3">
      <c r="A38" s="42"/>
      <c r="B38" s="12" t="str">
        <f>CONCATENATE("          ","5545"," - ","FREIGHT-IN-SPECIAL ORDERS")</f>
        <v xml:space="preserve">          5545 - FREIGHT-IN-SPECIAL ORDERS</v>
      </c>
      <c r="C38" s="12"/>
      <c r="D38" s="3"/>
      <c r="E38" s="3"/>
      <c r="F38" s="20">
        <f t="shared" si="4"/>
        <v>0</v>
      </c>
      <c r="G38" s="3"/>
      <c r="H38" s="3"/>
      <c r="I38" s="3"/>
      <c r="J38" s="20">
        <f t="shared" si="5"/>
        <v>0</v>
      </c>
      <c r="K38" s="3"/>
      <c r="L38" s="3">
        <f t="shared" si="6"/>
        <v>0</v>
      </c>
      <c r="M38" s="3"/>
      <c r="N38" s="20">
        <f t="shared" si="7"/>
        <v>0</v>
      </c>
      <c r="O38" s="12"/>
      <c r="P38" s="3">
        <v>0</v>
      </c>
      <c r="Q38" s="3"/>
      <c r="R38" s="20">
        <f t="shared" si="8"/>
        <v>0</v>
      </c>
      <c r="S38" s="3"/>
      <c r="T38" s="3"/>
      <c r="U38" s="3"/>
      <c r="V38" s="20">
        <f t="shared" si="9"/>
        <v>0</v>
      </c>
      <c r="W38" s="3"/>
      <c r="X38" s="3">
        <f t="shared" si="10"/>
        <v>0</v>
      </c>
      <c r="Y38" s="3"/>
      <c r="Z38" s="20">
        <f t="shared" si="11"/>
        <v>0</v>
      </c>
    </row>
    <row r="39" spans="1:26" ht="15" customHeight="1" x14ac:dyDescent="0.3">
      <c r="A39" s="10"/>
      <c r="B39" s="11"/>
      <c r="C39" s="11"/>
      <c r="D39" s="4"/>
      <c r="E39" s="4"/>
      <c r="F39" s="9"/>
      <c r="G39" s="4"/>
      <c r="H39" s="4"/>
      <c r="I39" s="4"/>
      <c r="J39" s="9"/>
      <c r="K39" s="4"/>
      <c r="L39" s="4"/>
      <c r="M39" s="4"/>
      <c r="N39" s="9"/>
      <c r="O39" s="11"/>
      <c r="P39" s="4"/>
      <c r="Q39" s="4"/>
      <c r="R39" s="9"/>
      <c r="S39" s="4"/>
      <c r="T39" s="4"/>
      <c r="U39" s="4"/>
      <c r="V39" s="9"/>
      <c r="W39" s="4"/>
      <c r="X39" s="4"/>
      <c r="Y39" s="4"/>
      <c r="Z39" s="9"/>
    </row>
    <row r="40" spans="1:26" s="63" customFormat="1" ht="15" customHeight="1" x14ac:dyDescent="0.3">
      <c r="A40" s="11"/>
      <c r="B40" s="27" t="s">
        <v>289</v>
      </c>
      <c r="C40" s="27"/>
      <c r="D40" s="21">
        <f>D12-D19</f>
        <v>270233.53999999992</v>
      </c>
      <c r="E40" s="15"/>
      <c r="F40" s="23">
        <f>IF(D$12=0,0,D40/D$12)</f>
        <v>0.56692873971334035</v>
      </c>
      <c r="G40" s="15"/>
      <c r="H40" s="21">
        <f>H12-H19</f>
        <v>116772</v>
      </c>
      <c r="I40" s="15"/>
      <c r="J40" s="23">
        <f>IF(H$12=0,0,H40/H$12)</f>
        <v>0.50863315619827509</v>
      </c>
      <c r="K40" s="16"/>
      <c r="L40" s="21">
        <f>+D40-H40</f>
        <v>153461.53999999992</v>
      </c>
      <c r="M40" s="16"/>
      <c r="N40" s="23">
        <f>IF(H40=0,0,L40/H40)</f>
        <v>1.3141980954338361</v>
      </c>
      <c r="O40" s="28"/>
      <c r="P40" s="21">
        <f>P12-P19</f>
        <v>1568320.95</v>
      </c>
      <c r="Q40" s="15"/>
      <c r="R40" s="23">
        <f>IF(P$12=0,0,P40/P$12)</f>
        <v>0.52360075943030582</v>
      </c>
      <c r="S40" s="15"/>
      <c r="T40" s="21">
        <f>T12-T19</f>
        <v>1065619</v>
      </c>
      <c r="U40" s="15"/>
      <c r="V40" s="23">
        <f>IF(T$12=0,0,T40/T$12)</f>
        <v>0.48415066376435878</v>
      </c>
      <c r="W40" s="16"/>
      <c r="X40" s="21">
        <f>+P40-T40</f>
        <v>502701.94999999995</v>
      </c>
      <c r="Y40" s="16"/>
      <c r="Z40" s="23">
        <f>IF(T40=0,0,X40/T40)</f>
        <v>0.47174642156342927</v>
      </c>
    </row>
    <row r="41" spans="1:26" ht="15" customHeight="1" x14ac:dyDescent="0.3">
      <c r="A41" s="10"/>
      <c r="B41" s="11"/>
      <c r="C41" s="10"/>
      <c r="D41" s="2"/>
      <c r="E41" s="2"/>
      <c r="F41" s="6"/>
      <c r="G41" s="2"/>
      <c r="H41" s="2"/>
      <c r="I41" s="2"/>
      <c r="J41" s="6"/>
      <c r="K41" s="2"/>
      <c r="L41" s="2"/>
      <c r="M41" s="2"/>
      <c r="N41" s="6"/>
      <c r="O41" s="35"/>
      <c r="P41" s="2"/>
      <c r="Q41" s="2"/>
      <c r="R41" s="6"/>
      <c r="S41" s="2"/>
      <c r="T41" s="2"/>
      <c r="U41" s="2"/>
      <c r="V41" s="6"/>
      <c r="W41" s="2"/>
      <c r="X41" s="2"/>
      <c r="Y41" s="2"/>
      <c r="Z41" s="6"/>
    </row>
    <row r="42" spans="1:26" s="63" customFormat="1" ht="15" customHeight="1" x14ac:dyDescent="0.3">
      <c r="A42" s="11"/>
      <c r="B42" s="28" t="s">
        <v>290</v>
      </c>
      <c r="C42" s="11"/>
      <c r="D42" s="22" cm="1">
        <f t="array" ref="D42">SUM(OSRRefD22x_0)</f>
        <v>85895.550000000017</v>
      </c>
      <c r="E42" s="22"/>
      <c r="F42" s="30">
        <f t="shared" ref="F42:F73" si="12">IF(D$12=0,0,D42/D$12)</f>
        <v>0.18020211668945399</v>
      </c>
      <c r="G42" s="22"/>
      <c r="H42" s="22" cm="1">
        <f t="array" ref="H42">SUM(OSRRefH22x_0)</f>
        <v>79273.075597923074</v>
      </c>
      <c r="I42" s="22"/>
      <c r="J42" s="30">
        <f t="shared" ref="J42:J73" si="13">IF(H$12=0,0,H42/H$12)</f>
        <v>0.34529608675809337</v>
      </c>
      <c r="K42" s="5"/>
      <c r="L42" s="22">
        <f t="shared" ref="L42:L73" si="14">+D42-H42</f>
        <v>6622.4744020769431</v>
      </c>
      <c r="M42" s="5"/>
      <c r="N42" s="30">
        <f t="shared" ref="N42:N73" si="15">IF(H42=0,0,L42/H42)</f>
        <v>8.3540021023865124E-2</v>
      </c>
      <c r="O42" s="11"/>
      <c r="P42" s="22" cm="1">
        <f t="array" ref="P42">SUM(OSRRefP22x_0)</f>
        <v>741742.40000000014</v>
      </c>
      <c r="Q42" s="22"/>
      <c r="R42" s="30">
        <f t="shared" ref="R42:R73" si="16">IF(P$12=0,0,P42/P$12)</f>
        <v>0.24763865071218857</v>
      </c>
      <c r="S42" s="22"/>
      <c r="T42" s="22" cm="1">
        <f t="array" ref="T42">SUM(OSRRefT22x_0)</f>
        <v>765507.51075575</v>
      </c>
      <c r="U42" s="22"/>
      <c r="V42" s="30">
        <f t="shared" ref="V42:V73" si="17">IF(T$12=0,0,T42/T$12)</f>
        <v>0.34779876245543517</v>
      </c>
      <c r="W42" s="5"/>
      <c r="X42" s="22">
        <f t="shared" ref="X42:X73" si="18">+P42-T42</f>
        <v>-23765.110755749862</v>
      </c>
      <c r="Y42" s="5"/>
      <c r="Z42" s="30">
        <f t="shared" ref="Z42:Z73" si="19">IF(T42=0,0,X42/T42)</f>
        <v>-3.1044908667568358E-2</v>
      </c>
    </row>
    <row r="43" spans="1:26" s="69" customFormat="1" ht="15" customHeight="1" outlineLevel="1" collapsed="1" x14ac:dyDescent="0.3">
      <c r="A43" s="25"/>
      <c r="B43" s="14" t="str">
        <f>CONCATENATE("     ","*Benefits                                         ")</f>
        <v xml:space="preserve">     *Benefits                                         </v>
      </c>
      <c r="C43" s="14"/>
      <c r="D43" s="2">
        <f>SUM(OSRRefD22_0x_0)</f>
        <v>11028.36</v>
      </c>
      <c r="E43" s="2"/>
      <c r="F43" s="6">
        <f t="shared" si="12"/>
        <v>2.3136632987544831E-2</v>
      </c>
      <c r="G43" s="2"/>
      <c r="H43" s="2">
        <f>SUM(OSRRefH22_0x_0)</f>
        <v>17751.285597923081</v>
      </c>
      <c r="I43" s="2"/>
      <c r="J43" s="6">
        <f t="shared" si="13"/>
        <v>7.7320696915772633E-2</v>
      </c>
      <c r="K43" s="2"/>
      <c r="L43" s="2">
        <f t="shared" si="14"/>
        <v>-6722.9255979230802</v>
      </c>
      <c r="M43" s="2"/>
      <c r="N43" s="6">
        <f t="shared" si="15"/>
        <v>-0.3787289411145337</v>
      </c>
      <c r="O43" s="14"/>
      <c r="P43" s="2">
        <f>SUM(OSRRefP22_0x_0)</f>
        <v>120628.50000000001</v>
      </c>
      <c r="Q43" s="2"/>
      <c r="R43" s="6">
        <f t="shared" si="16"/>
        <v>4.0273117698860467E-2</v>
      </c>
      <c r="S43" s="2"/>
      <c r="T43" s="2">
        <f>SUM(OSRRefT22_0x_0)</f>
        <v>162467.56825575</v>
      </c>
      <c r="U43" s="2"/>
      <c r="V43" s="6">
        <f t="shared" si="17"/>
        <v>7.3815107473874458E-2</v>
      </c>
      <c r="W43" s="2"/>
      <c r="X43" s="2">
        <f t="shared" si="18"/>
        <v>-41839.068255749982</v>
      </c>
      <c r="Y43" s="2"/>
      <c r="Z43" s="6">
        <f t="shared" si="19"/>
        <v>-0.25752258561467839</v>
      </c>
    </row>
    <row r="44" spans="1:26" s="70" customFormat="1" ht="15" hidden="1" customHeight="1" outlineLevel="2" x14ac:dyDescent="0.3">
      <c r="A44" s="26"/>
      <c r="B44" s="12" t="str">
        <f>CONCATENATE("          ","6111"," - ","F.I.C.A.")</f>
        <v xml:space="preserve">          6111 - F.I.C.A.</v>
      </c>
      <c r="C44" s="12"/>
      <c r="D44" s="7">
        <v>1865.14</v>
      </c>
      <c r="E44" s="3"/>
      <c r="F44" s="8">
        <f t="shared" si="12"/>
        <v>3.9129172107538537E-3</v>
      </c>
      <c r="G44" s="3"/>
      <c r="H44" s="7">
        <v>4436.6507309999997</v>
      </c>
      <c r="I44" s="3"/>
      <c r="J44" s="8">
        <f t="shared" si="13"/>
        <v>1.9325075054447249E-2</v>
      </c>
      <c r="K44" s="3"/>
      <c r="L44" s="7">
        <f t="shared" si="14"/>
        <v>-2571.5107309999994</v>
      </c>
      <c r="M44" s="3"/>
      <c r="N44" s="8">
        <f t="shared" si="15"/>
        <v>-0.57960630369936583</v>
      </c>
      <c r="O44" s="12"/>
      <c r="P44" s="7">
        <v>21662.26</v>
      </c>
      <c r="Q44" s="3"/>
      <c r="R44" s="8">
        <f t="shared" si="16"/>
        <v>7.2321776910374983E-3</v>
      </c>
      <c r="S44" s="3"/>
      <c r="T44" s="7">
        <v>37343.198063249998</v>
      </c>
      <c r="U44" s="3"/>
      <c r="V44" s="8">
        <f t="shared" si="17"/>
        <v>1.6966414946999259E-2</v>
      </c>
      <c r="W44" s="3"/>
      <c r="X44" s="7">
        <f t="shared" si="18"/>
        <v>-15680.93806325</v>
      </c>
      <c r="Y44" s="3"/>
      <c r="Z44" s="8">
        <f t="shared" si="19"/>
        <v>-0.41991417116151725</v>
      </c>
    </row>
    <row r="45" spans="1:26" s="70" customFormat="1" ht="15" hidden="1" customHeight="1" outlineLevel="2" x14ac:dyDescent="0.3">
      <c r="A45" s="26"/>
      <c r="B45" s="12" t="str">
        <f>CONCATENATE("          ","6112"," - ","COMPENSATION INSURANCE")</f>
        <v xml:space="preserve">          6112 - COMPENSATION INSURANCE</v>
      </c>
      <c r="C45" s="12"/>
      <c r="D45" s="7">
        <v>984.31</v>
      </c>
      <c r="E45" s="3"/>
      <c r="F45" s="8">
        <f t="shared" si="12"/>
        <v>2.0650050611305988E-3</v>
      </c>
      <c r="G45" s="3"/>
      <c r="H45" s="7">
        <v>904.37411999999995</v>
      </c>
      <c r="I45" s="3"/>
      <c r="J45" s="8">
        <f t="shared" si="13"/>
        <v>3.9392548131370322E-3</v>
      </c>
      <c r="K45" s="3"/>
      <c r="L45" s="7">
        <f t="shared" si="14"/>
        <v>79.935879999999997</v>
      </c>
      <c r="M45" s="3"/>
      <c r="N45" s="8">
        <f t="shared" si="15"/>
        <v>8.8388066655423536E-2</v>
      </c>
      <c r="O45" s="12"/>
      <c r="P45" s="7">
        <v>8032.72</v>
      </c>
      <c r="Q45" s="3"/>
      <c r="R45" s="8">
        <f t="shared" si="16"/>
        <v>2.6818096718602188E-3</v>
      </c>
      <c r="S45" s="3"/>
      <c r="T45" s="7">
        <v>8580.8583899999994</v>
      </c>
      <c r="U45" s="3"/>
      <c r="V45" s="8">
        <f t="shared" si="17"/>
        <v>3.8986056791277808E-3</v>
      </c>
      <c r="W45" s="3"/>
      <c r="X45" s="7">
        <f t="shared" si="18"/>
        <v>-548.13838999999916</v>
      </c>
      <c r="Y45" s="3"/>
      <c r="Z45" s="8">
        <f t="shared" si="19"/>
        <v>-6.3879202416251418E-2</v>
      </c>
    </row>
    <row r="46" spans="1:26" s="70" customFormat="1" ht="15" hidden="1" customHeight="1" outlineLevel="2" x14ac:dyDescent="0.3">
      <c r="A46" s="26"/>
      <c r="B46" s="12" t="str">
        <f>CONCATENATE("          ","6113"," - ","GROUP INSURANCE")</f>
        <v xml:space="preserve">          6113 - GROUP INSURANCE</v>
      </c>
      <c r="C46" s="12"/>
      <c r="D46" s="7">
        <v>3347.46</v>
      </c>
      <c r="E46" s="3"/>
      <c r="F46" s="8">
        <f t="shared" si="12"/>
        <v>7.0227081325316566E-3</v>
      </c>
      <c r="G46" s="3"/>
      <c r="H46" s="7">
        <v>6784.4230769230799</v>
      </c>
      <c r="I46" s="3"/>
      <c r="J46" s="8">
        <f t="shared" si="13"/>
        <v>2.9551455165620175E-2</v>
      </c>
      <c r="K46" s="3"/>
      <c r="L46" s="7">
        <f t="shared" si="14"/>
        <v>-3436.9630769230798</v>
      </c>
      <c r="M46" s="3"/>
      <c r="N46" s="8">
        <f t="shared" si="15"/>
        <v>-0.50659621871368254</v>
      </c>
      <c r="O46" s="12"/>
      <c r="P46" s="7">
        <v>37523.379999999997</v>
      </c>
      <c r="Q46" s="3"/>
      <c r="R46" s="8">
        <f t="shared" si="16"/>
        <v>1.2527582612724741E-2</v>
      </c>
      <c r="S46" s="3"/>
      <c r="T46" s="7">
        <v>62887.5</v>
      </c>
      <c r="U46" s="3"/>
      <c r="V46" s="8">
        <f t="shared" si="17"/>
        <v>2.8572149020879987E-2</v>
      </c>
      <c r="W46" s="3"/>
      <c r="X46" s="7">
        <f t="shared" si="18"/>
        <v>-25364.120000000003</v>
      </c>
      <c r="Y46" s="3"/>
      <c r="Z46" s="8">
        <f t="shared" si="19"/>
        <v>-0.40332530312065201</v>
      </c>
    </row>
    <row r="47" spans="1:26" s="70" customFormat="1" ht="15" hidden="1" customHeight="1" outlineLevel="2" x14ac:dyDescent="0.3">
      <c r="A47" s="26"/>
      <c r="B47" s="12" t="str">
        <f>CONCATENATE("          ","6114"," - ","STATE UNEMPLOYMENT INSURANCE")</f>
        <v xml:space="preserve">          6114 - STATE UNEMPLOYMENT INSURANCE</v>
      </c>
      <c r="C47" s="12"/>
      <c r="D47" s="7">
        <v>173.13</v>
      </c>
      <c r="E47" s="3"/>
      <c r="F47" s="8">
        <f t="shared" si="12"/>
        <v>3.6321314040651886E-4</v>
      </c>
      <c r="G47" s="3"/>
      <c r="H47" s="7">
        <v>121.74267</v>
      </c>
      <c r="I47" s="3"/>
      <c r="J47" s="8">
        <f t="shared" si="13"/>
        <v>5.3028430176844672E-4</v>
      </c>
      <c r="K47" s="3"/>
      <c r="L47" s="7">
        <f t="shared" si="14"/>
        <v>51.387329999999992</v>
      </c>
      <c r="M47" s="3"/>
      <c r="N47" s="8">
        <f t="shared" si="15"/>
        <v>0.42209793821673197</v>
      </c>
      <c r="O47" s="12"/>
      <c r="P47" s="7">
        <v>1412.31</v>
      </c>
      <c r="Q47" s="3"/>
      <c r="R47" s="8">
        <f t="shared" si="16"/>
        <v>4.7151483154708556E-4</v>
      </c>
      <c r="S47" s="3"/>
      <c r="T47" s="7">
        <v>1155.1155524999999</v>
      </c>
      <c r="U47" s="3"/>
      <c r="V47" s="8">
        <f t="shared" si="17"/>
        <v>5.2481230295950898E-4</v>
      </c>
      <c r="W47" s="3"/>
      <c r="X47" s="7">
        <f t="shared" si="18"/>
        <v>257.19444750000002</v>
      </c>
      <c r="Y47" s="3"/>
      <c r="Z47" s="8">
        <f t="shared" si="19"/>
        <v>0.22265689951395581</v>
      </c>
    </row>
    <row r="48" spans="1:26" s="70" customFormat="1" ht="15" hidden="1" customHeight="1" outlineLevel="2" x14ac:dyDescent="0.3">
      <c r="A48" s="26"/>
      <c r="B48" s="12" t="str">
        <f>CONCATENATE("          ","6115"," - ","P.E.R.S.")</f>
        <v xml:space="preserve">          6115 - P.E.R.S.</v>
      </c>
      <c r="C48" s="12"/>
      <c r="D48" s="7">
        <v>1050.5</v>
      </c>
      <c r="E48" s="3"/>
      <c r="F48" s="8">
        <f t="shared" si="12"/>
        <v>2.2038664818174094E-3</v>
      </c>
      <c r="G48" s="3"/>
      <c r="H48" s="7">
        <v>1207.2249999999999</v>
      </c>
      <c r="I48" s="3"/>
      <c r="J48" s="8">
        <f t="shared" si="13"/>
        <v>5.2584066556320237E-3</v>
      </c>
      <c r="K48" s="3"/>
      <c r="L48" s="7">
        <f t="shared" si="14"/>
        <v>-156.72499999999991</v>
      </c>
      <c r="M48" s="3"/>
      <c r="N48" s="8">
        <f t="shared" si="15"/>
        <v>-0.12982252686947332</v>
      </c>
      <c r="O48" s="12"/>
      <c r="P48" s="7">
        <v>13716.63</v>
      </c>
      <c r="Q48" s="3"/>
      <c r="R48" s="8">
        <f t="shared" si="16"/>
        <v>4.5794439491639236E-3</v>
      </c>
      <c r="S48" s="3"/>
      <c r="T48" s="7">
        <v>11770.44375</v>
      </c>
      <c r="U48" s="3"/>
      <c r="V48" s="8">
        <f t="shared" si="17"/>
        <v>5.3477538917413711E-3</v>
      </c>
      <c r="W48" s="3"/>
      <c r="X48" s="7">
        <f t="shared" si="18"/>
        <v>1946.1862499999988</v>
      </c>
      <c r="Y48" s="3"/>
      <c r="Z48" s="8">
        <f t="shared" si="19"/>
        <v>0.16534518930095551</v>
      </c>
    </row>
    <row r="49" spans="1:26" s="70" customFormat="1" ht="15" hidden="1" customHeight="1" outlineLevel="2" x14ac:dyDescent="0.3">
      <c r="A49" s="26"/>
      <c r="B49" s="12" t="str">
        <f>CONCATENATE("          ","6116"," - ","EDUCATIONAL BENEFITS")</f>
        <v xml:space="preserve">          6116 - EDUCATIONAL BENEFITS</v>
      </c>
      <c r="C49" s="12"/>
      <c r="D49" s="7"/>
      <c r="E49" s="3"/>
      <c r="F49" s="8">
        <f t="shared" si="12"/>
        <v>0</v>
      </c>
      <c r="G49" s="3"/>
      <c r="H49" s="7">
        <v>0</v>
      </c>
      <c r="I49" s="3"/>
      <c r="J49" s="8">
        <f t="shared" si="13"/>
        <v>0</v>
      </c>
      <c r="K49" s="3"/>
      <c r="L49" s="7">
        <f t="shared" si="14"/>
        <v>0</v>
      </c>
      <c r="M49" s="3"/>
      <c r="N49" s="8">
        <f t="shared" si="15"/>
        <v>0</v>
      </c>
      <c r="O49" s="12"/>
      <c r="P49" s="7"/>
      <c r="Q49" s="3"/>
      <c r="R49" s="8">
        <f t="shared" si="16"/>
        <v>0</v>
      </c>
      <c r="S49" s="3"/>
      <c r="T49" s="7">
        <v>0</v>
      </c>
      <c r="U49" s="3"/>
      <c r="V49" s="8">
        <f t="shared" si="17"/>
        <v>0</v>
      </c>
      <c r="W49" s="3"/>
      <c r="X49" s="7">
        <f t="shared" si="18"/>
        <v>0</v>
      </c>
      <c r="Y49" s="3"/>
      <c r="Z49" s="8">
        <f t="shared" si="19"/>
        <v>0</v>
      </c>
    </row>
    <row r="50" spans="1:26" s="70" customFormat="1" ht="15" hidden="1" customHeight="1" outlineLevel="2" x14ac:dyDescent="0.3">
      <c r="A50" s="26"/>
      <c r="B50" s="12" t="str">
        <f>CONCATENATE("          ","6118"," - ","VACATION")</f>
        <v xml:space="preserve">          6118 - VACATION</v>
      </c>
      <c r="C50" s="12"/>
      <c r="D50" s="7">
        <v>1560.78</v>
      </c>
      <c r="E50" s="3"/>
      <c r="F50" s="8">
        <f t="shared" si="12"/>
        <v>3.2743938386396729E-3</v>
      </c>
      <c r="G50" s="3"/>
      <c r="H50" s="7">
        <v>1113.875</v>
      </c>
      <c r="I50" s="3"/>
      <c r="J50" s="8">
        <f t="shared" si="13"/>
        <v>4.8517945814095303E-3</v>
      </c>
      <c r="K50" s="3"/>
      <c r="L50" s="7">
        <f t="shared" si="14"/>
        <v>446.90499999999997</v>
      </c>
      <c r="M50" s="3"/>
      <c r="N50" s="8">
        <f t="shared" si="15"/>
        <v>0.40121647402087307</v>
      </c>
      <c r="O50" s="12"/>
      <c r="P50" s="7">
        <v>17179.89</v>
      </c>
      <c r="Q50" s="3"/>
      <c r="R50" s="8">
        <f t="shared" si="16"/>
        <v>5.7356904216124367E-3</v>
      </c>
      <c r="S50" s="3"/>
      <c r="T50" s="7">
        <v>10860.28125</v>
      </c>
      <c r="U50" s="3"/>
      <c r="V50" s="8">
        <f t="shared" si="17"/>
        <v>4.9342329442841389E-3</v>
      </c>
      <c r="W50" s="3"/>
      <c r="X50" s="7">
        <f t="shared" si="18"/>
        <v>6319.6087499999994</v>
      </c>
      <c r="Y50" s="3"/>
      <c r="Z50" s="8">
        <f t="shared" si="19"/>
        <v>0.58190102120974074</v>
      </c>
    </row>
    <row r="51" spans="1:26" s="70" customFormat="1" ht="15" hidden="1" customHeight="1" outlineLevel="2" x14ac:dyDescent="0.3">
      <c r="A51" s="26"/>
      <c r="B51" s="12" t="str">
        <f>CONCATENATE("          ","6119"," - ","SICK LEAVE")</f>
        <v xml:space="preserve">          6119 - SICK LEAVE</v>
      </c>
      <c r="C51" s="12"/>
      <c r="D51" s="7">
        <v>1176.8399999999999</v>
      </c>
      <c r="E51" s="3"/>
      <c r="F51" s="8">
        <f t="shared" si="12"/>
        <v>2.4689178776411231E-3</v>
      </c>
      <c r="G51" s="3"/>
      <c r="H51" s="7">
        <v>2307.9949999999999</v>
      </c>
      <c r="I51" s="3"/>
      <c r="J51" s="8">
        <f t="shared" si="13"/>
        <v>1.0053118738566076E-2</v>
      </c>
      <c r="K51" s="3"/>
      <c r="L51" s="7">
        <f t="shared" si="14"/>
        <v>-1131.155</v>
      </c>
      <c r="M51" s="3"/>
      <c r="N51" s="8">
        <f t="shared" si="15"/>
        <v>-0.4901028815053759</v>
      </c>
      <c r="O51" s="12"/>
      <c r="P51" s="7">
        <v>15084.35</v>
      </c>
      <c r="Q51" s="3"/>
      <c r="R51" s="8">
        <f t="shared" si="16"/>
        <v>5.0360719312667057E-3</v>
      </c>
      <c r="S51" s="3"/>
      <c r="T51" s="7">
        <v>21995.171249999999</v>
      </c>
      <c r="U51" s="3"/>
      <c r="V51" s="8">
        <f t="shared" si="17"/>
        <v>9.9932309392927864E-3</v>
      </c>
      <c r="W51" s="3"/>
      <c r="X51" s="7">
        <f t="shared" si="18"/>
        <v>-6910.8212499999991</v>
      </c>
      <c r="Y51" s="3"/>
      <c r="Z51" s="8">
        <f t="shared" si="19"/>
        <v>-0.31419720135163753</v>
      </c>
    </row>
    <row r="52" spans="1:26" s="70" customFormat="1" ht="15" hidden="1" customHeight="1" outlineLevel="2" x14ac:dyDescent="0.3">
      <c r="A52" s="26"/>
      <c r="B52" s="12" t="str">
        <f>CONCATENATE("          ","6156"," - ","EMPLOYEE MEALS")</f>
        <v xml:space="preserve">          6156 - EMPLOYEE MEALS</v>
      </c>
      <c r="C52" s="12"/>
      <c r="D52" s="7">
        <v>870.2</v>
      </c>
      <c r="E52" s="3"/>
      <c r="F52" s="8">
        <f t="shared" si="12"/>
        <v>1.8256112446239979E-3</v>
      </c>
      <c r="G52" s="3"/>
      <c r="H52" s="7">
        <v>875</v>
      </c>
      <c r="I52" s="3"/>
      <c r="J52" s="8">
        <f t="shared" si="13"/>
        <v>3.8113076051920899E-3</v>
      </c>
      <c r="K52" s="3"/>
      <c r="L52" s="7">
        <f t="shared" si="14"/>
        <v>-4.7999999999999545</v>
      </c>
      <c r="M52" s="3"/>
      <c r="N52" s="8">
        <f t="shared" si="15"/>
        <v>-5.4857142857142336E-3</v>
      </c>
      <c r="O52" s="12"/>
      <c r="P52" s="7">
        <v>6016.96</v>
      </c>
      <c r="Q52" s="3"/>
      <c r="R52" s="8">
        <f t="shared" si="16"/>
        <v>2.0088265896478479E-3</v>
      </c>
      <c r="S52" s="3"/>
      <c r="T52" s="7">
        <v>7875</v>
      </c>
      <c r="U52" s="3"/>
      <c r="V52" s="8">
        <f t="shared" si="17"/>
        <v>3.577907748589623E-3</v>
      </c>
      <c r="W52" s="3"/>
      <c r="X52" s="7">
        <f t="shared" si="18"/>
        <v>-1858.04</v>
      </c>
      <c r="Y52" s="3"/>
      <c r="Z52" s="8">
        <f t="shared" si="19"/>
        <v>-0.23594158730158729</v>
      </c>
    </row>
    <row r="53" spans="1:26" s="69" customFormat="1" ht="15" customHeight="1" outlineLevel="1" collapsed="1" x14ac:dyDescent="0.3">
      <c r="A53" s="25"/>
      <c r="B53" s="14" t="str">
        <f>CONCATENATE("     ","*Payroll                                          ")</f>
        <v xml:space="preserve">     *Payroll                                          </v>
      </c>
      <c r="C53" s="14"/>
      <c r="D53" s="2">
        <f>SUM(OSRRefD22_1x_0)</f>
        <v>67625.81</v>
      </c>
      <c r="E53" s="2"/>
      <c r="F53" s="6">
        <f t="shared" si="12"/>
        <v>0.14187363728201102</v>
      </c>
      <c r="G53" s="2"/>
      <c r="H53" s="2">
        <f>SUM(OSRRefH22_1x_0)</f>
        <v>55436.79</v>
      </c>
      <c r="I53" s="2"/>
      <c r="J53" s="6">
        <f t="shared" si="13"/>
        <v>0.24147046781078491</v>
      </c>
      <c r="K53" s="2"/>
      <c r="L53" s="2">
        <f t="shared" si="14"/>
        <v>12189.019999999997</v>
      </c>
      <c r="M53" s="2"/>
      <c r="N53" s="6">
        <f t="shared" si="15"/>
        <v>0.21987239881674239</v>
      </c>
      <c r="O53" s="14"/>
      <c r="P53" s="2">
        <f>SUM(OSRRefP22_1x_0)</f>
        <v>526233.71</v>
      </c>
      <c r="Q53" s="2"/>
      <c r="R53" s="6">
        <f t="shared" si="16"/>
        <v>0.17568876459491745</v>
      </c>
      <c r="S53" s="2"/>
      <c r="T53" s="2">
        <f>SUM(OSRRefT22_1x_0)</f>
        <v>525460.9425</v>
      </c>
      <c r="U53" s="2"/>
      <c r="V53" s="6">
        <f t="shared" si="17"/>
        <v>0.23873660669866112</v>
      </c>
      <c r="W53" s="2"/>
      <c r="X53" s="2">
        <f t="shared" si="18"/>
        <v>772.76749999995809</v>
      </c>
      <c r="Y53" s="2"/>
      <c r="Z53" s="6">
        <f t="shared" si="19"/>
        <v>1.4706468882793474E-3</v>
      </c>
    </row>
    <row r="54" spans="1:26" s="70" customFormat="1" ht="15" hidden="1" customHeight="1" outlineLevel="2" x14ac:dyDescent="0.3">
      <c r="A54" s="26"/>
      <c r="B54" s="12" t="str">
        <f>CONCATENATE("          ","6001"," - ","ADMINISTRATIVE SALARIES")</f>
        <v xml:space="preserve">          6001 - ADMINISTRATIVE SALARIES</v>
      </c>
      <c r="C54" s="12"/>
      <c r="D54" s="7"/>
      <c r="E54" s="3"/>
      <c r="F54" s="8">
        <f t="shared" si="12"/>
        <v>0</v>
      </c>
      <c r="G54" s="3"/>
      <c r="H54" s="7">
        <v>0</v>
      </c>
      <c r="I54" s="3"/>
      <c r="J54" s="8">
        <f t="shared" si="13"/>
        <v>0</v>
      </c>
      <c r="K54" s="3"/>
      <c r="L54" s="7">
        <f t="shared" si="14"/>
        <v>0</v>
      </c>
      <c r="M54" s="3"/>
      <c r="N54" s="8">
        <f t="shared" si="15"/>
        <v>0</v>
      </c>
      <c r="O54" s="12"/>
      <c r="P54" s="7"/>
      <c r="Q54" s="3"/>
      <c r="R54" s="8">
        <f t="shared" si="16"/>
        <v>0</v>
      </c>
      <c r="S54" s="3"/>
      <c r="T54" s="7">
        <v>0</v>
      </c>
      <c r="U54" s="3"/>
      <c r="V54" s="8">
        <f t="shared" si="17"/>
        <v>0</v>
      </c>
      <c r="W54" s="3"/>
      <c r="X54" s="7">
        <f t="shared" si="18"/>
        <v>0</v>
      </c>
      <c r="Y54" s="3"/>
      <c r="Z54" s="8">
        <f t="shared" si="19"/>
        <v>0</v>
      </c>
    </row>
    <row r="55" spans="1:26" s="70" customFormat="1" ht="15" hidden="1" customHeight="1" outlineLevel="2" x14ac:dyDescent="0.3">
      <c r="A55" s="26"/>
      <c r="B55" s="12" t="str">
        <f>CONCATENATE("          ","6002"," - ","STAFF SALARIES")</f>
        <v xml:space="preserve">          6002 - STAFF SALARIES</v>
      </c>
      <c r="C55" s="12"/>
      <c r="D55" s="7">
        <v>10282.32</v>
      </c>
      <c r="E55" s="3"/>
      <c r="F55" s="8">
        <f t="shared" si="12"/>
        <v>2.1571499669986467E-2</v>
      </c>
      <c r="G55" s="3"/>
      <c r="H55" s="7">
        <v>12633.75</v>
      </c>
      <c r="I55" s="3"/>
      <c r="J55" s="8">
        <f t="shared" si="13"/>
        <v>5.5029837093823503E-2</v>
      </c>
      <c r="K55" s="3"/>
      <c r="L55" s="7">
        <f t="shared" si="14"/>
        <v>-2351.4300000000003</v>
      </c>
      <c r="M55" s="3"/>
      <c r="N55" s="8">
        <f t="shared" si="15"/>
        <v>-0.18612288512911845</v>
      </c>
      <c r="O55" s="12"/>
      <c r="P55" s="7">
        <v>132736.70000000001</v>
      </c>
      <c r="Q55" s="3"/>
      <c r="R55" s="8">
        <f t="shared" si="16"/>
        <v>4.4315570052336981E-2</v>
      </c>
      <c r="S55" s="3"/>
      <c r="T55" s="7">
        <v>123179.0625</v>
      </c>
      <c r="U55" s="3"/>
      <c r="V55" s="8">
        <f t="shared" si="17"/>
        <v>5.5964866308921328E-2</v>
      </c>
      <c r="W55" s="3"/>
      <c r="X55" s="7">
        <f t="shared" si="18"/>
        <v>9557.6375000000116</v>
      </c>
      <c r="Y55" s="3"/>
      <c r="Z55" s="8">
        <f t="shared" si="19"/>
        <v>7.7591412907530549E-2</v>
      </c>
    </row>
    <row r="56" spans="1:26" s="70" customFormat="1" ht="15" hidden="1" customHeight="1" outlineLevel="2" x14ac:dyDescent="0.3">
      <c r="A56" s="26"/>
      <c r="B56" s="12" t="str">
        <f>CONCATENATE("          ","6003"," - ","STAFF HOURLY-9 MONTH")</f>
        <v xml:space="preserve">          6003 - STAFF HOURLY-9 MONTH</v>
      </c>
      <c r="C56" s="12"/>
      <c r="D56" s="7"/>
      <c r="E56" s="3"/>
      <c r="F56" s="8">
        <f t="shared" si="12"/>
        <v>0</v>
      </c>
      <c r="G56" s="3"/>
      <c r="H56" s="7">
        <v>0</v>
      </c>
      <c r="I56" s="3"/>
      <c r="J56" s="8">
        <f t="shared" si="13"/>
        <v>0</v>
      </c>
      <c r="K56" s="3"/>
      <c r="L56" s="7">
        <f t="shared" si="14"/>
        <v>0</v>
      </c>
      <c r="M56" s="3"/>
      <c r="N56" s="8">
        <f t="shared" si="15"/>
        <v>0</v>
      </c>
      <c r="O56" s="12"/>
      <c r="P56" s="7"/>
      <c r="Q56" s="3"/>
      <c r="R56" s="8">
        <f t="shared" si="16"/>
        <v>0</v>
      </c>
      <c r="S56" s="3"/>
      <c r="T56" s="7">
        <v>0</v>
      </c>
      <c r="U56" s="3"/>
      <c r="V56" s="8">
        <f t="shared" si="17"/>
        <v>0</v>
      </c>
      <c r="W56" s="3"/>
      <c r="X56" s="7">
        <f t="shared" si="18"/>
        <v>0</v>
      </c>
      <c r="Y56" s="3"/>
      <c r="Z56" s="8">
        <f t="shared" si="19"/>
        <v>0</v>
      </c>
    </row>
    <row r="57" spans="1:26" s="70" customFormat="1" ht="15" hidden="1" customHeight="1" outlineLevel="2" x14ac:dyDescent="0.3">
      <c r="A57" s="26"/>
      <c r="B57" s="12" t="str">
        <f>CONCATENATE("          ","6004"," - ","STAFF HOURLY")</f>
        <v xml:space="preserve">          6004 - STAFF HOURLY</v>
      </c>
      <c r="C57" s="12"/>
      <c r="D57" s="7">
        <v>9796.66</v>
      </c>
      <c r="E57" s="3"/>
      <c r="F57" s="8">
        <f t="shared" si="12"/>
        <v>2.0552623139230217E-2</v>
      </c>
      <c r="G57" s="3"/>
      <c r="H57" s="7">
        <v>13271.04</v>
      </c>
      <c r="I57" s="3"/>
      <c r="J57" s="8">
        <f t="shared" si="13"/>
        <v>5.7805732206638212E-2</v>
      </c>
      <c r="K57" s="3"/>
      <c r="L57" s="7">
        <f t="shared" si="14"/>
        <v>-3474.380000000001</v>
      </c>
      <c r="M57" s="3"/>
      <c r="N57" s="8">
        <f t="shared" si="15"/>
        <v>-0.26180163724922845</v>
      </c>
      <c r="O57" s="12"/>
      <c r="P57" s="7">
        <v>79292.81</v>
      </c>
      <c r="Q57" s="3"/>
      <c r="R57" s="8">
        <f t="shared" si="16"/>
        <v>2.6472754529844766E-2</v>
      </c>
      <c r="S57" s="3"/>
      <c r="T57" s="7">
        <v>126902.88</v>
      </c>
      <c r="U57" s="3"/>
      <c r="V57" s="8">
        <f t="shared" si="17"/>
        <v>5.7656736212106555E-2</v>
      </c>
      <c r="W57" s="3"/>
      <c r="X57" s="7">
        <f t="shared" si="18"/>
        <v>-47610.070000000007</v>
      </c>
      <c r="Y57" s="3"/>
      <c r="Z57" s="8">
        <f t="shared" si="19"/>
        <v>-0.37516934209846148</v>
      </c>
    </row>
    <row r="58" spans="1:26" s="70" customFormat="1" ht="15" hidden="1" customHeight="1" outlineLevel="2" x14ac:dyDescent="0.3">
      <c r="A58" s="26"/>
      <c r="B58" s="12" t="str">
        <f>CONCATENATE("          ","6005"," - ","TEMPORARY WAGES-HOURLY")</f>
        <v xml:space="preserve">          6005 - TEMPORARY WAGES-HOURLY</v>
      </c>
      <c r="C58" s="12"/>
      <c r="D58" s="7">
        <v>567.05999999999995</v>
      </c>
      <c r="E58" s="3"/>
      <c r="F58" s="8">
        <f t="shared" si="12"/>
        <v>1.1896473366771823E-3</v>
      </c>
      <c r="G58" s="3"/>
      <c r="H58" s="7">
        <v>0</v>
      </c>
      <c r="I58" s="3"/>
      <c r="J58" s="8">
        <f t="shared" si="13"/>
        <v>0</v>
      </c>
      <c r="K58" s="3"/>
      <c r="L58" s="7">
        <f t="shared" si="14"/>
        <v>567.05999999999995</v>
      </c>
      <c r="M58" s="3"/>
      <c r="N58" s="8">
        <f t="shared" si="15"/>
        <v>0</v>
      </c>
      <c r="O58" s="12"/>
      <c r="P58" s="7">
        <v>22430.91</v>
      </c>
      <c r="Q58" s="3"/>
      <c r="R58" s="8">
        <f t="shared" si="16"/>
        <v>7.4887997324226538E-3</v>
      </c>
      <c r="S58" s="3"/>
      <c r="T58" s="7">
        <v>0</v>
      </c>
      <c r="U58" s="3"/>
      <c r="V58" s="8">
        <f t="shared" si="17"/>
        <v>0</v>
      </c>
      <c r="W58" s="3"/>
      <c r="X58" s="7">
        <f t="shared" si="18"/>
        <v>22430.91</v>
      </c>
      <c r="Y58" s="3"/>
      <c r="Z58" s="8">
        <f t="shared" si="19"/>
        <v>0</v>
      </c>
    </row>
    <row r="59" spans="1:26" s="70" customFormat="1" ht="15" hidden="1" customHeight="1" outlineLevel="2" x14ac:dyDescent="0.3">
      <c r="A59" s="26"/>
      <c r="B59" s="12" t="str">
        <f>CONCATENATE("          ","6006"," - ","TEMPORARY PART TIME")</f>
        <v xml:space="preserve">          6006 - TEMPORARY PART TIME</v>
      </c>
      <c r="C59" s="12"/>
      <c r="D59" s="7"/>
      <c r="E59" s="3"/>
      <c r="F59" s="8">
        <f t="shared" si="12"/>
        <v>0</v>
      </c>
      <c r="G59" s="3"/>
      <c r="H59" s="7">
        <v>0</v>
      </c>
      <c r="I59" s="3"/>
      <c r="J59" s="8">
        <f t="shared" si="13"/>
        <v>0</v>
      </c>
      <c r="K59" s="3"/>
      <c r="L59" s="7">
        <f t="shared" si="14"/>
        <v>0</v>
      </c>
      <c r="M59" s="3"/>
      <c r="N59" s="8">
        <f t="shared" si="15"/>
        <v>0</v>
      </c>
      <c r="O59" s="12"/>
      <c r="P59" s="7"/>
      <c r="Q59" s="3"/>
      <c r="R59" s="8">
        <f t="shared" si="16"/>
        <v>0</v>
      </c>
      <c r="S59" s="3"/>
      <c r="T59" s="7">
        <v>0</v>
      </c>
      <c r="U59" s="3"/>
      <c r="V59" s="8">
        <f t="shared" si="17"/>
        <v>0</v>
      </c>
      <c r="W59" s="3"/>
      <c r="X59" s="7">
        <f t="shared" si="18"/>
        <v>0</v>
      </c>
      <c r="Y59" s="3"/>
      <c r="Z59" s="8">
        <f t="shared" si="19"/>
        <v>0</v>
      </c>
    </row>
    <row r="60" spans="1:26" s="70" customFormat="1" ht="15" hidden="1" customHeight="1" outlineLevel="2" x14ac:dyDescent="0.3">
      <c r="A60" s="26"/>
      <c r="B60" s="12" t="str">
        <f>CONCATENATE("          ","6007"," - ","STUDENT HOURLY")</f>
        <v xml:space="preserve">          6007 - STUDENT HOURLY</v>
      </c>
      <c r="C60" s="12"/>
      <c r="D60" s="7">
        <v>38493.58</v>
      </c>
      <c r="E60" s="3"/>
      <c r="F60" s="8">
        <f t="shared" si="12"/>
        <v>8.0756507117712512E-2</v>
      </c>
      <c r="G60" s="3"/>
      <c r="H60" s="7">
        <v>29532</v>
      </c>
      <c r="I60" s="3"/>
      <c r="J60" s="8">
        <f t="shared" si="13"/>
        <v>0.1286348985103232</v>
      </c>
      <c r="K60" s="3"/>
      <c r="L60" s="7">
        <f t="shared" si="14"/>
        <v>8961.5800000000017</v>
      </c>
      <c r="M60" s="3"/>
      <c r="N60" s="8">
        <f t="shared" si="15"/>
        <v>0.30345320330488967</v>
      </c>
      <c r="O60" s="12"/>
      <c r="P60" s="7">
        <v>228494.07999999999</v>
      </c>
      <c r="Q60" s="3"/>
      <c r="R60" s="8">
        <f t="shared" si="16"/>
        <v>7.6285197754534267E-2</v>
      </c>
      <c r="S60" s="3"/>
      <c r="T60" s="7">
        <v>213279</v>
      </c>
      <c r="U60" s="3"/>
      <c r="V60" s="8">
        <f t="shared" si="17"/>
        <v>9.6900645931612212E-2</v>
      </c>
      <c r="W60" s="3"/>
      <c r="X60" s="7">
        <f t="shared" si="18"/>
        <v>15215.079999999987</v>
      </c>
      <c r="Y60" s="3"/>
      <c r="Z60" s="8">
        <f t="shared" si="19"/>
        <v>7.1338856615044077E-2</v>
      </c>
    </row>
    <row r="61" spans="1:26" s="70" customFormat="1" ht="15" hidden="1" customHeight="1" outlineLevel="2" x14ac:dyDescent="0.3">
      <c r="A61" s="26"/>
      <c r="B61" s="12" t="str">
        <f>CONCATENATE("          ","6008"," - ","STUDENT HOURLY-FICA EXEMPT")</f>
        <v xml:space="preserve">          6008 - STUDENT HOURLY-FICA EXEMPT</v>
      </c>
      <c r="C61" s="12"/>
      <c r="D61" s="7">
        <v>8486.19</v>
      </c>
      <c r="E61" s="3"/>
      <c r="F61" s="8">
        <f t="shared" si="12"/>
        <v>1.7803360018404647E-2</v>
      </c>
      <c r="G61" s="3"/>
      <c r="H61" s="7">
        <v>0</v>
      </c>
      <c r="I61" s="3"/>
      <c r="J61" s="8">
        <f t="shared" si="13"/>
        <v>0</v>
      </c>
      <c r="K61" s="3"/>
      <c r="L61" s="7">
        <f t="shared" si="14"/>
        <v>8486.19</v>
      </c>
      <c r="M61" s="3"/>
      <c r="N61" s="8">
        <f t="shared" si="15"/>
        <v>0</v>
      </c>
      <c r="O61" s="12"/>
      <c r="P61" s="7">
        <v>63279.21</v>
      </c>
      <c r="Q61" s="3"/>
      <c r="R61" s="8">
        <f t="shared" si="16"/>
        <v>2.1126442525778798E-2</v>
      </c>
      <c r="S61" s="3"/>
      <c r="T61" s="7">
        <v>62100</v>
      </c>
      <c r="U61" s="3"/>
      <c r="V61" s="8">
        <f t="shared" si="17"/>
        <v>2.8214358246021025E-2</v>
      </c>
      <c r="W61" s="3"/>
      <c r="X61" s="7">
        <f t="shared" si="18"/>
        <v>1179.2099999999991</v>
      </c>
      <c r="Y61" s="3"/>
      <c r="Z61" s="8">
        <f t="shared" si="19"/>
        <v>1.8988888888888875E-2</v>
      </c>
    </row>
    <row r="62" spans="1:26" s="70" customFormat="1" ht="15" hidden="1" customHeight="1" outlineLevel="2" x14ac:dyDescent="0.3">
      <c r="A62" s="26"/>
      <c r="B62" s="12" t="str">
        <f>CONCATENATE("          ","6009"," - ","TEMPORARY-SEASONAL")</f>
        <v xml:space="preserve">          6009 - TEMPORARY-SEASONAL</v>
      </c>
      <c r="C62" s="12"/>
      <c r="D62" s="7"/>
      <c r="E62" s="3"/>
      <c r="F62" s="8">
        <f t="shared" si="12"/>
        <v>0</v>
      </c>
      <c r="G62" s="3"/>
      <c r="H62" s="7">
        <v>0</v>
      </c>
      <c r="I62" s="3"/>
      <c r="J62" s="8">
        <f t="shared" si="13"/>
        <v>0</v>
      </c>
      <c r="K62" s="3"/>
      <c r="L62" s="7">
        <f t="shared" si="14"/>
        <v>0</v>
      </c>
      <c r="M62" s="3"/>
      <c r="N62" s="8">
        <f t="shared" si="15"/>
        <v>0</v>
      </c>
      <c r="O62" s="12"/>
      <c r="P62" s="7"/>
      <c r="Q62" s="3"/>
      <c r="R62" s="8">
        <f t="shared" si="16"/>
        <v>0</v>
      </c>
      <c r="S62" s="3"/>
      <c r="T62" s="7">
        <v>0</v>
      </c>
      <c r="U62" s="3"/>
      <c r="V62" s="8">
        <f t="shared" si="17"/>
        <v>0</v>
      </c>
      <c r="W62" s="3"/>
      <c r="X62" s="7">
        <f t="shared" si="18"/>
        <v>0</v>
      </c>
      <c r="Y62" s="3"/>
      <c r="Z62" s="8">
        <f t="shared" si="19"/>
        <v>0</v>
      </c>
    </row>
    <row r="63" spans="1:26" s="70" customFormat="1" ht="15" hidden="1" customHeight="1" outlineLevel="2" x14ac:dyDescent="0.3">
      <c r="A63" s="26"/>
      <c r="B63" s="12" t="str">
        <f>CONCATENATE("          ","6010"," - ","GRATUITY")</f>
        <v xml:space="preserve">          6010 - GRATUITY</v>
      </c>
      <c r="C63" s="12"/>
      <c r="D63" s="7"/>
      <c r="E63" s="3"/>
      <c r="F63" s="8">
        <f t="shared" si="12"/>
        <v>0</v>
      </c>
      <c r="G63" s="3"/>
      <c r="H63" s="7">
        <v>0</v>
      </c>
      <c r="I63" s="3"/>
      <c r="J63" s="8">
        <f t="shared" si="13"/>
        <v>0</v>
      </c>
      <c r="K63" s="3"/>
      <c r="L63" s="7">
        <f t="shared" si="14"/>
        <v>0</v>
      </c>
      <c r="M63" s="3"/>
      <c r="N63" s="8">
        <f t="shared" si="15"/>
        <v>0</v>
      </c>
      <c r="O63" s="12"/>
      <c r="P63" s="7"/>
      <c r="Q63" s="3"/>
      <c r="R63" s="8">
        <f t="shared" si="16"/>
        <v>0</v>
      </c>
      <c r="S63" s="3"/>
      <c r="T63" s="7">
        <v>0</v>
      </c>
      <c r="U63" s="3"/>
      <c r="V63" s="8">
        <f t="shared" si="17"/>
        <v>0</v>
      </c>
      <c r="W63" s="3"/>
      <c r="X63" s="7">
        <f t="shared" si="18"/>
        <v>0</v>
      </c>
      <c r="Y63" s="3"/>
      <c r="Z63" s="8">
        <f t="shared" si="19"/>
        <v>0</v>
      </c>
    </row>
    <row r="64" spans="1:26" s="69" customFormat="1" ht="15" customHeight="1" outlineLevel="1" collapsed="1" x14ac:dyDescent="0.3">
      <c r="A64" s="25"/>
      <c r="B64" s="14" t="str">
        <f>CONCATENATE("     ","Advertising/Promo                                 ")</f>
        <v xml:space="preserve">     Advertising/Promo                                 </v>
      </c>
      <c r="C64" s="14"/>
      <c r="D64" s="2">
        <f>SUM(OSRRefD22_2x_0)</f>
        <v>2060.75</v>
      </c>
      <c r="E64" s="2"/>
      <c r="F64" s="6">
        <f t="shared" si="12"/>
        <v>4.3232916253262508E-3</v>
      </c>
      <c r="G64" s="2"/>
      <c r="H64" s="2">
        <f>SUM(OSRRefH22_2x_0)</f>
        <v>50</v>
      </c>
      <c r="I64" s="2"/>
      <c r="J64" s="6">
        <f t="shared" si="13"/>
        <v>2.1778900601097657E-4</v>
      </c>
      <c r="K64" s="2"/>
      <c r="L64" s="2">
        <f t="shared" si="14"/>
        <v>2010.75</v>
      </c>
      <c r="M64" s="2"/>
      <c r="N64" s="6">
        <f t="shared" si="15"/>
        <v>40.215000000000003</v>
      </c>
      <c r="O64" s="14"/>
      <c r="P64" s="2">
        <f>SUM(OSRRefP22_2x_0)</f>
        <v>4992.8900000000003</v>
      </c>
      <c r="Q64" s="2"/>
      <c r="R64" s="6">
        <f t="shared" si="16"/>
        <v>1.6669298435068281E-3</v>
      </c>
      <c r="S64" s="2"/>
      <c r="T64" s="2">
        <f>SUM(OSRRefT22_2x_0)</f>
        <v>1850</v>
      </c>
      <c r="U64" s="2"/>
      <c r="V64" s="6">
        <f t="shared" si="17"/>
        <v>8.4052435998613361E-4</v>
      </c>
      <c r="W64" s="2"/>
      <c r="X64" s="2">
        <f t="shared" si="18"/>
        <v>3142.8900000000003</v>
      </c>
      <c r="Y64" s="2"/>
      <c r="Z64" s="6">
        <f t="shared" si="19"/>
        <v>1.6988594594594597</v>
      </c>
    </row>
    <row r="65" spans="1:26" s="70" customFormat="1" ht="15" hidden="1" customHeight="1" outlineLevel="2" x14ac:dyDescent="0.3">
      <c r="A65" s="26"/>
      <c r="B65" s="12" t="str">
        <f>CONCATENATE("          ","6362"," - ","ADVERTISING EXPENSE")</f>
        <v xml:space="preserve">          6362 - ADVERTISING EXPENSE</v>
      </c>
      <c r="C65" s="12"/>
      <c r="D65" s="7">
        <v>2060.75</v>
      </c>
      <c r="E65" s="3"/>
      <c r="F65" s="8">
        <f t="shared" si="12"/>
        <v>4.3232916253262508E-3</v>
      </c>
      <c r="G65" s="3"/>
      <c r="H65" s="7">
        <v>50</v>
      </c>
      <c r="I65" s="3"/>
      <c r="J65" s="8">
        <f t="shared" si="13"/>
        <v>2.1778900601097657E-4</v>
      </c>
      <c r="K65" s="3"/>
      <c r="L65" s="7">
        <f t="shared" si="14"/>
        <v>2010.75</v>
      </c>
      <c r="M65" s="3"/>
      <c r="N65" s="8">
        <f t="shared" si="15"/>
        <v>40.215000000000003</v>
      </c>
      <c r="O65" s="12"/>
      <c r="P65" s="7">
        <v>4992.8900000000003</v>
      </c>
      <c r="Q65" s="3"/>
      <c r="R65" s="8">
        <f t="shared" si="16"/>
        <v>1.6669298435068281E-3</v>
      </c>
      <c r="S65" s="3"/>
      <c r="T65" s="7">
        <v>1850</v>
      </c>
      <c r="U65" s="3"/>
      <c r="V65" s="8">
        <f t="shared" si="17"/>
        <v>8.4052435998613361E-4</v>
      </c>
      <c r="W65" s="3"/>
      <c r="X65" s="7">
        <f t="shared" si="18"/>
        <v>3142.8900000000003</v>
      </c>
      <c r="Y65" s="3"/>
      <c r="Z65" s="8">
        <f t="shared" si="19"/>
        <v>1.6988594594594597</v>
      </c>
    </row>
    <row r="66" spans="1:26" s="69" customFormat="1" ht="15" customHeight="1" outlineLevel="1" collapsed="1" x14ac:dyDescent="0.3">
      <c r="A66" s="25"/>
      <c r="B66" s="14" t="str">
        <f>CONCATENATE("     ","Bad Debts/Over/Short                              ")</f>
        <v xml:space="preserve">     Bad Debts/Over/Short                              </v>
      </c>
      <c r="C66" s="14"/>
      <c r="D66" s="2">
        <f>SUM(OSRRefD22_3x_0)</f>
        <v>0</v>
      </c>
      <c r="E66" s="2"/>
      <c r="F66" s="6">
        <f t="shared" si="12"/>
        <v>0</v>
      </c>
      <c r="G66" s="2"/>
      <c r="H66" s="2">
        <f>SUM(OSRRefH22_3x_0)</f>
        <v>0</v>
      </c>
      <c r="I66" s="2"/>
      <c r="J66" s="6">
        <f t="shared" si="13"/>
        <v>0</v>
      </c>
      <c r="K66" s="2"/>
      <c r="L66" s="2">
        <f t="shared" si="14"/>
        <v>0</v>
      </c>
      <c r="M66" s="2"/>
      <c r="N66" s="6">
        <f t="shared" si="15"/>
        <v>0</v>
      </c>
      <c r="O66" s="14"/>
      <c r="P66" s="2">
        <f>SUM(OSRRefP22_3x_0)</f>
        <v>0</v>
      </c>
      <c r="Q66" s="2"/>
      <c r="R66" s="6">
        <f t="shared" si="16"/>
        <v>0</v>
      </c>
      <c r="S66" s="2"/>
      <c r="T66" s="2">
        <f>SUM(OSRRefT22_3x_0)</f>
        <v>0</v>
      </c>
      <c r="U66" s="2"/>
      <c r="V66" s="6">
        <f t="shared" si="17"/>
        <v>0</v>
      </c>
      <c r="W66" s="2"/>
      <c r="X66" s="2">
        <f t="shared" si="18"/>
        <v>0</v>
      </c>
      <c r="Y66" s="2"/>
      <c r="Z66" s="6">
        <f t="shared" si="19"/>
        <v>0</v>
      </c>
    </row>
    <row r="67" spans="1:26" s="70" customFormat="1" ht="15" hidden="1" customHeight="1" outlineLevel="2" x14ac:dyDescent="0.3">
      <c r="A67" s="26"/>
      <c r="B67" s="12" t="str">
        <f>CONCATENATE("          ","6272"," - ","CASH (OVER/SHORT)")</f>
        <v xml:space="preserve">          6272 - CASH (OVER/SHORT)</v>
      </c>
      <c r="C67" s="12"/>
      <c r="D67" s="7"/>
      <c r="E67" s="3"/>
      <c r="F67" s="8">
        <f t="shared" si="12"/>
        <v>0</v>
      </c>
      <c r="G67" s="3"/>
      <c r="H67" s="7">
        <v>0</v>
      </c>
      <c r="I67" s="3"/>
      <c r="J67" s="8">
        <f t="shared" si="13"/>
        <v>0</v>
      </c>
      <c r="K67" s="3"/>
      <c r="L67" s="7">
        <f t="shared" si="14"/>
        <v>0</v>
      </c>
      <c r="M67" s="3"/>
      <c r="N67" s="8">
        <f t="shared" si="15"/>
        <v>0</v>
      </c>
      <c r="O67" s="12"/>
      <c r="P67" s="7"/>
      <c r="Q67" s="3"/>
      <c r="R67" s="8">
        <f t="shared" si="16"/>
        <v>0</v>
      </c>
      <c r="S67" s="3"/>
      <c r="T67" s="7">
        <v>0</v>
      </c>
      <c r="U67" s="3"/>
      <c r="V67" s="8">
        <f t="shared" si="17"/>
        <v>0</v>
      </c>
      <c r="W67" s="3"/>
      <c r="X67" s="7">
        <f t="shared" si="18"/>
        <v>0</v>
      </c>
      <c r="Y67" s="3"/>
      <c r="Z67" s="8">
        <f t="shared" si="19"/>
        <v>0</v>
      </c>
    </row>
    <row r="68" spans="1:26" s="69" customFormat="1" ht="15" customHeight="1" outlineLevel="1" collapsed="1" x14ac:dyDescent="0.3">
      <c r="A68" s="25"/>
      <c r="B68" s="14" t="str">
        <f>CONCATENATE("     ","Bank/card Fees                                    ")</f>
        <v xml:space="preserve">     Bank/card Fees                                    </v>
      </c>
      <c r="C68" s="14"/>
      <c r="D68" s="2">
        <f>SUM(OSRRefD22_4x_0)</f>
        <v>0</v>
      </c>
      <c r="E68" s="2"/>
      <c r="F68" s="6">
        <f t="shared" si="12"/>
        <v>0</v>
      </c>
      <c r="G68" s="2"/>
      <c r="H68" s="2">
        <f>SUM(OSRRefH22_4x_0)</f>
        <v>0</v>
      </c>
      <c r="I68" s="2"/>
      <c r="J68" s="6">
        <f t="shared" si="13"/>
        <v>0</v>
      </c>
      <c r="K68" s="2"/>
      <c r="L68" s="2">
        <f t="shared" si="14"/>
        <v>0</v>
      </c>
      <c r="M68" s="2"/>
      <c r="N68" s="6">
        <f t="shared" si="15"/>
        <v>0</v>
      </c>
      <c r="O68" s="14"/>
      <c r="P68" s="2">
        <f>SUM(OSRRefP22_4x_0)</f>
        <v>0</v>
      </c>
      <c r="Q68" s="2"/>
      <c r="R68" s="6">
        <f t="shared" si="16"/>
        <v>0</v>
      </c>
      <c r="S68" s="2"/>
      <c r="T68" s="2">
        <f>SUM(OSRRefT22_4x_0)</f>
        <v>0</v>
      </c>
      <c r="U68" s="2"/>
      <c r="V68" s="6">
        <f t="shared" si="17"/>
        <v>0</v>
      </c>
      <c r="W68" s="2"/>
      <c r="X68" s="2">
        <f t="shared" si="18"/>
        <v>0</v>
      </c>
      <c r="Y68" s="2"/>
      <c r="Z68" s="6">
        <f t="shared" si="19"/>
        <v>0</v>
      </c>
    </row>
    <row r="69" spans="1:26" s="70" customFormat="1" ht="15" hidden="1" customHeight="1" outlineLevel="2" x14ac:dyDescent="0.3">
      <c r="A69" s="26"/>
      <c r="B69" s="12" t="str">
        <f>CONCATENATE("          ","6381"," - ","BANK/CREDIT CARD FEES")</f>
        <v xml:space="preserve">          6381 - BANK/CREDIT CARD FEES</v>
      </c>
      <c r="C69" s="12"/>
      <c r="D69" s="7"/>
      <c r="E69" s="3"/>
      <c r="F69" s="8">
        <f t="shared" si="12"/>
        <v>0</v>
      </c>
      <c r="G69" s="3"/>
      <c r="H69" s="7">
        <v>0</v>
      </c>
      <c r="I69" s="3"/>
      <c r="J69" s="8">
        <f t="shared" si="13"/>
        <v>0</v>
      </c>
      <c r="K69" s="3"/>
      <c r="L69" s="7">
        <f t="shared" si="14"/>
        <v>0</v>
      </c>
      <c r="M69" s="3"/>
      <c r="N69" s="8">
        <f t="shared" si="15"/>
        <v>0</v>
      </c>
      <c r="O69" s="12"/>
      <c r="P69" s="7"/>
      <c r="Q69" s="3"/>
      <c r="R69" s="8">
        <f t="shared" si="16"/>
        <v>0</v>
      </c>
      <c r="S69" s="3"/>
      <c r="T69" s="7">
        <v>0</v>
      </c>
      <c r="U69" s="3"/>
      <c r="V69" s="8">
        <f t="shared" si="17"/>
        <v>0</v>
      </c>
      <c r="W69" s="3"/>
      <c r="X69" s="7">
        <f t="shared" si="18"/>
        <v>0</v>
      </c>
      <c r="Y69" s="3"/>
      <c r="Z69" s="8">
        <f t="shared" si="19"/>
        <v>0</v>
      </c>
    </row>
    <row r="70" spans="1:26" s="69" customFormat="1" ht="15" customHeight="1" outlineLevel="1" collapsed="1" x14ac:dyDescent="0.3">
      <c r="A70" s="25"/>
      <c r="B70" s="14" t="str">
        <f>CONCATENATE("     ","Discounts and Markdowns                           ")</f>
        <v xml:space="preserve">     Discounts and Markdowns                           </v>
      </c>
      <c r="C70" s="14"/>
      <c r="D70" s="2">
        <f>SUM(OSRRefD22_5x_0)</f>
        <v>0</v>
      </c>
      <c r="E70" s="2"/>
      <c r="F70" s="6">
        <f t="shared" si="12"/>
        <v>0</v>
      </c>
      <c r="G70" s="2"/>
      <c r="H70" s="2">
        <f>SUM(OSRRefH22_5x_0)</f>
        <v>0</v>
      </c>
      <c r="I70" s="2"/>
      <c r="J70" s="6">
        <f t="shared" si="13"/>
        <v>0</v>
      </c>
      <c r="K70" s="2"/>
      <c r="L70" s="2">
        <f t="shared" si="14"/>
        <v>0</v>
      </c>
      <c r="M70" s="2"/>
      <c r="N70" s="6">
        <f t="shared" si="15"/>
        <v>0</v>
      </c>
      <c r="O70" s="14"/>
      <c r="P70" s="2">
        <f>SUM(OSRRefP22_5x_0)</f>
        <v>0</v>
      </c>
      <c r="Q70" s="2"/>
      <c r="R70" s="6">
        <f t="shared" si="16"/>
        <v>0</v>
      </c>
      <c r="S70" s="2"/>
      <c r="T70" s="2">
        <f>SUM(OSRRefT22_5x_0)</f>
        <v>0</v>
      </c>
      <c r="U70" s="2"/>
      <c r="V70" s="6">
        <f t="shared" si="17"/>
        <v>0</v>
      </c>
      <c r="W70" s="2"/>
      <c r="X70" s="2">
        <f t="shared" si="18"/>
        <v>0</v>
      </c>
      <c r="Y70" s="2"/>
      <c r="Z70" s="6">
        <f t="shared" si="19"/>
        <v>0</v>
      </c>
    </row>
    <row r="71" spans="1:26" s="70" customFormat="1" ht="15" hidden="1" customHeight="1" outlineLevel="2" x14ac:dyDescent="0.3">
      <c r="A71" s="26"/>
      <c r="B71" s="12" t="str">
        <f>CONCATENATE("          ","9175"," - ","EARNED DISCOUNTS")</f>
        <v xml:space="preserve">          9175 - EARNED DISCOUNTS</v>
      </c>
      <c r="C71" s="12"/>
      <c r="D71" s="7"/>
      <c r="E71" s="3"/>
      <c r="F71" s="8">
        <f t="shared" si="12"/>
        <v>0</v>
      </c>
      <c r="G71" s="3"/>
      <c r="H71" s="7"/>
      <c r="I71" s="3"/>
      <c r="J71" s="8">
        <f t="shared" si="13"/>
        <v>0</v>
      </c>
      <c r="K71" s="3"/>
      <c r="L71" s="7">
        <f t="shared" si="14"/>
        <v>0</v>
      </c>
      <c r="M71" s="3"/>
      <c r="N71" s="8">
        <f t="shared" si="15"/>
        <v>0</v>
      </c>
      <c r="O71" s="12"/>
      <c r="P71" s="7">
        <v>0</v>
      </c>
      <c r="Q71" s="3"/>
      <c r="R71" s="8">
        <f t="shared" si="16"/>
        <v>0</v>
      </c>
      <c r="S71" s="3"/>
      <c r="T71" s="7"/>
      <c r="U71" s="3"/>
      <c r="V71" s="8">
        <f t="shared" si="17"/>
        <v>0</v>
      </c>
      <c r="W71" s="3"/>
      <c r="X71" s="7">
        <f t="shared" si="18"/>
        <v>0</v>
      </c>
      <c r="Y71" s="3"/>
      <c r="Z71" s="8">
        <f t="shared" si="19"/>
        <v>0</v>
      </c>
    </row>
    <row r="72" spans="1:26" s="69" customFormat="1" ht="15" customHeight="1" outlineLevel="1" collapsed="1" x14ac:dyDescent="0.3">
      <c r="A72" s="25"/>
      <c r="B72" s="14" t="str">
        <f>CONCATENATE("     ","Employees' Appreciation                           ")</f>
        <v xml:space="preserve">     Employees' Appreciation                           </v>
      </c>
      <c r="C72" s="14"/>
      <c r="D72" s="2">
        <f>SUM(OSRRefD22_6x_0)</f>
        <v>74.69</v>
      </c>
      <c r="E72" s="2"/>
      <c r="F72" s="6">
        <f t="shared" si="12"/>
        <v>1.5669375300042104E-4</v>
      </c>
      <c r="G72" s="2"/>
      <c r="H72" s="2">
        <f>SUM(OSRRefH22_6x_0)</f>
        <v>50</v>
      </c>
      <c r="I72" s="2"/>
      <c r="J72" s="6">
        <f t="shared" si="13"/>
        <v>2.1778900601097657E-4</v>
      </c>
      <c r="K72" s="2"/>
      <c r="L72" s="2">
        <f t="shared" si="14"/>
        <v>24.689999999999998</v>
      </c>
      <c r="M72" s="2"/>
      <c r="N72" s="6">
        <f t="shared" si="15"/>
        <v>0.49379999999999996</v>
      </c>
      <c r="O72" s="14"/>
      <c r="P72" s="2">
        <f>SUM(OSRRefP22_6x_0)</f>
        <v>291.13</v>
      </c>
      <c r="Q72" s="2"/>
      <c r="R72" s="6">
        <f t="shared" si="16"/>
        <v>9.7196871018617037E-5</v>
      </c>
      <c r="S72" s="2"/>
      <c r="T72" s="2">
        <f>SUM(OSRRefT22_6x_0)</f>
        <v>450</v>
      </c>
      <c r="U72" s="2"/>
      <c r="V72" s="6">
        <f t="shared" si="17"/>
        <v>2.0445187134797844E-4</v>
      </c>
      <c r="W72" s="2"/>
      <c r="X72" s="2">
        <f t="shared" si="18"/>
        <v>-158.87</v>
      </c>
      <c r="Y72" s="2"/>
      <c r="Z72" s="6">
        <f t="shared" si="19"/>
        <v>-0.35304444444444444</v>
      </c>
    </row>
    <row r="73" spans="1:26" s="70" customFormat="1" ht="15" hidden="1" customHeight="1" outlineLevel="2" x14ac:dyDescent="0.3">
      <c r="A73" s="26"/>
      <c r="B73" s="12" t="str">
        <f>CONCATENATE("          ","6277"," - ","EMPLOYEE APPRECIATION")</f>
        <v xml:space="preserve">          6277 - EMPLOYEE APPRECIATION</v>
      </c>
      <c r="C73" s="12"/>
      <c r="D73" s="7">
        <v>74.69</v>
      </c>
      <c r="E73" s="3"/>
      <c r="F73" s="8">
        <f t="shared" si="12"/>
        <v>1.5669375300042104E-4</v>
      </c>
      <c r="G73" s="3"/>
      <c r="H73" s="7">
        <v>50</v>
      </c>
      <c r="I73" s="3"/>
      <c r="J73" s="8">
        <f t="shared" si="13"/>
        <v>2.1778900601097657E-4</v>
      </c>
      <c r="K73" s="3"/>
      <c r="L73" s="7">
        <f t="shared" si="14"/>
        <v>24.689999999999998</v>
      </c>
      <c r="M73" s="3"/>
      <c r="N73" s="8">
        <f t="shared" si="15"/>
        <v>0.49379999999999996</v>
      </c>
      <c r="O73" s="12"/>
      <c r="P73" s="7">
        <v>291.13</v>
      </c>
      <c r="Q73" s="3"/>
      <c r="R73" s="8">
        <f t="shared" si="16"/>
        <v>9.7196871018617037E-5</v>
      </c>
      <c r="S73" s="3"/>
      <c r="T73" s="7">
        <v>450</v>
      </c>
      <c r="U73" s="3"/>
      <c r="V73" s="8">
        <f t="shared" si="17"/>
        <v>2.0445187134797844E-4</v>
      </c>
      <c r="W73" s="3"/>
      <c r="X73" s="7">
        <f t="shared" si="18"/>
        <v>-158.87</v>
      </c>
      <c r="Y73" s="3"/>
      <c r="Z73" s="8">
        <f t="shared" si="19"/>
        <v>-0.35304444444444444</v>
      </c>
    </row>
    <row r="74" spans="1:26" s="69" customFormat="1" ht="15" customHeight="1" outlineLevel="1" collapsed="1" x14ac:dyDescent="0.3">
      <c r="A74" s="25"/>
      <c r="B74" s="14" t="str">
        <f>CONCATENATE("     ","Equipment Rental                                  ")</f>
        <v xml:space="preserve">     Equipment Rental                                  </v>
      </c>
      <c r="C74" s="14"/>
      <c r="D74" s="2">
        <f>SUM(OSRRefD22_7x_0)</f>
        <v>0</v>
      </c>
      <c r="E74" s="2"/>
      <c r="F74" s="6">
        <f t="shared" ref="F74:F105" si="20">IF(D$12=0,0,D74/D$12)</f>
        <v>0</v>
      </c>
      <c r="G74" s="2"/>
      <c r="H74" s="2">
        <f>SUM(OSRRefH22_7x_0)</f>
        <v>0</v>
      </c>
      <c r="I74" s="2"/>
      <c r="J74" s="6">
        <f t="shared" ref="J74:J105" si="21">IF(H$12=0,0,H74/H$12)</f>
        <v>0</v>
      </c>
      <c r="K74" s="2"/>
      <c r="L74" s="2">
        <f t="shared" ref="L74:L105" si="22">+D74-H74</f>
        <v>0</v>
      </c>
      <c r="M74" s="2"/>
      <c r="N74" s="6">
        <f t="shared" ref="N74:N105" si="23">IF(H74=0,0,L74/H74)</f>
        <v>0</v>
      </c>
      <c r="O74" s="14"/>
      <c r="P74" s="2">
        <f>SUM(OSRRefP22_7x_0)</f>
        <v>118.91</v>
      </c>
      <c r="Q74" s="2"/>
      <c r="R74" s="6">
        <f t="shared" ref="R74:R105" si="24">IF(P$12=0,0,P74/P$12)</f>
        <v>3.9699378053871988E-5</v>
      </c>
      <c r="S74" s="2"/>
      <c r="T74" s="2">
        <f>SUM(OSRRefT22_7x_0)</f>
        <v>0</v>
      </c>
      <c r="U74" s="2"/>
      <c r="V74" s="6">
        <f t="shared" ref="V74:V105" si="25">IF(T$12=0,0,T74/T$12)</f>
        <v>0</v>
      </c>
      <c r="W74" s="2"/>
      <c r="X74" s="2">
        <f t="shared" ref="X74:X105" si="26">+P74-T74</f>
        <v>118.91</v>
      </c>
      <c r="Y74" s="2"/>
      <c r="Z74" s="6">
        <f t="shared" ref="Z74:Z105" si="27">IF(T74=0,0,X74/T74)</f>
        <v>0</v>
      </c>
    </row>
    <row r="75" spans="1:26" s="70" customFormat="1" ht="15" hidden="1" customHeight="1" outlineLevel="2" x14ac:dyDescent="0.3">
      <c r="A75" s="26"/>
      <c r="B75" s="12" t="str">
        <f>CONCATENATE("          ","6351"," - ","EQUIPMENT RENTAL")</f>
        <v xml:space="preserve">          6351 - EQUIPMENT RENTAL</v>
      </c>
      <c r="C75" s="12"/>
      <c r="D75" s="7"/>
      <c r="E75" s="3"/>
      <c r="F75" s="8">
        <f t="shared" si="20"/>
        <v>0</v>
      </c>
      <c r="G75" s="3"/>
      <c r="H75" s="7"/>
      <c r="I75" s="3"/>
      <c r="J75" s="8">
        <f t="shared" si="21"/>
        <v>0</v>
      </c>
      <c r="K75" s="3"/>
      <c r="L75" s="7">
        <f t="shared" si="22"/>
        <v>0</v>
      </c>
      <c r="M75" s="3"/>
      <c r="N75" s="8">
        <f t="shared" si="23"/>
        <v>0</v>
      </c>
      <c r="O75" s="12"/>
      <c r="P75" s="7">
        <v>118.91</v>
      </c>
      <c r="Q75" s="3"/>
      <c r="R75" s="8">
        <f t="shared" si="24"/>
        <v>3.9699378053871988E-5</v>
      </c>
      <c r="S75" s="3"/>
      <c r="T75" s="7"/>
      <c r="U75" s="3"/>
      <c r="V75" s="8">
        <f t="shared" si="25"/>
        <v>0</v>
      </c>
      <c r="W75" s="3"/>
      <c r="X75" s="7">
        <f t="shared" si="26"/>
        <v>118.91</v>
      </c>
      <c r="Y75" s="3"/>
      <c r="Z75" s="8">
        <f t="shared" si="27"/>
        <v>0</v>
      </c>
    </row>
    <row r="76" spans="1:26" s="69" customFormat="1" ht="15" customHeight="1" outlineLevel="1" collapsed="1" x14ac:dyDescent="0.3">
      <c r="A76" s="25"/>
      <c r="B76" s="14" t="str">
        <f>CONCATENATE("     ","Freight out/Postage                               ")</f>
        <v xml:space="preserve">     Freight out/Postage                               </v>
      </c>
      <c r="C76" s="14"/>
      <c r="D76" s="2">
        <f>SUM(OSRRefD22_8x_0)</f>
        <v>0</v>
      </c>
      <c r="E76" s="2"/>
      <c r="F76" s="6">
        <f t="shared" si="20"/>
        <v>0</v>
      </c>
      <c r="G76" s="2"/>
      <c r="H76" s="2">
        <f>SUM(OSRRefH22_8x_0)</f>
        <v>50</v>
      </c>
      <c r="I76" s="2"/>
      <c r="J76" s="6">
        <f t="shared" si="21"/>
        <v>2.1778900601097657E-4</v>
      </c>
      <c r="K76" s="2"/>
      <c r="L76" s="2">
        <f t="shared" si="22"/>
        <v>-50</v>
      </c>
      <c r="M76" s="2"/>
      <c r="N76" s="6">
        <f t="shared" si="23"/>
        <v>-1</v>
      </c>
      <c r="O76" s="14"/>
      <c r="P76" s="2">
        <f>SUM(OSRRefP22_8x_0)</f>
        <v>929.29</v>
      </c>
      <c r="Q76" s="2"/>
      <c r="R76" s="6">
        <f t="shared" si="24"/>
        <v>3.1025342722801027E-4</v>
      </c>
      <c r="S76" s="2"/>
      <c r="T76" s="2">
        <f>SUM(OSRRefT22_8x_0)</f>
        <v>450</v>
      </c>
      <c r="U76" s="2"/>
      <c r="V76" s="6">
        <f t="shared" si="25"/>
        <v>2.0445187134797844E-4</v>
      </c>
      <c r="W76" s="2"/>
      <c r="X76" s="2">
        <f t="shared" si="26"/>
        <v>479.28999999999996</v>
      </c>
      <c r="Y76" s="2"/>
      <c r="Z76" s="6">
        <f t="shared" si="27"/>
        <v>1.0650888888888888</v>
      </c>
    </row>
    <row r="77" spans="1:26" s="70" customFormat="1" ht="15" hidden="1" customHeight="1" outlineLevel="2" x14ac:dyDescent="0.3">
      <c r="A77" s="26"/>
      <c r="B77" s="12" t="str">
        <f>CONCATENATE("          ","6305"," - ","FREIGHT OUT")</f>
        <v xml:space="preserve">          6305 - FREIGHT OUT</v>
      </c>
      <c r="C77" s="12"/>
      <c r="D77" s="7"/>
      <c r="E77" s="3"/>
      <c r="F77" s="8">
        <f t="shared" si="20"/>
        <v>0</v>
      </c>
      <c r="G77" s="3"/>
      <c r="H77" s="7">
        <v>50</v>
      </c>
      <c r="I77" s="3"/>
      <c r="J77" s="8">
        <f t="shared" si="21"/>
        <v>2.1778900601097657E-4</v>
      </c>
      <c r="K77" s="3"/>
      <c r="L77" s="7">
        <f t="shared" si="22"/>
        <v>-50</v>
      </c>
      <c r="M77" s="3"/>
      <c r="N77" s="8">
        <f t="shared" si="23"/>
        <v>-1</v>
      </c>
      <c r="O77" s="12"/>
      <c r="P77" s="7">
        <v>893.87</v>
      </c>
      <c r="Q77" s="3"/>
      <c r="R77" s="8">
        <f t="shared" si="24"/>
        <v>2.9842808057366541E-4</v>
      </c>
      <c r="S77" s="3"/>
      <c r="T77" s="7">
        <v>450</v>
      </c>
      <c r="U77" s="3"/>
      <c r="V77" s="8">
        <f t="shared" si="25"/>
        <v>2.0445187134797844E-4</v>
      </c>
      <c r="W77" s="3"/>
      <c r="X77" s="7">
        <f t="shared" si="26"/>
        <v>443.87</v>
      </c>
      <c r="Y77" s="3"/>
      <c r="Z77" s="8">
        <f t="shared" si="27"/>
        <v>0.9863777777777778</v>
      </c>
    </row>
    <row r="78" spans="1:26" s="70" customFormat="1" ht="15" hidden="1" customHeight="1" outlineLevel="2" x14ac:dyDescent="0.3">
      <c r="A78" s="26"/>
      <c r="B78" s="12" t="str">
        <f>CONCATENATE("          ","6307"," - ","POSTAGE")</f>
        <v xml:space="preserve">          6307 - POSTAGE</v>
      </c>
      <c r="C78" s="12"/>
      <c r="D78" s="7"/>
      <c r="E78" s="3"/>
      <c r="F78" s="8">
        <f t="shared" si="20"/>
        <v>0</v>
      </c>
      <c r="G78" s="3"/>
      <c r="H78" s="7"/>
      <c r="I78" s="3"/>
      <c r="J78" s="8">
        <f t="shared" si="21"/>
        <v>0</v>
      </c>
      <c r="K78" s="3"/>
      <c r="L78" s="7">
        <f t="shared" si="22"/>
        <v>0</v>
      </c>
      <c r="M78" s="3"/>
      <c r="N78" s="8">
        <f t="shared" si="23"/>
        <v>0</v>
      </c>
      <c r="O78" s="12"/>
      <c r="P78" s="7">
        <v>35.42</v>
      </c>
      <c r="Q78" s="3"/>
      <c r="R78" s="8">
        <f t="shared" si="24"/>
        <v>1.1825346654344848E-5</v>
      </c>
      <c r="S78" s="3"/>
      <c r="T78" s="7"/>
      <c r="U78" s="3"/>
      <c r="V78" s="8">
        <f t="shared" si="25"/>
        <v>0</v>
      </c>
      <c r="W78" s="3"/>
      <c r="X78" s="7">
        <f t="shared" si="26"/>
        <v>35.42</v>
      </c>
      <c r="Y78" s="3"/>
      <c r="Z78" s="8">
        <f t="shared" si="27"/>
        <v>0</v>
      </c>
    </row>
    <row r="79" spans="1:26" s="69" customFormat="1" ht="15" customHeight="1" outlineLevel="1" collapsed="1" x14ac:dyDescent="0.3">
      <c r="A79" s="25"/>
      <c r="B79" s="14" t="str">
        <f>CONCATENATE("     ","General                                           ")</f>
        <v xml:space="preserve">     General                                           </v>
      </c>
      <c r="C79" s="14"/>
      <c r="D79" s="2">
        <f>SUM(OSRRefD22_9x_0)</f>
        <v>0</v>
      </c>
      <c r="E79" s="2"/>
      <c r="F79" s="6">
        <f t="shared" si="20"/>
        <v>0</v>
      </c>
      <c r="G79" s="2"/>
      <c r="H79" s="2">
        <f>SUM(OSRRefH22_9x_0)</f>
        <v>0</v>
      </c>
      <c r="I79" s="2"/>
      <c r="J79" s="6">
        <f t="shared" si="21"/>
        <v>0</v>
      </c>
      <c r="K79" s="2"/>
      <c r="L79" s="2">
        <f t="shared" si="22"/>
        <v>0</v>
      </c>
      <c r="M79" s="2"/>
      <c r="N79" s="6">
        <f t="shared" si="23"/>
        <v>0</v>
      </c>
      <c r="O79" s="14"/>
      <c r="P79" s="2">
        <f>SUM(OSRRefP22_9x_0)</f>
        <v>1157.1099999999999</v>
      </c>
      <c r="Q79" s="2"/>
      <c r="R79" s="6">
        <f t="shared" si="24"/>
        <v>3.8631357614932145E-4</v>
      </c>
      <c r="S79" s="2"/>
      <c r="T79" s="2">
        <f>SUM(OSRRefT22_9x_0)</f>
        <v>0</v>
      </c>
      <c r="U79" s="2"/>
      <c r="V79" s="6">
        <f t="shared" si="25"/>
        <v>0</v>
      </c>
      <c r="W79" s="2"/>
      <c r="X79" s="2">
        <f t="shared" si="26"/>
        <v>1157.1099999999999</v>
      </c>
      <c r="Y79" s="2"/>
      <c r="Z79" s="6">
        <f t="shared" si="27"/>
        <v>0</v>
      </c>
    </row>
    <row r="80" spans="1:26" s="70" customFormat="1" ht="15" hidden="1" customHeight="1" outlineLevel="2" x14ac:dyDescent="0.3">
      <c r="A80" s="26"/>
      <c r="B80" s="12" t="str">
        <f>CONCATENATE("          ","6279"," - ","GENERAL EXPENSE")</f>
        <v xml:space="preserve">          6279 - GENERAL EXPENSE</v>
      </c>
      <c r="C80" s="12"/>
      <c r="D80" s="7"/>
      <c r="E80" s="3"/>
      <c r="F80" s="8">
        <f t="shared" si="20"/>
        <v>0</v>
      </c>
      <c r="G80" s="3"/>
      <c r="H80" s="7">
        <v>0</v>
      </c>
      <c r="I80" s="3"/>
      <c r="J80" s="8">
        <f t="shared" si="21"/>
        <v>0</v>
      </c>
      <c r="K80" s="3"/>
      <c r="L80" s="7">
        <f t="shared" si="22"/>
        <v>0</v>
      </c>
      <c r="M80" s="3"/>
      <c r="N80" s="8">
        <f t="shared" si="23"/>
        <v>0</v>
      </c>
      <c r="O80" s="12"/>
      <c r="P80" s="7">
        <v>1157.1099999999999</v>
      </c>
      <c r="Q80" s="3"/>
      <c r="R80" s="8">
        <f t="shared" si="24"/>
        <v>3.8631357614932145E-4</v>
      </c>
      <c r="S80" s="3"/>
      <c r="T80" s="7">
        <v>0</v>
      </c>
      <c r="U80" s="3"/>
      <c r="V80" s="8">
        <f t="shared" si="25"/>
        <v>0</v>
      </c>
      <c r="W80" s="3"/>
      <c r="X80" s="7">
        <f t="shared" si="26"/>
        <v>1157.1099999999999</v>
      </c>
      <c r="Y80" s="3"/>
      <c r="Z80" s="8">
        <f t="shared" si="27"/>
        <v>0</v>
      </c>
    </row>
    <row r="81" spans="1:26" s="69" customFormat="1" ht="15" customHeight="1" outlineLevel="1" collapsed="1" x14ac:dyDescent="0.3">
      <c r="A81" s="25"/>
      <c r="B81" s="14" t="str">
        <f>CONCATENATE("     ","Inventory Adjustment                              ")</f>
        <v xml:space="preserve">     Inventory Adjustment                              </v>
      </c>
      <c r="C81" s="14"/>
      <c r="D81" s="2">
        <f>SUM(OSRRefD22_10x_0)</f>
        <v>3350</v>
      </c>
      <c r="E81" s="2"/>
      <c r="F81" s="6">
        <f t="shared" si="20"/>
        <v>7.0280368530112533E-3</v>
      </c>
      <c r="G81" s="2"/>
      <c r="H81" s="2">
        <f>SUM(OSRRefH22_10x_0)</f>
        <v>3350</v>
      </c>
      <c r="I81" s="2"/>
      <c r="J81" s="6">
        <f t="shared" si="21"/>
        <v>1.459186340273543E-2</v>
      </c>
      <c r="K81" s="2"/>
      <c r="L81" s="2">
        <f t="shared" si="22"/>
        <v>0</v>
      </c>
      <c r="M81" s="2"/>
      <c r="N81" s="6">
        <f t="shared" si="23"/>
        <v>0</v>
      </c>
      <c r="O81" s="14"/>
      <c r="P81" s="2">
        <f>SUM(OSRRefP22_10x_0)</f>
        <v>30150</v>
      </c>
      <c r="Q81" s="2"/>
      <c r="R81" s="6">
        <f t="shared" si="24"/>
        <v>1.0065900667094781E-2</v>
      </c>
      <c r="S81" s="2"/>
      <c r="T81" s="2">
        <f>SUM(OSRRefT22_10x_0)</f>
        <v>30150</v>
      </c>
      <c r="U81" s="2"/>
      <c r="V81" s="6">
        <f t="shared" si="25"/>
        <v>1.3698275380314555E-2</v>
      </c>
      <c r="W81" s="2"/>
      <c r="X81" s="2">
        <f t="shared" si="26"/>
        <v>0</v>
      </c>
      <c r="Y81" s="2"/>
      <c r="Z81" s="6">
        <f t="shared" si="27"/>
        <v>0</v>
      </c>
    </row>
    <row r="82" spans="1:26" s="70" customFormat="1" ht="15" hidden="1" customHeight="1" outlineLevel="2" x14ac:dyDescent="0.3">
      <c r="A82" s="26"/>
      <c r="B82" s="12" t="str">
        <f>CONCATENATE("          ","6408"," - ","INVENTORY ADJUSTMENT")</f>
        <v xml:space="preserve">          6408 - INVENTORY ADJUSTMENT</v>
      </c>
      <c r="C82" s="12"/>
      <c r="D82" s="7">
        <v>3350</v>
      </c>
      <c r="E82" s="3"/>
      <c r="F82" s="8">
        <f t="shared" si="20"/>
        <v>7.0280368530112533E-3</v>
      </c>
      <c r="G82" s="3"/>
      <c r="H82" s="7">
        <v>3350</v>
      </c>
      <c r="I82" s="3"/>
      <c r="J82" s="8">
        <f t="shared" si="21"/>
        <v>1.459186340273543E-2</v>
      </c>
      <c r="K82" s="3"/>
      <c r="L82" s="7">
        <f t="shared" si="22"/>
        <v>0</v>
      </c>
      <c r="M82" s="3"/>
      <c r="N82" s="8">
        <f t="shared" si="23"/>
        <v>0</v>
      </c>
      <c r="O82" s="12"/>
      <c r="P82" s="7">
        <v>30150</v>
      </c>
      <c r="Q82" s="3"/>
      <c r="R82" s="8">
        <f t="shared" si="24"/>
        <v>1.0065900667094781E-2</v>
      </c>
      <c r="S82" s="3"/>
      <c r="T82" s="7">
        <v>30150</v>
      </c>
      <c r="U82" s="3"/>
      <c r="V82" s="8">
        <f t="shared" si="25"/>
        <v>1.3698275380314555E-2</v>
      </c>
      <c r="W82" s="3"/>
      <c r="X82" s="7">
        <f t="shared" si="26"/>
        <v>0</v>
      </c>
      <c r="Y82" s="3"/>
      <c r="Z82" s="8">
        <f t="shared" si="27"/>
        <v>0</v>
      </c>
    </row>
    <row r="83" spans="1:26" s="69" customFormat="1" ht="15" customHeight="1" outlineLevel="1" collapsed="1" x14ac:dyDescent="0.3">
      <c r="A83" s="25"/>
      <c r="B83" s="14" t="str">
        <f>CONCATENATE("     ","Professional Services                             ")</f>
        <v xml:space="preserve">     Professional Services                             </v>
      </c>
      <c r="C83" s="14"/>
      <c r="D83" s="2">
        <f>SUM(OSRRefD22_11x_0)</f>
        <v>1050</v>
      </c>
      <c r="E83" s="2"/>
      <c r="F83" s="6">
        <f t="shared" si="20"/>
        <v>2.2028175210930794E-3</v>
      </c>
      <c r="G83" s="2"/>
      <c r="H83" s="2">
        <f>SUM(OSRRefH22_11x_0)</f>
        <v>0</v>
      </c>
      <c r="I83" s="2"/>
      <c r="J83" s="6">
        <f t="shared" si="21"/>
        <v>0</v>
      </c>
      <c r="K83" s="2"/>
      <c r="L83" s="2">
        <f t="shared" si="22"/>
        <v>1050</v>
      </c>
      <c r="M83" s="2"/>
      <c r="N83" s="6">
        <f t="shared" si="23"/>
        <v>0</v>
      </c>
      <c r="O83" s="14"/>
      <c r="P83" s="2">
        <f>SUM(OSRRefP22_11x_0)</f>
        <v>1947.64</v>
      </c>
      <c r="Q83" s="2"/>
      <c r="R83" s="6">
        <f t="shared" si="24"/>
        <v>6.5024049005839074E-4</v>
      </c>
      <c r="S83" s="2"/>
      <c r="T83" s="2">
        <f>SUM(OSRRefT22_11x_0)</f>
        <v>750</v>
      </c>
      <c r="U83" s="2"/>
      <c r="V83" s="6">
        <f t="shared" si="25"/>
        <v>3.407531189132974E-4</v>
      </c>
      <c r="W83" s="2"/>
      <c r="X83" s="2">
        <f t="shared" si="26"/>
        <v>1197.6400000000001</v>
      </c>
      <c r="Y83" s="2"/>
      <c r="Z83" s="6">
        <f t="shared" si="27"/>
        <v>1.5968533333333335</v>
      </c>
    </row>
    <row r="84" spans="1:26" s="70" customFormat="1" ht="15" hidden="1" customHeight="1" outlineLevel="2" x14ac:dyDescent="0.3">
      <c r="A84" s="26"/>
      <c r="B84" s="12" t="str">
        <f>CONCATENATE("          ","6336"," - ","PROFESSIONAL SERVICES")</f>
        <v xml:space="preserve">          6336 - PROFESSIONAL SERVICES</v>
      </c>
      <c r="C84" s="12"/>
      <c r="D84" s="7">
        <v>1050</v>
      </c>
      <c r="E84" s="3"/>
      <c r="F84" s="8">
        <f t="shared" si="20"/>
        <v>2.2028175210930794E-3</v>
      </c>
      <c r="G84" s="3"/>
      <c r="H84" s="7">
        <v>0</v>
      </c>
      <c r="I84" s="3"/>
      <c r="J84" s="8">
        <f t="shared" si="21"/>
        <v>0</v>
      </c>
      <c r="K84" s="3"/>
      <c r="L84" s="7">
        <f t="shared" si="22"/>
        <v>1050</v>
      </c>
      <c r="M84" s="3"/>
      <c r="N84" s="8">
        <f t="shared" si="23"/>
        <v>0</v>
      </c>
      <c r="O84" s="12"/>
      <c r="P84" s="7">
        <v>1947.64</v>
      </c>
      <c r="Q84" s="3"/>
      <c r="R84" s="8">
        <f t="shared" si="24"/>
        <v>6.5024049005839074E-4</v>
      </c>
      <c r="S84" s="3"/>
      <c r="T84" s="7">
        <v>750</v>
      </c>
      <c r="U84" s="3"/>
      <c r="V84" s="8">
        <f t="shared" si="25"/>
        <v>3.407531189132974E-4</v>
      </c>
      <c r="W84" s="3"/>
      <c r="X84" s="7">
        <f t="shared" si="26"/>
        <v>1197.6400000000001</v>
      </c>
      <c r="Y84" s="3"/>
      <c r="Z84" s="8">
        <f t="shared" si="27"/>
        <v>1.5968533333333335</v>
      </c>
    </row>
    <row r="85" spans="1:26" s="69" customFormat="1" ht="15" customHeight="1" outlineLevel="1" collapsed="1" x14ac:dyDescent="0.3">
      <c r="A85" s="25"/>
      <c r="B85" s="14" t="str">
        <f>CONCATENATE("     ","Repair and Maintenance                            ")</f>
        <v xml:space="preserve">     Repair and Maintenance                            </v>
      </c>
      <c r="C85" s="14"/>
      <c r="D85" s="2">
        <f>SUM(OSRRefD22_12x_0)</f>
        <v>0</v>
      </c>
      <c r="E85" s="2"/>
      <c r="F85" s="6">
        <f t="shared" si="20"/>
        <v>0</v>
      </c>
      <c r="G85" s="2"/>
      <c r="H85" s="2">
        <f>SUM(OSRRefH22_12x_0)</f>
        <v>0</v>
      </c>
      <c r="I85" s="2"/>
      <c r="J85" s="6">
        <f t="shared" si="21"/>
        <v>0</v>
      </c>
      <c r="K85" s="2"/>
      <c r="L85" s="2">
        <f t="shared" si="22"/>
        <v>0</v>
      </c>
      <c r="M85" s="2"/>
      <c r="N85" s="6">
        <f t="shared" si="23"/>
        <v>0</v>
      </c>
      <c r="O85" s="14"/>
      <c r="P85" s="2">
        <f>SUM(OSRRefP22_12x_0)</f>
        <v>1704.58</v>
      </c>
      <c r="Q85" s="2"/>
      <c r="R85" s="6">
        <f t="shared" si="24"/>
        <v>5.6909230378495595E-4</v>
      </c>
      <c r="S85" s="2"/>
      <c r="T85" s="2">
        <f>SUM(OSRRefT22_12x_0)</f>
        <v>0</v>
      </c>
      <c r="U85" s="2"/>
      <c r="V85" s="6">
        <f t="shared" si="25"/>
        <v>0</v>
      </c>
      <c r="W85" s="2"/>
      <c r="X85" s="2">
        <f t="shared" si="26"/>
        <v>1704.58</v>
      </c>
      <c r="Y85" s="2"/>
      <c r="Z85" s="6">
        <f t="shared" si="27"/>
        <v>0</v>
      </c>
    </row>
    <row r="86" spans="1:26" s="70" customFormat="1" ht="15" hidden="1" customHeight="1" outlineLevel="2" x14ac:dyDescent="0.3">
      <c r="A86" s="26"/>
      <c r="B86" s="12" t="str">
        <f>CONCATENATE("          ","6373"," - ","MAINTENANCE CONTRACTS")</f>
        <v xml:space="preserve">          6373 - MAINTENANCE CONTRACTS</v>
      </c>
      <c r="C86" s="12"/>
      <c r="D86" s="7"/>
      <c r="E86" s="3"/>
      <c r="F86" s="8">
        <f t="shared" si="20"/>
        <v>0</v>
      </c>
      <c r="G86" s="3"/>
      <c r="H86" s="7"/>
      <c r="I86" s="3"/>
      <c r="J86" s="8">
        <f t="shared" si="21"/>
        <v>0</v>
      </c>
      <c r="K86" s="3"/>
      <c r="L86" s="7">
        <f t="shared" si="22"/>
        <v>0</v>
      </c>
      <c r="M86" s="3"/>
      <c r="N86" s="8">
        <f t="shared" si="23"/>
        <v>0</v>
      </c>
      <c r="O86" s="12"/>
      <c r="P86" s="7">
        <v>17.739999999999998</v>
      </c>
      <c r="Q86" s="3"/>
      <c r="R86" s="8">
        <f t="shared" si="24"/>
        <v>5.9226891487317214E-6</v>
      </c>
      <c r="S86" s="3"/>
      <c r="T86" s="7"/>
      <c r="U86" s="3"/>
      <c r="V86" s="8">
        <f t="shared" si="25"/>
        <v>0</v>
      </c>
      <c r="W86" s="3"/>
      <c r="X86" s="7">
        <f t="shared" si="26"/>
        <v>17.739999999999998</v>
      </c>
      <c r="Y86" s="3"/>
      <c r="Z86" s="8">
        <f t="shared" si="27"/>
        <v>0</v>
      </c>
    </row>
    <row r="87" spans="1:26" s="70" customFormat="1" ht="15" hidden="1" customHeight="1" outlineLevel="2" x14ac:dyDescent="0.3">
      <c r="A87" s="26"/>
      <c r="B87" s="12" t="str">
        <f>CONCATENATE("          ","6375"," - ","OUTSIDE REPAIRS &amp; MAINTENANCE")</f>
        <v xml:space="preserve">          6375 - OUTSIDE REPAIRS &amp; MAINTENANCE</v>
      </c>
      <c r="C87" s="12"/>
      <c r="D87" s="7"/>
      <c r="E87" s="3"/>
      <c r="F87" s="8">
        <f t="shared" si="20"/>
        <v>0</v>
      </c>
      <c r="G87" s="3"/>
      <c r="H87" s="7">
        <v>0</v>
      </c>
      <c r="I87" s="3"/>
      <c r="J87" s="8">
        <f t="shared" si="21"/>
        <v>0</v>
      </c>
      <c r="K87" s="3"/>
      <c r="L87" s="7">
        <f t="shared" si="22"/>
        <v>0</v>
      </c>
      <c r="M87" s="3"/>
      <c r="N87" s="8">
        <f t="shared" si="23"/>
        <v>0</v>
      </c>
      <c r="O87" s="12"/>
      <c r="P87" s="7">
        <v>1686.84</v>
      </c>
      <c r="Q87" s="3"/>
      <c r="R87" s="8">
        <f t="shared" si="24"/>
        <v>5.6316961463622427E-4</v>
      </c>
      <c r="S87" s="3"/>
      <c r="T87" s="7">
        <v>0</v>
      </c>
      <c r="U87" s="3"/>
      <c r="V87" s="8">
        <f t="shared" si="25"/>
        <v>0</v>
      </c>
      <c r="W87" s="3"/>
      <c r="X87" s="7">
        <f t="shared" si="26"/>
        <v>1686.84</v>
      </c>
      <c r="Y87" s="3"/>
      <c r="Z87" s="8">
        <f t="shared" si="27"/>
        <v>0</v>
      </c>
    </row>
    <row r="88" spans="1:26" s="69" customFormat="1" ht="15" customHeight="1" outlineLevel="1" collapsed="1" x14ac:dyDescent="0.3">
      <c r="A88" s="25"/>
      <c r="B88" s="14" t="str">
        <f>CONCATENATE("     ","Royalty &amp; Commissions                             ")</f>
        <v xml:space="preserve">     Royalty &amp; Commissions                             </v>
      </c>
      <c r="C88" s="14"/>
      <c r="D88" s="2">
        <f>SUM(OSRRefD22_13x_0)</f>
        <v>0</v>
      </c>
      <c r="E88" s="2"/>
      <c r="F88" s="6">
        <f t="shared" si="20"/>
        <v>0</v>
      </c>
      <c r="G88" s="2"/>
      <c r="H88" s="2">
        <f>SUM(OSRRefH22_13x_0)</f>
        <v>2085</v>
      </c>
      <c r="I88" s="2"/>
      <c r="J88" s="6">
        <f t="shared" si="21"/>
        <v>9.081801550657723E-3</v>
      </c>
      <c r="K88" s="2"/>
      <c r="L88" s="2">
        <f t="shared" si="22"/>
        <v>-2085</v>
      </c>
      <c r="M88" s="2"/>
      <c r="N88" s="6">
        <f t="shared" si="23"/>
        <v>-1</v>
      </c>
      <c r="O88" s="14"/>
      <c r="P88" s="2">
        <f>SUM(OSRRefP22_13x_0)</f>
        <v>42730.310000000005</v>
      </c>
      <c r="Q88" s="2"/>
      <c r="R88" s="6">
        <f t="shared" si="24"/>
        <v>1.4265972004449979E-2</v>
      </c>
      <c r="S88" s="2"/>
      <c r="T88" s="2">
        <f>SUM(OSRRefT22_13x_0)</f>
        <v>39029</v>
      </c>
      <c r="U88" s="2"/>
      <c r="V88" s="6">
        <f t="shared" si="25"/>
        <v>1.7732337970756112E-2</v>
      </c>
      <c r="W88" s="2"/>
      <c r="X88" s="2">
        <f t="shared" si="26"/>
        <v>3701.3100000000049</v>
      </c>
      <c r="Y88" s="2"/>
      <c r="Z88" s="6">
        <f t="shared" si="27"/>
        <v>9.4834866381408825E-2</v>
      </c>
    </row>
    <row r="89" spans="1:26" s="70" customFormat="1" ht="15" hidden="1" customHeight="1" outlineLevel="2" x14ac:dyDescent="0.3">
      <c r="A89" s="26"/>
      <c r="B89" s="12" t="str">
        <f>CONCATENATE("          ","6252"," - ","ROYALTY DUE CSTV")</f>
        <v xml:space="preserve">          6252 - ROYALTY DUE CSTV</v>
      </c>
      <c r="C89" s="12"/>
      <c r="D89" s="7"/>
      <c r="E89" s="3"/>
      <c r="F89" s="8">
        <f t="shared" si="20"/>
        <v>0</v>
      </c>
      <c r="G89" s="3"/>
      <c r="H89" s="7">
        <v>1085</v>
      </c>
      <c r="I89" s="3"/>
      <c r="J89" s="8">
        <f t="shared" si="21"/>
        <v>4.7260214304381916E-3</v>
      </c>
      <c r="K89" s="3"/>
      <c r="L89" s="7">
        <f t="shared" si="22"/>
        <v>-1085</v>
      </c>
      <c r="M89" s="3"/>
      <c r="N89" s="8">
        <f t="shared" si="23"/>
        <v>-1</v>
      </c>
      <c r="O89" s="12"/>
      <c r="P89" s="7"/>
      <c r="Q89" s="3"/>
      <c r="R89" s="8">
        <f t="shared" si="24"/>
        <v>0</v>
      </c>
      <c r="S89" s="3"/>
      <c r="T89" s="7">
        <v>12582</v>
      </c>
      <c r="U89" s="3"/>
      <c r="V89" s="8">
        <f t="shared" si="25"/>
        <v>5.7164743228894773E-3</v>
      </c>
      <c r="W89" s="3"/>
      <c r="X89" s="7">
        <f t="shared" si="26"/>
        <v>-12582</v>
      </c>
      <c r="Y89" s="3"/>
      <c r="Z89" s="8">
        <f t="shared" si="27"/>
        <v>-1</v>
      </c>
    </row>
    <row r="90" spans="1:26" s="70" customFormat="1" ht="15" hidden="1" customHeight="1" outlineLevel="2" x14ac:dyDescent="0.3">
      <c r="A90" s="26"/>
      <c r="B90" s="12" t="str">
        <f>CONCATENATE("          ","6253"," - ","ROYALTY DUE ATHLETICS-LRG")</f>
        <v xml:space="preserve">          6253 - ROYALTY DUE ATHLETICS-LRG</v>
      </c>
      <c r="C90" s="12"/>
      <c r="D90" s="7"/>
      <c r="E90" s="3"/>
      <c r="F90" s="8">
        <f t="shared" si="20"/>
        <v>0</v>
      </c>
      <c r="G90" s="3"/>
      <c r="H90" s="7">
        <v>0</v>
      </c>
      <c r="I90" s="3"/>
      <c r="J90" s="8">
        <f t="shared" si="21"/>
        <v>0</v>
      </c>
      <c r="K90" s="3"/>
      <c r="L90" s="7">
        <f t="shared" si="22"/>
        <v>0</v>
      </c>
      <c r="M90" s="3"/>
      <c r="N90" s="8">
        <f t="shared" si="23"/>
        <v>0</v>
      </c>
      <c r="O90" s="12"/>
      <c r="P90" s="7">
        <v>39221.160000000003</v>
      </c>
      <c r="Q90" s="3"/>
      <c r="R90" s="8">
        <f t="shared" si="24"/>
        <v>1.3094404663622924E-2</v>
      </c>
      <c r="S90" s="3"/>
      <c r="T90" s="7">
        <v>23947</v>
      </c>
      <c r="U90" s="3"/>
      <c r="V90" s="8">
        <f t="shared" si="25"/>
        <v>1.0880019918155645E-2</v>
      </c>
      <c r="W90" s="3"/>
      <c r="X90" s="7">
        <f t="shared" si="26"/>
        <v>15274.160000000003</v>
      </c>
      <c r="Y90" s="3"/>
      <c r="Z90" s="8">
        <f t="shared" si="27"/>
        <v>0.63783187873220037</v>
      </c>
    </row>
    <row r="91" spans="1:26" s="70" customFormat="1" ht="15" hidden="1" customHeight="1" outlineLevel="2" x14ac:dyDescent="0.3">
      <c r="A91" s="26"/>
      <c r="B91" s="12" t="str">
        <f>CONCATENATE("          ","6254"," - ","ROYALTY &amp; COMMISSIONS")</f>
        <v xml:space="preserve">          6254 - ROYALTY &amp; COMMISSIONS</v>
      </c>
      <c r="C91" s="12"/>
      <c r="D91" s="7"/>
      <c r="E91" s="3"/>
      <c r="F91" s="8">
        <f t="shared" si="20"/>
        <v>0</v>
      </c>
      <c r="G91" s="3"/>
      <c r="H91" s="7">
        <v>1000</v>
      </c>
      <c r="I91" s="3"/>
      <c r="J91" s="8">
        <f t="shared" si="21"/>
        <v>4.3557801202195314E-3</v>
      </c>
      <c r="K91" s="3"/>
      <c r="L91" s="7">
        <f t="shared" si="22"/>
        <v>-1000</v>
      </c>
      <c r="M91" s="3"/>
      <c r="N91" s="8">
        <f t="shared" si="23"/>
        <v>-1</v>
      </c>
      <c r="O91" s="12"/>
      <c r="P91" s="7">
        <v>3509.15</v>
      </c>
      <c r="Q91" s="3"/>
      <c r="R91" s="8">
        <f t="shared" si="24"/>
        <v>1.1715673408270531E-3</v>
      </c>
      <c r="S91" s="3"/>
      <c r="T91" s="7">
        <v>2500</v>
      </c>
      <c r="U91" s="3"/>
      <c r="V91" s="8">
        <f t="shared" si="25"/>
        <v>1.1358437297109914E-3</v>
      </c>
      <c r="W91" s="3"/>
      <c r="X91" s="7">
        <f t="shared" si="26"/>
        <v>1009.1500000000001</v>
      </c>
      <c r="Y91" s="3"/>
      <c r="Z91" s="8">
        <f t="shared" si="27"/>
        <v>0.40366000000000002</v>
      </c>
    </row>
    <row r="92" spans="1:26" s="69" customFormat="1" ht="15" customHeight="1" outlineLevel="1" collapsed="1" x14ac:dyDescent="0.3">
      <c r="A92" s="25"/>
      <c r="B92" s="14" t="str">
        <f>CONCATENATE("     ","Subscriptions &amp; Dues                              ")</f>
        <v xml:space="preserve">     Subscriptions &amp; Dues                              </v>
      </c>
      <c r="C92" s="14"/>
      <c r="D92" s="2">
        <f>SUM(OSRRefD22_14x_0)</f>
        <v>125</v>
      </c>
      <c r="E92" s="2"/>
      <c r="F92" s="6">
        <f t="shared" si="20"/>
        <v>2.6224018108250946E-4</v>
      </c>
      <c r="G92" s="2"/>
      <c r="H92" s="2">
        <f>SUM(OSRRefH22_14x_0)</f>
        <v>100</v>
      </c>
      <c r="I92" s="2"/>
      <c r="J92" s="6">
        <f t="shared" si="21"/>
        <v>4.3557801202195314E-4</v>
      </c>
      <c r="K92" s="2"/>
      <c r="L92" s="2">
        <f t="shared" si="22"/>
        <v>25</v>
      </c>
      <c r="M92" s="2"/>
      <c r="N92" s="6">
        <f t="shared" si="23"/>
        <v>0.25</v>
      </c>
      <c r="O92" s="14"/>
      <c r="P92" s="2">
        <f>SUM(OSRRefP22_14x_0)</f>
        <v>125</v>
      </c>
      <c r="Q92" s="2"/>
      <c r="R92" s="6">
        <f t="shared" si="24"/>
        <v>4.1732589830409544E-5</v>
      </c>
      <c r="S92" s="2"/>
      <c r="T92" s="2">
        <f>SUM(OSRRefT22_14x_0)</f>
        <v>1300</v>
      </c>
      <c r="U92" s="2"/>
      <c r="V92" s="6">
        <f t="shared" si="25"/>
        <v>5.9063873944971554E-4</v>
      </c>
      <c r="W92" s="2"/>
      <c r="X92" s="2">
        <f t="shared" si="26"/>
        <v>-1175</v>
      </c>
      <c r="Y92" s="2"/>
      <c r="Z92" s="6">
        <f t="shared" si="27"/>
        <v>-0.90384615384615385</v>
      </c>
    </row>
    <row r="93" spans="1:26" s="70" customFormat="1" ht="15" hidden="1" customHeight="1" outlineLevel="2" x14ac:dyDescent="0.3">
      <c r="A93" s="26"/>
      <c r="B93" s="12" t="str">
        <f>CONCATENATE("          ","6258"," - ","MEMBERSHIP DUES")</f>
        <v xml:space="preserve">          6258 - MEMBERSHIP DUES</v>
      </c>
      <c r="C93" s="12"/>
      <c r="D93" s="7">
        <v>125</v>
      </c>
      <c r="E93" s="3"/>
      <c r="F93" s="8">
        <f t="shared" si="20"/>
        <v>2.6224018108250946E-4</v>
      </c>
      <c r="G93" s="3"/>
      <c r="H93" s="7">
        <v>0</v>
      </c>
      <c r="I93" s="3"/>
      <c r="J93" s="8">
        <f t="shared" si="21"/>
        <v>0</v>
      </c>
      <c r="K93" s="3"/>
      <c r="L93" s="7">
        <f t="shared" si="22"/>
        <v>125</v>
      </c>
      <c r="M93" s="3"/>
      <c r="N93" s="8">
        <f t="shared" si="23"/>
        <v>0</v>
      </c>
      <c r="O93" s="12"/>
      <c r="P93" s="7">
        <v>125</v>
      </c>
      <c r="Q93" s="3"/>
      <c r="R93" s="8">
        <f t="shared" si="24"/>
        <v>4.1732589830409544E-5</v>
      </c>
      <c r="S93" s="3"/>
      <c r="T93" s="7">
        <v>1000</v>
      </c>
      <c r="U93" s="3"/>
      <c r="V93" s="8">
        <f t="shared" si="25"/>
        <v>4.5433749188439657E-4</v>
      </c>
      <c r="W93" s="3"/>
      <c r="X93" s="7">
        <f t="shared" si="26"/>
        <v>-875</v>
      </c>
      <c r="Y93" s="3"/>
      <c r="Z93" s="8">
        <f t="shared" si="27"/>
        <v>-0.875</v>
      </c>
    </row>
    <row r="94" spans="1:26" s="70" customFormat="1" ht="15" hidden="1" customHeight="1" outlineLevel="2" x14ac:dyDescent="0.3">
      <c r="A94" s="26"/>
      <c r="B94" s="12" t="str">
        <f>CONCATENATE("          ","6275"," - ","SUBSCRIPTIONS")</f>
        <v xml:space="preserve">          6275 - SUBSCRIPTIONS</v>
      </c>
      <c r="C94" s="12"/>
      <c r="D94" s="7"/>
      <c r="E94" s="3"/>
      <c r="F94" s="8">
        <f t="shared" si="20"/>
        <v>0</v>
      </c>
      <c r="G94" s="3"/>
      <c r="H94" s="7">
        <v>100</v>
      </c>
      <c r="I94" s="3"/>
      <c r="J94" s="8">
        <f t="shared" si="21"/>
        <v>4.3557801202195314E-4</v>
      </c>
      <c r="K94" s="3"/>
      <c r="L94" s="7">
        <f t="shared" si="22"/>
        <v>-100</v>
      </c>
      <c r="M94" s="3"/>
      <c r="N94" s="8">
        <f t="shared" si="23"/>
        <v>-1</v>
      </c>
      <c r="O94" s="12"/>
      <c r="P94" s="7"/>
      <c r="Q94" s="3"/>
      <c r="R94" s="8">
        <f t="shared" si="24"/>
        <v>0</v>
      </c>
      <c r="S94" s="3"/>
      <c r="T94" s="7">
        <v>300</v>
      </c>
      <c r="U94" s="3"/>
      <c r="V94" s="8">
        <f t="shared" si="25"/>
        <v>1.3630124756531896E-4</v>
      </c>
      <c r="W94" s="3"/>
      <c r="X94" s="7">
        <f t="shared" si="26"/>
        <v>-300</v>
      </c>
      <c r="Y94" s="3"/>
      <c r="Z94" s="8">
        <f t="shared" si="27"/>
        <v>-1</v>
      </c>
    </row>
    <row r="95" spans="1:26" s="69" customFormat="1" ht="15" customHeight="1" outlineLevel="1" collapsed="1" x14ac:dyDescent="0.3">
      <c r="A95" s="25"/>
      <c r="B95" s="14" t="str">
        <f>CONCATENATE("     ","Supplies                                          ")</f>
        <v xml:space="preserve">     Supplies                                          </v>
      </c>
      <c r="C95" s="14"/>
      <c r="D95" s="2">
        <f>SUM(OSRRefD22_15x_0)</f>
        <v>317.47000000000003</v>
      </c>
      <c r="E95" s="2"/>
      <c r="F95" s="6">
        <f t="shared" si="20"/>
        <v>6.6602712230611426E-4</v>
      </c>
      <c r="G95" s="2"/>
      <c r="H95" s="2">
        <f>SUM(OSRRefH22_15x_0)</f>
        <v>75</v>
      </c>
      <c r="I95" s="2"/>
      <c r="J95" s="6">
        <f t="shared" si="21"/>
        <v>3.2668350901646486E-4</v>
      </c>
      <c r="K95" s="2"/>
      <c r="L95" s="2">
        <f t="shared" si="22"/>
        <v>242.47000000000003</v>
      </c>
      <c r="M95" s="2"/>
      <c r="N95" s="6">
        <f t="shared" si="23"/>
        <v>3.2329333333333339</v>
      </c>
      <c r="O95" s="14"/>
      <c r="P95" s="2">
        <f>SUM(OSRRefP22_15x_0)</f>
        <v>8477.69</v>
      </c>
      <c r="Q95" s="2"/>
      <c r="R95" s="6">
        <f t="shared" si="24"/>
        <v>2.8303676758349174E-3</v>
      </c>
      <c r="S95" s="2"/>
      <c r="T95" s="2">
        <f>SUM(OSRRefT22_15x_0)</f>
        <v>675</v>
      </c>
      <c r="U95" s="2"/>
      <c r="V95" s="6">
        <f t="shared" si="25"/>
        <v>3.0667780702196769E-4</v>
      </c>
      <c r="W95" s="2"/>
      <c r="X95" s="2">
        <f t="shared" si="26"/>
        <v>7802.6900000000005</v>
      </c>
      <c r="Y95" s="2"/>
      <c r="Z95" s="6">
        <f t="shared" si="27"/>
        <v>11.559540740740742</v>
      </c>
    </row>
    <row r="96" spans="1:26" s="70" customFormat="1" ht="15" hidden="1" customHeight="1" outlineLevel="2" x14ac:dyDescent="0.3">
      <c r="A96" s="26"/>
      <c r="B96" s="12" t="str">
        <f>CONCATENATE("          ","6235"," - ","COVID-19 EXPENSES")</f>
        <v xml:space="preserve">          6235 - COVID-19 EXPENSES</v>
      </c>
      <c r="C96" s="12"/>
      <c r="D96" s="7"/>
      <c r="E96" s="3"/>
      <c r="F96" s="8">
        <f t="shared" si="20"/>
        <v>0</v>
      </c>
      <c r="G96" s="3"/>
      <c r="H96" s="7">
        <v>0</v>
      </c>
      <c r="I96" s="3"/>
      <c r="J96" s="8">
        <f t="shared" si="21"/>
        <v>0</v>
      </c>
      <c r="K96" s="3"/>
      <c r="L96" s="7">
        <f t="shared" si="22"/>
        <v>0</v>
      </c>
      <c r="M96" s="3"/>
      <c r="N96" s="8">
        <f t="shared" si="23"/>
        <v>0</v>
      </c>
      <c r="O96" s="12"/>
      <c r="P96" s="7"/>
      <c r="Q96" s="3"/>
      <c r="R96" s="8">
        <f t="shared" si="24"/>
        <v>0</v>
      </c>
      <c r="S96" s="3"/>
      <c r="T96" s="7">
        <v>0</v>
      </c>
      <c r="U96" s="3"/>
      <c r="V96" s="8">
        <f t="shared" si="25"/>
        <v>0</v>
      </c>
      <c r="W96" s="3"/>
      <c r="X96" s="7">
        <f t="shared" si="26"/>
        <v>0</v>
      </c>
      <c r="Y96" s="3"/>
      <c r="Z96" s="8">
        <f t="shared" si="27"/>
        <v>0</v>
      </c>
    </row>
    <row r="97" spans="1:26" s="70" customFormat="1" ht="15" hidden="1" customHeight="1" outlineLevel="2" x14ac:dyDescent="0.3">
      <c r="A97" s="26"/>
      <c r="B97" s="12" t="str">
        <f>CONCATENATE("          ","6241"," - ","OFFICE EXPENSE")</f>
        <v xml:space="preserve">          6241 - OFFICE EXPENSE</v>
      </c>
      <c r="C97" s="12"/>
      <c r="D97" s="7">
        <v>253.69</v>
      </c>
      <c r="E97" s="3"/>
      <c r="F97" s="8">
        <f t="shared" si="20"/>
        <v>5.3222169231057458E-4</v>
      </c>
      <c r="G97" s="3"/>
      <c r="H97" s="7">
        <v>25</v>
      </c>
      <c r="I97" s="3"/>
      <c r="J97" s="8">
        <f t="shared" si="21"/>
        <v>1.0889450300548829E-4</v>
      </c>
      <c r="K97" s="3"/>
      <c r="L97" s="7">
        <f t="shared" si="22"/>
        <v>228.69</v>
      </c>
      <c r="M97" s="3"/>
      <c r="N97" s="8">
        <f t="shared" si="23"/>
        <v>9.1476000000000006</v>
      </c>
      <c r="O97" s="12"/>
      <c r="P97" s="7">
        <v>1917</v>
      </c>
      <c r="Q97" s="3"/>
      <c r="R97" s="8">
        <f t="shared" si="24"/>
        <v>6.4001099763916073E-4</v>
      </c>
      <c r="S97" s="3"/>
      <c r="T97" s="7">
        <v>225</v>
      </c>
      <c r="U97" s="3"/>
      <c r="V97" s="8">
        <f t="shared" si="25"/>
        <v>1.0222593567398922E-4</v>
      </c>
      <c r="W97" s="3"/>
      <c r="X97" s="7">
        <f t="shared" si="26"/>
        <v>1692</v>
      </c>
      <c r="Y97" s="3"/>
      <c r="Z97" s="8">
        <f t="shared" si="27"/>
        <v>7.52</v>
      </c>
    </row>
    <row r="98" spans="1:26" s="70" customFormat="1" ht="15" hidden="1" customHeight="1" outlineLevel="2" x14ac:dyDescent="0.3">
      <c r="A98" s="26"/>
      <c r="B98" s="12" t="str">
        <f>CONCATENATE("          ","6245"," - ","PRINTING")</f>
        <v xml:space="preserve">          6245 - PRINTING</v>
      </c>
      <c r="C98" s="12"/>
      <c r="D98" s="7">
        <v>10.8</v>
      </c>
      <c r="E98" s="3"/>
      <c r="F98" s="8">
        <f t="shared" si="20"/>
        <v>2.2657551645528817E-5</v>
      </c>
      <c r="G98" s="3"/>
      <c r="H98" s="7"/>
      <c r="I98" s="3"/>
      <c r="J98" s="8">
        <f t="shared" si="21"/>
        <v>0</v>
      </c>
      <c r="K98" s="3"/>
      <c r="L98" s="7">
        <f t="shared" si="22"/>
        <v>10.8</v>
      </c>
      <c r="M98" s="3"/>
      <c r="N98" s="8">
        <f t="shared" si="23"/>
        <v>0</v>
      </c>
      <c r="O98" s="12"/>
      <c r="P98" s="7">
        <v>35.549999999999997</v>
      </c>
      <c r="Q98" s="3"/>
      <c r="R98" s="8">
        <f t="shared" si="24"/>
        <v>1.1868748547768472E-5</v>
      </c>
      <c r="S98" s="3"/>
      <c r="T98" s="7"/>
      <c r="U98" s="3"/>
      <c r="V98" s="8">
        <f t="shared" si="25"/>
        <v>0</v>
      </c>
      <c r="W98" s="3"/>
      <c r="X98" s="7">
        <f t="shared" si="26"/>
        <v>35.549999999999997</v>
      </c>
      <c r="Y98" s="3"/>
      <c r="Z98" s="8">
        <f t="shared" si="27"/>
        <v>0</v>
      </c>
    </row>
    <row r="99" spans="1:26" s="70" customFormat="1" ht="15" hidden="1" customHeight="1" outlineLevel="2" x14ac:dyDescent="0.3">
      <c r="A99" s="26"/>
      <c r="B99" s="12" t="str">
        <f>CONCATENATE("          ","6247"," - ","STORE SUPPLIES")</f>
        <v xml:space="preserve">          6247 - STORE SUPPLIES</v>
      </c>
      <c r="C99" s="12"/>
      <c r="D99" s="7">
        <v>52.98</v>
      </c>
      <c r="E99" s="3"/>
      <c r="F99" s="8">
        <f t="shared" si="20"/>
        <v>1.1114787835001079E-4</v>
      </c>
      <c r="G99" s="3"/>
      <c r="H99" s="7">
        <v>50</v>
      </c>
      <c r="I99" s="3"/>
      <c r="J99" s="8">
        <f t="shared" si="21"/>
        <v>2.1778900601097657E-4</v>
      </c>
      <c r="K99" s="3"/>
      <c r="L99" s="7">
        <f t="shared" si="22"/>
        <v>2.9799999999999969</v>
      </c>
      <c r="M99" s="3"/>
      <c r="N99" s="8">
        <f t="shared" si="23"/>
        <v>5.9599999999999938E-2</v>
      </c>
      <c r="O99" s="12"/>
      <c r="P99" s="7">
        <v>6525.14</v>
      </c>
      <c r="Q99" s="3"/>
      <c r="R99" s="8">
        <f t="shared" si="24"/>
        <v>2.1784879296479881E-3</v>
      </c>
      <c r="S99" s="3"/>
      <c r="T99" s="7">
        <v>450</v>
      </c>
      <c r="U99" s="3"/>
      <c r="V99" s="8">
        <f t="shared" si="25"/>
        <v>2.0445187134797844E-4</v>
      </c>
      <c r="W99" s="3"/>
      <c r="X99" s="7">
        <f t="shared" si="26"/>
        <v>6075.14</v>
      </c>
      <c r="Y99" s="3"/>
      <c r="Z99" s="8">
        <f t="shared" si="27"/>
        <v>13.500311111111111</v>
      </c>
    </row>
    <row r="100" spans="1:26" s="69" customFormat="1" ht="15" customHeight="1" outlineLevel="1" collapsed="1" x14ac:dyDescent="0.3">
      <c r="A100" s="25"/>
      <c r="B100" s="14" t="str">
        <f>CONCATENATE("     ","Telephone/Data Lines                              ")</f>
        <v xml:space="preserve">     Telephone/Data Lines                              </v>
      </c>
      <c r="C100" s="14"/>
      <c r="D100" s="2">
        <f>SUM(OSRRefD22_16x_0)</f>
        <v>226.4</v>
      </c>
      <c r="E100" s="2"/>
      <c r="F100" s="6">
        <f t="shared" si="20"/>
        <v>4.749694159766411E-4</v>
      </c>
      <c r="G100" s="2"/>
      <c r="H100" s="2">
        <f>SUM(OSRRefH22_16x_0)</f>
        <v>300</v>
      </c>
      <c r="I100" s="2"/>
      <c r="J100" s="6">
        <f t="shared" si="21"/>
        <v>1.3067340360658594E-3</v>
      </c>
      <c r="K100" s="2"/>
      <c r="L100" s="2">
        <f t="shared" si="22"/>
        <v>-73.599999999999994</v>
      </c>
      <c r="M100" s="2"/>
      <c r="N100" s="6">
        <f t="shared" si="23"/>
        <v>-0.24533333333333332</v>
      </c>
      <c r="O100" s="14"/>
      <c r="P100" s="2">
        <f>SUM(OSRRefP22_16x_0)</f>
        <v>1878.25</v>
      </c>
      <c r="Q100" s="2"/>
      <c r="R100" s="6">
        <f t="shared" si="24"/>
        <v>6.2707389479173378E-4</v>
      </c>
      <c r="S100" s="2"/>
      <c r="T100" s="2">
        <f>SUM(OSRRefT22_16x_0)</f>
        <v>2700</v>
      </c>
      <c r="U100" s="2"/>
      <c r="V100" s="6">
        <f t="shared" si="25"/>
        <v>1.2267112280878708E-3</v>
      </c>
      <c r="W100" s="2"/>
      <c r="X100" s="2">
        <f t="shared" si="26"/>
        <v>-821.75</v>
      </c>
      <c r="Y100" s="2"/>
      <c r="Z100" s="6">
        <f t="shared" si="27"/>
        <v>-0.30435185185185187</v>
      </c>
    </row>
    <row r="101" spans="1:26" s="70" customFormat="1" ht="15" hidden="1" customHeight="1" outlineLevel="2" x14ac:dyDescent="0.3">
      <c r="A101" s="26"/>
      <c r="B101" s="12" t="str">
        <f>CONCATENATE("          ","6309"," - ","TELEPHONE")</f>
        <v xml:space="preserve">          6309 - TELEPHONE</v>
      </c>
      <c r="C101" s="12"/>
      <c r="D101" s="7">
        <v>226.4</v>
      </c>
      <c r="E101" s="3"/>
      <c r="F101" s="8">
        <f t="shared" si="20"/>
        <v>4.749694159766411E-4</v>
      </c>
      <c r="G101" s="3"/>
      <c r="H101" s="7">
        <v>300</v>
      </c>
      <c r="I101" s="3"/>
      <c r="J101" s="8">
        <f t="shared" si="21"/>
        <v>1.3067340360658594E-3</v>
      </c>
      <c r="K101" s="3"/>
      <c r="L101" s="7">
        <f t="shared" si="22"/>
        <v>-73.599999999999994</v>
      </c>
      <c r="M101" s="3"/>
      <c r="N101" s="8">
        <f t="shared" si="23"/>
        <v>-0.24533333333333332</v>
      </c>
      <c r="O101" s="12"/>
      <c r="P101" s="7">
        <v>1878.25</v>
      </c>
      <c r="Q101" s="3"/>
      <c r="R101" s="8">
        <f t="shared" si="24"/>
        <v>6.2707389479173378E-4</v>
      </c>
      <c r="S101" s="3"/>
      <c r="T101" s="7">
        <v>2700</v>
      </c>
      <c r="U101" s="3"/>
      <c r="V101" s="8">
        <f t="shared" si="25"/>
        <v>1.2267112280878708E-3</v>
      </c>
      <c r="W101" s="3"/>
      <c r="X101" s="7">
        <f t="shared" si="26"/>
        <v>-821.75</v>
      </c>
      <c r="Y101" s="3"/>
      <c r="Z101" s="8">
        <f t="shared" si="27"/>
        <v>-0.30435185185185187</v>
      </c>
    </row>
    <row r="102" spans="1:26" s="69" customFormat="1" ht="15" customHeight="1" outlineLevel="1" collapsed="1" x14ac:dyDescent="0.3">
      <c r="A102" s="25"/>
      <c r="B102" s="14" t="str">
        <f>CONCATENATE("     ","Training                                          ")</f>
        <v xml:space="preserve">     Training                                          </v>
      </c>
      <c r="C102" s="14"/>
      <c r="D102" s="2">
        <f>SUM(OSRRefD22_17x_0)</f>
        <v>0</v>
      </c>
      <c r="E102" s="2"/>
      <c r="F102" s="6">
        <f t="shared" si="20"/>
        <v>0</v>
      </c>
      <c r="G102" s="2"/>
      <c r="H102" s="2">
        <f>SUM(OSRRefH22_17x_0)</f>
        <v>0</v>
      </c>
      <c r="I102" s="2"/>
      <c r="J102" s="6">
        <f t="shared" si="21"/>
        <v>0</v>
      </c>
      <c r="K102" s="2"/>
      <c r="L102" s="2">
        <f t="shared" si="22"/>
        <v>0</v>
      </c>
      <c r="M102" s="2"/>
      <c r="N102" s="6">
        <f t="shared" si="23"/>
        <v>0</v>
      </c>
      <c r="O102" s="14"/>
      <c r="P102" s="2">
        <f>SUM(OSRRefP22_17x_0)</f>
        <v>300</v>
      </c>
      <c r="Q102" s="2"/>
      <c r="R102" s="6">
        <f t="shared" si="24"/>
        <v>1.001582155929829E-4</v>
      </c>
      <c r="S102" s="2"/>
      <c r="T102" s="2">
        <f>SUM(OSRRefT22_17x_0)</f>
        <v>0</v>
      </c>
      <c r="U102" s="2"/>
      <c r="V102" s="6">
        <f t="shared" si="25"/>
        <v>0</v>
      </c>
      <c r="W102" s="2"/>
      <c r="X102" s="2">
        <f t="shared" si="26"/>
        <v>300</v>
      </c>
      <c r="Y102" s="2"/>
      <c r="Z102" s="6">
        <f t="shared" si="27"/>
        <v>0</v>
      </c>
    </row>
    <row r="103" spans="1:26" s="70" customFormat="1" ht="15" hidden="1" customHeight="1" outlineLevel="2" x14ac:dyDescent="0.3">
      <c r="A103" s="26"/>
      <c r="B103" s="12" t="str">
        <f>CONCATENATE("          ","6376"," - ","TRAINING")</f>
        <v xml:space="preserve">          6376 - TRAINING</v>
      </c>
      <c r="C103" s="12"/>
      <c r="D103" s="7"/>
      <c r="E103" s="3"/>
      <c r="F103" s="8">
        <f t="shared" si="20"/>
        <v>0</v>
      </c>
      <c r="G103" s="3"/>
      <c r="H103" s="7"/>
      <c r="I103" s="3"/>
      <c r="J103" s="8">
        <f t="shared" si="21"/>
        <v>0</v>
      </c>
      <c r="K103" s="3"/>
      <c r="L103" s="7">
        <f t="shared" si="22"/>
        <v>0</v>
      </c>
      <c r="M103" s="3"/>
      <c r="N103" s="8">
        <f t="shared" si="23"/>
        <v>0</v>
      </c>
      <c r="O103" s="12"/>
      <c r="P103" s="7">
        <v>300</v>
      </c>
      <c r="Q103" s="3"/>
      <c r="R103" s="8">
        <f t="shared" si="24"/>
        <v>1.001582155929829E-4</v>
      </c>
      <c r="S103" s="3"/>
      <c r="T103" s="7"/>
      <c r="U103" s="3"/>
      <c r="V103" s="8">
        <f t="shared" si="25"/>
        <v>0</v>
      </c>
      <c r="W103" s="3"/>
      <c r="X103" s="7">
        <f t="shared" si="26"/>
        <v>300</v>
      </c>
      <c r="Y103" s="3"/>
      <c r="Z103" s="8">
        <f t="shared" si="27"/>
        <v>0</v>
      </c>
    </row>
    <row r="104" spans="1:26" s="69" customFormat="1" ht="15" customHeight="1" outlineLevel="1" collapsed="1" x14ac:dyDescent="0.3">
      <c r="A104" s="25"/>
      <c r="B104" s="14" t="str">
        <f>CONCATENATE("     ","Travel                                            ")</f>
        <v xml:space="preserve">     Travel                                            </v>
      </c>
      <c r="C104" s="14"/>
      <c r="D104" s="2">
        <f>SUM(OSRRefD22_18x_0)</f>
        <v>37.07</v>
      </c>
      <c r="E104" s="2"/>
      <c r="F104" s="6">
        <f t="shared" si="20"/>
        <v>7.7769948101829E-5</v>
      </c>
      <c r="G104" s="2"/>
      <c r="H104" s="2">
        <f>SUM(OSRRefH22_18x_0)</f>
        <v>25</v>
      </c>
      <c r="I104" s="2"/>
      <c r="J104" s="6">
        <f t="shared" si="21"/>
        <v>1.0889450300548829E-4</v>
      </c>
      <c r="K104" s="2"/>
      <c r="L104" s="2">
        <f t="shared" si="22"/>
        <v>12.07</v>
      </c>
      <c r="M104" s="2"/>
      <c r="N104" s="6">
        <f t="shared" si="23"/>
        <v>0.48280000000000001</v>
      </c>
      <c r="O104" s="14"/>
      <c r="P104" s="2">
        <f>SUM(OSRRefP22_18x_0)</f>
        <v>77.39</v>
      </c>
      <c r="Q104" s="2"/>
      <c r="R104" s="6">
        <f t="shared" si="24"/>
        <v>2.5837481015803154E-5</v>
      </c>
      <c r="S104" s="2"/>
      <c r="T104" s="2">
        <f>SUM(OSRRefT22_18x_0)</f>
        <v>225</v>
      </c>
      <c r="U104" s="2"/>
      <c r="V104" s="6">
        <f t="shared" si="25"/>
        <v>1.0222593567398922E-4</v>
      </c>
      <c r="W104" s="2"/>
      <c r="X104" s="2">
        <f t="shared" si="26"/>
        <v>-147.61000000000001</v>
      </c>
      <c r="Y104" s="2"/>
      <c r="Z104" s="6">
        <f t="shared" si="27"/>
        <v>-0.65604444444444454</v>
      </c>
    </row>
    <row r="105" spans="1:26" s="70" customFormat="1" ht="15" hidden="1" customHeight="1" outlineLevel="2" x14ac:dyDescent="0.3">
      <c r="A105" s="26"/>
      <c r="B105" s="12" t="str">
        <f>CONCATENATE("          ","6294"," - ","TRAVEL OPERATIONAL")</f>
        <v xml:space="preserve">          6294 - TRAVEL OPERATIONAL</v>
      </c>
      <c r="C105" s="12"/>
      <c r="D105" s="7">
        <v>37.07</v>
      </c>
      <c r="E105" s="3"/>
      <c r="F105" s="8">
        <f t="shared" si="20"/>
        <v>7.7769948101829E-5</v>
      </c>
      <c r="G105" s="3"/>
      <c r="H105" s="7">
        <v>25</v>
      </c>
      <c r="I105" s="3"/>
      <c r="J105" s="8">
        <f t="shared" si="21"/>
        <v>1.0889450300548829E-4</v>
      </c>
      <c r="K105" s="3"/>
      <c r="L105" s="7">
        <f t="shared" si="22"/>
        <v>12.07</v>
      </c>
      <c r="M105" s="3"/>
      <c r="N105" s="8">
        <f t="shared" si="23"/>
        <v>0.48280000000000001</v>
      </c>
      <c r="O105" s="12"/>
      <c r="P105" s="7">
        <v>77.39</v>
      </c>
      <c r="Q105" s="3"/>
      <c r="R105" s="8">
        <f t="shared" si="24"/>
        <v>2.5837481015803154E-5</v>
      </c>
      <c r="S105" s="3"/>
      <c r="T105" s="7">
        <v>225</v>
      </c>
      <c r="U105" s="3"/>
      <c r="V105" s="8">
        <f t="shared" si="25"/>
        <v>1.0222593567398922E-4</v>
      </c>
      <c r="W105" s="3"/>
      <c r="X105" s="7">
        <f t="shared" si="26"/>
        <v>-147.61000000000001</v>
      </c>
      <c r="Y105" s="3"/>
      <c r="Z105" s="8">
        <f t="shared" si="27"/>
        <v>-0.65604444444444454</v>
      </c>
    </row>
    <row r="106" spans="1:26" s="65" customFormat="1" ht="15" customHeight="1" x14ac:dyDescent="0.3">
      <c r="A106" s="35"/>
      <c r="B106" s="35"/>
      <c r="C106" s="35"/>
      <c r="D106" s="2"/>
      <c r="E106" s="2"/>
      <c r="F106" s="6"/>
      <c r="G106" s="2"/>
      <c r="H106" s="2"/>
      <c r="I106" s="2"/>
      <c r="J106" s="6"/>
      <c r="K106" s="2"/>
      <c r="L106" s="2"/>
      <c r="M106" s="2"/>
      <c r="N106" s="6"/>
      <c r="O106" s="35"/>
      <c r="P106" s="2"/>
      <c r="Q106" s="2"/>
      <c r="R106" s="6"/>
      <c r="S106" s="2"/>
      <c r="T106" s="2"/>
      <c r="U106" s="2"/>
      <c r="V106" s="6"/>
      <c r="W106" s="2"/>
      <c r="X106" s="2"/>
      <c r="Y106" s="2"/>
      <c r="Z106" s="6"/>
    </row>
    <row r="107" spans="1:26" s="63" customFormat="1" ht="15" customHeight="1" collapsed="1" x14ac:dyDescent="0.3">
      <c r="A107" s="11"/>
      <c r="B107" s="28" t="s">
        <v>291</v>
      </c>
      <c r="C107" s="11"/>
      <c r="D107" s="5">
        <f>SUM(OSRRefD25x_0)</f>
        <v>175055</v>
      </c>
      <c r="E107" s="5"/>
      <c r="F107" s="13">
        <f>IF(D$12=0,0,D107/D$12)</f>
        <v>0.36725163919518955</v>
      </c>
      <c r="G107" s="5"/>
      <c r="H107" s="5">
        <f>SUM(OSRRefH25x_0)</f>
        <v>58333</v>
      </c>
      <c r="I107" s="5"/>
      <c r="J107" s="13">
        <f>IF(H$12=0,0,H107/H$12)</f>
        <v>0.25408572175276595</v>
      </c>
      <c r="K107" s="5"/>
      <c r="L107" s="5">
        <f>+D107-H107</f>
        <v>116722</v>
      </c>
      <c r="M107" s="5"/>
      <c r="N107" s="13">
        <f>IF(H107=0,0,L107/H107)</f>
        <v>2.0009600054857457</v>
      </c>
      <c r="O107" s="11"/>
      <c r="P107" s="5">
        <f>SUM(OSRRefP25x_0)</f>
        <v>333702.37</v>
      </c>
      <c r="Q107" s="5"/>
      <c r="R107" s="13">
        <f>IF(P$12=0,0,P107/P$12)</f>
        <v>0.1114101130611645</v>
      </c>
      <c r="S107" s="5"/>
      <c r="T107" s="5">
        <f>SUM(OSRRefT25x_0)</f>
        <v>164561</v>
      </c>
      <c r="U107" s="5"/>
      <c r="V107" s="13">
        <f>IF(T$12=0,0,T107/T$12)</f>
        <v>7.4766232001988175E-2</v>
      </c>
      <c r="W107" s="5"/>
      <c r="X107" s="5">
        <f>+P107-T107</f>
        <v>169141.37</v>
      </c>
      <c r="Y107" s="5"/>
      <c r="Z107" s="13">
        <f>IF(T107=0,0,X107/T107)</f>
        <v>1.0278338731534202</v>
      </c>
    </row>
    <row r="108" spans="1:26" s="70" customFormat="1" ht="15" hidden="1" customHeight="1" outlineLevel="1" x14ac:dyDescent="0.3">
      <c r="A108" s="42"/>
      <c r="B108" s="12" t="str">
        <f>CONCATENATE("          ","9150"," - ","MISC. INCOME")</f>
        <v xml:space="preserve">          9150 - MISC. INCOME</v>
      </c>
      <c r="C108" s="12"/>
      <c r="D108" s="3">
        <f>0</f>
        <v>0</v>
      </c>
      <c r="E108" s="3"/>
      <c r="F108" s="20">
        <f>IF(D$12=0,0,D108/D$12)</f>
        <v>0</v>
      </c>
      <c r="G108" s="3"/>
      <c r="H108" s="3">
        <v>0</v>
      </c>
      <c r="I108" s="3"/>
      <c r="J108" s="20">
        <f>IF(H$12=0,0,H108/H$12)</f>
        <v>0</v>
      </c>
      <c r="K108" s="3"/>
      <c r="L108" s="3">
        <f>+D108-H108</f>
        <v>0</v>
      </c>
      <c r="M108" s="3"/>
      <c r="N108" s="20">
        <f>IF(H108=0,0,L108/H108)</f>
        <v>0</v>
      </c>
      <c r="O108" s="12"/>
      <c r="P108" s="3">
        <f>--78871.67</f>
        <v>78871.67</v>
      </c>
      <c r="Q108" s="3"/>
      <c r="R108" s="20">
        <f>IF(P$12=0,0,P108/P$12)</f>
        <v>2.633215242679534E-2</v>
      </c>
      <c r="S108" s="3"/>
      <c r="T108" s="3">
        <v>47895</v>
      </c>
      <c r="U108" s="3"/>
      <c r="V108" s="20">
        <f>IF(T$12=0,0,T108/T$12)</f>
        <v>2.1760494173803172E-2</v>
      </c>
      <c r="W108" s="3"/>
      <c r="X108" s="3">
        <f>+P108-T108</f>
        <v>30976.67</v>
      </c>
      <c r="Y108" s="3"/>
      <c r="Z108" s="20">
        <f>IF(T108=0,0,X108/T108)</f>
        <v>0.6467620837248147</v>
      </c>
    </row>
    <row r="109" spans="1:26" s="70" customFormat="1" ht="15" hidden="1" customHeight="1" outlineLevel="1" x14ac:dyDescent="0.3">
      <c r="A109" s="42"/>
      <c r="B109" s="12" t="str">
        <f>CONCATENATE("          ","9160"," - ","MISC. INCOME")</f>
        <v xml:space="preserve">          9160 - MISC. INCOME</v>
      </c>
      <c r="C109" s="12"/>
      <c r="D109" s="3">
        <f>0</f>
        <v>0</v>
      </c>
      <c r="E109" s="3"/>
      <c r="F109" s="20">
        <f>IF(D$12=0,0,D109/D$12)</f>
        <v>0</v>
      </c>
      <c r="G109" s="3"/>
      <c r="H109" s="3">
        <v>58333</v>
      </c>
      <c r="I109" s="3"/>
      <c r="J109" s="20">
        <f>IF(H$12=0,0,H109/H$12)</f>
        <v>0.25408572175276595</v>
      </c>
      <c r="K109" s="3"/>
      <c r="L109" s="3">
        <f>+D109-H109</f>
        <v>-58333</v>
      </c>
      <c r="M109" s="3"/>
      <c r="N109" s="20">
        <f>IF(H109=0,0,L109/H109)</f>
        <v>-1</v>
      </c>
      <c r="O109" s="12"/>
      <c r="P109" s="3">
        <f>0</f>
        <v>0</v>
      </c>
      <c r="Q109" s="3"/>
      <c r="R109" s="20">
        <f>IF(P$12=0,0,P109/P$12)</f>
        <v>0</v>
      </c>
      <c r="S109" s="3"/>
      <c r="T109" s="3">
        <v>116666</v>
      </c>
      <c r="U109" s="3"/>
      <c r="V109" s="20">
        <f>IF(T$12=0,0,T109/T$12)</f>
        <v>5.3005737828185011E-2</v>
      </c>
      <c r="W109" s="3"/>
      <c r="X109" s="3">
        <f>+P109-T109</f>
        <v>-116666</v>
      </c>
      <c r="Y109" s="3"/>
      <c r="Z109" s="20">
        <f>IF(T109=0,0,X109/T109)</f>
        <v>-1</v>
      </c>
    </row>
    <row r="110" spans="1:26" s="70" customFormat="1" ht="15" hidden="1" customHeight="1" outlineLevel="1" x14ac:dyDescent="0.3">
      <c r="A110" s="42"/>
      <c r="B110" s="12" t="str">
        <f>CONCATENATE("          ","9163"," - ","MISC. INCOME")</f>
        <v xml:space="preserve">          9163 - MISC. INCOME</v>
      </c>
      <c r="C110" s="12"/>
      <c r="D110" s="3">
        <f>--175055</f>
        <v>175055</v>
      </c>
      <c r="E110" s="3"/>
      <c r="F110" s="20">
        <f>IF(D$12=0,0,D110/D$12)</f>
        <v>0.36725163919518955</v>
      </c>
      <c r="G110" s="3"/>
      <c r="H110" s="3"/>
      <c r="I110" s="3"/>
      <c r="J110" s="20">
        <f>IF(H$12=0,0,H110/H$12)</f>
        <v>0</v>
      </c>
      <c r="K110" s="3"/>
      <c r="L110" s="3">
        <f>+D110-H110</f>
        <v>175055</v>
      </c>
      <c r="M110" s="3"/>
      <c r="N110" s="20">
        <f>IF(H110=0,0,L110/H110)</f>
        <v>0</v>
      </c>
      <c r="O110" s="12"/>
      <c r="P110" s="3">
        <f>--254830.7</f>
        <v>254830.7</v>
      </c>
      <c r="Q110" s="3"/>
      <c r="R110" s="20">
        <f>IF(P$12=0,0,P110/P$12)</f>
        <v>8.5077960634369162E-2</v>
      </c>
      <c r="S110" s="3"/>
      <c r="T110" s="3"/>
      <c r="U110" s="3"/>
      <c r="V110" s="20">
        <f>IF(T$12=0,0,T110/T$12)</f>
        <v>0</v>
      </c>
      <c r="W110" s="3"/>
      <c r="X110" s="3">
        <f>+P110-T110</f>
        <v>254830.7</v>
      </c>
      <c r="Y110" s="3"/>
      <c r="Z110" s="20">
        <f>IF(T110=0,0,X110/T110)</f>
        <v>0</v>
      </c>
    </row>
    <row r="111" spans="1:26" ht="15" customHeight="1" x14ac:dyDescent="0.3">
      <c r="A111" s="10"/>
      <c r="B111" s="11"/>
      <c r="C111" s="11"/>
      <c r="D111" s="4"/>
      <c r="E111" s="4"/>
      <c r="F111" s="9"/>
      <c r="G111" s="4"/>
      <c r="H111" s="4"/>
      <c r="I111" s="4"/>
      <c r="J111" s="9"/>
      <c r="K111" s="4"/>
      <c r="L111" s="4"/>
      <c r="M111" s="4"/>
      <c r="N111" s="9"/>
      <c r="O111" s="11"/>
      <c r="P111" s="4"/>
      <c r="Q111" s="4"/>
      <c r="R111" s="9"/>
      <c r="S111" s="4"/>
      <c r="T111" s="4"/>
      <c r="U111" s="4"/>
      <c r="V111" s="9"/>
      <c r="W111" s="4"/>
      <c r="X111" s="4"/>
      <c r="Y111" s="4"/>
      <c r="Z111" s="9"/>
    </row>
    <row r="112" spans="1:26" s="63" customFormat="1" ht="15" customHeight="1" x14ac:dyDescent="0.3">
      <c r="A112" s="11"/>
      <c r="B112" s="27" t="s">
        <v>292</v>
      </c>
      <c r="C112" s="27"/>
      <c r="D112" s="21">
        <f>+D40-D42+D107</f>
        <v>359392.98999999987</v>
      </c>
      <c r="E112" s="15"/>
      <c r="F112" s="23">
        <f>IF(D$12=0,0,D112/D$12)</f>
        <v>0.75397826221907582</v>
      </c>
      <c r="G112" s="15"/>
      <c r="H112" s="21">
        <f>+H40-H42+H107</f>
        <v>95831.924402076926</v>
      </c>
      <c r="I112" s="15"/>
      <c r="J112" s="23">
        <f>IF(H$12=0,0,H112/H$12)</f>
        <v>0.41742279119294767</v>
      </c>
      <c r="K112" s="16"/>
      <c r="L112" s="21">
        <f>+D112-H112</f>
        <v>263561.06559792295</v>
      </c>
      <c r="M112" s="16"/>
      <c r="N112" s="23">
        <f>IF(H112=0,0,L112/H112)</f>
        <v>2.7502428574022342</v>
      </c>
      <c r="O112" s="28"/>
      <c r="P112" s="21">
        <f>+P40-P42+P107</f>
        <v>1160280.92</v>
      </c>
      <c r="Q112" s="15"/>
      <c r="R112" s="23">
        <f>IF(P$12=0,0,P112/P$12)</f>
        <v>0.38737222177928177</v>
      </c>
      <c r="S112" s="15"/>
      <c r="T112" s="21">
        <f>+T40-T42+T107</f>
        <v>464672.48924425</v>
      </c>
      <c r="U112" s="15"/>
      <c r="V112" s="23">
        <f>IF(T$12=0,0,T112/T$12)</f>
        <v>0.21111813331091178</v>
      </c>
      <c r="W112" s="16"/>
      <c r="X112" s="21">
        <f>+P112-T112</f>
        <v>695608.43075574993</v>
      </c>
      <c r="Y112" s="16"/>
      <c r="Z112" s="23">
        <f>IF(T112=0,0,X112/T112)</f>
        <v>1.4969864729609825</v>
      </c>
    </row>
    <row r="113" spans="1:26" ht="15" customHeight="1" x14ac:dyDescent="0.3">
      <c r="A113" s="10"/>
      <c r="B113" s="11"/>
      <c r="C113" s="10"/>
      <c r="D113" s="4"/>
      <c r="E113" s="4"/>
      <c r="F113" s="9"/>
      <c r="G113" s="4"/>
      <c r="H113" s="4"/>
      <c r="I113" s="4"/>
      <c r="J113" s="9"/>
      <c r="K113" s="4"/>
      <c r="L113" s="4"/>
      <c r="M113" s="4"/>
      <c r="N113" s="9"/>
      <c r="P113" s="4"/>
      <c r="Q113" s="4"/>
      <c r="R113" s="9"/>
      <c r="S113" s="4"/>
      <c r="T113" s="4"/>
      <c r="U113" s="4"/>
      <c r="V113" s="9"/>
      <c r="W113" s="4"/>
      <c r="X113" s="4"/>
      <c r="Y113" s="4"/>
      <c r="Z113" s="9"/>
    </row>
    <row r="114" spans="1:26" s="63" customFormat="1" ht="15" customHeight="1" x14ac:dyDescent="0.3">
      <c r="A114" s="49"/>
      <c r="B114" s="11" t="s">
        <v>293</v>
      </c>
      <c r="C114" s="11"/>
      <c r="D114" s="5">
        <v>43098.75</v>
      </c>
      <c r="E114" s="5"/>
      <c r="F114" s="13">
        <f>IF(D$12=0,0,D114/D$12)</f>
        <v>9.0417792035438427E-2</v>
      </c>
      <c r="G114" s="5"/>
      <c r="H114" s="5">
        <v>27040</v>
      </c>
      <c r="I114" s="5"/>
      <c r="J114" s="13">
        <f>IF(H$12=0,0,H114/H$12)</f>
        <v>0.11778029445073612</v>
      </c>
      <c r="K114" s="5"/>
      <c r="L114" s="5">
        <f>+D114-H114</f>
        <v>16058.75</v>
      </c>
      <c r="M114" s="5"/>
      <c r="N114" s="13">
        <f>IF(H114=0,0,L114/H114)</f>
        <v>0.59388868343195267</v>
      </c>
      <c r="O114" s="11"/>
      <c r="P114" s="5">
        <v>357477.06</v>
      </c>
      <c r="Q114" s="5"/>
      <c r="R114" s="13">
        <f>IF(P$12=0,0,P114/P$12)</f>
        <v>0.11934754815008561</v>
      </c>
      <c r="S114" s="5"/>
      <c r="T114" s="5">
        <v>268042</v>
      </c>
      <c r="U114" s="5"/>
      <c r="V114" s="13">
        <f>IF(T$12=0,0,T114/T$12)</f>
        <v>0.12178152999967742</v>
      </c>
      <c r="W114" s="5"/>
      <c r="X114" s="5">
        <f>+P114-T114</f>
        <v>89435.06</v>
      </c>
      <c r="Y114" s="5"/>
      <c r="Z114" s="13">
        <f>IF(T114=0,0,X114/T114)</f>
        <v>0.33366062035054206</v>
      </c>
    </row>
    <row r="115" spans="1:26" ht="15" customHeight="1" x14ac:dyDescent="0.3">
      <c r="A115" s="10"/>
      <c r="B115" s="11"/>
      <c r="C115" s="11"/>
      <c r="D115" s="4"/>
      <c r="E115" s="4"/>
      <c r="F115" s="9"/>
      <c r="G115" s="4"/>
      <c r="H115" s="4"/>
      <c r="I115" s="4"/>
      <c r="J115" s="9"/>
      <c r="K115" s="4"/>
      <c r="L115" s="4"/>
      <c r="M115" s="4"/>
      <c r="N115" s="9"/>
      <c r="O115" s="11"/>
      <c r="P115" s="4"/>
      <c r="Q115" s="4"/>
      <c r="R115" s="9"/>
      <c r="S115" s="4"/>
      <c r="T115" s="4"/>
      <c r="U115" s="4"/>
      <c r="V115" s="9"/>
      <c r="W115" s="4"/>
      <c r="X115" s="4"/>
      <c r="Y115" s="4"/>
      <c r="Z115" s="9"/>
    </row>
    <row r="116" spans="1:26" s="63" customFormat="1" ht="15" customHeight="1" x14ac:dyDescent="0.3">
      <c r="A116" s="11"/>
      <c r="B116" s="27" t="s">
        <v>294</v>
      </c>
      <c r="C116" s="27"/>
      <c r="D116" s="34">
        <f>+D112-D114</f>
        <v>316294.23999999987</v>
      </c>
      <c r="E116" s="15"/>
      <c r="F116" s="29">
        <f>IF(D$12=0,0,D116/D$12)</f>
        <v>0.6635604701836374</v>
      </c>
      <c r="G116" s="15"/>
      <c r="H116" s="34">
        <f>+H112-H114</f>
        <v>68791.924402076926</v>
      </c>
      <c r="I116" s="15"/>
      <c r="J116" s="29">
        <f>IF(H$12=0,0,H116/H$12)</f>
        <v>0.29964249674221155</v>
      </c>
      <c r="K116" s="16"/>
      <c r="L116" s="34">
        <f>D116-H116</f>
        <v>247502.31559792295</v>
      </c>
      <c r="M116" s="16"/>
      <c r="N116" s="29">
        <f>IF(H116=0,0,L116/H116)</f>
        <v>3.5978396846599994</v>
      </c>
      <c r="O116" s="28"/>
      <c r="P116" s="34">
        <f>+P112-P114</f>
        <v>802803.85999999987</v>
      </c>
      <c r="Q116" s="15"/>
      <c r="R116" s="29">
        <f>IF(P$12=0,0,P116/P$12)</f>
        <v>0.26802467362919619</v>
      </c>
      <c r="S116" s="15"/>
      <c r="T116" s="34">
        <f>+T112-T114</f>
        <v>196630.48924425</v>
      </c>
      <c r="U116" s="15"/>
      <c r="V116" s="29">
        <f>IF(T$12=0,0,T116/T$12)</f>
        <v>8.9336603311234358E-2</v>
      </c>
      <c r="W116" s="16"/>
      <c r="X116" s="34">
        <f>P116-T116</f>
        <v>606173.37075574987</v>
      </c>
      <c r="Y116" s="16"/>
      <c r="Z116" s="29">
        <f>IF(T116=0,0,X116/T116)</f>
        <v>3.0828045695536814</v>
      </c>
    </row>
    <row r="117" spans="1:26" ht="15" customHeight="1" x14ac:dyDescent="0.3">
      <c r="A117" s="10"/>
      <c r="B117" s="10"/>
      <c r="C117" s="10"/>
      <c r="D117" s="4"/>
      <c r="E117" s="4"/>
      <c r="F117" s="9"/>
      <c r="G117" s="4"/>
      <c r="H117" s="4"/>
      <c r="I117" s="4"/>
      <c r="J117" s="9"/>
      <c r="K117" s="4"/>
      <c r="L117" s="4"/>
      <c r="M117" s="4"/>
      <c r="N117" s="9"/>
      <c r="P117" s="4"/>
      <c r="Q117" s="4"/>
      <c r="R117" s="9"/>
      <c r="S117" s="4"/>
      <c r="T117" s="4"/>
      <c r="U117" s="4"/>
      <c r="V117" s="9"/>
      <c r="W117" s="4"/>
      <c r="X117" s="4"/>
      <c r="Y117" s="4"/>
      <c r="Z117" s="9"/>
    </row>
    <row r="118" spans="1:26" ht="15" customHeight="1" x14ac:dyDescent="0.3">
      <c r="A118" s="10"/>
      <c r="B118" s="10"/>
      <c r="C118" s="10"/>
      <c r="D118" s="4"/>
      <c r="E118" s="4"/>
      <c r="F118" s="9"/>
      <c r="G118" s="4"/>
      <c r="H118" s="4"/>
      <c r="I118" s="4"/>
      <c r="J118" s="9"/>
      <c r="K118" s="4"/>
      <c r="L118" s="4"/>
      <c r="M118" s="4"/>
      <c r="N118" s="9"/>
      <c r="P118" s="4"/>
      <c r="Q118" s="4"/>
      <c r="R118" s="9"/>
      <c r="S118" s="4"/>
      <c r="T118" s="4"/>
      <c r="U118" s="4"/>
      <c r="V118" s="9"/>
      <c r="W118" s="4"/>
      <c r="X118" s="4"/>
      <c r="Y118" s="4"/>
      <c r="Z118" s="9"/>
    </row>
    <row r="119" spans="1:26" s="63" customFormat="1" ht="15" customHeight="1" x14ac:dyDescent="0.3">
      <c r="A119" s="11"/>
      <c r="B119" s="27" t="s">
        <v>297</v>
      </c>
      <c r="C119" s="27"/>
      <c r="D119" s="32">
        <f>SUM(D116:D118)</f>
        <v>316294.23999999987</v>
      </c>
      <c r="E119" s="15"/>
      <c r="F119" s="31">
        <f>IF(D$12=0,0,D119/D$12)</f>
        <v>0.6635604701836374</v>
      </c>
      <c r="G119" s="15"/>
      <c r="H119" s="32">
        <f>SUM(H116:H118)</f>
        <v>68791.924402076926</v>
      </c>
      <c r="I119" s="15"/>
      <c r="J119" s="31">
        <f>IF(H$12=0,0,H119/H$12)</f>
        <v>0.29964249674221155</v>
      </c>
      <c r="K119" s="16"/>
      <c r="L119" s="32">
        <f>+D119-H119</f>
        <v>247502.31559792295</v>
      </c>
      <c r="M119" s="16"/>
      <c r="N119" s="31">
        <f>IF(H119=0,0,L119/H119)</f>
        <v>3.5978396846599994</v>
      </c>
      <c r="O119" s="28"/>
      <c r="P119" s="32">
        <f>SUM(P116:P118)</f>
        <v>802803.85999999987</v>
      </c>
      <c r="Q119" s="15"/>
      <c r="R119" s="31">
        <f>IF(P$12=0,0,P119/P$12)</f>
        <v>0.26802467362919619</v>
      </c>
      <c r="S119" s="15"/>
      <c r="T119" s="32">
        <f>SUM(T116:T118)</f>
        <v>196630.48924425</v>
      </c>
      <c r="U119" s="15"/>
      <c r="V119" s="31">
        <f>IF(T$12=0,0,T119/T$12)</f>
        <v>8.9336603311234358E-2</v>
      </c>
      <c r="W119" s="16"/>
      <c r="X119" s="32">
        <f>+P119-T119</f>
        <v>606173.37075574987</v>
      </c>
      <c r="Y119" s="16"/>
      <c r="Z119" s="31">
        <f>IF(T119=0,0,X119/T119)</f>
        <v>3.0828045695536814</v>
      </c>
    </row>
    <row r="120" spans="1:26" ht="15" customHeight="1" x14ac:dyDescent="0.3">
      <c r="A120" s="10"/>
      <c r="C120" s="10"/>
      <c r="D120" s="19"/>
      <c r="E120" s="19"/>
      <c r="G120" s="19"/>
      <c r="H120" s="19"/>
      <c r="I120" s="19"/>
      <c r="J120" s="40"/>
      <c r="K120" s="19"/>
      <c r="L120" s="19"/>
      <c r="M120" s="19"/>
      <c r="P120" s="19"/>
      <c r="Q120" s="19"/>
      <c r="R120" s="40"/>
      <c r="S120" s="19"/>
      <c r="T120" s="19"/>
      <c r="U120" s="19"/>
      <c r="V120" s="40"/>
      <c r="W120" s="19"/>
      <c r="X120" s="19"/>
    </row>
    <row r="121" spans="1:26" ht="15" customHeight="1" x14ac:dyDescent="0.3">
      <c r="A121" s="10"/>
      <c r="B121" s="51">
        <v>44663.047665428239</v>
      </c>
      <c r="D121" s="19"/>
      <c r="E121" s="19"/>
      <c r="G121" s="19"/>
      <c r="H121" s="19"/>
      <c r="I121" s="19"/>
      <c r="J121" s="40"/>
      <c r="K121" s="19"/>
      <c r="L121" s="19"/>
      <c r="M121" s="19"/>
      <c r="P121" s="19"/>
      <c r="Q121" s="19"/>
      <c r="R121" s="40"/>
      <c r="S121" s="19"/>
      <c r="T121" s="19"/>
      <c r="U121" s="19"/>
      <c r="V121" s="40"/>
      <c r="W121" s="19"/>
      <c r="X121" s="19"/>
    </row>
    <row r="122" spans="1:26" ht="15" customHeight="1" x14ac:dyDescent="0.3">
      <c r="A122" s="10"/>
      <c r="B122" s="58" t="s">
        <v>298</v>
      </c>
      <c r="D122" s="19"/>
      <c r="E122" s="19"/>
      <c r="G122" s="19"/>
      <c r="H122" s="19"/>
      <c r="I122" s="19"/>
      <c r="J122" s="40"/>
      <c r="K122" s="19"/>
      <c r="L122" s="19"/>
      <c r="M122" s="19"/>
      <c r="P122" s="19"/>
      <c r="Q122" s="19"/>
      <c r="R122" s="40"/>
      <c r="S122" s="19"/>
      <c r="T122" s="19"/>
      <c r="U122" s="19"/>
      <c r="V122" s="40"/>
      <c r="W122" s="19"/>
      <c r="X122" s="19"/>
    </row>
    <row r="123" spans="1:26" ht="15" customHeight="1" x14ac:dyDescent="0.3">
      <c r="A123" s="10"/>
      <c r="B123" s="50"/>
      <c r="D123" s="19"/>
      <c r="E123" s="19"/>
      <c r="G123" s="19"/>
      <c r="H123" s="19"/>
      <c r="I123" s="19"/>
      <c r="J123" s="40"/>
      <c r="K123" s="19"/>
      <c r="L123" s="19"/>
      <c r="M123" s="19"/>
      <c r="P123" s="19"/>
      <c r="Q123" s="19"/>
      <c r="R123" s="40"/>
      <c r="S123" s="19"/>
      <c r="T123" s="19"/>
      <c r="U123" s="19"/>
      <c r="V123" s="40"/>
      <c r="W123" s="19"/>
      <c r="X123" s="19"/>
    </row>
    <row r="124" spans="1:26" ht="15" customHeight="1" x14ac:dyDescent="0.3">
      <c r="D124" s="19"/>
      <c r="E124" s="19"/>
      <c r="G124" s="19"/>
      <c r="H124" s="19"/>
      <c r="I124" s="19"/>
      <c r="J124" s="40"/>
      <c r="K124" s="19"/>
      <c r="L124" s="19"/>
      <c r="M124" s="19"/>
      <c r="P124" s="19"/>
      <c r="Q124" s="19"/>
      <c r="R124" s="40"/>
      <c r="S124" s="19"/>
      <c r="T124" s="19"/>
      <c r="U124" s="19"/>
      <c r="V124" s="40"/>
      <c r="W124" s="19"/>
      <c r="X124" s="19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A88BA7-4EB8-AA62-A23A-A921A4F33EE6}">
  <sheetPr>
    <tabColor rgb="FFFFC000"/>
    <outlinePr summaryBelow="0" summaryRight="0"/>
  </sheetPr>
  <dimension ref="A2:Z36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Col="1" x14ac:dyDescent="0.3"/>
  <cols>
    <col min="1" max="1" width="1.88671875" style="66" customWidth="1"/>
    <col min="2" max="2" width="33.44140625" style="66" customWidth="1"/>
    <col min="3" max="3" width="1.88671875" style="66" customWidth="1"/>
    <col min="4" max="4" width="15" style="66" customWidth="1"/>
    <col min="5" max="5" width="1.88671875" style="66" customWidth="1" outlineLevel="1"/>
    <col min="6" max="6" width="15" style="67" customWidth="1" outlineLevel="1"/>
    <col min="7" max="7" width="1.88671875" style="66" customWidth="1" outlineLevel="1"/>
    <col min="8" max="8" width="15" style="66" customWidth="1" outlineLevel="1"/>
    <col min="9" max="9" width="1.88671875" style="66" customWidth="1" outlineLevel="1"/>
    <col min="10" max="10" width="15" style="68" customWidth="1" outlineLevel="1"/>
    <col min="11" max="11" width="1.88671875" style="66" customWidth="1" outlineLevel="1"/>
    <col min="12" max="12" width="15" style="66" customWidth="1" outlineLevel="1"/>
    <col min="13" max="13" width="1.88671875" style="66" customWidth="1" outlineLevel="1"/>
    <col min="14" max="14" width="15" style="67" customWidth="1" outlineLevel="1"/>
    <col min="15" max="15" width="1.88671875" style="64" customWidth="1"/>
    <col min="16" max="16" width="15" style="66" customWidth="1"/>
    <col min="17" max="17" width="1.88671875" style="66" customWidth="1" outlineLevel="1"/>
    <col min="18" max="18" width="15" style="68" customWidth="1" outlineLevel="1"/>
    <col min="19" max="19" width="1.88671875" style="66" customWidth="1" outlineLevel="1"/>
    <col min="20" max="20" width="15" style="66" customWidth="1" outlineLevel="1"/>
    <col min="21" max="21" width="1.88671875" style="66" customWidth="1" outlineLevel="1"/>
    <col min="22" max="22" width="15" style="68" customWidth="1" outlineLevel="1"/>
    <col min="23" max="23" width="1.88671875" style="66" customWidth="1" outlineLevel="1"/>
    <col min="24" max="24" width="15" style="66" customWidth="1" outlineLevel="1"/>
    <col min="25" max="25" width="1.88671875" style="66" customWidth="1" outlineLevel="1"/>
    <col min="26" max="26" width="15" style="68" customWidth="1" outlineLevel="1"/>
  </cols>
  <sheetData>
    <row r="2" spans="1:26" ht="15" customHeight="1" x14ac:dyDescent="0.3">
      <c r="D2" s="54" t="s">
        <v>276</v>
      </c>
    </row>
    <row r="3" spans="1:26" ht="15" customHeight="1" x14ac:dyDescent="0.3">
      <c r="D3" s="54" t="s">
        <v>277</v>
      </c>
      <c r="E3" s="18"/>
      <c r="F3" s="44"/>
      <c r="G3" s="18"/>
      <c r="H3" s="18"/>
      <c r="I3" s="18"/>
      <c r="J3" s="38"/>
      <c r="K3" s="18"/>
      <c r="L3" s="18"/>
      <c r="M3" s="18"/>
      <c r="N3" s="44"/>
      <c r="O3" s="53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ht="15" customHeight="1" x14ac:dyDescent="0.3">
      <c r="D4" s="54" t="str">
        <f>CONCATENATE("Period ",RIGHT(202209,2),", ",2022)</f>
        <v>Period 09, 2022</v>
      </c>
      <c r="E4" s="18"/>
      <c r="F4" s="44"/>
      <c r="G4" s="18"/>
      <c r="H4" s="18"/>
      <c r="I4" s="18"/>
      <c r="J4" s="38"/>
      <c r="K4" s="18"/>
      <c r="L4" s="18"/>
      <c r="M4" s="18"/>
      <c r="N4" s="44"/>
      <c r="O4" s="53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ht="15" customHeight="1" x14ac:dyDescent="0.3">
      <c r="A5" s="24"/>
      <c r="D5" s="60">
        <v>44646</v>
      </c>
      <c r="E5" s="18"/>
      <c r="F5" s="44"/>
      <c r="G5" s="18"/>
      <c r="H5" s="18"/>
      <c r="I5" s="18"/>
      <c r="J5" s="38"/>
      <c r="K5" s="18"/>
      <c r="L5" s="18"/>
      <c r="M5" s="18"/>
      <c r="N5" s="44"/>
      <c r="O5" s="53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ht="15" customHeight="1" x14ac:dyDescent="0.3">
      <c r="A6" s="24"/>
      <c r="B6" s="47"/>
      <c r="C6" s="47"/>
      <c r="D6" s="24" t="s">
        <v>299</v>
      </c>
      <c r="E6" s="18"/>
      <c r="F6" s="44"/>
      <c r="G6" s="18"/>
      <c r="H6" s="18"/>
      <c r="I6" s="18"/>
      <c r="J6" s="38"/>
      <c r="K6" s="18"/>
      <c r="L6" s="18"/>
      <c r="M6" s="18"/>
      <c r="N6" s="44"/>
      <c r="O6" s="59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ht="15" customHeight="1" x14ac:dyDescent="0.3">
      <c r="B7" s="52"/>
    </row>
    <row r="8" spans="1:26" ht="15" customHeight="1" x14ac:dyDescent="0.3">
      <c r="B8" s="52"/>
    </row>
    <row r="9" spans="1:26" ht="15" customHeight="1" x14ac:dyDescent="0.3">
      <c r="B9" s="10"/>
      <c r="C9" s="10"/>
      <c r="D9" s="17" t="s">
        <v>279</v>
      </c>
      <c r="E9" s="17"/>
      <c r="F9" s="36"/>
      <c r="G9" s="17"/>
      <c r="H9" s="17"/>
      <c r="I9" s="17"/>
      <c r="J9" s="43"/>
      <c r="K9" s="17"/>
      <c r="L9" s="17"/>
      <c r="M9" s="17"/>
      <c r="N9" s="36"/>
      <c r="P9" s="17" t="s">
        <v>280</v>
      </c>
      <c r="Q9" s="17"/>
      <c r="R9" s="36"/>
      <c r="S9" s="17"/>
      <c r="T9" s="17"/>
      <c r="U9" s="17"/>
      <c r="V9" s="43"/>
      <c r="W9" s="17"/>
      <c r="X9" s="17"/>
      <c r="Y9" s="17"/>
      <c r="Z9" s="36"/>
    </row>
    <row r="10" spans="1:26" ht="15" customHeight="1" x14ac:dyDescent="0.3">
      <c r="A10" s="11"/>
      <c r="B10" s="57"/>
      <c r="C10" s="11"/>
      <c r="D10" s="41" t="s">
        <v>281</v>
      </c>
      <c r="E10" s="33"/>
      <c r="F10" s="37" t="s">
        <v>282</v>
      </c>
      <c r="G10" s="33"/>
      <c r="H10" s="48" t="s">
        <v>283</v>
      </c>
      <c r="I10" s="33"/>
      <c r="J10" s="45" t="s">
        <v>284</v>
      </c>
      <c r="K10" s="11"/>
      <c r="L10" s="41" t="s">
        <v>285</v>
      </c>
      <c r="M10" s="11"/>
      <c r="N10" s="37" t="s">
        <v>286</v>
      </c>
      <c r="O10" s="11"/>
      <c r="P10" s="56" t="s">
        <v>281</v>
      </c>
      <c r="Q10" s="33"/>
      <c r="R10" s="37" t="s">
        <v>282</v>
      </c>
      <c r="S10" s="33"/>
      <c r="T10" s="48" t="s">
        <v>283</v>
      </c>
      <c r="U10" s="33"/>
      <c r="V10" s="45" t="s">
        <v>284</v>
      </c>
      <c r="W10" s="11"/>
      <c r="X10" s="41" t="s">
        <v>285</v>
      </c>
      <c r="Y10" s="11"/>
      <c r="Z10" s="37" t="s">
        <v>286</v>
      </c>
    </row>
    <row r="11" spans="1:26" ht="16.5" customHeight="1" x14ac:dyDescent="0.3">
      <c r="A11" s="10"/>
      <c r="B11" s="55"/>
      <c r="C11" s="10"/>
      <c r="D11" s="10"/>
      <c r="E11" s="10"/>
      <c r="F11" s="9"/>
      <c r="G11" s="10"/>
      <c r="H11" s="10"/>
      <c r="I11" s="10"/>
      <c r="J11" s="46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6"/>
      <c r="W11" s="10"/>
      <c r="X11" s="10"/>
      <c r="Y11" s="10"/>
      <c r="Z11" s="9"/>
    </row>
    <row r="12" spans="1:26" s="63" customFormat="1" ht="15" customHeight="1" x14ac:dyDescent="0.3">
      <c r="A12" s="11"/>
      <c r="B12" s="28" t="s">
        <v>287</v>
      </c>
      <c r="C12" s="11"/>
      <c r="D12" s="5">
        <f>SUM(0)</f>
        <v>0</v>
      </c>
      <c r="E12" s="5"/>
      <c r="F12" s="13"/>
      <c r="G12" s="5"/>
      <c r="H12" s="5">
        <f>SUM(0)</f>
        <v>0</v>
      </c>
      <c r="I12" s="5"/>
      <c r="J12" s="13"/>
      <c r="K12" s="5"/>
      <c r="L12" s="5">
        <f>+D12-H12</f>
        <v>0</v>
      </c>
      <c r="M12" s="5"/>
      <c r="N12" s="13">
        <f>IF(H12=0,0,L12/H12)</f>
        <v>0</v>
      </c>
      <c r="O12" s="11"/>
      <c r="P12" s="5">
        <f>SUM(0)</f>
        <v>0</v>
      </c>
      <c r="Q12" s="5"/>
      <c r="R12" s="13"/>
      <c r="S12" s="5"/>
      <c r="T12" s="5">
        <f>SUM(0)</f>
        <v>0</v>
      </c>
      <c r="U12" s="5"/>
      <c r="V12" s="13"/>
      <c r="W12" s="5"/>
      <c r="X12" s="5">
        <f>+P12-T12</f>
        <v>0</v>
      </c>
      <c r="Y12" s="5"/>
      <c r="Z12" s="13">
        <f>IF(T12=0,0,X12/T12)</f>
        <v>0</v>
      </c>
    </row>
    <row r="13" spans="1:26" ht="15" customHeight="1" x14ac:dyDescent="0.3">
      <c r="A13" s="10"/>
      <c r="B13" s="11"/>
      <c r="C13" s="10"/>
      <c r="D13" s="4"/>
      <c r="E13" s="4"/>
      <c r="F13" s="9"/>
      <c r="G13" s="4"/>
      <c r="H13" s="4"/>
      <c r="I13" s="4"/>
      <c r="J13" s="9"/>
      <c r="K13" s="4"/>
      <c r="L13" s="4"/>
      <c r="M13" s="4"/>
      <c r="N13" s="9"/>
      <c r="P13" s="4"/>
      <c r="Q13" s="4"/>
      <c r="R13" s="9"/>
      <c r="S13" s="4"/>
      <c r="T13" s="4"/>
      <c r="U13" s="4"/>
      <c r="V13" s="9"/>
      <c r="W13" s="4"/>
      <c r="X13" s="4"/>
      <c r="Y13" s="4"/>
      <c r="Z13" s="9"/>
    </row>
    <row r="14" spans="1:26" s="63" customFormat="1" ht="15" customHeight="1" x14ac:dyDescent="0.3">
      <c r="A14" s="11"/>
      <c r="B14" s="28" t="s">
        <v>288</v>
      </c>
      <c r="C14" s="11"/>
      <c r="D14" s="5">
        <f>SUM(0)</f>
        <v>0</v>
      </c>
      <c r="E14" s="5"/>
      <c r="F14" s="13">
        <f>IF(D$12=0,0,D14/D$12)</f>
        <v>0</v>
      </c>
      <c r="G14" s="5"/>
      <c r="H14" s="5">
        <f>SUM(0)</f>
        <v>0</v>
      </c>
      <c r="I14" s="5"/>
      <c r="J14" s="13">
        <f>IF(H$12=0,0,H14/H$12)</f>
        <v>0</v>
      </c>
      <c r="K14" s="5"/>
      <c r="L14" s="5">
        <f>+D14-H14</f>
        <v>0</v>
      </c>
      <c r="M14" s="5"/>
      <c r="N14" s="13">
        <f>IF(H14=0,0,L14/H14)</f>
        <v>0</v>
      </c>
      <c r="O14" s="11"/>
      <c r="P14" s="5">
        <f>SUM(0)</f>
        <v>0</v>
      </c>
      <c r="Q14" s="5"/>
      <c r="R14" s="13">
        <f>IF(P$12=0,0,P14/P$12)</f>
        <v>0</v>
      </c>
      <c r="S14" s="5"/>
      <c r="T14" s="5">
        <f>SUM(0)</f>
        <v>0</v>
      </c>
      <c r="U14" s="5"/>
      <c r="V14" s="13">
        <f>IF(T$12=0,0,T14/T$12)</f>
        <v>0</v>
      </c>
      <c r="W14" s="5"/>
      <c r="X14" s="5">
        <f>+P14-T14</f>
        <v>0</v>
      </c>
      <c r="Y14" s="5"/>
      <c r="Z14" s="13">
        <f>IF(T14=0,0,X14/T14)</f>
        <v>0</v>
      </c>
    </row>
    <row r="15" spans="1:26" ht="15" customHeight="1" x14ac:dyDescent="0.3">
      <c r="A15" s="10"/>
      <c r="B15" s="11"/>
      <c r="C15" s="11"/>
      <c r="D15" s="4"/>
      <c r="E15" s="4"/>
      <c r="F15" s="9"/>
      <c r="G15" s="4"/>
      <c r="H15" s="4"/>
      <c r="I15" s="4"/>
      <c r="J15" s="9"/>
      <c r="K15" s="4"/>
      <c r="L15" s="4"/>
      <c r="M15" s="4"/>
      <c r="N15" s="9"/>
      <c r="O15" s="11"/>
      <c r="P15" s="4"/>
      <c r="Q15" s="4"/>
      <c r="R15" s="9"/>
      <c r="S15" s="4"/>
      <c r="T15" s="4"/>
      <c r="U15" s="4"/>
      <c r="V15" s="9"/>
      <c r="W15" s="4"/>
      <c r="X15" s="4"/>
      <c r="Y15" s="4"/>
      <c r="Z15" s="9"/>
    </row>
    <row r="16" spans="1:26" s="63" customFormat="1" ht="15" customHeight="1" x14ac:dyDescent="0.3">
      <c r="A16" s="11"/>
      <c r="B16" s="27" t="s">
        <v>289</v>
      </c>
      <c r="C16" s="27"/>
      <c r="D16" s="21">
        <f>D12-D14</f>
        <v>0</v>
      </c>
      <c r="E16" s="15"/>
      <c r="F16" s="23">
        <f>IF(D$12=0,0,D16/D$12)</f>
        <v>0</v>
      </c>
      <c r="G16" s="15"/>
      <c r="H16" s="21">
        <f>H12-H14</f>
        <v>0</v>
      </c>
      <c r="I16" s="15"/>
      <c r="J16" s="23">
        <f>IF(H$12=0,0,H16/H$12)</f>
        <v>0</v>
      </c>
      <c r="K16" s="16"/>
      <c r="L16" s="21">
        <f>+D16-H16</f>
        <v>0</v>
      </c>
      <c r="M16" s="16"/>
      <c r="N16" s="23">
        <f>IF(H16=0,0,L16/H16)</f>
        <v>0</v>
      </c>
      <c r="O16" s="28"/>
      <c r="P16" s="21">
        <f>P12-P14</f>
        <v>0</v>
      </c>
      <c r="Q16" s="15"/>
      <c r="R16" s="23">
        <f>IF(P$12=0,0,P16/P$12)</f>
        <v>0</v>
      </c>
      <c r="S16" s="15"/>
      <c r="T16" s="21">
        <f>T12-T14</f>
        <v>0</v>
      </c>
      <c r="U16" s="15"/>
      <c r="V16" s="23">
        <f>IF(T$12=0,0,T16/T$12)</f>
        <v>0</v>
      </c>
      <c r="W16" s="16"/>
      <c r="X16" s="21">
        <f>+P16-T16</f>
        <v>0</v>
      </c>
      <c r="Y16" s="16"/>
      <c r="Z16" s="23">
        <f>IF(T16=0,0,X16/T16)</f>
        <v>0</v>
      </c>
    </row>
    <row r="17" spans="1:26" ht="15" customHeight="1" x14ac:dyDescent="0.3">
      <c r="A17" s="10"/>
      <c r="B17" s="11"/>
      <c r="C17" s="10"/>
      <c r="D17" s="2"/>
      <c r="E17" s="2"/>
      <c r="F17" s="6"/>
      <c r="G17" s="2"/>
      <c r="H17" s="2"/>
      <c r="I17" s="2"/>
      <c r="J17" s="6"/>
      <c r="K17" s="2"/>
      <c r="L17" s="2"/>
      <c r="M17" s="2"/>
      <c r="N17" s="6"/>
      <c r="O17" s="35"/>
      <c r="P17" s="2"/>
      <c r="Q17" s="2"/>
      <c r="R17" s="6"/>
      <c r="S17" s="2"/>
      <c r="T17" s="2"/>
      <c r="U17" s="2"/>
      <c r="V17" s="6"/>
      <c r="W17" s="2"/>
      <c r="X17" s="2"/>
      <c r="Y17" s="2"/>
      <c r="Z17" s="6"/>
    </row>
    <row r="18" spans="1:26" s="63" customFormat="1" ht="15" customHeight="1" x14ac:dyDescent="0.3">
      <c r="A18" s="11"/>
      <c r="B18" s="28" t="s">
        <v>290</v>
      </c>
      <c r="C18" s="11"/>
      <c r="D18" s="22">
        <f>SUM(0)</f>
        <v>0</v>
      </c>
      <c r="E18" s="22"/>
      <c r="F18" s="30">
        <f>IF(D$12=0,0,D18/D$12)</f>
        <v>0</v>
      </c>
      <c r="G18" s="22"/>
      <c r="H18" s="22">
        <f>SUM(0)</f>
        <v>0</v>
      </c>
      <c r="I18" s="22"/>
      <c r="J18" s="30">
        <f>IF(H$12=0,0,H18/H$12)</f>
        <v>0</v>
      </c>
      <c r="K18" s="5"/>
      <c r="L18" s="22">
        <f>+D18-H18</f>
        <v>0</v>
      </c>
      <c r="M18" s="5"/>
      <c r="N18" s="30">
        <f>IF(H18=0,0,L18/H18)</f>
        <v>0</v>
      </c>
      <c r="O18" s="11"/>
      <c r="P18" s="22">
        <f>SUM(0)</f>
        <v>0</v>
      </c>
      <c r="Q18" s="22"/>
      <c r="R18" s="30">
        <f>IF(P$12=0,0,P18/P$12)</f>
        <v>0</v>
      </c>
      <c r="S18" s="22"/>
      <c r="T18" s="22">
        <f>SUM(0)</f>
        <v>0</v>
      </c>
      <c r="U18" s="22"/>
      <c r="V18" s="30">
        <f>IF(T$12=0,0,T18/T$12)</f>
        <v>0</v>
      </c>
      <c r="W18" s="5"/>
      <c r="X18" s="22">
        <f>+P18-T18</f>
        <v>0</v>
      </c>
      <c r="Y18" s="5"/>
      <c r="Z18" s="30">
        <f>IF(T18=0,0,X18/T18)</f>
        <v>0</v>
      </c>
    </row>
    <row r="19" spans="1:26" s="65" customFormat="1" ht="15" customHeight="1" x14ac:dyDescent="0.3">
      <c r="A19" s="35"/>
      <c r="B19" s="35"/>
      <c r="C19" s="35"/>
      <c r="D19" s="2"/>
      <c r="E19" s="2"/>
      <c r="F19" s="6"/>
      <c r="G19" s="2"/>
      <c r="H19" s="2"/>
      <c r="I19" s="2"/>
      <c r="J19" s="6"/>
      <c r="K19" s="2"/>
      <c r="L19" s="2"/>
      <c r="M19" s="2"/>
      <c r="N19" s="6"/>
      <c r="O19" s="35"/>
      <c r="P19" s="2"/>
      <c r="Q19" s="2"/>
      <c r="R19" s="6"/>
      <c r="S19" s="2"/>
      <c r="T19" s="2"/>
      <c r="U19" s="2"/>
      <c r="V19" s="6"/>
      <c r="W19" s="2"/>
      <c r="X19" s="2"/>
      <c r="Y19" s="2"/>
      <c r="Z19" s="6"/>
    </row>
    <row r="20" spans="1:26" s="63" customFormat="1" ht="15" customHeight="1" x14ac:dyDescent="0.3">
      <c r="A20" s="11"/>
      <c r="B20" s="28" t="s">
        <v>291</v>
      </c>
      <c r="C20" s="11"/>
      <c r="D20" s="5">
        <f>SUM(0)</f>
        <v>0</v>
      </c>
      <c r="E20" s="5"/>
      <c r="F20" s="13">
        <f>IF(D$12=0,0,D20/D$12)</f>
        <v>0</v>
      </c>
      <c r="G20" s="5"/>
      <c r="H20" s="5">
        <f>SUM(0)</f>
        <v>0</v>
      </c>
      <c r="I20" s="5"/>
      <c r="J20" s="13">
        <f>IF(H$12=0,0,H20/H$12)</f>
        <v>0</v>
      </c>
      <c r="K20" s="5"/>
      <c r="L20" s="5">
        <f>+D20-H20</f>
        <v>0</v>
      </c>
      <c r="M20" s="5"/>
      <c r="N20" s="13">
        <f>IF(H20=0,0,L20/H20)</f>
        <v>0</v>
      </c>
      <c r="O20" s="11"/>
      <c r="P20" s="5">
        <f>SUM(0)</f>
        <v>0</v>
      </c>
      <c r="Q20" s="5"/>
      <c r="R20" s="13">
        <f>IF(P$12=0,0,P20/P$12)</f>
        <v>0</v>
      </c>
      <c r="S20" s="5"/>
      <c r="T20" s="5">
        <f>SUM(0)</f>
        <v>0</v>
      </c>
      <c r="U20" s="5"/>
      <c r="V20" s="13">
        <f>IF(T$12=0,0,T20/T$12)</f>
        <v>0</v>
      </c>
      <c r="W20" s="5"/>
      <c r="X20" s="5">
        <f>+P20-T20</f>
        <v>0</v>
      </c>
      <c r="Y20" s="5"/>
      <c r="Z20" s="13">
        <f>IF(T20=0,0,X20/T20)</f>
        <v>0</v>
      </c>
    </row>
    <row r="21" spans="1:26" ht="15" customHeight="1" x14ac:dyDescent="0.3">
      <c r="A21" s="10"/>
      <c r="B21" s="11"/>
      <c r="C21" s="11"/>
      <c r="D21" s="4"/>
      <c r="E21" s="4"/>
      <c r="F21" s="9"/>
      <c r="G21" s="4"/>
      <c r="H21" s="4"/>
      <c r="I21" s="4"/>
      <c r="J21" s="9"/>
      <c r="K21" s="4"/>
      <c r="L21" s="4"/>
      <c r="M21" s="4"/>
      <c r="N21" s="9"/>
      <c r="O21" s="11"/>
      <c r="P21" s="4"/>
      <c r="Q21" s="4"/>
      <c r="R21" s="9"/>
      <c r="S21" s="4"/>
      <c r="T21" s="4"/>
      <c r="U21" s="4"/>
      <c r="V21" s="9"/>
      <c r="W21" s="4"/>
      <c r="X21" s="4"/>
      <c r="Y21" s="4"/>
      <c r="Z21" s="9"/>
    </row>
    <row r="22" spans="1:26" s="63" customFormat="1" ht="15" customHeight="1" x14ac:dyDescent="0.3">
      <c r="A22" s="11"/>
      <c r="B22" s="27" t="s">
        <v>292</v>
      </c>
      <c r="C22" s="27"/>
      <c r="D22" s="21">
        <f>+D16-D18+D20</f>
        <v>0</v>
      </c>
      <c r="E22" s="15"/>
      <c r="F22" s="23">
        <f>IF(D$12=0,0,D22/D$12)</f>
        <v>0</v>
      </c>
      <c r="G22" s="15"/>
      <c r="H22" s="21">
        <f>+H16-H18+H20</f>
        <v>0</v>
      </c>
      <c r="I22" s="15"/>
      <c r="J22" s="23">
        <f>IF(H$12=0,0,H22/H$12)</f>
        <v>0</v>
      </c>
      <c r="K22" s="16"/>
      <c r="L22" s="21">
        <f>+D22-H22</f>
        <v>0</v>
      </c>
      <c r="M22" s="16"/>
      <c r="N22" s="23">
        <f>IF(H22=0,0,L22/H22)</f>
        <v>0</v>
      </c>
      <c r="O22" s="28"/>
      <c r="P22" s="21">
        <f>+P16-P18+P20</f>
        <v>0</v>
      </c>
      <c r="Q22" s="15"/>
      <c r="R22" s="23">
        <f>IF(P$12=0,0,P22/P$12)</f>
        <v>0</v>
      </c>
      <c r="S22" s="15"/>
      <c r="T22" s="21">
        <f>+T16-T18+T20</f>
        <v>0</v>
      </c>
      <c r="U22" s="15"/>
      <c r="V22" s="23">
        <f>IF(T$12=0,0,T22/T$12)</f>
        <v>0</v>
      </c>
      <c r="W22" s="16"/>
      <c r="X22" s="21">
        <f>+P22-T22</f>
        <v>0</v>
      </c>
      <c r="Y22" s="16"/>
      <c r="Z22" s="23">
        <f>IF(T22=0,0,X22/T22)</f>
        <v>0</v>
      </c>
    </row>
    <row r="23" spans="1:26" ht="15" customHeight="1" x14ac:dyDescent="0.3">
      <c r="A23" s="10"/>
      <c r="B23" s="11"/>
      <c r="C23" s="10"/>
      <c r="D23" s="4"/>
      <c r="E23" s="4"/>
      <c r="F23" s="9"/>
      <c r="G23" s="4"/>
      <c r="H23" s="4"/>
      <c r="I23" s="4"/>
      <c r="J23" s="9"/>
      <c r="K23" s="4"/>
      <c r="L23" s="4"/>
      <c r="M23" s="4"/>
      <c r="N23" s="9"/>
      <c r="P23" s="4"/>
      <c r="Q23" s="4"/>
      <c r="R23" s="9"/>
      <c r="S23" s="4"/>
      <c r="T23" s="4"/>
      <c r="U23" s="4"/>
      <c r="V23" s="9"/>
      <c r="W23" s="4"/>
      <c r="X23" s="4"/>
      <c r="Y23" s="4"/>
      <c r="Z23" s="9"/>
    </row>
    <row r="24" spans="1:26" s="63" customFormat="1" ht="15" customHeight="1" x14ac:dyDescent="0.3">
      <c r="A24" s="49"/>
      <c r="B24" s="11" t="s">
        <v>293</v>
      </c>
      <c r="C24" s="11"/>
      <c r="D24" s="5"/>
      <c r="E24" s="5"/>
      <c r="F24" s="13">
        <f>IF(D$12=0,0,D24/D$12)</f>
        <v>0</v>
      </c>
      <c r="G24" s="5"/>
      <c r="H24" s="5"/>
      <c r="I24" s="5"/>
      <c r="J24" s="13">
        <f>IF(H$12=0,0,H24/H$12)</f>
        <v>0</v>
      </c>
      <c r="K24" s="5"/>
      <c r="L24" s="5">
        <f>+D24-H24</f>
        <v>0</v>
      </c>
      <c r="M24" s="5"/>
      <c r="N24" s="13">
        <f>IF(H24=0,0,L24/H24)</f>
        <v>0</v>
      </c>
      <c r="O24" s="11"/>
      <c r="P24" s="5"/>
      <c r="Q24" s="5"/>
      <c r="R24" s="13">
        <f>IF(P$12=0,0,P24/P$12)</f>
        <v>0</v>
      </c>
      <c r="S24" s="5"/>
      <c r="T24" s="5"/>
      <c r="U24" s="5"/>
      <c r="V24" s="13">
        <f>IF(T$12=0,0,T24/T$12)</f>
        <v>0</v>
      </c>
      <c r="W24" s="5"/>
      <c r="X24" s="5">
        <f>+P24-T24</f>
        <v>0</v>
      </c>
      <c r="Y24" s="5"/>
      <c r="Z24" s="13">
        <f>IF(T24=0,0,X24/T24)</f>
        <v>0</v>
      </c>
    </row>
    <row r="25" spans="1:26" ht="15" customHeight="1" x14ac:dyDescent="0.3">
      <c r="A25" s="10"/>
      <c r="B25" s="11"/>
      <c r="C25" s="11"/>
      <c r="D25" s="4"/>
      <c r="E25" s="4"/>
      <c r="F25" s="9"/>
      <c r="G25" s="4"/>
      <c r="H25" s="4"/>
      <c r="I25" s="4"/>
      <c r="J25" s="9"/>
      <c r="K25" s="4"/>
      <c r="L25" s="4"/>
      <c r="M25" s="4"/>
      <c r="N25" s="9"/>
      <c r="O25" s="11"/>
      <c r="P25" s="4"/>
      <c r="Q25" s="4"/>
      <c r="R25" s="9"/>
      <c r="S25" s="4"/>
      <c r="T25" s="4"/>
      <c r="U25" s="4"/>
      <c r="V25" s="9"/>
      <c r="W25" s="4"/>
      <c r="X25" s="4"/>
      <c r="Y25" s="4"/>
      <c r="Z25" s="9"/>
    </row>
    <row r="26" spans="1:26" s="63" customFormat="1" ht="15" customHeight="1" x14ac:dyDescent="0.3">
      <c r="A26" s="11"/>
      <c r="B26" s="27" t="s">
        <v>294</v>
      </c>
      <c r="C26" s="27"/>
      <c r="D26" s="34">
        <f>+D22-D24</f>
        <v>0</v>
      </c>
      <c r="E26" s="15"/>
      <c r="F26" s="29">
        <f>IF(D$12=0,0,D26/D$12)</f>
        <v>0</v>
      </c>
      <c r="G26" s="15"/>
      <c r="H26" s="34">
        <f>+H22-H24</f>
        <v>0</v>
      </c>
      <c r="I26" s="15"/>
      <c r="J26" s="29">
        <f>IF(H$12=0,0,H26/H$12)</f>
        <v>0</v>
      </c>
      <c r="K26" s="16"/>
      <c r="L26" s="34">
        <f>D26-H26</f>
        <v>0</v>
      </c>
      <c r="M26" s="16"/>
      <c r="N26" s="29">
        <f>IF(H26=0,0,L26/H26)</f>
        <v>0</v>
      </c>
      <c r="O26" s="28"/>
      <c r="P26" s="34">
        <f>+P22-P24</f>
        <v>0</v>
      </c>
      <c r="Q26" s="15"/>
      <c r="R26" s="29">
        <f>IF(P$12=0,0,P26/P$12)</f>
        <v>0</v>
      </c>
      <c r="S26" s="15"/>
      <c r="T26" s="34">
        <f>+T22-T24</f>
        <v>0</v>
      </c>
      <c r="U26" s="15"/>
      <c r="V26" s="29">
        <f>IF(T$12=0,0,T26/T$12)</f>
        <v>0</v>
      </c>
      <c r="W26" s="16"/>
      <c r="X26" s="34">
        <f>P26-T26</f>
        <v>0</v>
      </c>
      <c r="Y26" s="16"/>
      <c r="Z26" s="29">
        <f>IF(T26=0,0,X26/T26)</f>
        <v>0</v>
      </c>
    </row>
    <row r="27" spans="1:26" ht="15" customHeight="1" x14ac:dyDescent="0.3">
      <c r="A27" s="10"/>
      <c r="B27" s="10"/>
      <c r="C27" s="10"/>
      <c r="D27" s="4"/>
      <c r="E27" s="4"/>
      <c r="F27" s="9"/>
      <c r="G27" s="4"/>
      <c r="H27" s="4"/>
      <c r="I27" s="4"/>
      <c r="J27" s="9"/>
      <c r="K27" s="4"/>
      <c r="L27" s="4"/>
      <c r="M27" s="4"/>
      <c r="N27" s="9"/>
      <c r="P27" s="4"/>
      <c r="Q27" s="4"/>
      <c r="R27" s="9"/>
      <c r="S27" s="4"/>
      <c r="T27" s="4"/>
      <c r="U27" s="4"/>
      <c r="V27" s="9"/>
      <c r="W27" s="4"/>
      <c r="X27" s="4"/>
      <c r="Y27" s="4"/>
      <c r="Z27" s="9"/>
    </row>
    <row r="28" spans="1:26" s="63" customFormat="1" ht="15" customHeight="1" x14ac:dyDescent="0.3">
      <c r="A28" s="49"/>
      <c r="B28" s="11" t="s">
        <v>295</v>
      </c>
      <c r="C28" s="11"/>
      <c r="D28" s="5">
        <f>-38582.65</f>
        <v>-38582.65</v>
      </c>
      <c r="E28" s="5"/>
      <c r="F28" s="13">
        <f>IF(D$12=0,0,D28/D$12)</f>
        <v>0</v>
      </c>
      <c r="G28" s="5"/>
      <c r="H28" s="5">
        <f>--15000</f>
        <v>15000</v>
      </c>
      <c r="I28" s="5"/>
      <c r="J28" s="13">
        <f>IF(H$12=0,0,H28/H$12)</f>
        <v>0</v>
      </c>
      <c r="K28" s="5"/>
      <c r="L28" s="5">
        <f>+D28-H28</f>
        <v>-53582.65</v>
      </c>
      <c r="M28" s="5"/>
      <c r="N28" s="13">
        <f>IF(H28=0,0,L28/H28)</f>
        <v>-3.5721766666666666</v>
      </c>
      <c r="O28" s="11"/>
      <c r="P28" s="5">
        <f>-954916.37</f>
        <v>-954916.37</v>
      </c>
      <c r="Q28" s="5"/>
      <c r="R28" s="13">
        <f>IF(P$12=0,0,P28/P$12)</f>
        <v>0</v>
      </c>
      <c r="S28" s="5"/>
      <c r="T28" s="5">
        <f>--135000</f>
        <v>135000</v>
      </c>
      <c r="U28" s="5"/>
      <c r="V28" s="13">
        <f>IF(T$12=0,0,T28/T$12)</f>
        <v>0</v>
      </c>
      <c r="W28" s="5"/>
      <c r="X28" s="5">
        <f>+P28-T28</f>
        <v>-1089916.3700000001</v>
      </c>
      <c r="Y28" s="5"/>
      <c r="Z28" s="13">
        <f>IF(T28=0,0,X28/T28)</f>
        <v>-8.0734545925925936</v>
      </c>
    </row>
    <row r="29" spans="1:26" s="63" customFormat="1" ht="15" customHeight="1" x14ac:dyDescent="0.3">
      <c r="A29" s="49"/>
      <c r="B29" s="11" t="s">
        <v>296</v>
      </c>
      <c r="C29" s="11"/>
      <c r="D29" s="5">
        <f>--14325.83</f>
        <v>14325.83</v>
      </c>
      <c r="E29" s="5"/>
      <c r="F29" s="13">
        <f>IF(D$12=0,0,D29/D$12)</f>
        <v>0</v>
      </c>
      <c r="G29" s="5"/>
      <c r="H29" s="5">
        <f>--20000</f>
        <v>20000</v>
      </c>
      <c r="I29" s="5"/>
      <c r="J29" s="13">
        <f>IF(H$12=0,0,H29/H$12)</f>
        <v>0</v>
      </c>
      <c r="K29" s="5"/>
      <c r="L29" s="5">
        <f>+D29-H29</f>
        <v>-5674.17</v>
      </c>
      <c r="M29" s="5"/>
      <c r="N29" s="13">
        <f>IF(H29=0,0,L29/H29)</f>
        <v>-0.28370850000000003</v>
      </c>
      <c r="O29" s="11"/>
      <c r="P29" s="5">
        <f>--2333265.47</f>
        <v>2333265.4700000002</v>
      </c>
      <c r="Q29" s="5"/>
      <c r="R29" s="13">
        <f>IF(P$12=0,0,P29/P$12)</f>
        <v>0</v>
      </c>
      <c r="S29" s="5"/>
      <c r="T29" s="5">
        <f>--150000</f>
        <v>150000</v>
      </c>
      <c r="U29" s="5"/>
      <c r="V29" s="13">
        <f>IF(T$12=0,0,T29/T$12)</f>
        <v>0</v>
      </c>
      <c r="W29" s="5"/>
      <c r="X29" s="5">
        <f>+P29-T29</f>
        <v>2183265.4700000002</v>
      </c>
      <c r="Y29" s="5"/>
      <c r="Z29" s="13">
        <f>IF(T29=0,0,X29/T29)</f>
        <v>14.555103133333334</v>
      </c>
    </row>
    <row r="30" spans="1:26" ht="15" customHeight="1" x14ac:dyDescent="0.3">
      <c r="A30" s="10"/>
      <c r="B30" s="10"/>
      <c r="C30" s="10"/>
      <c r="D30" s="4"/>
      <c r="E30" s="4"/>
      <c r="F30" s="9"/>
      <c r="G30" s="4"/>
      <c r="H30" s="4"/>
      <c r="I30" s="4"/>
      <c r="J30" s="9"/>
      <c r="K30" s="4"/>
      <c r="L30" s="4"/>
      <c r="M30" s="4"/>
      <c r="N30" s="9"/>
      <c r="P30" s="4"/>
      <c r="Q30" s="4"/>
      <c r="R30" s="9"/>
      <c r="S30" s="4"/>
      <c r="T30" s="4"/>
      <c r="U30" s="4"/>
      <c r="V30" s="9"/>
      <c r="W30" s="4"/>
      <c r="X30" s="4"/>
      <c r="Y30" s="4"/>
      <c r="Z30" s="9"/>
    </row>
    <row r="31" spans="1:26" s="63" customFormat="1" ht="15" customHeight="1" x14ac:dyDescent="0.3">
      <c r="A31" s="11"/>
      <c r="B31" s="27" t="s">
        <v>297</v>
      </c>
      <c r="C31" s="27"/>
      <c r="D31" s="32">
        <f>SUM(D26:D30)</f>
        <v>-24256.82</v>
      </c>
      <c r="E31" s="15"/>
      <c r="F31" s="31">
        <f>IF(D$12=0,0,D31/D$12)</f>
        <v>0</v>
      </c>
      <c r="G31" s="15"/>
      <c r="H31" s="32">
        <f>SUM(H26:H30)</f>
        <v>35000</v>
      </c>
      <c r="I31" s="15"/>
      <c r="J31" s="31">
        <f>IF(H$12=0,0,H31/H$12)</f>
        <v>0</v>
      </c>
      <c r="K31" s="16"/>
      <c r="L31" s="32">
        <f>+D31-H31</f>
        <v>-59256.82</v>
      </c>
      <c r="M31" s="16"/>
      <c r="N31" s="31">
        <f>IF(H31=0,0,L31/H31)</f>
        <v>-1.693052</v>
      </c>
      <c r="O31" s="28"/>
      <c r="P31" s="32">
        <f>SUM(P26:P30)</f>
        <v>1378349.1</v>
      </c>
      <c r="Q31" s="15"/>
      <c r="R31" s="31">
        <f>IF(P$12=0,0,P31/P$12)</f>
        <v>0</v>
      </c>
      <c r="S31" s="15"/>
      <c r="T31" s="32">
        <f>SUM(T26:T30)</f>
        <v>285000</v>
      </c>
      <c r="U31" s="15"/>
      <c r="V31" s="31">
        <f>IF(T$12=0,0,T31/T$12)</f>
        <v>0</v>
      </c>
      <c r="W31" s="16"/>
      <c r="X31" s="32">
        <f>+P31-T31</f>
        <v>1093349.1000000001</v>
      </c>
      <c r="Y31" s="16"/>
      <c r="Z31" s="31">
        <f>IF(T31=0,0,X31/T31)</f>
        <v>3.8363126315789478</v>
      </c>
    </row>
    <row r="32" spans="1:26" ht="15" customHeight="1" x14ac:dyDescent="0.3">
      <c r="A32" s="10"/>
      <c r="C32" s="10"/>
      <c r="D32" s="19"/>
      <c r="E32" s="19"/>
      <c r="G32" s="19"/>
      <c r="H32" s="19"/>
      <c r="I32" s="19"/>
      <c r="J32" s="40"/>
      <c r="K32" s="19"/>
      <c r="L32" s="19"/>
      <c r="M32" s="19"/>
      <c r="P32" s="19"/>
      <c r="Q32" s="19"/>
      <c r="R32" s="40"/>
      <c r="S32" s="19"/>
      <c r="T32" s="19"/>
      <c r="U32" s="19"/>
      <c r="V32" s="40"/>
      <c r="W32" s="19"/>
      <c r="X32" s="19"/>
    </row>
    <row r="33" spans="1:24" ht="15" customHeight="1" x14ac:dyDescent="0.3">
      <c r="A33" s="10"/>
      <c r="B33" s="51">
        <v>44663.047639004631</v>
      </c>
      <c r="D33" s="19"/>
      <c r="E33" s="19"/>
      <c r="G33" s="19"/>
      <c r="H33" s="19"/>
      <c r="I33" s="19"/>
      <c r="J33" s="40"/>
      <c r="K33" s="19"/>
      <c r="L33" s="19"/>
      <c r="M33" s="19"/>
      <c r="P33" s="19"/>
      <c r="Q33" s="19"/>
      <c r="R33" s="40"/>
      <c r="S33" s="19"/>
      <c r="T33" s="19"/>
      <c r="U33" s="19"/>
      <c r="V33" s="40"/>
      <c r="W33" s="19"/>
      <c r="X33" s="19"/>
    </row>
    <row r="34" spans="1:24" ht="15" customHeight="1" x14ac:dyDescent="0.3">
      <c r="A34" s="10"/>
      <c r="B34" s="58" t="s">
        <v>298</v>
      </c>
      <c r="D34" s="19"/>
      <c r="E34" s="19"/>
      <c r="G34" s="19"/>
      <c r="H34" s="19"/>
      <c r="I34" s="19"/>
      <c r="J34" s="40"/>
      <c r="K34" s="19"/>
      <c r="L34" s="19"/>
      <c r="M34" s="19"/>
      <c r="P34" s="19"/>
      <c r="Q34" s="19"/>
      <c r="R34" s="40"/>
      <c r="S34" s="19"/>
      <c r="T34" s="19"/>
      <c r="U34" s="19"/>
      <c r="V34" s="40"/>
      <c r="W34" s="19"/>
      <c r="X34" s="19"/>
    </row>
    <row r="35" spans="1:24" ht="15" customHeight="1" x14ac:dyDescent="0.3">
      <c r="A35" s="10"/>
      <c r="B35" s="50"/>
      <c r="D35" s="19"/>
      <c r="E35" s="19"/>
      <c r="G35" s="19"/>
      <c r="H35" s="19"/>
      <c r="I35" s="19"/>
      <c r="J35" s="40"/>
      <c r="K35" s="19"/>
      <c r="L35" s="19"/>
      <c r="M35" s="19"/>
      <c r="P35" s="19"/>
      <c r="Q35" s="19"/>
      <c r="R35" s="40"/>
      <c r="S35" s="19"/>
      <c r="T35" s="19"/>
      <c r="U35" s="19"/>
      <c r="V35" s="40"/>
      <c r="W35" s="19"/>
      <c r="X35" s="19"/>
    </row>
    <row r="36" spans="1:24" ht="15" customHeight="1" x14ac:dyDescent="0.3">
      <c r="D36" s="19"/>
      <c r="E36" s="19"/>
      <c r="G36" s="19"/>
      <c r="H36" s="19"/>
      <c r="I36" s="19"/>
      <c r="J36" s="40"/>
      <c r="K36" s="19"/>
      <c r="L36" s="19"/>
      <c r="M36" s="19"/>
      <c r="P36" s="19"/>
      <c r="Q36" s="19"/>
      <c r="R36" s="40"/>
      <c r="S36" s="19"/>
      <c r="T36" s="19"/>
      <c r="U36" s="19"/>
      <c r="V36" s="40"/>
      <c r="W36" s="19"/>
      <c r="X36" s="19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895F5F-A0D5-9504-70AD-D15004692ED8}">
  <sheetPr>
    <tabColor rgb="FF92D050"/>
    <outlinePr summaryBelow="0" summaryRight="0"/>
  </sheetPr>
  <dimension ref="A2:Z102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6" customWidth="1"/>
    <col min="2" max="2" width="33.44140625" style="66" customWidth="1"/>
    <col min="3" max="3" width="1.88671875" style="66" customWidth="1"/>
    <col min="4" max="4" width="15" style="66" customWidth="1"/>
    <col min="5" max="5" width="1.88671875" style="66" customWidth="1" outlineLevel="1"/>
    <col min="6" max="6" width="15" style="67" customWidth="1" outlineLevel="1"/>
    <col min="7" max="7" width="1.88671875" style="66" customWidth="1" outlineLevel="1"/>
    <col min="8" max="8" width="15" style="66" customWidth="1" outlineLevel="1"/>
    <col min="9" max="9" width="1.88671875" style="66" customWidth="1" outlineLevel="1"/>
    <col min="10" max="10" width="15" style="68" customWidth="1" outlineLevel="1"/>
    <col min="11" max="11" width="1.88671875" style="66" customWidth="1" outlineLevel="1"/>
    <col min="12" max="12" width="15" style="66" customWidth="1" outlineLevel="1"/>
    <col min="13" max="13" width="1.88671875" style="66" customWidth="1" outlineLevel="1"/>
    <col min="14" max="14" width="15" style="67" customWidth="1" outlineLevel="1"/>
    <col min="15" max="15" width="1.88671875" style="64" customWidth="1"/>
    <col min="16" max="16" width="15" style="66" customWidth="1"/>
    <col min="17" max="17" width="1.88671875" style="66" customWidth="1" outlineLevel="1"/>
    <col min="18" max="18" width="15" style="68" customWidth="1" outlineLevel="1"/>
    <col min="19" max="19" width="1.88671875" style="66" customWidth="1" outlineLevel="1"/>
    <col min="20" max="20" width="15" style="66" customWidth="1" outlineLevel="1"/>
    <col min="21" max="21" width="1.88671875" style="66" customWidth="1" outlineLevel="1"/>
    <col min="22" max="22" width="15" style="68" customWidth="1" outlineLevel="1"/>
    <col min="23" max="23" width="1.88671875" style="66" customWidth="1" outlineLevel="1"/>
    <col min="24" max="24" width="15" style="66" customWidth="1" outlineLevel="1"/>
    <col min="25" max="25" width="1.88671875" style="66" customWidth="1" outlineLevel="1"/>
    <col min="26" max="26" width="15" style="68" customWidth="1" outlineLevel="1"/>
  </cols>
  <sheetData>
    <row r="2" spans="1:26" ht="15" customHeight="1" x14ac:dyDescent="0.3">
      <c r="D2" s="54" t="s">
        <v>276</v>
      </c>
    </row>
    <row r="3" spans="1:26" ht="15" customHeight="1" x14ac:dyDescent="0.3">
      <c r="D3" s="54" t="s">
        <v>277</v>
      </c>
      <c r="E3" s="18"/>
      <c r="F3" s="44"/>
      <c r="G3" s="18"/>
      <c r="H3" s="18"/>
      <c r="I3" s="18"/>
      <c r="J3" s="38"/>
      <c r="K3" s="18"/>
      <c r="L3" s="18"/>
      <c r="M3" s="18"/>
      <c r="N3" s="44"/>
      <c r="O3" s="53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ht="15" customHeight="1" x14ac:dyDescent="0.3">
      <c r="D4" s="54" t="str">
        <f>CONCATENATE("Period ",RIGHT(202209,2),", ",2022)</f>
        <v>Period 09, 2022</v>
      </c>
      <c r="E4" s="18"/>
      <c r="F4" s="44"/>
      <c r="G4" s="18"/>
      <c r="H4" s="18"/>
      <c r="I4" s="18"/>
      <c r="J4" s="38"/>
      <c r="K4" s="18"/>
      <c r="L4" s="18"/>
      <c r="M4" s="18"/>
      <c r="N4" s="44"/>
      <c r="O4" s="53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ht="15" customHeight="1" x14ac:dyDescent="0.3">
      <c r="A5" s="24"/>
      <c r="D5" s="60">
        <v>44646</v>
      </c>
      <c r="E5" s="18"/>
      <c r="F5" s="44"/>
      <c r="G5" s="18"/>
      <c r="H5" s="18"/>
      <c r="I5" s="18"/>
      <c r="J5" s="38"/>
      <c r="K5" s="18"/>
      <c r="L5" s="18"/>
      <c r="M5" s="18"/>
      <c r="N5" s="44"/>
      <c r="O5" s="53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ht="15" customHeight="1" x14ac:dyDescent="0.3">
      <c r="A6" s="24"/>
      <c r="B6" s="47"/>
      <c r="C6" s="47"/>
      <c r="D6" s="24" t="str">
        <f>CONCATENATE("Department ","326"," - ","2nd Street Store")</f>
        <v>Department 326 - 2nd Street Store</v>
      </c>
      <c r="E6" s="18"/>
      <c r="F6" s="44"/>
      <c r="G6" s="18"/>
      <c r="H6" s="18"/>
      <c r="I6" s="18"/>
      <c r="J6" s="38"/>
      <c r="K6" s="18"/>
      <c r="L6" s="18"/>
      <c r="M6" s="18"/>
      <c r="N6" s="44"/>
      <c r="O6" s="59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ht="15" customHeight="1" x14ac:dyDescent="0.3">
      <c r="B7" s="52"/>
    </row>
    <row r="8" spans="1:26" ht="15" customHeight="1" x14ac:dyDescent="0.3">
      <c r="B8" s="52"/>
    </row>
    <row r="9" spans="1:26" ht="15" customHeight="1" x14ac:dyDescent="0.3">
      <c r="B9" s="10"/>
      <c r="C9" s="10"/>
      <c r="D9" s="17" t="s">
        <v>279</v>
      </c>
      <c r="E9" s="17"/>
      <c r="F9" s="36"/>
      <c r="G9" s="17"/>
      <c r="H9" s="17"/>
      <c r="I9" s="17"/>
      <c r="J9" s="43"/>
      <c r="K9" s="17"/>
      <c r="L9" s="17"/>
      <c r="M9" s="17"/>
      <c r="N9" s="36"/>
      <c r="P9" s="17" t="s">
        <v>280</v>
      </c>
      <c r="Q9" s="17"/>
      <c r="R9" s="36"/>
      <c r="S9" s="17"/>
      <c r="T9" s="17"/>
      <c r="U9" s="17"/>
      <c r="V9" s="43"/>
      <c r="W9" s="17"/>
      <c r="X9" s="17"/>
      <c r="Y9" s="17"/>
      <c r="Z9" s="36"/>
    </row>
    <row r="10" spans="1:26" ht="15" customHeight="1" x14ac:dyDescent="0.3">
      <c r="A10" s="11"/>
      <c r="B10" s="57"/>
      <c r="C10" s="11"/>
      <c r="D10" s="41" t="s">
        <v>281</v>
      </c>
      <c r="E10" s="33"/>
      <c r="F10" s="37" t="s">
        <v>282</v>
      </c>
      <c r="G10" s="33"/>
      <c r="H10" s="48" t="s">
        <v>283</v>
      </c>
      <c r="I10" s="33"/>
      <c r="J10" s="45" t="s">
        <v>284</v>
      </c>
      <c r="K10" s="11"/>
      <c r="L10" s="41" t="s">
        <v>285</v>
      </c>
      <c r="M10" s="11"/>
      <c r="N10" s="37" t="s">
        <v>286</v>
      </c>
      <c r="O10" s="11"/>
      <c r="P10" s="56" t="s">
        <v>281</v>
      </c>
      <c r="Q10" s="33"/>
      <c r="R10" s="37" t="s">
        <v>282</v>
      </c>
      <c r="S10" s="33"/>
      <c r="T10" s="48" t="s">
        <v>283</v>
      </c>
      <c r="U10" s="33"/>
      <c r="V10" s="45" t="s">
        <v>284</v>
      </c>
      <c r="W10" s="11"/>
      <c r="X10" s="41" t="s">
        <v>285</v>
      </c>
      <c r="Y10" s="11"/>
      <c r="Z10" s="37" t="s">
        <v>286</v>
      </c>
    </row>
    <row r="11" spans="1:26" ht="16.5" customHeight="1" x14ac:dyDescent="0.3">
      <c r="A11" s="10"/>
      <c r="B11" s="55"/>
      <c r="C11" s="10"/>
      <c r="D11" s="10"/>
      <c r="E11" s="10"/>
      <c r="F11" s="9"/>
      <c r="G11" s="10"/>
      <c r="H11" s="10"/>
      <c r="I11" s="10"/>
      <c r="J11" s="46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6"/>
      <c r="W11" s="10"/>
      <c r="X11" s="10"/>
      <c r="Y11" s="10"/>
      <c r="Z11" s="9"/>
    </row>
    <row r="12" spans="1:26" s="63" customFormat="1" ht="15" customHeight="1" collapsed="1" x14ac:dyDescent="0.3">
      <c r="A12" s="11"/>
      <c r="B12" s="28" t="s">
        <v>287</v>
      </c>
      <c r="C12" s="11"/>
      <c r="D12" s="5">
        <f>SUM(OSRRefD13x_0)</f>
        <v>32632.690000000002</v>
      </c>
      <c r="E12" s="5"/>
      <c r="F12" s="13"/>
      <c r="G12" s="5"/>
      <c r="H12" s="5">
        <f>SUM(OSRRefH13x_0)</f>
        <v>27969</v>
      </c>
      <c r="I12" s="5"/>
      <c r="J12" s="13"/>
      <c r="K12" s="5"/>
      <c r="L12" s="5">
        <f>+D12-H12</f>
        <v>4663.6900000000023</v>
      </c>
      <c r="M12" s="5"/>
      <c r="N12" s="13">
        <f>IF(H12=0,0,L12/H12)</f>
        <v>0.1667449676427474</v>
      </c>
      <c r="O12" s="11"/>
      <c r="P12" s="5">
        <f>SUM(OSRRefP13x_0)</f>
        <v>290774.32000000007</v>
      </c>
      <c r="Q12" s="5"/>
      <c r="R12" s="13"/>
      <c r="S12" s="5"/>
      <c r="T12" s="5">
        <f>SUM(OSRRefT13x_0)</f>
        <v>242678</v>
      </c>
      <c r="U12" s="5"/>
      <c r="V12" s="13"/>
      <c r="W12" s="5"/>
      <c r="X12" s="5">
        <f>+P12-T12</f>
        <v>48096.320000000065</v>
      </c>
      <c r="Y12" s="5"/>
      <c r="Z12" s="13">
        <f>IF(T12=0,0,X12/T12)</f>
        <v>0.19818986475906372</v>
      </c>
    </row>
    <row r="13" spans="1:26" s="70" customFormat="1" ht="15" hidden="1" customHeight="1" outlineLevel="1" x14ac:dyDescent="0.3">
      <c r="A13" s="42"/>
      <c r="B13" s="12" t="str">
        <f>CONCATENATE("          ","4000"," - ","TAXABLE SALES")</f>
        <v xml:space="preserve">          4000 - TAXABLE SALES</v>
      </c>
      <c r="C13" s="12"/>
      <c r="D13" s="3">
        <f>--34131.55</f>
        <v>34131.550000000003</v>
      </c>
      <c r="E13" s="3"/>
      <c r="F13" s="20"/>
      <c r="G13" s="3"/>
      <c r="H13" s="3">
        <v>27969</v>
      </c>
      <c r="I13" s="3"/>
      <c r="J13" s="20"/>
      <c r="K13" s="3"/>
      <c r="L13" s="3">
        <f>+D13-H13</f>
        <v>6162.5500000000029</v>
      </c>
      <c r="M13" s="3"/>
      <c r="N13" s="20">
        <f>IF(H13=0,0,L13/H13)</f>
        <v>0.2203350137652402</v>
      </c>
      <c r="O13" s="12"/>
      <c r="P13" s="3">
        <f>--308529.65</f>
        <v>308529.65000000002</v>
      </c>
      <c r="Q13" s="3"/>
      <c r="R13" s="20"/>
      <c r="S13" s="3"/>
      <c r="T13" s="3">
        <v>242678</v>
      </c>
      <c r="U13" s="3"/>
      <c r="V13" s="20"/>
      <c r="W13" s="3"/>
      <c r="X13" s="3">
        <f>+P13-T13</f>
        <v>65851.650000000023</v>
      </c>
      <c r="Y13" s="3"/>
      <c r="Z13" s="20">
        <f>IF(T13=0,0,X13/T13)</f>
        <v>0.27135401643329854</v>
      </c>
    </row>
    <row r="14" spans="1:26" s="70" customFormat="1" ht="15" hidden="1" customHeight="1" outlineLevel="1" x14ac:dyDescent="0.3">
      <c r="A14" s="42"/>
      <c r="B14" s="12" t="str">
        <f>CONCATENATE("          ","4100"," - ","NON-TAXABLE SALES")</f>
        <v xml:space="preserve">          4100 - NON-TAXABLE SALES</v>
      </c>
      <c r="C14" s="12"/>
      <c r="D14" s="3">
        <f>--42.71</f>
        <v>42.71</v>
      </c>
      <c r="E14" s="3"/>
      <c r="F14" s="20"/>
      <c r="G14" s="3"/>
      <c r="H14" s="3"/>
      <c r="I14" s="3"/>
      <c r="J14" s="20"/>
      <c r="K14" s="3"/>
      <c r="L14" s="3">
        <f>+D14-H14</f>
        <v>42.71</v>
      </c>
      <c r="M14" s="3"/>
      <c r="N14" s="20">
        <f>IF(H14=0,0,L14/H14)</f>
        <v>0</v>
      </c>
      <c r="O14" s="12"/>
      <c r="P14" s="3">
        <f>--229</f>
        <v>229</v>
      </c>
      <c r="Q14" s="3"/>
      <c r="R14" s="20"/>
      <c r="S14" s="3"/>
      <c r="T14" s="3"/>
      <c r="U14" s="3"/>
      <c r="V14" s="20"/>
      <c r="W14" s="3"/>
      <c r="X14" s="3">
        <f>+P14-T14</f>
        <v>229</v>
      </c>
      <c r="Y14" s="3"/>
      <c r="Z14" s="20">
        <f>IF(T14=0,0,X14/T14)</f>
        <v>0</v>
      </c>
    </row>
    <row r="15" spans="1:26" s="70" customFormat="1" ht="15" hidden="1" customHeight="1" outlineLevel="1" x14ac:dyDescent="0.3">
      <c r="A15" s="42"/>
      <c r="B15" s="12" t="str">
        <f>CONCATENATE("          ","4200"," - ","TAXABLE RETURNS")</f>
        <v xml:space="preserve">          4200 - TAXABLE RETURNS</v>
      </c>
      <c r="C15" s="12"/>
      <c r="D15" s="3">
        <f>-970.72</f>
        <v>-970.72</v>
      </c>
      <c r="E15" s="3"/>
      <c r="F15" s="20"/>
      <c r="G15" s="3"/>
      <c r="H15" s="3"/>
      <c r="I15" s="3"/>
      <c r="J15" s="20"/>
      <c r="K15" s="3"/>
      <c r="L15" s="3">
        <f>+D15-H15</f>
        <v>-970.72</v>
      </c>
      <c r="M15" s="3"/>
      <c r="N15" s="20">
        <f>IF(H15=0,0,L15/H15)</f>
        <v>0</v>
      </c>
      <c r="O15" s="12"/>
      <c r="P15" s="3">
        <f>-11798.91</f>
        <v>-11798.91</v>
      </c>
      <c r="Q15" s="3"/>
      <c r="R15" s="20"/>
      <c r="S15" s="3"/>
      <c r="T15" s="3"/>
      <c r="U15" s="3"/>
      <c r="V15" s="20"/>
      <c r="W15" s="3"/>
      <c r="X15" s="3">
        <f>+P15-T15</f>
        <v>-11798.91</v>
      </c>
      <c r="Y15" s="3"/>
      <c r="Z15" s="20">
        <f>IF(T15=0,0,X15/T15)</f>
        <v>0</v>
      </c>
    </row>
    <row r="16" spans="1:26" s="70" customFormat="1" ht="15" hidden="1" customHeight="1" outlineLevel="1" x14ac:dyDescent="0.3">
      <c r="A16" s="42"/>
      <c r="B16" s="12" t="str">
        <f>CONCATENATE("          ","4500"," - ","SALES DISCOUNT")</f>
        <v xml:space="preserve">          4500 - SALES DISCOUNT</v>
      </c>
      <c r="C16" s="12"/>
      <c r="D16" s="3">
        <f>-570.85</f>
        <v>-570.85</v>
      </c>
      <c r="E16" s="3"/>
      <c r="F16" s="20"/>
      <c r="G16" s="3"/>
      <c r="H16" s="3"/>
      <c r="I16" s="3"/>
      <c r="J16" s="20"/>
      <c r="K16" s="3"/>
      <c r="L16" s="3">
        <f>+D16-H16</f>
        <v>-570.85</v>
      </c>
      <c r="M16" s="3"/>
      <c r="N16" s="20">
        <f>IF(H16=0,0,L16/H16)</f>
        <v>0</v>
      </c>
      <c r="O16" s="12"/>
      <c r="P16" s="3">
        <f>-6185.42</f>
        <v>-6185.42</v>
      </c>
      <c r="Q16" s="3"/>
      <c r="R16" s="20"/>
      <c r="S16" s="3"/>
      <c r="T16" s="3"/>
      <c r="U16" s="3"/>
      <c r="V16" s="20"/>
      <c r="W16" s="3"/>
      <c r="X16" s="3">
        <f>+P16-T16</f>
        <v>-6185.42</v>
      </c>
      <c r="Y16" s="3"/>
      <c r="Z16" s="20">
        <f>IF(T16=0,0,X16/T16)</f>
        <v>0</v>
      </c>
    </row>
    <row r="17" spans="1:26" ht="15" customHeight="1" x14ac:dyDescent="0.3">
      <c r="A17" s="10"/>
      <c r="B17" s="11"/>
      <c r="C17" s="10"/>
      <c r="D17" s="4"/>
      <c r="E17" s="4"/>
      <c r="F17" s="9"/>
      <c r="G17" s="4"/>
      <c r="H17" s="4"/>
      <c r="I17" s="4"/>
      <c r="J17" s="9"/>
      <c r="K17" s="4"/>
      <c r="L17" s="4"/>
      <c r="M17" s="4"/>
      <c r="N17" s="9"/>
      <c r="P17" s="4"/>
      <c r="Q17" s="4"/>
      <c r="R17" s="9"/>
      <c r="S17" s="4"/>
      <c r="T17" s="4"/>
      <c r="U17" s="4"/>
      <c r="V17" s="9"/>
      <c r="W17" s="4"/>
      <c r="X17" s="4"/>
      <c r="Y17" s="4"/>
      <c r="Z17" s="9"/>
    </row>
    <row r="18" spans="1:26" s="63" customFormat="1" ht="15" customHeight="1" collapsed="1" x14ac:dyDescent="0.3">
      <c r="A18" s="11"/>
      <c r="B18" s="28" t="s">
        <v>288</v>
      </c>
      <c r="C18" s="11"/>
      <c r="D18" s="5">
        <f>SUM(OSRRefD16x_0)</f>
        <v>13553.29</v>
      </c>
      <c r="E18" s="5"/>
      <c r="F18" s="13">
        <f>IF(D$12=0,0,D18/D$12)</f>
        <v>0.41532861679499911</v>
      </c>
      <c r="G18" s="5"/>
      <c r="H18" s="5">
        <f>SUM(OSRRefH16x_0)</f>
        <v>12586</v>
      </c>
      <c r="I18" s="5"/>
      <c r="J18" s="13">
        <f>IF(H$12=0,0,H18/H$12)</f>
        <v>0.44999821230648218</v>
      </c>
      <c r="K18" s="5"/>
      <c r="L18" s="5">
        <f>+D18-H18</f>
        <v>967.29000000000087</v>
      </c>
      <c r="M18" s="5"/>
      <c r="N18" s="13">
        <f>IF(H18=0,0,L18/H18)</f>
        <v>7.6854441442873109E-2</v>
      </c>
      <c r="O18" s="11"/>
      <c r="P18" s="5">
        <f>SUM(OSRRefP16x_0)</f>
        <v>133610.98000000001</v>
      </c>
      <c r="Q18" s="5"/>
      <c r="R18" s="13">
        <f>IF(P$12=0,0,P18/P$12)</f>
        <v>0.45950061889922045</v>
      </c>
      <c r="S18" s="5"/>
      <c r="T18" s="5">
        <f>SUM(OSRRefT16x_0)</f>
        <v>109207</v>
      </c>
      <c r="U18" s="5"/>
      <c r="V18" s="13">
        <f>IF(T$12=0,0,T18/T$12)</f>
        <v>0.45000782930467531</v>
      </c>
      <c r="W18" s="5"/>
      <c r="X18" s="5">
        <f>+P18-T18</f>
        <v>24403.98000000001</v>
      </c>
      <c r="Y18" s="5"/>
      <c r="Z18" s="13">
        <f>IF(T18=0,0,X18/T18)</f>
        <v>0.22346534562802761</v>
      </c>
    </row>
    <row r="19" spans="1:26" s="70" customFormat="1" ht="15" hidden="1" customHeight="1" outlineLevel="1" x14ac:dyDescent="0.3">
      <c r="A19" s="42"/>
      <c r="B19" s="12" t="str">
        <f>CONCATENATE("          ","5000"," - ","PURCHASES @ COST")</f>
        <v xml:space="preserve">          5000 - PURCHASES @ COST</v>
      </c>
      <c r="C19" s="12"/>
      <c r="D19" s="3"/>
      <c r="E19" s="3"/>
      <c r="F19" s="20">
        <f>IF(D$12=0,0,D19/D$12)</f>
        <v>0</v>
      </c>
      <c r="G19" s="3"/>
      <c r="H19" s="3">
        <v>12586</v>
      </c>
      <c r="I19" s="3"/>
      <c r="J19" s="20">
        <f>IF(H$12=0,0,H19/H$12)</f>
        <v>0.44999821230648218</v>
      </c>
      <c r="K19" s="3"/>
      <c r="L19" s="3">
        <f>+D19-H19</f>
        <v>-12586</v>
      </c>
      <c r="M19" s="3"/>
      <c r="N19" s="20">
        <f>IF(H19=0,0,L19/H19)</f>
        <v>-1</v>
      </c>
      <c r="O19" s="12"/>
      <c r="P19" s="3">
        <v>5388.9</v>
      </c>
      <c r="Q19" s="3"/>
      <c r="R19" s="20">
        <f>IF(P$12=0,0,P19/P$12)</f>
        <v>1.8532929592957173E-2</v>
      </c>
      <c r="S19" s="3"/>
      <c r="T19" s="3">
        <v>109207</v>
      </c>
      <c r="U19" s="3"/>
      <c r="V19" s="20">
        <f>IF(T$12=0,0,T19/T$12)</f>
        <v>0.45000782930467531</v>
      </c>
      <c r="W19" s="3"/>
      <c r="X19" s="3">
        <f>+P19-T19</f>
        <v>-103818.1</v>
      </c>
      <c r="Y19" s="3"/>
      <c r="Z19" s="20">
        <f>IF(T19=0,0,X19/T19)</f>
        <v>-0.9506542620894266</v>
      </c>
    </row>
    <row r="20" spans="1:26" s="70" customFormat="1" ht="15" hidden="1" customHeight="1" outlineLevel="1" x14ac:dyDescent="0.3">
      <c r="A20" s="42"/>
      <c r="B20" s="12" t="str">
        <f>CONCATENATE("          ","5200"," - ","PURCHASES OFFSET")</f>
        <v xml:space="preserve">          5200 - PURCHASES OFFSET</v>
      </c>
      <c r="C20" s="12"/>
      <c r="D20" s="3"/>
      <c r="E20" s="3"/>
      <c r="F20" s="20">
        <f>IF(D$12=0,0,D20/D$12)</f>
        <v>0</v>
      </c>
      <c r="G20" s="3"/>
      <c r="H20" s="3"/>
      <c r="I20" s="3"/>
      <c r="J20" s="20">
        <f>IF(H$12=0,0,H20/H$12)</f>
        <v>0</v>
      </c>
      <c r="K20" s="3"/>
      <c r="L20" s="3">
        <f>+D20-H20</f>
        <v>0</v>
      </c>
      <c r="M20" s="3"/>
      <c r="N20" s="20">
        <f>IF(H20=0,0,L20/H20)</f>
        <v>0</v>
      </c>
      <c r="O20" s="12"/>
      <c r="P20" s="3">
        <v>-5481.89</v>
      </c>
      <c r="Q20" s="3"/>
      <c r="R20" s="20">
        <f>IF(P$12=0,0,P20/P$12)</f>
        <v>-1.88527308738956E-2</v>
      </c>
      <c r="S20" s="3"/>
      <c r="T20" s="3"/>
      <c r="U20" s="3"/>
      <c r="V20" s="20">
        <f>IF(T$12=0,0,T20/T$12)</f>
        <v>0</v>
      </c>
      <c r="W20" s="3"/>
      <c r="X20" s="3">
        <f>+P20-T20</f>
        <v>-5481.89</v>
      </c>
      <c r="Y20" s="3"/>
      <c r="Z20" s="20">
        <f>IF(T20=0,0,X20/T20)</f>
        <v>0</v>
      </c>
    </row>
    <row r="21" spans="1:26" s="70" customFormat="1" ht="15" hidden="1" customHeight="1" outlineLevel="1" x14ac:dyDescent="0.3">
      <c r="A21" s="42"/>
      <c r="B21" s="12" t="str">
        <f>CONCATENATE("          ","5300"," - ","COG$ OFFSET")</f>
        <v xml:space="preserve">          5300 - COG$ OFFSET</v>
      </c>
      <c r="C21" s="12"/>
      <c r="D21" s="3">
        <v>13553.29</v>
      </c>
      <c r="E21" s="3"/>
      <c r="F21" s="20">
        <f>IF(D$12=0,0,D21/D$12)</f>
        <v>0.41532861679499911</v>
      </c>
      <c r="G21" s="3"/>
      <c r="H21" s="3"/>
      <c r="I21" s="3"/>
      <c r="J21" s="20">
        <f>IF(H$12=0,0,H21/H$12)</f>
        <v>0</v>
      </c>
      <c r="K21" s="3"/>
      <c r="L21" s="3">
        <f>+D21-H21</f>
        <v>13553.29</v>
      </c>
      <c r="M21" s="3"/>
      <c r="N21" s="20">
        <f>IF(H21=0,0,L21/H21)</f>
        <v>0</v>
      </c>
      <c r="O21" s="12"/>
      <c r="P21" s="3">
        <v>133610.98000000001</v>
      </c>
      <c r="Q21" s="3"/>
      <c r="R21" s="20">
        <f>IF(P$12=0,0,P21/P$12)</f>
        <v>0.45950061889922045</v>
      </c>
      <c r="S21" s="3"/>
      <c r="T21" s="3"/>
      <c r="U21" s="3"/>
      <c r="V21" s="20">
        <f>IF(T$12=0,0,T21/T$12)</f>
        <v>0</v>
      </c>
      <c r="W21" s="3"/>
      <c r="X21" s="3">
        <f>+P21-T21</f>
        <v>133610.98000000001</v>
      </c>
      <c r="Y21" s="3"/>
      <c r="Z21" s="20">
        <f>IF(T21=0,0,X21/T21)</f>
        <v>0</v>
      </c>
    </row>
    <row r="22" spans="1:26" s="70" customFormat="1" ht="15" hidden="1" customHeight="1" outlineLevel="1" x14ac:dyDescent="0.3">
      <c r="A22" s="42"/>
      <c r="B22" s="12" t="str">
        <f>CONCATENATE("          ","5500"," - ","FREIGHT-IN")</f>
        <v xml:space="preserve">          5500 - FREIGHT-IN</v>
      </c>
      <c r="C22" s="12"/>
      <c r="D22" s="3"/>
      <c r="E22" s="3"/>
      <c r="F22" s="20">
        <f>IF(D$12=0,0,D22/D$12)</f>
        <v>0</v>
      </c>
      <c r="G22" s="3"/>
      <c r="H22" s="3"/>
      <c r="I22" s="3"/>
      <c r="J22" s="20">
        <f>IF(H$12=0,0,H22/H$12)</f>
        <v>0</v>
      </c>
      <c r="K22" s="3"/>
      <c r="L22" s="3">
        <f>+D22-H22</f>
        <v>0</v>
      </c>
      <c r="M22" s="3"/>
      <c r="N22" s="20">
        <f>IF(H22=0,0,L22/H22)</f>
        <v>0</v>
      </c>
      <c r="O22" s="12"/>
      <c r="P22" s="3">
        <v>92.99</v>
      </c>
      <c r="Q22" s="3"/>
      <c r="R22" s="20">
        <f>IF(P$12=0,0,P22/P$12)</f>
        <v>3.1980128093842664E-4</v>
      </c>
      <c r="S22" s="3"/>
      <c r="T22" s="3"/>
      <c r="U22" s="3"/>
      <c r="V22" s="20">
        <f>IF(T$12=0,0,T22/T$12)</f>
        <v>0</v>
      </c>
      <c r="W22" s="3"/>
      <c r="X22" s="3">
        <f>+P22-T22</f>
        <v>92.99</v>
      </c>
      <c r="Y22" s="3"/>
      <c r="Z22" s="20">
        <f>IF(T22=0,0,X22/T22)</f>
        <v>0</v>
      </c>
    </row>
    <row r="23" spans="1:26" ht="15" customHeight="1" x14ac:dyDescent="0.3">
      <c r="A23" s="10"/>
      <c r="B23" s="11"/>
      <c r="C23" s="11"/>
      <c r="D23" s="4"/>
      <c r="E23" s="4"/>
      <c r="F23" s="9"/>
      <c r="G23" s="4"/>
      <c r="H23" s="4"/>
      <c r="I23" s="4"/>
      <c r="J23" s="9"/>
      <c r="K23" s="4"/>
      <c r="L23" s="4"/>
      <c r="M23" s="4"/>
      <c r="N23" s="9"/>
      <c r="O23" s="11"/>
      <c r="P23" s="4"/>
      <c r="Q23" s="4"/>
      <c r="R23" s="9"/>
      <c r="S23" s="4"/>
      <c r="T23" s="4"/>
      <c r="U23" s="4"/>
      <c r="V23" s="9"/>
      <c r="W23" s="4"/>
      <c r="X23" s="4"/>
      <c r="Y23" s="4"/>
      <c r="Z23" s="9"/>
    </row>
    <row r="24" spans="1:26" s="63" customFormat="1" ht="15" customHeight="1" x14ac:dyDescent="0.3">
      <c r="A24" s="11"/>
      <c r="B24" s="27" t="s">
        <v>289</v>
      </c>
      <c r="C24" s="27"/>
      <c r="D24" s="21">
        <f>D12-D18</f>
        <v>19079.400000000001</v>
      </c>
      <c r="E24" s="15"/>
      <c r="F24" s="23">
        <f>IF(D$12=0,0,D24/D$12)</f>
        <v>0.58467138320500089</v>
      </c>
      <c r="G24" s="15"/>
      <c r="H24" s="21">
        <f>H12-H18</f>
        <v>15383</v>
      </c>
      <c r="I24" s="15"/>
      <c r="J24" s="23">
        <f>IF(H$12=0,0,H24/H$12)</f>
        <v>0.55000178769351782</v>
      </c>
      <c r="K24" s="16"/>
      <c r="L24" s="21">
        <f>+D24-H24</f>
        <v>3696.4000000000015</v>
      </c>
      <c r="M24" s="16"/>
      <c r="N24" s="23">
        <f>IF(H24=0,0,L24/H24)</f>
        <v>0.24029123057921092</v>
      </c>
      <c r="O24" s="28"/>
      <c r="P24" s="21">
        <f>P12-P18</f>
        <v>157163.34000000005</v>
      </c>
      <c r="Q24" s="15"/>
      <c r="R24" s="23">
        <f>IF(P$12=0,0,P24/P$12)</f>
        <v>0.54049938110077955</v>
      </c>
      <c r="S24" s="15"/>
      <c r="T24" s="21">
        <f>T12-T18</f>
        <v>133471</v>
      </c>
      <c r="U24" s="15"/>
      <c r="V24" s="23">
        <f>IF(T$12=0,0,T24/T$12)</f>
        <v>0.54999217069532469</v>
      </c>
      <c r="W24" s="16"/>
      <c r="X24" s="21">
        <f>+P24-T24</f>
        <v>23692.340000000055</v>
      </c>
      <c r="Y24" s="16"/>
      <c r="Z24" s="23">
        <f>IF(T24=0,0,X24/T24)</f>
        <v>0.1775092716769939</v>
      </c>
    </row>
    <row r="25" spans="1:26" ht="15" customHeight="1" x14ac:dyDescent="0.3">
      <c r="A25" s="10"/>
      <c r="B25" s="11"/>
      <c r="C25" s="10"/>
      <c r="D25" s="2"/>
      <c r="E25" s="2"/>
      <c r="F25" s="6"/>
      <c r="G25" s="2"/>
      <c r="H25" s="2"/>
      <c r="I25" s="2"/>
      <c r="J25" s="6"/>
      <c r="K25" s="2"/>
      <c r="L25" s="2"/>
      <c r="M25" s="2"/>
      <c r="N25" s="6"/>
      <c r="O25" s="35"/>
      <c r="P25" s="2"/>
      <c r="Q25" s="2"/>
      <c r="R25" s="6"/>
      <c r="S25" s="2"/>
      <c r="T25" s="2"/>
      <c r="U25" s="2"/>
      <c r="V25" s="6"/>
      <c r="W25" s="2"/>
      <c r="X25" s="2"/>
      <c r="Y25" s="2"/>
      <c r="Z25" s="6"/>
    </row>
    <row r="26" spans="1:26" s="63" customFormat="1" ht="15" customHeight="1" x14ac:dyDescent="0.3">
      <c r="A26" s="11"/>
      <c r="B26" s="28" t="s">
        <v>290</v>
      </c>
      <c r="C26" s="11"/>
      <c r="D26" s="22" cm="1">
        <f t="array" ref="D26">SUM(OSRRefD22x_0)</f>
        <v>17208.460000000003</v>
      </c>
      <c r="E26" s="22"/>
      <c r="F26" s="30">
        <f t="shared" ref="F26:F57" si="0">IF(D$12=0,0,D26/D$12)</f>
        <v>0.5273380772470796</v>
      </c>
      <c r="G26" s="22"/>
      <c r="H26" s="22" cm="1">
        <f t="array" ref="H26">SUM(OSRRefH22x_0)</f>
        <v>20689.02714396923</v>
      </c>
      <c r="I26" s="22"/>
      <c r="J26" s="30">
        <f t="shared" ref="J26:J57" si="1">IF(H$12=0,0,H26/H$12)</f>
        <v>0.73971279430688364</v>
      </c>
      <c r="K26" s="5"/>
      <c r="L26" s="22">
        <f t="shared" ref="L26:L57" si="2">+D26-H26</f>
        <v>-3480.5671439692269</v>
      </c>
      <c r="M26" s="5"/>
      <c r="N26" s="30">
        <f t="shared" ref="N26:N57" si="3">IF(H26=0,0,L26/H26)</f>
        <v>-0.16823251860751695</v>
      </c>
      <c r="O26" s="11"/>
      <c r="P26" s="22" cm="1">
        <f t="array" ref="P26">SUM(OSRRefP22x_0)</f>
        <v>155477.76000000007</v>
      </c>
      <c r="Q26" s="22"/>
      <c r="R26" s="30">
        <f t="shared" ref="R26:R57" si="4">IF(P$12=0,0,P26/P$12)</f>
        <v>0.53470251430731586</v>
      </c>
      <c r="S26" s="22"/>
      <c r="T26" s="22" cm="1">
        <f t="array" ref="T26">SUM(OSRRefT22x_0)</f>
        <v>199896.55688789999</v>
      </c>
      <c r="U26" s="22"/>
      <c r="V26" s="30">
        <f t="shared" ref="V26:V57" si="5">IF(T$12=0,0,T26/T$12)</f>
        <v>0.82371107759211792</v>
      </c>
      <c r="W26" s="5"/>
      <c r="X26" s="22">
        <f t="shared" ref="X26:X57" si="6">+P26-T26</f>
        <v>-44418.796887899924</v>
      </c>
      <c r="Y26" s="5"/>
      <c r="Z26" s="30">
        <f t="shared" ref="Z26:Z57" si="7">IF(T26=0,0,X26/T26)</f>
        <v>-0.22220891434768206</v>
      </c>
    </row>
    <row r="27" spans="1:26" s="69" customFormat="1" ht="15" customHeight="1" outlineLevel="1" collapsed="1" x14ac:dyDescent="0.3">
      <c r="A27" s="25"/>
      <c r="B27" s="14" t="str">
        <f>CONCATENATE("     ","*Benefits                                         ")</f>
        <v xml:space="preserve">     *Benefits                                         </v>
      </c>
      <c r="C27" s="14"/>
      <c r="D27" s="2">
        <f>SUM(OSRRefD22_0x_0)</f>
        <v>1267.5899999999999</v>
      </c>
      <c r="E27" s="2"/>
      <c r="F27" s="6">
        <f t="shared" si="0"/>
        <v>3.88441774184108E-2</v>
      </c>
      <c r="G27" s="2"/>
      <c r="H27" s="2">
        <f>SUM(OSRRefH22_0x_0)</f>
        <v>2543.991451661539</v>
      </c>
      <c r="I27" s="2"/>
      <c r="J27" s="6">
        <f t="shared" si="1"/>
        <v>9.0957540550664628E-2</v>
      </c>
      <c r="K27" s="2"/>
      <c r="L27" s="2">
        <f t="shared" si="2"/>
        <v>-1276.4014516615391</v>
      </c>
      <c r="M27" s="2"/>
      <c r="N27" s="6">
        <f t="shared" si="3"/>
        <v>-0.50173181628731189</v>
      </c>
      <c r="O27" s="14"/>
      <c r="P27" s="2">
        <f>SUM(OSRRefP22_0x_0)</f>
        <v>11592.17</v>
      </c>
      <c r="Q27" s="2"/>
      <c r="R27" s="6">
        <f t="shared" si="4"/>
        <v>3.9866553552597071E-2</v>
      </c>
      <c r="S27" s="2"/>
      <c r="T27" s="2">
        <f>SUM(OSRRefT22_0x_0)</f>
        <v>24408.3658879</v>
      </c>
      <c r="U27" s="2"/>
      <c r="V27" s="6">
        <f t="shared" si="5"/>
        <v>0.1005792279806987</v>
      </c>
      <c r="W27" s="2"/>
      <c r="X27" s="2">
        <f t="shared" si="6"/>
        <v>-12816.195887899999</v>
      </c>
      <c r="Y27" s="2"/>
      <c r="Z27" s="6">
        <f t="shared" si="7"/>
        <v>-0.52507390075848515</v>
      </c>
    </row>
    <row r="28" spans="1:26" s="70" customFormat="1" ht="15" hidden="1" customHeight="1" outlineLevel="2" x14ac:dyDescent="0.3">
      <c r="A28" s="26"/>
      <c r="B28" s="12" t="str">
        <f>CONCATENATE("          ","6111"," - ","F.I.C.A.")</f>
        <v xml:space="preserve">          6111 - F.I.C.A.</v>
      </c>
      <c r="C28" s="12"/>
      <c r="D28" s="7">
        <v>202.01</v>
      </c>
      <c r="E28" s="3"/>
      <c r="F28" s="8">
        <f t="shared" si="0"/>
        <v>6.1904182585009078E-3</v>
      </c>
      <c r="G28" s="3"/>
      <c r="H28" s="7">
        <v>592.20220896923104</v>
      </c>
      <c r="I28" s="3"/>
      <c r="J28" s="8">
        <f t="shared" si="1"/>
        <v>2.1173521004298725E-2</v>
      </c>
      <c r="K28" s="3"/>
      <c r="L28" s="7">
        <f t="shared" si="2"/>
        <v>-390.19220896923105</v>
      </c>
      <c r="M28" s="3"/>
      <c r="N28" s="8">
        <f t="shared" si="3"/>
        <v>-0.65888340681536395</v>
      </c>
      <c r="O28" s="12"/>
      <c r="P28" s="7">
        <v>2198.25</v>
      </c>
      <c r="Q28" s="3"/>
      <c r="R28" s="8">
        <f t="shared" si="4"/>
        <v>7.5599867278513437E-3</v>
      </c>
      <c r="S28" s="3"/>
      <c r="T28" s="7">
        <v>6139.6617241499998</v>
      </c>
      <c r="U28" s="3"/>
      <c r="V28" s="8">
        <f t="shared" si="5"/>
        <v>2.529962223254683E-2</v>
      </c>
      <c r="W28" s="3"/>
      <c r="X28" s="7">
        <f t="shared" si="6"/>
        <v>-3941.4117241499998</v>
      </c>
      <c r="Y28" s="3"/>
      <c r="Z28" s="8">
        <f t="shared" si="7"/>
        <v>-0.6419591015326932</v>
      </c>
    </row>
    <row r="29" spans="1:26" s="70" customFormat="1" ht="15" hidden="1" customHeight="1" outlineLevel="2" x14ac:dyDescent="0.3">
      <c r="A29" s="26"/>
      <c r="B29" s="12" t="str">
        <f>CONCATENATE("          ","6112"," - ","COMPENSATION INSURANCE")</f>
        <v xml:space="preserve">          6112 - COMPENSATION INSURANCE</v>
      </c>
      <c r="C29" s="12"/>
      <c r="D29" s="7">
        <v>114.14</v>
      </c>
      <c r="E29" s="3"/>
      <c r="F29" s="8">
        <f t="shared" si="0"/>
        <v>3.4977196179659105E-3</v>
      </c>
      <c r="G29" s="3"/>
      <c r="H29" s="7">
        <v>157.82177999999999</v>
      </c>
      <c r="I29" s="3"/>
      <c r="J29" s="8">
        <f t="shared" si="1"/>
        <v>5.6427394615467122E-3</v>
      </c>
      <c r="K29" s="3"/>
      <c r="L29" s="7">
        <f t="shared" si="2"/>
        <v>-43.681779999999989</v>
      </c>
      <c r="M29" s="3"/>
      <c r="N29" s="8">
        <f t="shared" si="3"/>
        <v>-0.27677916191288676</v>
      </c>
      <c r="O29" s="12"/>
      <c r="P29" s="7">
        <v>569.80999999999995</v>
      </c>
      <c r="Q29" s="3"/>
      <c r="R29" s="8">
        <f t="shared" si="4"/>
        <v>1.959629722459672E-3</v>
      </c>
      <c r="S29" s="3"/>
      <c r="T29" s="7">
        <v>1533.726285</v>
      </c>
      <c r="U29" s="3"/>
      <c r="V29" s="8">
        <f t="shared" si="5"/>
        <v>6.3200054599098394E-3</v>
      </c>
      <c r="W29" s="3"/>
      <c r="X29" s="7">
        <f t="shared" si="6"/>
        <v>-963.91628500000002</v>
      </c>
      <c r="Y29" s="3"/>
      <c r="Z29" s="8">
        <f t="shared" si="7"/>
        <v>-0.62847999309081415</v>
      </c>
    </row>
    <row r="30" spans="1:26" s="70" customFormat="1" ht="15" hidden="1" customHeight="1" outlineLevel="2" x14ac:dyDescent="0.3">
      <c r="A30" s="26"/>
      <c r="B30" s="12" t="str">
        <f>CONCATENATE("          ","6113"," - ","GROUP INSURANCE")</f>
        <v xml:space="preserve">          6113 - GROUP INSURANCE</v>
      </c>
      <c r="C30" s="12"/>
      <c r="D30" s="7">
        <v>487.33</v>
      </c>
      <c r="E30" s="3"/>
      <c r="F30" s="8">
        <f t="shared" si="0"/>
        <v>1.4933797979878458E-2</v>
      </c>
      <c r="G30" s="3"/>
      <c r="H30" s="7">
        <v>988.5</v>
      </c>
      <c r="I30" s="3"/>
      <c r="J30" s="8">
        <f t="shared" si="1"/>
        <v>3.534270084736673E-2</v>
      </c>
      <c r="K30" s="3"/>
      <c r="L30" s="7">
        <f t="shared" si="2"/>
        <v>-501.17</v>
      </c>
      <c r="M30" s="3"/>
      <c r="N30" s="8">
        <f t="shared" si="3"/>
        <v>-0.50700050581689426</v>
      </c>
      <c r="O30" s="12"/>
      <c r="P30" s="7">
        <v>4633.4399999999996</v>
      </c>
      <c r="Q30" s="3"/>
      <c r="R30" s="8">
        <f t="shared" si="4"/>
        <v>1.5934832209391802E-2</v>
      </c>
      <c r="S30" s="3"/>
      <c r="T30" s="7">
        <v>8896.5</v>
      </c>
      <c r="U30" s="3"/>
      <c r="V30" s="8">
        <f t="shared" si="5"/>
        <v>3.6659688970570058E-2</v>
      </c>
      <c r="W30" s="3"/>
      <c r="X30" s="7">
        <f t="shared" si="6"/>
        <v>-4263.0600000000004</v>
      </c>
      <c r="Y30" s="3"/>
      <c r="Z30" s="8">
        <f t="shared" si="7"/>
        <v>-0.47918394874388809</v>
      </c>
    </row>
    <row r="31" spans="1:26" s="70" customFormat="1" ht="15" hidden="1" customHeight="1" outlineLevel="2" x14ac:dyDescent="0.3">
      <c r="A31" s="26"/>
      <c r="B31" s="12" t="str">
        <f>CONCATENATE("          ","6114"," - ","STATE UNEMPLOYMENT INSURANCE")</f>
        <v xml:space="preserve">          6114 - STATE UNEMPLOYMENT INSURANCE</v>
      </c>
      <c r="C31" s="12"/>
      <c r="D31" s="7">
        <v>20.05</v>
      </c>
      <c r="E31" s="3"/>
      <c r="F31" s="8">
        <f t="shared" si="0"/>
        <v>6.1441456404605322E-4</v>
      </c>
      <c r="G31" s="3"/>
      <c r="H31" s="7">
        <v>21.245239615384602</v>
      </c>
      <c r="I31" s="3"/>
      <c r="J31" s="8">
        <f t="shared" si="1"/>
        <v>7.595995429005185E-4</v>
      </c>
      <c r="K31" s="3"/>
      <c r="L31" s="7">
        <f t="shared" si="2"/>
        <v>-1.195239615384601</v>
      </c>
      <c r="M31" s="3"/>
      <c r="N31" s="8">
        <f t="shared" si="3"/>
        <v>-5.6259173208810319E-2</v>
      </c>
      <c r="O31" s="12"/>
      <c r="P31" s="7">
        <v>100.1</v>
      </c>
      <c r="Q31" s="3"/>
      <c r="R31" s="8">
        <f t="shared" si="4"/>
        <v>3.4425323391694277E-4</v>
      </c>
      <c r="S31" s="3"/>
      <c r="T31" s="7">
        <v>206.46315375</v>
      </c>
      <c r="U31" s="3"/>
      <c r="V31" s="8">
        <f t="shared" si="5"/>
        <v>8.5076996575709379E-4</v>
      </c>
      <c r="W31" s="3"/>
      <c r="X31" s="7">
        <f t="shared" si="6"/>
        <v>-106.36315375000001</v>
      </c>
      <c r="Y31" s="3"/>
      <c r="Z31" s="8">
        <f t="shared" si="7"/>
        <v>-0.51516772759749641</v>
      </c>
    </row>
    <row r="32" spans="1:26" s="70" customFormat="1" ht="15" hidden="1" customHeight="1" outlineLevel="2" x14ac:dyDescent="0.3">
      <c r="A32" s="26"/>
      <c r="B32" s="12" t="str">
        <f>CONCATENATE("          ","6115"," - ","P.E.R.S.")</f>
        <v xml:space="preserve">          6115 - P.E.R.S.</v>
      </c>
      <c r="C32" s="12"/>
      <c r="D32" s="7">
        <v>94.85</v>
      </c>
      <c r="E32" s="3"/>
      <c r="F32" s="8">
        <f t="shared" si="0"/>
        <v>2.9065945835295829E-3</v>
      </c>
      <c r="G32" s="3"/>
      <c r="H32" s="7">
        <v>206.11884615384599</v>
      </c>
      <c r="I32" s="3"/>
      <c r="J32" s="8">
        <f t="shared" si="1"/>
        <v>7.3695465034089884E-3</v>
      </c>
      <c r="K32" s="3"/>
      <c r="L32" s="7">
        <f t="shared" si="2"/>
        <v>-111.268846153846</v>
      </c>
      <c r="M32" s="3"/>
      <c r="N32" s="8">
        <f t="shared" si="3"/>
        <v>-0.53982859030171138</v>
      </c>
      <c r="O32" s="12"/>
      <c r="P32" s="7">
        <v>868.35</v>
      </c>
      <c r="Q32" s="3"/>
      <c r="R32" s="8">
        <f t="shared" si="4"/>
        <v>2.9863366200976751E-3</v>
      </c>
      <c r="S32" s="3"/>
      <c r="T32" s="7">
        <v>2009.6587500000001</v>
      </c>
      <c r="U32" s="3"/>
      <c r="V32" s="8">
        <f t="shared" si="5"/>
        <v>8.281174024839499E-3</v>
      </c>
      <c r="W32" s="3"/>
      <c r="X32" s="7">
        <f t="shared" si="6"/>
        <v>-1141.3087500000001</v>
      </c>
      <c r="Y32" s="3"/>
      <c r="Z32" s="8">
        <f t="shared" si="7"/>
        <v>-0.56791171635482895</v>
      </c>
    </row>
    <row r="33" spans="1:26" s="70" customFormat="1" ht="15" hidden="1" customHeight="1" outlineLevel="2" x14ac:dyDescent="0.3">
      <c r="A33" s="26"/>
      <c r="B33" s="12" t="str">
        <f>CONCATENATE("          ","6116"," - ","EDUCATIONAL BENEFITS")</f>
        <v xml:space="preserve">          6116 - EDUCATIONAL BENEFITS</v>
      </c>
      <c r="C33" s="12"/>
      <c r="D33" s="7"/>
      <c r="E33" s="3"/>
      <c r="F33" s="8">
        <f t="shared" si="0"/>
        <v>0</v>
      </c>
      <c r="G33" s="3"/>
      <c r="H33" s="7">
        <v>0</v>
      </c>
      <c r="I33" s="3"/>
      <c r="J33" s="8">
        <f t="shared" si="1"/>
        <v>0</v>
      </c>
      <c r="K33" s="3"/>
      <c r="L33" s="7">
        <f t="shared" si="2"/>
        <v>0</v>
      </c>
      <c r="M33" s="3"/>
      <c r="N33" s="8">
        <f t="shared" si="3"/>
        <v>0</v>
      </c>
      <c r="O33" s="12"/>
      <c r="P33" s="7"/>
      <c r="Q33" s="3"/>
      <c r="R33" s="8">
        <f t="shared" si="4"/>
        <v>0</v>
      </c>
      <c r="S33" s="3"/>
      <c r="T33" s="7">
        <v>0</v>
      </c>
      <c r="U33" s="3"/>
      <c r="V33" s="8">
        <f t="shared" si="5"/>
        <v>0</v>
      </c>
      <c r="W33" s="3"/>
      <c r="X33" s="7">
        <f t="shared" si="6"/>
        <v>0</v>
      </c>
      <c r="Y33" s="3"/>
      <c r="Z33" s="8">
        <f t="shared" si="7"/>
        <v>0</v>
      </c>
    </row>
    <row r="34" spans="1:26" s="70" customFormat="1" ht="15" hidden="1" customHeight="1" outlineLevel="2" x14ac:dyDescent="0.3">
      <c r="A34" s="26"/>
      <c r="B34" s="12" t="str">
        <f>CONCATENATE("          ","6118"," - ","VACATION")</f>
        <v xml:space="preserve">          6118 - VACATION</v>
      </c>
      <c r="C34" s="12"/>
      <c r="D34" s="7">
        <v>96.19</v>
      </c>
      <c r="E34" s="3"/>
      <c r="F34" s="8">
        <f t="shared" si="0"/>
        <v>2.9476577015256785E-3</v>
      </c>
      <c r="G34" s="3"/>
      <c r="H34" s="7">
        <v>119.836538461538</v>
      </c>
      <c r="I34" s="3"/>
      <c r="J34" s="8">
        <f t="shared" si="1"/>
        <v>4.2846200601214914E-3</v>
      </c>
      <c r="K34" s="3"/>
      <c r="L34" s="7">
        <f t="shared" si="2"/>
        <v>-23.646538461538</v>
      </c>
      <c r="M34" s="3"/>
      <c r="N34" s="8">
        <f t="shared" si="3"/>
        <v>-0.19732327689961979</v>
      </c>
      <c r="O34" s="12"/>
      <c r="P34" s="7">
        <v>1067.1400000000001</v>
      </c>
      <c r="Q34" s="3"/>
      <c r="R34" s="8">
        <f t="shared" si="4"/>
        <v>3.6699939664548088E-3</v>
      </c>
      <c r="S34" s="3"/>
      <c r="T34" s="7">
        <v>1168.40625</v>
      </c>
      <c r="U34" s="3"/>
      <c r="V34" s="8">
        <f t="shared" si="5"/>
        <v>4.8146360609531971E-3</v>
      </c>
      <c r="W34" s="3"/>
      <c r="X34" s="7">
        <f t="shared" si="6"/>
        <v>-101.2662499999999</v>
      </c>
      <c r="Y34" s="3"/>
      <c r="Z34" s="8">
        <f t="shared" si="7"/>
        <v>-8.6670411083473661E-2</v>
      </c>
    </row>
    <row r="35" spans="1:26" s="70" customFormat="1" ht="15" hidden="1" customHeight="1" outlineLevel="2" x14ac:dyDescent="0.3">
      <c r="A35" s="26"/>
      <c r="B35" s="12" t="str">
        <f>CONCATENATE("          ","6119"," - ","SICK LEAVE")</f>
        <v xml:space="preserve">          6119 - SICK LEAVE</v>
      </c>
      <c r="C35" s="12"/>
      <c r="D35" s="7">
        <v>60.68</v>
      </c>
      <c r="E35" s="3"/>
      <c r="F35" s="8">
        <f t="shared" si="0"/>
        <v>1.8594850746291524E-3</v>
      </c>
      <c r="G35" s="3"/>
      <c r="H35" s="7">
        <v>458.26683846153901</v>
      </c>
      <c r="I35" s="3"/>
      <c r="J35" s="8">
        <f t="shared" si="1"/>
        <v>1.6384813131021452E-2</v>
      </c>
      <c r="K35" s="3"/>
      <c r="L35" s="7">
        <f t="shared" si="2"/>
        <v>-397.586838461539</v>
      </c>
      <c r="M35" s="3"/>
      <c r="N35" s="8">
        <f t="shared" si="3"/>
        <v>-0.86758806244040998</v>
      </c>
      <c r="O35" s="12"/>
      <c r="P35" s="7">
        <v>753.53</v>
      </c>
      <c r="Q35" s="3"/>
      <c r="R35" s="8">
        <f t="shared" si="4"/>
        <v>2.5914599336007383E-3</v>
      </c>
      <c r="S35" s="3"/>
      <c r="T35" s="7">
        <v>4453.9497250000004</v>
      </c>
      <c r="U35" s="3"/>
      <c r="V35" s="8">
        <f t="shared" si="5"/>
        <v>1.8353331266122187E-2</v>
      </c>
      <c r="W35" s="3"/>
      <c r="X35" s="7">
        <f t="shared" si="6"/>
        <v>-3700.4197250000007</v>
      </c>
      <c r="Y35" s="3"/>
      <c r="Z35" s="8">
        <f t="shared" si="7"/>
        <v>-0.83081757843595783</v>
      </c>
    </row>
    <row r="36" spans="1:26" s="70" customFormat="1" ht="15" hidden="1" customHeight="1" outlineLevel="2" x14ac:dyDescent="0.3">
      <c r="A36" s="26"/>
      <c r="B36" s="12" t="str">
        <f>CONCATENATE("          ","6156"," - ","EMPLOYEE MEALS")</f>
        <v xml:space="preserve">          6156 - EMPLOYEE MEALS</v>
      </c>
      <c r="C36" s="12"/>
      <c r="D36" s="7">
        <v>192.34</v>
      </c>
      <c r="E36" s="3"/>
      <c r="F36" s="8">
        <f t="shared" si="0"/>
        <v>5.8940896383350557E-3</v>
      </c>
      <c r="G36" s="3"/>
      <c r="H36" s="7"/>
      <c r="I36" s="3"/>
      <c r="J36" s="8">
        <f t="shared" si="1"/>
        <v>0</v>
      </c>
      <c r="K36" s="3"/>
      <c r="L36" s="7">
        <f t="shared" si="2"/>
        <v>192.34</v>
      </c>
      <c r="M36" s="3"/>
      <c r="N36" s="8">
        <f t="shared" si="3"/>
        <v>0</v>
      </c>
      <c r="O36" s="12"/>
      <c r="P36" s="7">
        <v>1401.55</v>
      </c>
      <c r="Q36" s="3"/>
      <c r="R36" s="8">
        <f t="shared" si="4"/>
        <v>4.8200611388240873E-3</v>
      </c>
      <c r="S36" s="3"/>
      <c r="T36" s="7"/>
      <c r="U36" s="3"/>
      <c r="V36" s="8">
        <f t="shared" si="5"/>
        <v>0</v>
      </c>
      <c r="W36" s="3"/>
      <c r="X36" s="7">
        <f t="shared" si="6"/>
        <v>1401.55</v>
      </c>
      <c r="Y36" s="3"/>
      <c r="Z36" s="8">
        <f t="shared" si="7"/>
        <v>0</v>
      </c>
    </row>
    <row r="37" spans="1:26" s="69" customFormat="1" ht="15" customHeight="1" outlineLevel="1" collapsed="1" x14ac:dyDescent="0.3">
      <c r="A37" s="25"/>
      <c r="B37" s="14" t="str">
        <f>CONCATENATE("     ","*Payroll                                          ")</f>
        <v xml:space="preserve">     *Payroll                                          </v>
      </c>
      <c r="C37" s="14"/>
      <c r="D37" s="2">
        <f>SUM(OSRRefD22_1x_0)</f>
        <v>6890.59</v>
      </c>
      <c r="E37" s="2"/>
      <c r="F37" s="6">
        <f t="shared" si="0"/>
        <v>0.21115605241247348</v>
      </c>
      <c r="G37" s="2"/>
      <c r="H37" s="2">
        <f>SUM(OSRRefH22_1x_0)</f>
        <v>9610.0356923076906</v>
      </c>
      <c r="I37" s="2"/>
      <c r="J37" s="6">
        <f t="shared" si="1"/>
        <v>0.34359597026378097</v>
      </c>
      <c r="K37" s="2"/>
      <c r="L37" s="2">
        <f t="shared" si="2"/>
        <v>-2719.4456923076905</v>
      </c>
      <c r="M37" s="2"/>
      <c r="N37" s="6">
        <f t="shared" si="3"/>
        <v>-0.28297977025043292</v>
      </c>
      <c r="O37" s="14"/>
      <c r="P37" s="2">
        <f>SUM(OSRRefP22_1x_0)</f>
        <v>62593.84</v>
      </c>
      <c r="Q37" s="2"/>
      <c r="R37" s="6">
        <f t="shared" si="4"/>
        <v>0.21526605238041649</v>
      </c>
      <c r="S37" s="2"/>
      <c r="T37" s="2">
        <f>SUM(OSRRefT22_1x_0)</f>
        <v>93386.191000000006</v>
      </c>
      <c r="U37" s="2"/>
      <c r="V37" s="6">
        <f t="shared" si="5"/>
        <v>0.38481523253034888</v>
      </c>
      <c r="W37" s="2"/>
      <c r="X37" s="2">
        <f t="shared" si="6"/>
        <v>-30792.35100000001</v>
      </c>
      <c r="Y37" s="2"/>
      <c r="Z37" s="6">
        <f t="shared" si="7"/>
        <v>-0.32973130898978426</v>
      </c>
    </row>
    <row r="38" spans="1:26" s="70" customFormat="1" ht="15" hidden="1" customHeight="1" outlineLevel="2" x14ac:dyDescent="0.3">
      <c r="A38" s="26"/>
      <c r="B38" s="12" t="str">
        <f>CONCATENATE("          ","6001"," - ","ADMINISTRATIVE SALARIES")</f>
        <v xml:space="preserve">          6001 - ADMINISTRATIVE SALARIES</v>
      </c>
      <c r="C38" s="12"/>
      <c r="D38" s="7"/>
      <c r="E38" s="3"/>
      <c r="F38" s="8">
        <f t="shared" si="0"/>
        <v>0</v>
      </c>
      <c r="G38" s="3"/>
      <c r="H38" s="7">
        <v>0</v>
      </c>
      <c r="I38" s="3"/>
      <c r="J38" s="8">
        <f t="shared" si="1"/>
        <v>0</v>
      </c>
      <c r="K38" s="3"/>
      <c r="L38" s="7">
        <f t="shared" si="2"/>
        <v>0</v>
      </c>
      <c r="M38" s="3"/>
      <c r="N38" s="8">
        <f t="shared" si="3"/>
        <v>0</v>
      </c>
      <c r="O38" s="12"/>
      <c r="P38" s="7"/>
      <c r="Q38" s="3"/>
      <c r="R38" s="8">
        <f t="shared" si="4"/>
        <v>0</v>
      </c>
      <c r="S38" s="3"/>
      <c r="T38" s="7">
        <v>0</v>
      </c>
      <c r="U38" s="3"/>
      <c r="V38" s="8">
        <f t="shared" si="5"/>
        <v>0</v>
      </c>
      <c r="W38" s="3"/>
      <c r="X38" s="7">
        <f t="shared" si="6"/>
        <v>0</v>
      </c>
      <c r="Y38" s="3"/>
      <c r="Z38" s="8">
        <f t="shared" si="7"/>
        <v>0</v>
      </c>
    </row>
    <row r="39" spans="1:26" s="70" customFormat="1" ht="15" hidden="1" customHeight="1" outlineLevel="2" x14ac:dyDescent="0.3">
      <c r="A39" s="26"/>
      <c r="B39" s="12" t="str">
        <f>CONCATENATE("          ","6002"," - ","STAFF SALARIES")</f>
        <v xml:space="preserve">          6002 - STAFF SALARIES</v>
      </c>
      <c r="C39" s="12"/>
      <c r="D39" s="7">
        <v>1052.3499999999999</v>
      </c>
      <c r="E39" s="3"/>
      <c r="F39" s="8">
        <f t="shared" si="0"/>
        <v>3.2248337479993214E-2</v>
      </c>
      <c r="G39" s="3"/>
      <c r="H39" s="7">
        <v>2157.0576923076901</v>
      </c>
      <c r="I39" s="3"/>
      <c r="J39" s="8">
        <f t="shared" si="1"/>
        <v>7.7123161082187072E-2</v>
      </c>
      <c r="K39" s="3"/>
      <c r="L39" s="7">
        <f t="shared" si="2"/>
        <v>-1104.7076923076902</v>
      </c>
      <c r="M39" s="3"/>
      <c r="N39" s="8">
        <f t="shared" si="3"/>
        <v>-0.5121363680940022</v>
      </c>
      <c r="O39" s="12"/>
      <c r="P39" s="7">
        <v>10916.44</v>
      </c>
      <c r="Q39" s="3"/>
      <c r="R39" s="8">
        <f t="shared" si="4"/>
        <v>3.7542655073529184E-2</v>
      </c>
      <c r="S39" s="3"/>
      <c r="T39" s="7">
        <v>21031.3125</v>
      </c>
      <c r="U39" s="3"/>
      <c r="V39" s="8">
        <f t="shared" si="5"/>
        <v>8.6663449097157549E-2</v>
      </c>
      <c r="W39" s="3"/>
      <c r="X39" s="7">
        <f t="shared" si="6"/>
        <v>-10114.872499999999</v>
      </c>
      <c r="Y39" s="3"/>
      <c r="Z39" s="8">
        <f t="shared" si="7"/>
        <v>-0.48094347416500988</v>
      </c>
    </row>
    <row r="40" spans="1:26" s="70" customFormat="1" ht="15" hidden="1" customHeight="1" outlineLevel="2" x14ac:dyDescent="0.3">
      <c r="A40" s="26"/>
      <c r="B40" s="12" t="str">
        <f>CONCATENATE("          ","6003"," - ","STAFF HOURLY-9 MONTH")</f>
        <v xml:space="preserve">          6003 - STAFF HOURLY-9 MONTH</v>
      </c>
      <c r="C40" s="12"/>
      <c r="D40" s="7"/>
      <c r="E40" s="3"/>
      <c r="F40" s="8">
        <f t="shared" si="0"/>
        <v>0</v>
      </c>
      <c r="G40" s="3"/>
      <c r="H40" s="7">
        <v>0</v>
      </c>
      <c r="I40" s="3"/>
      <c r="J40" s="8">
        <f t="shared" si="1"/>
        <v>0</v>
      </c>
      <c r="K40" s="3"/>
      <c r="L40" s="7">
        <f t="shared" si="2"/>
        <v>0</v>
      </c>
      <c r="M40" s="3"/>
      <c r="N40" s="8">
        <f t="shared" si="3"/>
        <v>0</v>
      </c>
      <c r="O40" s="12"/>
      <c r="P40" s="7"/>
      <c r="Q40" s="3"/>
      <c r="R40" s="8">
        <f t="shared" si="4"/>
        <v>0</v>
      </c>
      <c r="S40" s="3"/>
      <c r="T40" s="7">
        <v>0</v>
      </c>
      <c r="U40" s="3"/>
      <c r="V40" s="8">
        <f t="shared" si="5"/>
        <v>0</v>
      </c>
      <c r="W40" s="3"/>
      <c r="X40" s="7">
        <f t="shared" si="6"/>
        <v>0</v>
      </c>
      <c r="Y40" s="3"/>
      <c r="Z40" s="8">
        <f t="shared" si="7"/>
        <v>0</v>
      </c>
    </row>
    <row r="41" spans="1:26" s="70" customFormat="1" ht="15" hidden="1" customHeight="1" outlineLevel="2" x14ac:dyDescent="0.3">
      <c r="A41" s="26"/>
      <c r="B41" s="12" t="str">
        <f>CONCATENATE("          ","6004"," - ","STAFF HOURLY")</f>
        <v xml:space="preserve">          6004 - STAFF HOURLY</v>
      </c>
      <c r="C41" s="12"/>
      <c r="D41" s="7"/>
      <c r="E41" s="3"/>
      <c r="F41" s="8">
        <f t="shared" si="0"/>
        <v>0</v>
      </c>
      <c r="G41" s="3"/>
      <c r="H41" s="7">
        <v>5074.3680000000004</v>
      </c>
      <c r="I41" s="3"/>
      <c r="J41" s="8">
        <f t="shared" si="1"/>
        <v>0.18142829561300011</v>
      </c>
      <c r="K41" s="3"/>
      <c r="L41" s="7">
        <f t="shared" si="2"/>
        <v>-5074.3680000000004</v>
      </c>
      <c r="M41" s="3"/>
      <c r="N41" s="8">
        <f t="shared" si="3"/>
        <v>-1</v>
      </c>
      <c r="O41" s="12"/>
      <c r="P41" s="7">
        <v>4272.3900000000003</v>
      </c>
      <c r="Q41" s="3"/>
      <c r="R41" s="8">
        <f t="shared" si="4"/>
        <v>1.4693147592951122E-2</v>
      </c>
      <c r="S41" s="3"/>
      <c r="T41" s="7">
        <v>49262.896000000001</v>
      </c>
      <c r="U41" s="3"/>
      <c r="V41" s="8">
        <f t="shared" si="5"/>
        <v>0.20299695893323663</v>
      </c>
      <c r="W41" s="3"/>
      <c r="X41" s="7">
        <f t="shared" si="6"/>
        <v>-44990.506000000001</v>
      </c>
      <c r="Y41" s="3"/>
      <c r="Z41" s="8">
        <f t="shared" si="7"/>
        <v>-0.91327367355747824</v>
      </c>
    </row>
    <row r="42" spans="1:26" s="70" customFormat="1" ht="15" hidden="1" customHeight="1" outlineLevel="2" x14ac:dyDescent="0.3">
      <c r="A42" s="26"/>
      <c r="B42" s="12" t="str">
        <f>CONCATENATE("          ","6005"," - ","TEMPORARY WAGES-HOURLY")</f>
        <v xml:space="preserve">          6005 - TEMPORARY WAGES-HOURLY</v>
      </c>
      <c r="C42" s="12"/>
      <c r="D42" s="7">
        <v>1385.59</v>
      </c>
      <c r="E42" s="3"/>
      <c r="F42" s="8">
        <f t="shared" si="0"/>
        <v>4.2460183331499791E-2</v>
      </c>
      <c r="G42" s="3"/>
      <c r="H42" s="7">
        <v>0</v>
      </c>
      <c r="I42" s="3"/>
      <c r="J42" s="8">
        <f t="shared" si="1"/>
        <v>0</v>
      </c>
      <c r="K42" s="3"/>
      <c r="L42" s="7">
        <f t="shared" si="2"/>
        <v>1385.59</v>
      </c>
      <c r="M42" s="3"/>
      <c r="N42" s="8">
        <f t="shared" si="3"/>
        <v>0</v>
      </c>
      <c r="O42" s="12"/>
      <c r="P42" s="7">
        <v>6519.67</v>
      </c>
      <c r="Q42" s="3"/>
      <c r="R42" s="8">
        <f t="shared" si="4"/>
        <v>2.2421753062650096E-2</v>
      </c>
      <c r="S42" s="3"/>
      <c r="T42" s="7">
        <v>0</v>
      </c>
      <c r="U42" s="3"/>
      <c r="V42" s="8">
        <f t="shared" si="5"/>
        <v>0</v>
      </c>
      <c r="W42" s="3"/>
      <c r="X42" s="7">
        <f t="shared" si="6"/>
        <v>6519.67</v>
      </c>
      <c r="Y42" s="3"/>
      <c r="Z42" s="8">
        <f t="shared" si="7"/>
        <v>0</v>
      </c>
    </row>
    <row r="43" spans="1:26" s="70" customFormat="1" ht="15" hidden="1" customHeight="1" outlineLevel="2" x14ac:dyDescent="0.3">
      <c r="A43" s="26"/>
      <c r="B43" s="12" t="str">
        <f>CONCATENATE("          ","6006"," - ","TEMPORARY PART TIME")</f>
        <v xml:space="preserve">          6006 - TEMPORARY PART TIME</v>
      </c>
      <c r="C43" s="12"/>
      <c r="D43" s="7"/>
      <c r="E43" s="3"/>
      <c r="F43" s="8">
        <f t="shared" si="0"/>
        <v>0</v>
      </c>
      <c r="G43" s="3"/>
      <c r="H43" s="7">
        <v>0</v>
      </c>
      <c r="I43" s="3"/>
      <c r="J43" s="8">
        <f t="shared" si="1"/>
        <v>0</v>
      </c>
      <c r="K43" s="3"/>
      <c r="L43" s="7">
        <f t="shared" si="2"/>
        <v>0</v>
      </c>
      <c r="M43" s="3"/>
      <c r="N43" s="8">
        <f t="shared" si="3"/>
        <v>0</v>
      </c>
      <c r="O43" s="12"/>
      <c r="P43" s="7"/>
      <c r="Q43" s="3"/>
      <c r="R43" s="8">
        <f t="shared" si="4"/>
        <v>0</v>
      </c>
      <c r="S43" s="3"/>
      <c r="T43" s="7">
        <v>0</v>
      </c>
      <c r="U43" s="3"/>
      <c r="V43" s="8">
        <f t="shared" si="5"/>
        <v>0</v>
      </c>
      <c r="W43" s="3"/>
      <c r="X43" s="7">
        <f t="shared" si="6"/>
        <v>0</v>
      </c>
      <c r="Y43" s="3"/>
      <c r="Z43" s="8">
        <f t="shared" si="7"/>
        <v>0</v>
      </c>
    </row>
    <row r="44" spans="1:26" s="70" customFormat="1" ht="15" hidden="1" customHeight="1" outlineLevel="2" x14ac:dyDescent="0.3">
      <c r="A44" s="26"/>
      <c r="B44" s="12" t="str">
        <f>CONCATENATE("          ","6007"," - ","STUDENT HOURLY")</f>
        <v xml:space="preserve">          6007 - STUDENT HOURLY</v>
      </c>
      <c r="C44" s="12"/>
      <c r="D44" s="7">
        <v>4366.1000000000004</v>
      </c>
      <c r="E44" s="3"/>
      <c r="F44" s="8">
        <f t="shared" si="0"/>
        <v>0.13379528319608344</v>
      </c>
      <c r="G44" s="3"/>
      <c r="H44" s="7">
        <v>0</v>
      </c>
      <c r="I44" s="3"/>
      <c r="J44" s="8">
        <f t="shared" si="1"/>
        <v>0</v>
      </c>
      <c r="K44" s="3"/>
      <c r="L44" s="7">
        <f t="shared" si="2"/>
        <v>4366.1000000000004</v>
      </c>
      <c r="M44" s="3"/>
      <c r="N44" s="8">
        <f t="shared" si="3"/>
        <v>0</v>
      </c>
      <c r="O44" s="12"/>
      <c r="P44" s="7">
        <v>39800.92</v>
      </c>
      <c r="Q44" s="3"/>
      <c r="R44" s="8">
        <f t="shared" si="4"/>
        <v>0.13687907515354172</v>
      </c>
      <c r="S44" s="3"/>
      <c r="T44" s="7">
        <v>5001.75</v>
      </c>
      <c r="U44" s="3"/>
      <c r="V44" s="8">
        <f t="shared" si="5"/>
        <v>2.0610644557809112E-2</v>
      </c>
      <c r="W44" s="3"/>
      <c r="X44" s="7">
        <f t="shared" si="6"/>
        <v>34799.17</v>
      </c>
      <c r="Y44" s="3"/>
      <c r="Z44" s="8">
        <f t="shared" si="7"/>
        <v>6.9573989103813663</v>
      </c>
    </row>
    <row r="45" spans="1:26" s="70" customFormat="1" ht="15" hidden="1" customHeight="1" outlineLevel="2" x14ac:dyDescent="0.3">
      <c r="A45" s="26"/>
      <c r="B45" s="12" t="str">
        <f>CONCATENATE("          ","6008"," - ","STUDENT HOURLY-FICA EXEMPT")</f>
        <v xml:space="preserve">          6008 - STUDENT HOURLY-FICA EXEMPT</v>
      </c>
      <c r="C45" s="12"/>
      <c r="D45" s="7">
        <v>86.55</v>
      </c>
      <c r="E45" s="3"/>
      <c r="F45" s="8">
        <f t="shared" si="0"/>
        <v>2.6522484048970524E-3</v>
      </c>
      <c r="G45" s="3"/>
      <c r="H45" s="7">
        <v>2378.61</v>
      </c>
      <c r="I45" s="3"/>
      <c r="J45" s="8">
        <f t="shared" si="1"/>
        <v>8.5044513568593799E-2</v>
      </c>
      <c r="K45" s="3"/>
      <c r="L45" s="7">
        <f t="shared" si="2"/>
        <v>-2292.06</v>
      </c>
      <c r="M45" s="3"/>
      <c r="N45" s="8">
        <f t="shared" si="3"/>
        <v>-0.96361320266878547</v>
      </c>
      <c r="O45" s="12"/>
      <c r="P45" s="7">
        <v>1084.42</v>
      </c>
      <c r="Q45" s="3"/>
      <c r="R45" s="8">
        <f t="shared" si="4"/>
        <v>3.7294214977443671E-3</v>
      </c>
      <c r="S45" s="3"/>
      <c r="T45" s="7">
        <v>18090.232499999998</v>
      </c>
      <c r="U45" s="3"/>
      <c r="V45" s="8">
        <f t="shared" si="5"/>
        <v>7.4544179942145558E-2</v>
      </c>
      <c r="W45" s="3"/>
      <c r="X45" s="7">
        <f t="shared" si="6"/>
        <v>-17005.8125</v>
      </c>
      <c r="Y45" s="3"/>
      <c r="Z45" s="8">
        <f t="shared" si="7"/>
        <v>-0.9400549440146776</v>
      </c>
    </row>
    <row r="46" spans="1:26" s="70" customFormat="1" ht="15" hidden="1" customHeight="1" outlineLevel="2" x14ac:dyDescent="0.3">
      <c r="A46" s="26"/>
      <c r="B46" s="12" t="str">
        <f>CONCATENATE("          ","6009"," - ","TEMPORARY-SEASONAL")</f>
        <v xml:space="preserve">          6009 - TEMPORARY-SEASONAL</v>
      </c>
      <c r="C46" s="12"/>
      <c r="D46" s="7"/>
      <c r="E46" s="3"/>
      <c r="F46" s="8">
        <f t="shared" si="0"/>
        <v>0</v>
      </c>
      <c r="G46" s="3"/>
      <c r="H46" s="7">
        <v>0</v>
      </c>
      <c r="I46" s="3"/>
      <c r="J46" s="8">
        <f t="shared" si="1"/>
        <v>0</v>
      </c>
      <c r="K46" s="3"/>
      <c r="L46" s="7">
        <f t="shared" si="2"/>
        <v>0</v>
      </c>
      <c r="M46" s="3"/>
      <c r="N46" s="8">
        <f t="shared" si="3"/>
        <v>0</v>
      </c>
      <c r="O46" s="12"/>
      <c r="P46" s="7"/>
      <c r="Q46" s="3"/>
      <c r="R46" s="8">
        <f t="shared" si="4"/>
        <v>0</v>
      </c>
      <c r="S46" s="3"/>
      <c r="T46" s="7">
        <v>0</v>
      </c>
      <c r="U46" s="3"/>
      <c r="V46" s="8">
        <f t="shared" si="5"/>
        <v>0</v>
      </c>
      <c r="W46" s="3"/>
      <c r="X46" s="7">
        <f t="shared" si="6"/>
        <v>0</v>
      </c>
      <c r="Y46" s="3"/>
      <c r="Z46" s="8">
        <f t="shared" si="7"/>
        <v>0</v>
      </c>
    </row>
    <row r="47" spans="1:26" s="70" customFormat="1" ht="15" hidden="1" customHeight="1" outlineLevel="2" x14ac:dyDescent="0.3">
      <c r="A47" s="26"/>
      <c r="B47" s="12" t="str">
        <f>CONCATENATE("          ","6010"," - ","GRATUITY")</f>
        <v xml:space="preserve">          6010 - GRATUITY</v>
      </c>
      <c r="C47" s="12"/>
      <c r="D47" s="7"/>
      <c r="E47" s="3"/>
      <c r="F47" s="8">
        <f t="shared" si="0"/>
        <v>0</v>
      </c>
      <c r="G47" s="3"/>
      <c r="H47" s="7">
        <v>0</v>
      </c>
      <c r="I47" s="3"/>
      <c r="J47" s="8">
        <f t="shared" si="1"/>
        <v>0</v>
      </c>
      <c r="K47" s="3"/>
      <c r="L47" s="7">
        <f t="shared" si="2"/>
        <v>0</v>
      </c>
      <c r="M47" s="3"/>
      <c r="N47" s="8">
        <f t="shared" si="3"/>
        <v>0</v>
      </c>
      <c r="O47" s="12"/>
      <c r="P47" s="7"/>
      <c r="Q47" s="3"/>
      <c r="R47" s="8">
        <f t="shared" si="4"/>
        <v>0</v>
      </c>
      <c r="S47" s="3"/>
      <c r="T47" s="7">
        <v>0</v>
      </c>
      <c r="U47" s="3"/>
      <c r="V47" s="8">
        <f t="shared" si="5"/>
        <v>0</v>
      </c>
      <c r="W47" s="3"/>
      <c r="X47" s="7">
        <f t="shared" si="6"/>
        <v>0</v>
      </c>
      <c r="Y47" s="3"/>
      <c r="Z47" s="8">
        <f t="shared" si="7"/>
        <v>0</v>
      </c>
    </row>
    <row r="48" spans="1:26" s="69" customFormat="1" ht="15" customHeight="1" outlineLevel="1" collapsed="1" x14ac:dyDescent="0.3">
      <c r="A48" s="25"/>
      <c r="B48" s="14" t="str">
        <f>CONCATENATE("     ","Advertising/Promo                                 ")</f>
        <v xml:space="preserve">     Advertising/Promo                                 </v>
      </c>
      <c r="C48" s="14"/>
      <c r="D48" s="2">
        <f>SUM(OSRRefD22_2x_0)</f>
        <v>295</v>
      </c>
      <c r="E48" s="2"/>
      <c r="F48" s="6">
        <f t="shared" si="0"/>
        <v>9.0400147827224778E-3</v>
      </c>
      <c r="G48" s="2"/>
      <c r="H48" s="2">
        <f>SUM(OSRRefH22_2x_0)</f>
        <v>50</v>
      </c>
      <c r="I48" s="2"/>
      <c r="J48" s="6">
        <f t="shared" si="1"/>
        <v>1.7876935178233043E-3</v>
      </c>
      <c r="K48" s="2"/>
      <c r="L48" s="2">
        <f t="shared" si="2"/>
        <v>245</v>
      </c>
      <c r="M48" s="2"/>
      <c r="N48" s="6">
        <f t="shared" si="3"/>
        <v>4.9000000000000004</v>
      </c>
      <c r="O48" s="14"/>
      <c r="P48" s="2">
        <f>SUM(OSRRefP22_2x_0)</f>
        <v>1714.35</v>
      </c>
      <c r="Q48" s="2"/>
      <c r="R48" s="6">
        <f t="shared" si="4"/>
        <v>5.8958095061489597E-3</v>
      </c>
      <c r="S48" s="2"/>
      <c r="T48" s="2">
        <f>SUM(OSRRefT22_2x_0)</f>
        <v>450</v>
      </c>
      <c r="U48" s="2"/>
      <c r="V48" s="6">
        <f t="shared" si="5"/>
        <v>1.8543090020521019E-3</v>
      </c>
      <c r="W48" s="2"/>
      <c r="X48" s="2">
        <f t="shared" si="6"/>
        <v>1264.3499999999999</v>
      </c>
      <c r="Y48" s="2"/>
      <c r="Z48" s="6">
        <f t="shared" si="7"/>
        <v>2.8096666666666663</v>
      </c>
    </row>
    <row r="49" spans="1:26" s="70" customFormat="1" ht="15" hidden="1" customHeight="1" outlineLevel="2" x14ac:dyDescent="0.3">
      <c r="A49" s="26"/>
      <c r="B49" s="12" t="str">
        <f>CONCATENATE("          ","6362"," - ","ADVERTISING EXPENSE")</f>
        <v xml:space="preserve">          6362 - ADVERTISING EXPENSE</v>
      </c>
      <c r="C49" s="12"/>
      <c r="D49" s="7">
        <v>295</v>
      </c>
      <c r="E49" s="3"/>
      <c r="F49" s="8">
        <f t="shared" si="0"/>
        <v>9.0400147827224778E-3</v>
      </c>
      <c r="G49" s="3"/>
      <c r="H49" s="7">
        <v>50</v>
      </c>
      <c r="I49" s="3"/>
      <c r="J49" s="8">
        <f t="shared" si="1"/>
        <v>1.7876935178233043E-3</v>
      </c>
      <c r="K49" s="3"/>
      <c r="L49" s="7">
        <f t="shared" si="2"/>
        <v>245</v>
      </c>
      <c r="M49" s="3"/>
      <c r="N49" s="8">
        <f t="shared" si="3"/>
        <v>4.9000000000000004</v>
      </c>
      <c r="O49" s="12"/>
      <c r="P49" s="7">
        <v>1714.35</v>
      </c>
      <c r="Q49" s="3"/>
      <c r="R49" s="8">
        <f t="shared" si="4"/>
        <v>5.8958095061489597E-3</v>
      </c>
      <c r="S49" s="3"/>
      <c r="T49" s="7">
        <v>450</v>
      </c>
      <c r="U49" s="3"/>
      <c r="V49" s="8">
        <f t="shared" si="5"/>
        <v>1.8543090020521019E-3</v>
      </c>
      <c r="W49" s="3"/>
      <c r="X49" s="7">
        <f t="shared" si="6"/>
        <v>1264.3499999999999</v>
      </c>
      <c r="Y49" s="3"/>
      <c r="Z49" s="8">
        <f t="shared" si="7"/>
        <v>2.8096666666666663</v>
      </c>
    </row>
    <row r="50" spans="1:26" s="69" customFormat="1" ht="15" customHeight="1" outlineLevel="1" collapsed="1" x14ac:dyDescent="0.3">
      <c r="A50" s="25"/>
      <c r="B50" s="14" t="str">
        <f>CONCATENATE("     ","Bad Debts/Over/Short                              ")</f>
        <v xml:space="preserve">     Bad Debts/Over/Short                              </v>
      </c>
      <c r="C50" s="14"/>
      <c r="D50" s="2">
        <f>SUM(OSRRefD22_3x_0)</f>
        <v>-15.08</v>
      </c>
      <c r="E50" s="2"/>
      <c r="F50" s="6">
        <f t="shared" si="0"/>
        <v>-4.6211329804561005E-4</v>
      </c>
      <c r="G50" s="2"/>
      <c r="H50" s="2">
        <f>SUM(OSRRefH22_3x_0)</f>
        <v>10</v>
      </c>
      <c r="I50" s="2"/>
      <c r="J50" s="6">
        <f t="shared" si="1"/>
        <v>3.5753870356466087E-4</v>
      </c>
      <c r="K50" s="2"/>
      <c r="L50" s="2">
        <f t="shared" si="2"/>
        <v>-25.08</v>
      </c>
      <c r="M50" s="2"/>
      <c r="N50" s="6">
        <f t="shared" si="3"/>
        <v>-2.508</v>
      </c>
      <c r="O50" s="14"/>
      <c r="P50" s="2">
        <f>SUM(OSRRefP22_3x_0)</f>
        <v>-48.48</v>
      </c>
      <c r="Q50" s="2"/>
      <c r="R50" s="6">
        <f t="shared" si="4"/>
        <v>-1.6672724056237149E-4</v>
      </c>
      <c r="S50" s="2"/>
      <c r="T50" s="2">
        <f>SUM(OSRRefT22_3x_0)</f>
        <v>90</v>
      </c>
      <c r="U50" s="2"/>
      <c r="V50" s="6">
        <f t="shared" si="5"/>
        <v>3.708618004104204E-4</v>
      </c>
      <c r="W50" s="2"/>
      <c r="X50" s="2">
        <f t="shared" si="6"/>
        <v>-138.47999999999999</v>
      </c>
      <c r="Y50" s="2"/>
      <c r="Z50" s="6">
        <f t="shared" si="7"/>
        <v>-1.5386666666666666</v>
      </c>
    </row>
    <row r="51" spans="1:26" s="70" customFormat="1" ht="15" hidden="1" customHeight="1" outlineLevel="2" x14ac:dyDescent="0.3">
      <c r="A51" s="26"/>
      <c r="B51" s="12" t="str">
        <f>CONCATENATE("          ","6272"," - ","CASH (OVER/SHORT)")</f>
        <v xml:space="preserve">          6272 - CASH (OVER/SHORT)</v>
      </c>
      <c r="C51" s="12"/>
      <c r="D51" s="7">
        <v>-15.08</v>
      </c>
      <c r="E51" s="3"/>
      <c r="F51" s="8">
        <f t="shared" si="0"/>
        <v>-4.6211329804561005E-4</v>
      </c>
      <c r="G51" s="3"/>
      <c r="H51" s="7">
        <v>10</v>
      </c>
      <c r="I51" s="3"/>
      <c r="J51" s="8">
        <f t="shared" si="1"/>
        <v>3.5753870356466087E-4</v>
      </c>
      <c r="K51" s="3"/>
      <c r="L51" s="7">
        <f t="shared" si="2"/>
        <v>-25.08</v>
      </c>
      <c r="M51" s="3"/>
      <c r="N51" s="8">
        <f t="shared" si="3"/>
        <v>-2.508</v>
      </c>
      <c r="O51" s="12"/>
      <c r="P51" s="7">
        <v>-48.48</v>
      </c>
      <c r="Q51" s="3"/>
      <c r="R51" s="8">
        <f t="shared" si="4"/>
        <v>-1.6672724056237149E-4</v>
      </c>
      <c r="S51" s="3"/>
      <c r="T51" s="7">
        <v>90</v>
      </c>
      <c r="U51" s="3"/>
      <c r="V51" s="8">
        <f t="shared" si="5"/>
        <v>3.708618004104204E-4</v>
      </c>
      <c r="W51" s="3"/>
      <c r="X51" s="7">
        <f t="shared" si="6"/>
        <v>-138.47999999999999</v>
      </c>
      <c r="Y51" s="3"/>
      <c r="Z51" s="8">
        <f t="shared" si="7"/>
        <v>-1.5386666666666666</v>
      </c>
    </row>
    <row r="52" spans="1:26" s="69" customFormat="1" ht="15" customHeight="1" outlineLevel="1" collapsed="1" x14ac:dyDescent="0.3">
      <c r="A52" s="25"/>
      <c r="B52" s="14" t="str">
        <f>CONCATENATE("     ","Bank/card Fees                                    ")</f>
        <v xml:space="preserve">     Bank/card Fees                                    </v>
      </c>
      <c r="C52" s="14"/>
      <c r="D52" s="2">
        <f>SUM(OSRRefD22_4x_0)</f>
        <v>508.74</v>
      </c>
      <c r="E52" s="2"/>
      <c r="F52" s="6">
        <f t="shared" si="0"/>
        <v>1.5589888544278757E-2</v>
      </c>
      <c r="G52" s="2"/>
      <c r="H52" s="2">
        <f>SUM(OSRRefH22_4x_0)</f>
        <v>534</v>
      </c>
      <c r="I52" s="2"/>
      <c r="J52" s="6">
        <f t="shared" si="1"/>
        <v>1.9092566770352891E-2</v>
      </c>
      <c r="K52" s="2"/>
      <c r="L52" s="2">
        <f t="shared" si="2"/>
        <v>-25.259999999999991</v>
      </c>
      <c r="M52" s="2"/>
      <c r="N52" s="6">
        <f t="shared" si="3"/>
        <v>-4.7303370786516835E-2</v>
      </c>
      <c r="O52" s="14"/>
      <c r="P52" s="2">
        <f>SUM(OSRRefP22_4x_0)</f>
        <v>4774.95</v>
      </c>
      <c r="Q52" s="2"/>
      <c r="R52" s="6">
        <f t="shared" si="4"/>
        <v>1.6421498294622437E-2</v>
      </c>
      <c r="S52" s="2"/>
      <c r="T52" s="2">
        <f>SUM(OSRRefT22_4x_0)</f>
        <v>4628</v>
      </c>
      <c r="U52" s="2"/>
      <c r="V52" s="6">
        <f t="shared" si="5"/>
        <v>1.9070537914438062E-2</v>
      </c>
      <c r="W52" s="2"/>
      <c r="X52" s="2">
        <f t="shared" si="6"/>
        <v>146.94999999999982</v>
      </c>
      <c r="Y52" s="2"/>
      <c r="Z52" s="6">
        <f t="shared" si="7"/>
        <v>3.1752376836646459E-2</v>
      </c>
    </row>
    <row r="53" spans="1:26" s="70" customFormat="1" ht="15" hidden="1" customHeight="1" outlineLevel="2" x14ac:dyDescent="0.3">
      <c r="A53" s="26"/>
      <c r="B53" s="12" t="str">
        <f>CONCATENATE("          ","6381"," - ","BANK/CREDIT CARD FEES")</f>
        <v xml:space="preserve">          6381 - BANK/CREDIT CARD FEES</v>
      </c>
      <c r="C53" s="12"/>
      <c r="D53" s="7">
        <v>508.74</v>
      </c>
      <c r="E53" s="3"/>
      <c r="F53" s="8">
        <f t="shared" si="0"/>
        <v>1.5589888544278757E-2</v>
      </c>
      <c r="G53" s="3"/>
      <c r="H53" s="7">
        <v>534</v>
      </c>
      <c r="I53" s="3"/>
      <c r="J53" s="8">
        <f t="shared" si="1"/>
        <v>1.9092566770352891E-2</v>
      </c>
      <c r="K53" s="3"/>
      <c r="L53" s="7">
        <f t="shared" si="2"/>
        <v>-25.259999999999991</v>
      </c>
      <c r="M53" s="3"/>
      <c r="N53" s="8">
        <f t="shared" si="3"/>
        <v>-4.7303370786516835E-2</v>
      </c>
      <c r="O53" s="12"/>
      <c r="P53" s="7">
        <v>4774.95</v>
      </c>
      <c r="Q53" s="3"/>
      <c r="R53" s="8">
        <f t="shared" si="4"/>
        <v>1.6421498294622437E-2</v>
      </c>
      <c r="S53" s="3"/>
      <c r="T53" s="7">
        <v>4628</v>
      </c>
      <c r="U53" s="3"/>
      <c r="V53" s="8">
        <f t="shared" si="5"/>
        <v>1.9070537914438062E-2</v>
      </c>
      <c r="W53" s="3"/>
      <c r="X53" s="7">
        <f t="shared" si="6"/>
        <v>146.94999999999982</v>
      </c>
      <c r="Y53" s="3"/>
      <c r="Z53" s="8">
        <f t="shared" si="7"/>
        <v>3.1752376836646459E-2</v>
      </c>
    </row>
    <row r="54" spans="1:26" s="69" customFormat="1" ht="15" customHeight="1" outlineLevel="1" collapsed="1" x14ac:dyDescent="0.3">
      <c r="A54" s="25"/>
      <c r="B54" s="14" t="str">
        <f>CONCATENATE("     ","Employees' Appreciation                           ")</f>
        <v xml:space="preserve">     Employees' Appreciation                           </v>
      </c>
      <c r="C54" s="14"/>
      <c r="D54" s="2">
        <f>SUM(OSRRefD22_5x_0)</f>
        <v>0</v>
      </c>
      <c r="E54" s="2"/>
      <c r="F54" s="6">
        <f t="shared" si="0"/>
        <v>0</v>
      </c>
      <c r="G54" s="2"/>
      <c r="H54" s="2">
        <f>SUM(OSRRefH22_5x_0)</f>
        <v>25</v>
      </c>
      <c r="I54" s="2"/>
      <c r="J54" s="6">
        <f t="shared" si="1"/>
        <v>8.9384675891165217E-4</v>
      </c>
      <c r="K54" s="2"/>
      <c r="L54" s="2">
        <f t="shared" si="2"/>
        <v>-25</v>
      </c>
      <c r="M54" s="2"/>
      <c r="N54" s="6">
        <f t="shared" si="3"/>
        <v>-1</v>
      </c>
      <c r="O54" s="14"/>
      <c r="P54" s="2">
        <f>SUM(OSRRefP22_5x_0)</f>
        <v>0</v>
      </c>
      <c r="Q54" s="2"/>
      <c r="R54" s="6">
        <f t="shared" si="4"/>
        <v>0</v>
      </c>
      <c r="S54" s="2"/>
      <c r="T54" s="2">
        <f>SUM(OSRRefT22_5x_0)</f>
        <v>225</v>
      </c>
      <c r="U54" s="2"/>
      <c r="V54" s="6">
        <f t="shared" si="5"/>
        <v>9.2715450102605096E-4</v>
      </c>
      <c r="W54" s="2"/>
      <c r="X54" s="2">
        <f t="shared" si="6"/>
        <v>-225</v>
      </c>
      <c r="Y54" s="2"/>
      <c r="Z54" s="6">
        <f t="shared" si="7"/>
        <v>-1</v>
      </c>
    </row>
    <row r="55" spans="1:26" s="70" customFormat="1" ht="15" hidden="1" customHeight="1" outlineLevel="2" x14ac:dyDescent="0.3">
      <c r="A55" s="26"/>
      <c r="B55" s="12" t="str">
        <f>CONCATENATE("          ","6277"," - ","EMPLOYEE APPRECIATION")</f>
        <v xml:space="preserve">          6277 - EMPLOYEE APPRECIATION</v>
      </c>
      <c r="C55" s="12"/>
      <c r="D55" s="7"/>
      <c r="E55" s="3"/>
      <c r="F55" s="8">
        <f t="shared" si="0"/>
        <v>0</v>
      </c>
      <c r="G55" s="3"/>
      <c r="H55" s="7">
        <v>25</v>
      </c>
      <c r="I55" s="3"/>
      <c r="J55" s="8">
        <f t="shared" si="1"/>
        <v>8.9384675891165217E-4</v>
      </c>
      <c r="K55" s="3"/>
      <c r="L55" s="7">
        <f t="shared" si="2"/>
        <v>-25</v>
      </c>
      <c r="M55" s="3"/>
      <c r="N55" s="8">
        <f t="shared" si="3"/>
        <v>-1</v>
      </c>
      <c r="O55" s="12"/>
      <c r="P55" s="7"/>
      <c r="Q55" s="3"/>
      <c r="R55" s="8">
        <f t="shared" si="4"/>
        <v>0</v>
      </c>
      <c r="S55" s="3"/>
      <c r="T55" s="7">
        <v>225</v>
      </c>
      <c r="U55" s="3"/>
      <c r="V55" s="8">
        <f t="shared" si="5"/>
        <v>9.2715450102605096E-4</v>
      </c>
      <c r="W55" s="3"/>
      <c r="X55" s="7">
        <f t="shared" si="6"/>
        <v>-225</v>
      </c>
      <c r="Y55" s="3"/>
      <c r="Z55" s="8">
        <f t="shared" si="7"/>
        <v>-1</v>
      </c>
    </row>
    <row r="56" spans="1:26" s="69" customFormat="1" ht="15" customHeight="1" outlineLevel="1" collapsed="1" x14ac:dyDescent="0.3">
      <c r="A56" s="25"/>
      <c r="B56" s="14" t="str">
        <f>CONCATENATE("     ","General                                           ")</f>
        <v xml:space="preserve">     General                                           </v>
      </c>
      <c r="C56" s="14"/>
      <c r="D56" s="2">
        <f>SUM(OSRRefD22_6x_0)</f>
        <v>119.1</v>
      </c>
      <c r="E56" s="2"/>
      <c r="F56" s="6">
        <f t="shared" si="0"/>
        <v>3.6497144427872783E-3</v>
      </c>
      <c r="G56" s="2"/>
      <c r="H56" s="2">
        <f>SUM(OSRRefH22_6x_0)</f>
        <v>0</v>
      </c>
      <c r="I56" s="2"/>
      <c r="J56" s="6">
        <f t="shared" si="1"/>
        <v>0</v>
      </c>
      <c r="K56" s="2"/>
      <c r="L56" s="2">
        <f t="shared" si="2"/>
        <v>119.1</v>
      </c>
      <c r="M56" s="2"/>
      <c r="N56" s="6">
        <f t="shared" si="3"/>
        <v>0</v>
      </c>
      <c r="O56" s="14"/>
      <c r="P56" s="2">
        <f>SUM(OSRRefP22_6x_0)</f>
        <v>1414.19</v>
      </c>
      <c r="Q56" s="2"/>
      <c r="R56" s="6">
        <f t="shared" si="4"/>
        <v>4.8635312774525609E-3</v>
      </c>
      <c r="S56" s="2"/>
      <c r="T56" s="2">
        <f>SUM(OSRRefT22_6x_0)</f>
        <v>1250</v>
      </c>
      <c r="U56" s="2"/>
      <c r="V56" s="6">
        <f t="shared" si="5"/>
        <v>5.1508583390336166E-3</v>
      </c>
      <c r="W56" s="2"/>
      <c r="X56" s="2">
        <f t="shared" si="6"/>
        <v>164.19000000000005</v>
      </c>
      <c r="Y56" s="2"/>
      <c r="Z56" s="6">
        <f t="shared" si="7"/>
        <v>0.13135200000000005</v>
      </c>
    </row>
    <row r="57" spans="1:26" s="70" customFormat="1" ht="15" hidden="1" customHeight="1" outlineLevel="2" x14ac:dyDescent="0.3">
      <c r="A57" s="26"/>
      <c r="B57" s="12" t="str">
        <f>CONCATENATE("          ","6276"," - ","PROPERTY TAX")</f>
        <v xml:space="preserve">          6276 - PROPERTY TAX</v>
      </c>
      <c r="C57" s="12"/>
      <c r="D57" s="7"/>
      <c r="E57" s="3"/>
      <c r="F57" s="8">
        <f t="shared" si="0"/>
        <v>0</v>
      </c>
      <c r="G57" s="3"/>
      <c r="H57" s="7"/>
      <c r="I57" s="3"/>
      <c r="J57" s="8">
        <f t="shared" si="1"/>
        <v>0</v>
      </c>
      <c r="K57" s="3"/>
      <c r="L57" s="7">
        <f t="shared" si="2"/>
        <v>0</v>
      </c>
      <c r="M57" s="3"/>
      <c r="N57" s="8">
        <f t="shared" si="3"/>
        <v>0</v>
      </c>
      <c r="O57" s="12"/>
      <c r="P57" s="7"/>
      <c r="Q57" s="3"/>
      <c r="R57" s="8">
        <f t="shared" si="4"/>
        <v>0</v>
      </c>
      <c r="S57" s="3"/>
      <c r="T57" s="7">
        <v>1250</v>
      </c>
      <c r="U57" s="3"/>
      <c r="V57" s="8">
        <f t="shared" si="5"/>
        <v>5.1508583390336166E-3</v>
      </c>
      <c r="W57" s="3"/>
      <c r="X57" s="7">
        <f t="shared" si="6"/>
        <v>-1250</v>
      </c>
      <c r="Y57" s="3"/>
      <c r="Z57" s="8">
        <f t="shared" si="7"/>
        <v>-1</v>
      </c>
    </row>
    <row r="58" spans="1:26" s="70" customFormat="1" ht="15" hidden="1" customHeight="1" outlineLevel="2" x14ac:dyDescent="0.3">
      <c r="A58" s="26"/>
      <c r="B58" s="12" t="str">
        <f>CONCATENATE("          ","6279"," - ","GENERAL EXPENSE")</f>
        <v xml:space="preserve">          6279 - GENERAL EXPENSE</v>
      </c>
      <c r="C58" s="12"/>
      <c r="D58" s="7">
        <v>119.1</v>
      </c>
      <c r="E58" s="3"/>
      <c r="F58" s="8">
        <f t="shared" ref="F58:F86" si="8">IF(D$12=0,0,D58/D$12)</f>
        <v>3.6497144427872783E-3</v>
      </c>
      <c r="G58" s="3"/>
      <c r="H58" s="7"/>
      <c r="I58" s="3"/>
      <c r="J58" s="8">
        <f t="shared" ref="J58:J86" si="9">IF(H$12=0,0,H58/H$12)</f>
        <v>0</v>
      </c>
      <c r="K58" s="3"/>
      <c r="L58" s="7">
        <f t="shared" ref="L58:L86" si="10">+D58-H58</f>
        <v>119.1</v>
      </c>
      <c r="M58" s="3"/>
      <c r="N58" s="8">
        <f t="shared" ref="N58:N86" si="11">IF(H58=0,0,L58/H58)</f>
        <v>0</v>
      </c>
      <c r="O58" s="12"/>
      <c r="P58" s="7">
        <v>1414.19</v>
      </c>
      <c r="Q58" s="3"/>
      <c r="R58" s="8">
        <f t="shared" ref="R58:R86" si="12">IF(P$12=0,0,P58/P$12)</f>
        <v>4.8635312774525609E-3</v>
      </c>
      <c r="S58" s="3"/>
      <c r="T58" s="7"/>
      <c r="U58" s="3"/>
      <c r="V58" s="8">
        <f t="shared" ref="V58:V86" si="13">IF(T$12=0,0,T58/T$12)</f>
        <v>0</v>
      </c>
      <c r="W58" s="3"/>
      <c r="X58" s="7">
        <f t="shared" ref="X58:X86" si="14">+P58-T58</f>
        <v>1414.19</v>
      </c>
      <c r="Y58" s="3"/>
      <c r="Z58" s="8">
        <f t="shared" ref="Z58:Z86" si="15">IF(T58=0,0,X58/T58)</f>
        <v>0</v>
      </c>
    </row>
    <row r="59" spans="1:26" s="69" customFormat="1" ht="15" customHeight="1" outlineLevel="1" collapsed="1" x14ac:dyDescent="0.3">
      <c r="A59" s="25"/>
      <c r="B59" s="14" t="str">
        <f>CONCATENATE("     ","Insurance                                         ")</f>
        <v xml:space="preserve">     Insurance                                         </v>
      </c>
      <c r="C59" s="14"/>
      <c r="D59" s="2">
        <f>SUM(OSRRefD22_7x_0)</f>
        <v>219.08</v>
      </c>
      <c r="E59" s="2"/>
      <c r="F59" s="6">
        <f t="shared" si="8"/>
        <v>6.7135133511825101E-3</v>
      </c>
      <c r="G59" s="2"/>
      <c r="H59" s="2">
        <f>SUM(OSRRefH22_7x_0)</f>
        <v>175</v>
      </c>
      <c r="I59" s="2"/>
      <c r="J59" s="6">
        <f t="shared" si="9"/>
        <v>6.2569273123815657E-3</v>
      </c>
      <c r="K59" s="2"/>
      <c r="L59" s="2">
        <f t="shared" si="10"/>
        <v>44.080000000000013</v>
      </c>
      <c r="M59" s="2"/>
      <c r="N59" s="6">
        <f t="shared" si="11"/>
        <v>0.25188571428571438</v>
      </c>
      <c r="O59" s="14"/>
      <c r="P59" s="2">
        <f>SUM(OSRRefP22_7x_0)</f>
        <v>1971.72</v>
      </c>
      <c r="Q59" s="2"/>
      <c r="R59" s="6">
        <f t="shared" si="12"/>
        <v>6.7809289348522922E-3</v>
      </c>
      <c r="S59" s="2"/>
      <c r="T59" s="2">
        <f>SUM(OSRRefT22_7x_0)</f>
        <v>1575</v>
      </c>
      <c r="U59" s="2"/>
      <c r="V59" s="6">
        <f t="shared" si="13"/>
        <v>6.4900815071823569E-3</v>
      </c>
      <c r="W59" s="2"/>
      <c r="X59" s="2">
        <f t="shared" si="14"/>
        <v>396.72</v>
      </c>
      <c r="Y59" s="2"/>
      <c r="Z59" s="6">
        <f t="shared" si="15"/>
        <v>0.25188571428571432</v>
      </c>
    </row>
    <row r="60" spans="1:26" s="70" customFormat="1" ht="15" hidden="1" customHeight="1" outlineLevel="2" x14ac:dyDescent="0.3">
      <c r="A60" s="26"/>
      <c r="B60" s="12" t="str">
        <f>CONCATENATE("          ","6314"," - ","LIABILITY INSURANCE")</f>
        <v xml:space="preserve">          6314 - LIABILITY INSURANCE</v>
      </c>
      <c r="C60" s="12"/>
      <c r="D60" s="7">
        <v>219.08</v>
      </c>
      <c r="E60" s="3"/>
      <c r="F60" s="8">
        <f t="shared" si="8"/>
        <v>6.7135133511825101E-3</v>
      </c>
      <c r="G60" s="3"/>
      <c r="H60" s="7">
        <v>175</v>
      </c>
      <c r="I60" s="3"/>
      <c r="J60" s="8">
        <f t="shared" si="9"/>
        <v>6.2569273123815657E-3</v>
      </c>
      <c r="K60" s="3"/>
      <c r="L60" s="7">
        <f t="shared" si="10"/>
        <v>44.080000000000013</v>
      </c>
      <c r="M60" s="3"/>
      <c r="N60" s="8">
        <f t="shared" si="11"/>
        <v>0.25188571428571438</v>
      </c>
      <c r="O60" s="12"/>
      <c r="P60" s="7">
        <v>1971.72</v>
      </c>
      <c r="Q60" s="3"/>
      <c r="R60" s="8">
        <f t="shared" si="12"/>
        <v>6.7809289348522922E-3</v>
      </c>
      <c r="S60" s="3"/>
      <c r="T60" s="7">
        <v>1575</v>
      </c>
      <c r="U60" s="3"/>
      <c r="V60" s="8">
        <f t="shared" si="13"/>
        <v>6.4900815071823569E-3</v>
      </c>
      <c r="W60" s="3"/>
      <c r="X60" s="7">
        <f t="shared" si="14"/>
        <v>396.72</v>
      </c>
      <c r="Y60" s="3"/>
      <c r="Z60" s="8">
        <f t="shared" si="15"/>
        <v>0.25188571428571432</v>
      </c>
    </row>
    <row r="61" spans="1:26" s="69" customFormat="1" ht="15" customHeight="1" outlineLevel="1" collapsed="1" x14ac:dyDescent="0.3">
      <c r="A61" s="25"/>
      <c r="B61" s="14" t="str">
        <f>CONCATENATE("     ","Inventory Adjustment                              ")</f>
        <v xml:space="preserve">     Inventory Adjustment                              </v>
      </c>
      <c r="C61" s="14"/>
      <c r="D61" s="2">
        <f>SUM(OSRRefD22_8x_0)</f>
        <v>100</v>
      </c>
      <c r="E61" s="2"/>
      <c r="F61" s="6">
        <f t="shared" si="8"/>
        <v>3.0644117907533824E-3</v>
      </c>
      <c r="G61" s="2"/>
      <c r="H61" s="2">
        <f>SUM(OSRRefH22_8x_0)</f>
        <v>100</v>
      </c>
      <c r="I61" s="2"/>
      <c r="J61" s="6">
        <f t="shared" si="9"/>
        <v>3.5753870356466087E-3</v>
      </c>
      <c r="K61" s="2"/>
      <c r="L61" s="2">
        <f t="shared" si="10"/>
        <v>0</v>
      </c>
      <c r="M61" s="2"/>
      <c r="N61" s="6">
        <f t="shared" si="11"/>
        <v>0</v>
      </c>
      <c r="O61" s="14"/>
      <c r="P61" s="2">
        <f>SUM(OSRRefP22_8x_0)</f>
        <v>900</v>
      </c>
      <c r="Q61" s="2"/>
      <c r="R61" s="6">
        <f t="shared" si="12"/>
        <v>3.0951839213311542E-3</v>
      </c>
      <c r="S61" s="2"/>
      <c r="T61" s="2">
        <f>SUM(OSRRefT22_8x_0)</f>
        <v>900</v>
      </c>
      <c r="U61" s="2"/>
      <c r="V61" s="6">
        <f t="shared" si="13"/>
        <v>3.7086180041042039E-3</v>
      </c>
      <c r="W61" s="2"/>
      <c r="X61" s="2">
        <f t="shared" si="14"/>
        <v>0</v>
      </c>
      <c r="Y61" s="2"/>
      <c r="Z61" s="6">
        <f t="shared" si="15"/>
        <v>0</v>
      </c>
    </row>
    <row r="62" spans="1:26" s="70" customFormat="1" ht="15" hidden="1" customHeight="1" outlineLevel="2" x14ac:dyDescent="0.3">
      <c r="A62" s="26"/>
      <c r="B62" s="12" t="str">
        <f>CONCATENATE("          ","6408"," - ","INVENTORY ADJUSTMENT")</f>
        <v xml:space="preserve">          6408 - INVENTORY ADJUSTMENT</v>
      </c>
      <c r="C62" s="12"/>
      <c r="D62" s="7">
        <v>100</v>
      </c>
      <c r="E62" s="3"/>
      <c r="F62" s="8">
        <f t="shared" si="8"/>
        <v>3.0644117907533824E-3</v>
      </c>
      <c r="G62" s="3"/>
      <c r="H62" s="7">
        <v>100</v>
      </c>
      <c r="I62" s="3"/>
      <c r="J62" s="8">
        <f t="shared" si="9"/>
        <v>3.5753870356466087E-3</v>
      </c>
      <c r="K62" s="3"/>
      <c r="L62" s="7">
        <f t="shared" si="10"/>
        <v>0</v>
      </c>
      <c r="M62" s="3"/>
      <c r="N62" s="8">
        <f t="shared" si="11"/>
        <v>0</v>
      </c>
      <c r="O62" s="12"/>
      <c r="P62" s="7">
        <v>900</v>
      </c>
      <c r="Q62" s="3"/>
      <c r="R62" s="8">
        <f t="shared" si="12"/>
        <v>3.0951839213311542E-3</v>
      </c>
      <c r="S62" s="3"/>
      <c r="T62" s="7">
        <v>900</v>
      </c>
      <c r="U62" s="3"/>
      <c r="V62" s="8">
        <f t="shared" si="13"/>
        <v>3.7086180041042039E-3</v>
      </c>
      <c r="W62" s="3"/>
      <c r="X62" s="7">
        <f t="shared" si="14"/>
        <v>0</v>
      </c>
      <c r="Y62" s="3"/>
      <c r="Z62" s="8">
        <f t="shared" si="15"/>
        <v>0</v>
      </c>
    </row>
    <row r="63" spans="1:26" s="69" customFormat="1" ht="15" customHeight="1" outlineLevel="1" collapsed="1" x14ac:dyDescent="0.3">
      <c r="A63" s="25"/>
      <c r="B63" s="14" t="str">
        <f>CONCATENATE("     ","Professional Services                             ")</f>
        <v xml:space="preserve">     Professional Services                             </v>
      </c>
      <c r="C63" s="14"/>
      <c r="D63" s="2">
        <f>SUM(OSRRefD22_9x_0)</f>
        <v>0</v>
      </c>
      <c r="E63" s="2"/>
      <c r="F63" s="6">
        <f t="shared" si="8"/>
        <v>0</v>
      </c>
      <c r="G63" s="2"/>
      <c r="H63" s="2">
        <f>SUM(OSRRefH22_9x_0)</f>
        <v>0</v>
      </c>
      <c r="I63" s="2"/>
      <c r="J63" s="6">
        <f t="shared" si="9"/>
        <v>0</v>
      </c>
      <c r="K63" s="2"/>
      <c r="L63" s="2">
        <f t="shared" si="10"/>
        <v>0</v>
      </c>
      <c r="M63" s="2"/>
      <c r="N63" s="6">
        <f t="shared" si="11"/>
        <v>0</v>
      </c>
      <c r="O63" s="14"/>
      <c r="P63" s="2">
        <f>SUM(OSRRefP22_9x_0)</f>
        <v>161.46</v>
      </c>
      <c r="Q63" s="2"/>
      <c r="R63" s="6">
        <f t="shared" si="12"/>
        <v>5.5527599548680902E-4</v>
      </c>
      <c r="S63" s="2"/>
      <c r="T63" s="2">
        <f>SUM(OSRRefT22_9x_0)</f>
        <v>750</v>
      </c>
      <c r="U63" s="2"/>
      <c r="V63" s="6">
        <f t="shared" si="13"/>
        <v>3.0905150034201698E-3</v>
      </c>
      <c r="W63" s="2"/>
      <c r="X63" s="2">
        <f t="shared" si="14"/>
        <v>-588.54</v>
      </c>
      <c r="Y63" s="2"/>
      <c r="Z63" s="6">
        <f t="shared" si="15"/>
        <v>-0.78471999999999997</v>
      </c>
    </row>
    <row r="64" spans="1:26" s="70" customFormat="1" ht="15" hidden="1" customHeight="1" outlineLevel="2" x14ac:dyDescent="0.3">
      <c r="A64" s="26"/>
      <c r="B64" s="12" t="str">
        <f>CONCATENATE("          ","6336"," - ","PROFESSIONAL SERVICES")</f>
        <v xml:space="preserve">          6336 - PROFESSIONAL SERVICES</v>
      </c>
      <c r="C64" s="12"/>
      <c r="D64" s="7"/>
      <c r="E64" s="3"/>
      <c r="F64" s="8">
        <f t="shared" si="8"/>
        <v>0</v>
      </c>
      <c r="G64" s="3"/>
      <c r="H64" s="7"/>
      <c r="I64" s="3"/>
      <c r="J64" s="8">
        <f t="shared" si="9"/>
        <v>0</v>
      </c>
      <c r="K64" s="3"/>
      <c r="L64" s="7">
        <f t="shared" si="10"/>
        <v>0</v>
      </c>
      <c r="M64" s="3"/>
      <c r="N64" s="8">
        <f t="shared" si="11"/>
        <v>0</v>
      </c>
      <c r="O64" s="12"/>
      <c r="P64" s="7">
        <v>161.46</v>
      </c>
      <c r="Q64" s="3"/>
      <c r="R64" s="8">
        <f t="shared" si="12"/>
        <v>5.5527599548680902E-4</v>
      </c>
      <c r="S64" s="3"/>
      <c r="T64" s="7">
        <v>750</v>
      </c>
      <c r="U64" s="3"/>
      <c r="V64" s="8">
        <f t="shared" si="13"/>
        <v>3.0905150034201698E-3</v>
      </c>
      <c r="W64" s="3"/>
      <c r="X64" s="7">
        <f t="shared" si="14"/>
        <v>-588.54</v>
      </c>
      <c r="Y64" s="3"/>
      <c r="Z64" s="8">
        <f t="shared" si="15"/>
        <v>-0.78471999999999997</v>
      </c>
    </row>
    <row r="65" spans="1:26" s="69" customFormat="1" ht="15" customHeight="1" outlineLevel="1" collapsed="1" x14ac:dyDescent="0.3">
      <c r="A65" s="25"/>
      <c r="B65" s="14" t="str">
        <f>CONCATENATE("     ","Rent                                              ")</f>
        <v xml:space="preserve">     Rent                                              </v>
      </c>
      <c r="C65" s="14"/>
      <c r="D65" s="2">
        <f>SUM(OSRRefD22_10x_0)</f>
        <v>6900</v>
      </c>
      <c r="E65" s="2"/>
      <c r="F65" s="6">
        <f t="shared" si="8"/>
        <v>0.21144441356198337</v>
      </c>
      <c r="G65" s="2"/>
      <c r="H65" s="2">
        <f>SUM(OSRRefH22_10x_0)</f>
        <v>6900</v>
      </c>
      <c r="I65" s="2"/>
      <c r="J65" s="6">
        <f t="shared" si="9"/>
        <v>0.24670170545961601</v>
      </c>
      <c r="K65" s="2"/>
      <c r="L65" s="2">
        <f t="shared" si="10"/>
        <v>0</v>
      </c>
      <c r="M65" s="2"/>
      <c r="N65" s="6">
        <f t="shared" si="11"/>
        <v>0</v>
      </c>
      <c r="O65" s="14"/>
      <c r="P65" s="2">
        <f>SUM(OSRRefP22_10x_0)</f>
        <v>62100</v>
      </c>
      <c r="Q65" s="2"/>
      <c r="R65" s="6">
        <f t="shared" si="12"/>
        <v>0.21356769057184963</v>
      </c>
      <c r="S65" s="2"/>
      <c r="T65" s="2">
        <f>SUM(OSRRefT22_10x_0)</f>
        <v>62100</v>
      </c>
      <c r="U65" s="2"/>
      <c r="V65" s="6">
        <f t="shared" si="13"/>
        <v>0.25589464228319009</v>
      </c>
      <c r="W65" s="2"/>
      <c r="X65" s="2">
        <f t="shared" si="14"/>
        <v>0</v>
      </c>
      <c r="Y65" s="2"/>
      <c r="Z65" s="6">
        <f t="shared" si="15"/>
        <v>0</v>
      </c>
    </row>
    <row r="66" spans="1:26" s="70" customFormat="1" ht="15" hidden="1" customHeight="1" outlineLevel="2" x14ac:dyDescent="0.3">
      <c r="A66" s="26"/>
      <c r="B66" s="12" t="str">
        <f>CONCATENATE("          ","6273"," - ","RENT")</f>
        <v xml:space="preserve">          6273 - RENT</v>
      </c>
      <c r="C66" s="12"/>
      <c r="D66" s="7">
        <v>6900</v>
      </c>
      <c r="E66" s="3"/>
      <c r="F66" s="8">
        <f t="shared" si="8"/>
        <v>0.21144441356198337</v>
      </c>
      <c r="G66" s="3"/>
      <c r="H66" s="7">
        <v>6900</v>
      </c>
      <c r="I66" s="3"/>
      <c r="J66" s="8">
        <f t="shared" si="9"/>
        <v>0.24670170545961601</v>
      </c>
      <c r="K66" s="3"/>
      <c r="L66" s="7">
        <f t="shared" si="10"/>
        <v>0</v>
      </c>
      <c r="M66" s="3"/>
      <c r="N66" s="8">
        <f t="shared" si="11"/>
        <v>0</v>
      </c>
      <c r="O66" s="12"/>
      <c r="P66" s="7">
        <v>62100</v>
      </c>
      <c r="Q66" s="3"/>
      <c r="R66" s="8">
        <f t="shared" si="12"/>
        <v>0.21356769057184963</v>
      </c>
      <c r="S66" s="3"/>
      <c r="T66" s="7">
        <v>62100</v>
      </c>
      <c r="U66" s="3"/>
      <c r="V66" s="8">
        <f t="shared" si="13"/>
        <v>0.25589464228319009</v>
      </c>
      <c r="W66" s="3"/>
      <c r="X66" s="7">
        <f t="shared" si="14"/>
        <v>0</v>
      </c>
      <c r="Y66" s="3"/>
      <c r="Z66" s="8">
        <f t="shared" si="15"/>
        <v>0</v>
      </c>
    </row>
    <row r="67" spans="1:26" s="69" customFormat="1" ht="15" customHeight="1" outlineLevel="1" collapsed="1" x14ac:dyDescent="0.3">
      <c r="A67" s="25"/>
      <c r="B67" s="14" t="str">
        <f>CONCATENATE("     ","Repair and Maintenance                            ")</f>
        <v xml:space="preserve">     Repair and Maintenance                            </v>
      </c>
      <c r="C67" s="14"/>
      <c r="D67" s="2">
        <f>SUM(OSRRefD22_11x_0)</f>
        <v>232.93</v>
      </c>
      <c r="E67" s="2"/>
      <c r="F67" s="6">
        <f t="shared" si="8"/>
        <v>7.1379343842018538E-3</v>
      </c>
      <c r="G67" s="2"/>
      <c r="H67" s="2">
        <f>SUM(OSRRefH22_11x_0)</f>
        <v>115</v>
      </c>
      <c r="I67" s="2"/>
      <c r="J67" s="6">
        <f t="shared" si="9"/>
        <v>4.1116950909936001E-3</v>
      </c>
      <c r="K67" s="2"/>
      <c r="L67" s="2">
        <f t="shared" si="10"/>
        <v>117.93</v>
      </c>
      <c r="M67" s="2"/>
      <c r="N67" s="6">
        <f t="shared" si="11"/>
        <v>1.0254782608695652</v>
      </c>
      <c r="O67" s="14"/>
      <c r="P67" s="2">
        <f>SUM(OSRRefP22_11x_0)</f>
        <v>1519.57</v>
      </c>
      <c r="Q67" s="2"/>
      <c r="R67" s="6">
        <f t="shared" si="12"/>
        <v>5.2259429237079798E-3</v>
      </c>
      <c r="S67" s="2"/>
      <c r="T67" s="2">
        <f>SUM(OSRRefT22_11x_0)</f>
        <v>1535</v>
      </c>
      <c r="U67" s="2"/>
      <c r="V67" s="6">
        <f t="shared" si="13"/>
        <v>6.3252540403332808E-3</v>
      </c>
      <c r="W67" s="2"/>
      <c r="X67" s="2">
        <f t="shared" si="14"/>
        <v>-15.430000000000064</v>
      </c>
      <c r="Y67" s="2"/>
      <c r="Z67" s="6">
        <f t="shared" si="15"/>
        <v>-1.0052117263843689E-2</v>
      </c>
    </row>
    <row r="68" spans="1:26" s="70" customFormat="1" ht="15" hidden="1" customHeight="1" outlineLevel="2" x14ac:dyDescent="0.3">
      <c r="A68" s="26"/>
      <c r="B68" s="12" t="str">
        <f>CONCATENATE("          ","6373"," - ","MAINTENANCE CONTRACTS")</f>
        <v xml:space="preserve">          6373 - MAINTENANCE CONTRACTS</v>
      </c>
      <c r="C68" s="12"/>
      <c r="D68" s="7">
        <v>232.93</v>
      </c>
      <c r="E68" s="3"/>
      <c r="F68" s="8">
        <f t="shared" si="8"/>
        <v>7.1379343842018538E-3</v>
      </c>
      <c r="G68" s="3"/>
      <c r="H68" s="7">
        <v>115</v>
      </c>
      <c r="I68" s="3"/>
      <c r="J68" s="8">
        <f t="shared" si="9"/>
        <v>4.1116950909936001E-3</v>
      </c>
      <c r="K68" s="3"/>
      <c r="L68" s="7">
        <f t="shared" si="10"/>
        <v>117.93</v>
      </c>
      <c r="M68" s="3"/>
      <c r="N68" s="8">
        <f t="shared" si="11"/>
        <v>1.0254782608695652</v>
      </c>
      <c r="O68" s="12"/>
      <c r="P68" s="7">
        <v>696.76</v>
      </c>
      <c r="Q68" s="3"/>
      <c r="R68" s="8">
        <f t="shared" si="12"/>
        <v>2.3962226100296608E-3</v>
      </c>
      <c r="S68" s="3"/>
      <c r="T68" s="7">
        <v>1035</v>
      </c>
      <c r="U68" s="3"/>
      <c r="V68" s="8">
        <f t="shared" si="13"/>
        <v>4.2649107047198348E-3</v>
      </c>
      <c r="W68" s="3"/>
      <c r="X68" s="7">
        <f t="shared" si="14"/>
        <v>-338.24</v>
      </c>
      <c r="Y68" s="3"/>
      <c r="Z68" s="8">
        <f t="shared" si="15"/>
        <v>-0.32680193236714977</v>
      </c>
    </row>
    <row r="69" spans="1:26" s="70" customFormat="1" ht="15" hidden="1" customHeight="1" outlineLevel="2" x14ac:dyDescent="0.3">
      <c r="A69" s="26"/>
      <c r="B69" s="12" t="str">
        <f>CONCATENATE("          ","6375"," - ","OUTSIDE REPAIRS &amp; MAINTENANCE")</f>
        <v xml:space="preserve">          6375 - OUTSIDE REPAIRS &amp; MAINTENANCE</v>
      </c>
      <c r="C69" s="12"/>
      <c r="D69" s="7"/>
      <c r="E69" s="3"/>
      <c r="F69" s="8">
        <f t="shared" si="8"/>
        <v>0</v>
      </c>
      <c r="G69" s="3"/>
      <c r="H69" s="7"/>
      <c r="I69" s="3"/>
      <c r="J69" s="8">
        <f t="shared" si="9"/>
        <v>0</v>
      </c>
      <c r="K69" s="3"/>
      <c r="L69" s="7">
        <f t="shared" si="10"/>
        <v>0</v>
      </c>
      <c r="M69" s="3"/>
      <c r="N69" s="8">
        <f t="shared" si="11"/>
        <v>0</v>
      </c>
      <c r="O69" s="12"/>
      <c r="P69" s="7">
        <v>822.81</v>
      </c>
      <c r="Q69" s="3"/>
      <c r="R69" s="8">
        <f t="shared" si="12"/>
        <v>2.8297203136783185E-3</v>
      </c>
      <c r="S69" s="3"/>
      <c r="T69" s="7">
        <v>500</v>
      </c>
      <c r="U69" s="3"/>
      <c r="V69" s="8">
        <f t="shared" si="13"/>
        <v>2.0603433356134468E-3</v>
      </c>
      <c r="W69" s="3"/>
      <c r="X69" s="7">
        <f t="shared" si="14"/>
        <v>322.80999999999995</v>
      </c>
      <c r="Y69" s="3"/>
      <c r="Z69" s="8">
        <f t="shared" si="15"/>
        <v>0.64561999999999986</v>
      </c>
    </row>
    <row r="70" spans="1:26" s="69" customFormat="1" ht="15" customHeight="1" outlineLevel="1" collapsed="1" x14ac:dyDescent="0.3">
      <c r="A70" s="25"/>
      <c r="B70" s="14" t="str">
        <f>CONCATENATE("     ","Services                                          ")</f>
        <v xml:space="preserve">     Services                                          </v>
      </c>
      <c r="C70" s="14"/>
      <c r="D70" s="2">
        <f>SUM(OSRRefD22_12x_0)</f>
        <v>223.45</v>
      </c>
      <c r="E70" s="2"/>
      <c r="F70" s="6">
        <f t="shared" si="8"/>
        <v>6.8474281464384326E-3</v>
      </c>
      <c r="G70" s="2"/>
      <c r="H70" s="2">
        <f>SUM(OSRRefH22_12x_0)</f>
        <v>120</v>
      </c>
      <c r="I70" s="2"/>
      <c r="J70" s="6">
        <f t="shared" si="9"/>
        <v>4.2904644427759304E-3</v>
      </c>
      <c r="K70" s="2"/>
      <c r="L70" s="2">
        <f t="shared" si="10"/>
        <v>103.44999999999999</v>
      </c>
      <c r="M70" s="2"/>
      <c r="N70" s="6">
        <f t="shared" si="11"/>
        <v>0.8620833333333332</v>
      </c>
      <c r="O70" s="14"/>
      <c r="P70" s="2">
        <f>SUM(OSRRefP22_12x_0)</f>
        <v>1578.81</v>
      </c>
      <c r="Q70" s="2"/>
      <c r="R70" s="6">
        <f t="shared" si="12"/>
        <v>5.4296748075964877E-3</v>
      </c>
      <c r="S70" s="2"/>
      <c r="T70" s="2">
        <f>SUM(OSRRefT22_12x_0)</f>
        <v>720</v>
      </c>
      <c r="U70" s="2"/>
      <c r="V70" s="6">
        <f t="shared" si="13"/>
        <v>2.9668944032833632E-3</v>
      </c>
      <c r="W70" s="2"/>
      <c r="X70" s="2">
        <f t="shared" si="14"/>
        <v>858.81</v>
      </c>
      <c r="Y70" s="2"/>
      <c r="Z70" s="6">
        <f t="shared" si="15"/>
        <v>1.1927916666666667</v>
      </c>
    </row>
    <row r="71" spans="1:26" s="70" customFormat="1" ht="15" hidden="1" customHeight="1" outlineLevel="2" x14ac:dyDescent="0.3">
      <c r="A71" s="26"/>
      <c r="B71" s="12" t="str">
        <f>CONCATENATE("          ","6284"," - ","TRASH REMOVAL EXPENSE")</f>
        <v xml:space="preserve">          6284 - TRASH REMOVAL EXPENSE</v>
      </c>
      <c r="C71" s="12"/>
      <c r="D71" s="7">
        <v>149.69999999999999</v>
      </c>
      <c r="E71" s="3"/>
      <c r="F71" s="8">
        <f t="shared" si="8"/>
        <v>4.5874244507578127E-3</v>
      </c>
      <c r="G71" s="3"/>
      <c r="H71" s="7">
        <v>120</v>
      </c>
      <c r="I71" s="3"/>
      <c r="J71" s="8">
        <f t="shared" si="9"/>
        <v>4.2904644427759304E-3</v>
      </c>
      <c r="K71" s="3"/>
      <c r="L71" s="7">
        <f t="shared" si="10"/>
        <v>29.699999999999989</v>
      </c>
      <c r="M71" s="3"/>
      <c r="N71" s="8">
        <f t="shared" si="11"/>
        <v>0.24749999999999991</v>
      </c>
      <c r="O71" s="12"/>
      <c r="P71" s="7">
        <v>1340.17</v>
      </c>
      <c r="Q71" s="3"/>
      <c r="R71" s="8">
        <f t="shared" si="12"/>
        <v>4.6089695953893031E-3</v>
      </c>
      <c r="S71" s="3"/>
      <c r="T71" s="7">
        <v>720</v>
      </c>
      <c r="U71" s="3"/>
      <c r="V71" s="8">
        <f t="shared" si="13"/>
        <v>2.9668944032833632E-3</v>
      </c>
      <c r="W71" s="3"/>
      <c r="X71" s="7">
        <f t="shared" si="14"/>
        <v>620.17000000000007</v>
      </c>
      <c r="Y71" s="3"/>
      <c r="Z71" s="8">
        <f t="shared" si="15"/>
        <v>0.86134722222222238</v>
      </c>
    </row>
    <row r="72" spans="1:26" s="70" customFormat="1" ht="15" hidden="1" customHeight="1" outlineLevel="2" x14ac:dyDescent="0.3">
      <c r="A72" s="26"/>
      <c r="B72" s="12" t="str">
        <f>CONCATENATE("          ","6285"," - ","JANITORIAL SERVICES")</f>
        <v xml:space="preserve">          6285 - JANITORIAL SERVICES</v>
      </c>
      <c r="C72" s="12"/>
      <c r="D72" s="7">
        <v>73.75</v>
      </c>
      <c r="E72" s="3"/>
      <c r="F72" s="8">
        <f t="shared" si="8"/>
        <v>2.2600036956806195E-3</v>
      </c>
      <c r="G72" s="3"/>
      <c r="H72" s="7"/>
      <c r="I72" s="3"/>
      <c r="J72" s="8">
        <f t="shared" si="9"/>
        <v>0</v>
      </c>
      <c r="K72" s="3"/>
      <c r="L72" s="7">
        <f t="shared" si="10"/>
        <v>73.75</v>
      </c>
      <c r="M72" s="3"/>
      <c r="N72" s="8">
        <f t="shared" si="11"/>
        <v>0</v>
      </c>
      <c r="O72" s="12"/>
      <c r="P72" s="7">
        <v>238.64</v>
      </c>
      <c r="Q72" s="3"/>
      <c r="R72" s="8">
        <f t="shared" si="12"/>
        <v>8.2070521220718501E-4</v>
      </c>
      <c r="S72" s="3"/>
      <c r="T72" s="7"/>
      <c r="U72" s="3"/>
      <c r="V72" s="8">
        <f t="shared" si="13"/>
        <v>0</v>
      </c>
      <c r="W72" s="3"/>
      <c r="X72" s="7">
        <f t="shared" si="14"/>
        <v>238.64</v>
      </c>
      <c r="Y72" s="3"/>
      <c r="Z72" s="8">
        <f t="shared" si="15"/>
        <v>0</v>
      </c>
    </row>
    <row r="73" spans="1:26" s="69" customFormat="1" ht="15" customHeight="1" outlineLevel="1" collapsed="1" x14ac:dyDescent="0.3">
      <c r="A73" s="25"/>
      <c r="B73" s="14" t="str">
        <f>CONCATENATE("     ","Subscriptions &amp; Dues                              ")</f>
        <v xml:space="preserve">     Subscriptions &amp; Dues                              </v>
      </c>
      <c r="C73" s="14"/>
      <c r="D73" s="2">
        <f>SUM(OSRRefD22_13x_0)</f>
        <v>0</v>
      </c>
      <c r="E73" s="2"/>
      <c r="F73" s="6">
        <f t="shared" si="8"/>
        <v>0</v>
      </c>
      <c r="G73" s="2"/>
      <c r="H73" s="2">
        <f>SUM(OSRRefH22_13x_0)</f>
        <v>81</v>
      </c>
      <c r="I73" s="2"/>
      <c r="J73" s="6">
        <f t="shared" si="9"/>
        <v>2.896063498873753E-3</v>
      </c>
      <c r="K73" s="2"/>
      <c r="L73" s="2">
        <f t="shared" si="10"/>
        <v>-81</v>
      </c>
      <c r="M73" s="2"/>
      <c r="N73" s="6">
        <f t="shared" si="11"/>
        <v>-1</v>
      </c>
      <c r="O73" s="14"/>
      <c r="P73" s="2">
        <f>SUM(OSRRefP22_13x_0)</f>
        <v>0</v>
      </c>
      <c r="Q73" s="2"/>
      <c r="R73" s="6">
        <f t="shared" si="12"/>
        <v>0</v>
      </c>
      <c r="S73" s="2"/>
      <c r="T73" s="2">
        <f>SUM(OSRRefT22_13x_0)</f>
        <v>1044</v>
      </c>
      <c r="U73" s="2"/>
      <c r="V73" s="6">
        <f t="shared" si="13"/>
        <v>4.3019968847608763E-3</v>
      </c>
      <c r="W73" s="2"/>
      <c r="X73" s="2">
        <f t="shared" si="14"/>
        <v>-1044</v>
      </c>
      <c r="Y73" s="2"/>
      <c r="Z73" s="6">
        <f t="shared" si="15"/>
        <v>-1</v>
      </c>
    </row>
    <row r="74" spans="1:26" s="70" customFormat="1" ht="15" hidden="1" customHeight="1" outlineLevel="2" x14ac:dyDescent="0.3">
      <c r="A74" s="26"/>
      <c r="B74" s="12" t="str">
        <f>CONCATENATE("          ","6258"," - ","MEMBERSHIP DUES")</f>
        <v xml:space="preserve">          6258 - MEMBERSHIP DUES</v>
      </c>
      <c r="C74" s="12"/>
      <c r="D74" s="7"/>
      <c r="E74" s="3"/>
      <c r="F74" s="8">
        <f t="shared" si="8"/>
        <v>0</v>
      </c>
      <c r="G74" s="3"/>
      <c r="H74" s="7"/>
      <c r="I74" s="3"/>
      <c r="J74" s="8">
        <f t="shared" si="9"/>
        <v>0</v>
      </c>
      <c r="K74" s="3"/>
      <c r="L74" s="7">
        <f t="shared" si="10"/>
        <v>0</v>
      </c>
      <c r="M74" s="3"/>
      <c r="N74" s="8">
        <f t="shared" si="11"/>
        <v>0</v>
      </c>
      <c r="O74" s="12"/>
      <c r="P74" s="7"/>
      <c r="Q74" s="3"/>
      <c r="R74" s="8">
        <f t="shared" si="12"/>
        <v>0</v>
      </c>
      <c r="S74" s="3"/>
      <c r="T74" s="7">
        <v>395</v>
      </c>
      <c r="U74" s="3"/>
      <c r="V74" s="8">
        <f t="shared" si="13"/>
        <v>1.6276712351346227E-3</v>
      </c>
      <c r="W74" s="3"/>
      <c r="X74" s="7">
        <f t="shared" si="14"/>
        <v>-395</v>
      </c>
      <c r="Y74" s="3"/>
      <c r="Z74" s="8">
        <f t="shared" si="15"/>
        <v>-1</v>
      </c>
    </row>
    <row r="75" spans="1:26" s="70" customFormat="1" ht="15" hidden="1" customHeight="1" outlineLevel="2" x14ac:dyDescent="0.3">
      <c r="A75" s="26"/>
      <c r="B75" s="12" t="str">
        <f>CONCATENATE("          ","6275"," - ","SUBSCRIPTIONS")</f>
        <v xml:space="preserve">          6275 - SUBSCRIPTIONS</v>
      </c>
      <c r="C75" s="12"/>
      <c r="D75" s="7"/>
      <c r="E75" s="3"/>
      <c r="F75" s="8">
        <f t="shared" si="8"/>
        <v>0</v>
      </c>
      <c r="G75" s="3"/>
      <c r="H75" s="7">
        <v>81</v>
      </c>
      <c r="I75" s="3"/>
      <c r="J75" s="8">
        <f t="shared" si="9"/>
        <v>2.896063498873753E-3</v>
      </c>
      <c r="K75" s="3"/>
      <c r="L75" s="7">
        <f t="shared" si="10"/>
        <v>-81</v>
      </c>
      <c r="M75" s="3"/>
      <c r="N75" s="8">
        <f t="shared" si="11"/>
        <v>-1</v>
      </c>
      <c r="O75" s="12"/>
      <c r="P75" s="7"/>
      <c r="Q75" s="3"/>
      <c r="R75" s="8">
        <f t="shared" si="12"/>
        <v>0</v>
      </c>
      <c r="S75" s="3"/>
      <c r="T75" s="7">
        <v>649</v>
      </c>
      <c r="U75" s="3"/>
      <c r="V75" s="8">
        <f t="shared" si="13"/>
        <v>2.6743256496262538E-3</v>
      </c>
      <c r="W75" s="3"/>
      <c r="X75" s="7">
        <f t="shared" si="14"/>
        <v>-649</v>
      </c>
      <c r="Y75" s="3"/>
      <c r="Z75" s="8">
        <f t="shared" si="15"/>
        <v>-1</v>
      </c>
    </row>
    <row r="76" spans="1:26" s="69" customFormat="1" ht="15" customHeight="1" outlineLevel="1" collapsed="1" x14ac:dyDescent="0.3">
      <c r="A76" s="25"/>
      <c r="B76" s="14" t="str">
        <f>CONCATENATE("     ","Supplies                                          ")</f>
        <v xml:space="preserve">     Supplies                                          </v>
      </c>
      <c r="C76" s="14"/>
      <c r="D76" s="2">
        <f>SUM(OSRRefD22_14x_0)</f>
        <v>9.3000000000000007</v>
      </c>
      <c r="E76" s="2"/>
      <c r="F76" s="6">
        <f t="shared" si="8"/>
        <v>2.8499029654006458E-4</v>
      </c>
      <c r="G76" s="2"/>
      <c r="H76" s="2">
        <f>SUM(OSRRefH22_14x_0)</f>
        <v>30</v>
      </c>
      <c r="I76" s="2"/>
      <c r="J76" s="6">
        <f t="shared" si="9"/>
        <v>1.0726161106939826E-3</v>
      </c>
      <c r="K76" s="2"/>
      <c r="L76" s="2">
        <f t="shared" si="10"/>
        <v>-20.7</v>
      </c>
      <c r="M76" s="2"/>
      <c r="N76" s="6">
        <f t="shared" si="11"/>
        <v>-0.69</v>
      </c>
      <c r="O76" s="14"/>
      <c r="P76" s="2">
        <f>SUM(OSRRefP22_14x_0)</f>
        <v>1045.93</v>
      </c>
      <c r="Q76" s="2"/>
      <c r="R76" s="6">
        <f t="shared" si="12"/>
        <v>3.5970507987087711E-3</v>
      </c>
      <c r="S76" s="2"/>
      <c r="T76" s="2">
        <f>SUM(OSRRefT22_14x_0)</f>
        <v>350</v>
      </c>
      <c r="U76" s="2"/>
      <c r="V76" s="6">
        <f t="shared" si="13"/>
        <v>1.4422403349294126E-3</v>
      </c>
      <c r="W76" s="2"/>
      <c r="X76" s="2">
        <f t="shared" si="14"/>
        <v>695.93000000000006</v>
      </c>
      <c r="Y76" s="2"/>
      <c r="Z76" s="6">
        <f t="shared" si="15"/>
        <v>1.9883714285714287</v>
      </c>
    </row>
    <row r="77" spans="1:26" s="70" customFormat="1" ht="15" hidden="1" customHeight="1" outlineLevel="2" x14ac:dyDescent="0.3">
      <c r="A77" s="26"/>
      <c r="B77" s="12" t="str">
        <f>CONCATENATE("          ","6237"," - ","JANITORIAL SUPPLIES")</f>
        <v xml:space="preserve">          6237 - JANITORIAL SUPPLIES</v>
      </c>
      <c r="C77" s="12"/>
      <c r="D77" s="7"/>
      <c r="E77" s="3"/>
      <c r="F77" s="8">
        <f t="shared" si="8"/>
        <v>0</v>
      </c>
      <c r="G77" s="3"/>
      <c r="H77" s="7">
        <v>10</v>
      </c>
      <c r="I77" s="3"/>
      <c r="J77" s="8">
        <f t="shared" si="9"/>
        <v>3.5753870356466087E-4</v>
      </c>
      <c r="K77" s="3"/>
      <c r="L77" s="7">
        <f t="shared" si="10"/>
        <v>-10</v>
      </c>
      <c r="M77" s="3"/>
      <c r="N77" s="8">
        <f t="shared" si="11"/>
        <v>-1</v>
      </c>
      <c r="O77" s="12"/>
      <c r="P77" s="7">
        <v>77.17</v>
      </c>
      <c r="Q77" s="3"/>
      <c r="R77" s="8">
        <f t="shared" si="12"/>
        <v>2.6539482578791685E-4</v>
      </c>
      <c r="S77" s="3"/>
      <c r="T77" s="7">
        <v>170</v>
      </c>
      <c r="U77" s="3"/>
      <c r="V77" s="8">
        <f t="shared" si="13"/>
        <v>7.0051673410857188E-4</v>
      </c>
      <c r="W77" s="3"/>
      <c r="X77" s="7">
        <f t="shared" si="14"/>
        <v>-92.83</v>
      </c>
      <c r="Y77" s="3"/>
      <c r="Z77" s="8">
        <f t="shared" si="15"/>
        <v>-0.54605882352941171</v>
      </c>
    </row>
    <row r="78" spans="1:26" s="70" customFormat="1" ht="15" hidden="1" customHeight="1" outlineLevel="2" x14ac:dyDescent="0.3">
      <c r="A78" s="26"/>
      <c r="B78" s="12" t="str">
        <f>CONCATENATE("          ","6241"," - ","OFFICE EXPENSE")</f>
        <v xml:space="preserve">          6241 - OFFICE EXPENSE</v>
      </c>
      <c r="C78" s="12"/>
      <c r="D78" s="7">
        <v>4.8499999999999996</v>
      </c>
      <c r="E78" s="3"/>
      <c r="F78" s="8">
        <f t="shared" si="8"/>
        <v>1.4862397185153904E-4</v>
      </c>
      <c r="G78" s="3"/>
      <c r="H78" s="7">
        <v>20</v>
      </c>
      <c r="I78" s="3"/>
      <c r="J78" s="8">
        <f t="shared" si="9"/>
        <v>7.1507740712932174E-4</v>
      </c>
      <c r="K78" s="3"/>
      <c r="L78" s="7">
        <f t="shared" si="10"/>
        <v>-15.15</v>
      </c>
      <c r="M78" s="3"/>
      <c r="N78" s="8">
        <f t="shared" si="11"/>
        <v>-0.75750000000000006</v>
      </c>
      <c r="O78" s="12"/>
      <c r="P78" s="7">
        <v>364.81</v>
      </c>
      <c r="Q78" s="3"/>
      <c r="R78" s="8">
        <f t="shared" si="12"/>
        <v>1.2546156070453536E-3</v>
      </c>
      <c r="S78" s="3"/>
      <c r="T78" s="7">
        <v>180</v>
      </c>
      <c r="U78" s="3"/>
      <c r="V78" s="8">
        <f t="shared" si="13"/>
        <v>7.4172360082084079E-4</v>
      </c>
      <c r="W78" s="3"/>
      <c r="X78" s="7">
        <f t="shared" si="14"/>
        <v>184.81</v>
      </c>
      <c r="Y78" s="3"/>
      <c r="Z78" s="8">
        <f t="shared" si="15"/>
        <v>1.0267222222222223</v>
      </c>
    </row>
    <row r="79" spans="1:26" s="70" customFormat="1" ht="15" hidden="1" customHeight="1" outlineLevel="2" x14ac:dyDescent="0.3">
      <c r="A79" s="26"/>
      <c r="B79" s="12" t="str">
        <f>CONCATENATE("          ","6247"," - ","STORE SUPPLIES")</f>
        <v xml:space="preserve">          6247 - STORE SUPPLIES</v>
      </c>
      <c r="C79" s="12"/>
      <c r="D79" s="7">
        <v>4.45</v>
      </c>
      <c r="E79" s="3"/>
      <c r="F79" s="8">
        <f t="shared" si="8"/>
        <v>1.3636632468852551E-4</v>
      </c>
      <c r="G79" s="3"/>
      <c r="H79" s="7"/>
      <c r="I79" s="3"/>
      <c r="J79" s="8">
        <f t="shared" si="9"/>
        <v>0</v>
      </c>
      <c r="K79" s="3"/>
      <c r="L79" s="7">
        <f t="shared" si="10"/>
        <v>4.45</v>
      </c>
      <c r="M79" s="3"/>
      <c r="N79" s="8">
        <f t="shared" si="11"/>
        <v>0</v>
      </c>
      <c r="O79" s="12"/>
      <c r="P79" s="7">
        <v>603.95000000000005</v>
      </c>
      <c r="Q79" s="3"/>
      <c r="R79" s="8">
        <f t="shared" si="12"/>
        <v>2.0770403658755005E-3</v>
      </c>
      <c r="S79" s="3"/>
      <c r="T79" s="7"/>
      <c r="U79" s="3"/>
      <c r="V79" s="8">
        <f t="shared" si="13"/>
        <v>0</v>
      </c>
      <c r="W79" s="3"/>
      <c r="X79" s="7">
        <f t="shared" si="14"/>
        <v>603.95000000000005</v>
      </c>
      <c r="Y79" s="3"/>
      <c r="Z79" s="8">
        <f t="shared" si="15"/>
        <v>0</v>
      </c>
    </row>
    <row r="80" spans="1:26" s="69" customFormat="1" ht="15" customHeight="1" outlineLevel="1" collapsed="1" x14ac:dyDescent="0.3">
      <c r="A80" s="25"/>
      <c r="B80" s="14" t="str">
        <f>CONCATENATE("     ","Telephone/Data Lines                              ")</f>
        <v xml:space="preserve">     Telephone/Data Lines                              </v>
      </c>
      <c r="C80" s="14"/>
      <c r="D80" s="2">
        <f>SUM(OSRRefD22_15x_0)</f>
        <v>310.19</v>
      </c>
      <c r="E80" s="2"/>
      <c r="F80" s="6">
        <f t="shared" si="8"/>
        <v>9.5054989337379162E-3</v>
      </c>
      <c r="G80" s="2"/>
      <c r="H80" s="2">
        <f>SUM(OSRRefH22_15x_0)</f>
        <v>250</v>
      </c>
      <c r="I80" s="2"/>
      <c r="J80" s="6">
        <f t="shared" si="9"/>
        <v>8.9384675891165215E-3</v>
      </c>
      <c r="K80" s="2"/>
      <c r="L80" s="2">
        <f t="shared" si="10"/>
        <v>60.19</v>
      </c>
      <c r="M80" s="2"/>
      <c r="N80" s="6">
        <f t="shared" si="11"/>
        <v>0.24076</v>
      </c>
      <c r="O80" s="14"/>
      <c r="P80" s="2">
        <f>SUM(OSRRefP22_15x_0)</f>
        <v>2800.26</v>
      </c>
      <c r="Q80" s="2"/>
      <c r="R80" s="6">
        <f t="shared" si="12"/>
        <v>9.6303552528297538E-3</v>
      </c>
      <c r="S80" s="2"/>
      <c r="T80" s="2">
        <f>SUM(OSRRefT22_15x_0)</f>
        <v>2250</v>
      </c>
      <c r="U80" s="2"/>
      <c r="V80" s="6">
        <f t="shared" si="13"/>
        <v>9.2715450102605103E-3</v>
      </c>
      <c r="W80" s="2"/>
      <c r="X80" s="2">
        <f t="shared" si="14"/>
        <v>550.26000000000022</v>
      </c>
      <c r="Y80" s="2"/>
      <c r="Z80" s="6">
        <f t="shared" si="15"/>
        <v>0.24456000000000011</v>
      </c>
    </row>
    <row r="81" spans="1:26" s="70" customFormat="1" ht="15" hidden="1" customHeight="1" outlineLevel="2" x14ac:dyDescent="0.3">
      <c r="A81" s="26"/>
      <c r="B81" s="12" t="str">
        <f>CONCATENATE("          ","6309"," - ","TELEPHONE")</f>
        <v xml:space="preserve">          6309 - TELEPHONE</v>
      </c>
      <c r="C81" s="12"/>
      <c r="D81" s="7">
        <v>310.19</v>
      </c>
      <c r="E81" s="3"/>
      <c r="F81" s="8">
        <f t="shared" si="8"/>
        <v>9.5054989337379162E-3</v>
      </c>
      <c r="G81" s="3"/>
      <c r="H81" s="7">
        <v>250</v>
      </c>
      <c r="I81" s="3"/>
      <c r="J81" s="8">
        <f t="shared" si="9"/>
        <v>8.9384675891165215E-3</v>
      </c>
      <c r="K81" s="3"/>
      <c r="L81" s="7">
        <f t="shared" si="10"/>
        <v>60.19</v>
      </c>
      <c r="M81" s="3"/>
      <c r="N81" s="8">
        <f t="shared" si="11"/>
        <v>0.24076</v>
      </c>
      <c r="O81" s="12"/>
      <c r="P81" s="7">
        <v>2800.26</v>
      </c>
      <c r="Q81" s="3"/>
      <c r="R81" s="8">
        <f t="shared" si="12"/>
        <v>9.6303552528297538E-3</v>
      </c>
      <c r="S81" s="3"/>
      <c r="T81" s="7">
        <v>2250</v>
      </c>
      <c r="U81" s="3"/>
      <c r="V81" s="8">
        <f t="shared" si="13"/>
        <v>9.2715450102605103E-3</v>
      </c>
      <c r="W81" s="3"/>
      <c r="X81" s="7">
        <f t="shared" si="14"/>
        <v>550.26000000000022</v>
      </c>
      <c r="Y81" s="3"/>
      <c r="Z81" s="8">
        <f t="shared" si="15"/>
        <v>0.24456000000000011</v>
      </c>
    </row>
    <row r="82" spans="1:26" s="69" customFormat="1" ht="15" customHeight="1" outlineLevel="1" collapsed="1" x14ac:dyDescent="0.3">
      <c r="A82" s="25"/>
      <c r="B82" s="14" t="str">
        <f>CONCATENATE("     ","Travel                                            ")</f>
        <v xml:space="preserve">     Travel                                            </v>
      </c>
      <c r="C82" s="14"/>
      <c r="D82" s="2">
        <f>SUM(OSRRefD22_16x_0)</f>
        <v>9.74</v>
      </c>
      <c r="E82" s="2"/>
      <c r="F82" s="6">
        <f t="shared" si="8"/>
        <v>2.9847370841937947E-4</v>
      </c>
      <c r="G82" s="2"/>
      <c r="H82" s="2">
        <f>SUM(OSRRefH22_16x_0)</f>
        <v>25</v>
      </c>
      <c r="I82" s="2"/>
      <c r="J82" s="6">
        <f t="shared" si="9"/>
        <v>8.9384675891165217E-4</v>
      </c>
      <c r="K82" s="2"/>
      <c r="L82" s="2">
        <f t="shared" si="10"/>
        <v>-15.26</v>
      </c>
      <c r="M82" s="2"/>
      <c r="N82" s="6">
        <f t="shared" si="11"/>
        <v>-0.61039999999999994</v>
      </c>
      <c r="O82" s="14"/>
      <c r="P82" s="2">
        <f>SUM(OSRRefP22_16x_0)</f>
        <v>326.08999999999997</v>
      </c>
      <c r="Q82" s="2"/>
      <c r="R82" s="6">
        <f t="shared" si="12"/>
        <v>1.1214539165631955E-3</v>
      </c>
      <c r="S82" s="2"/>
      <c r="T82" s="2">
        <f>SUM(OSRRefT22_16x_0)</f>
        <v>475</v>
      </c>
      <c r="U82" s="2"/>
      <c r="V82" s="6">
        <f t="shared" si="13"/>
        <v>1.9573261688327743E-3</v>
      </c>
      <c r="W82" s="2"/>
      <c r="X82" s="2">
        <f t="shared" si="14"/>
        <v>-148.91000000000003</v>
      </c>
      <c r="Y82" s="2"/>
      <c r="Z82" s="6">
        <f t="shared" si="15"/>
        <v>-0.31349473684210533</v>
      </c>
    </row>
    <row r="83" spans="1:26" s="70" customFormat="1" ht="15" hidden="1" customHeight="1" outlineLevel="2" x14ac:dyDescent="0.3">
      <c r="A83" s="26"/>
      <c r="B83" s="12" t="str">
        <f>CONCATENATE("          ","6294"," - ","TRAVEL OPERATIONAL")</f>
        <v xml:space="preserve">          6294 - TRAVEL OPERATIONAL</v>
      </c>
      <c r="C83" s="12"/>
      <c r="D83" s="7">
        <v>9.74</v>
      </c>
      <c r="E83" s="3"/>
      <c r="F83" s="8">
        <f t="shared" si="8"/>
        <v>2.9847370841937947E-4</v>
      </c>
      <c r="G83" s="3"/>
      <c r="H83" s="7"/>
      <c r="I83" s="3"/>
      <c r="J83" s="8">
        <f t="shared" si="9"/>
        <v>0</v>
      </c>
      <c r="K83" s="3"/>
      <c r="L83" s="7">
        <f t="shared" si="10"/>
        <v>9.74</v>
      </c>
      <c r="M83" s="3"/>
      <c r="N83" s="8">
        <f t="shared" si="11"/>
        <v>0</v>
      </c>
      <c r="O83" s="12"/>
      <c r="P83" s="7">
        <v>326.08999999999997</v>
      </c>
      <c r="Q83" s="3"/>
      <c r="R83" s="8">
        <f t="shared" si="12"/>
        <v>1.1214539165631955E-3</v>
      </c>
      <c r="S83" s="3"/>
      <c r="T83" s="7"/>
      <c r="U83" s="3"/>
      <c r="V83" s="8">
        <f t="shared" si="13"/>
        <v>0</v>
      </c>
      <c r="W83" s="3"/>
      <c r="X83" s="7">
        <f t="shared" si="14"/>
        <v>326.08999999999997</v>
      </c>
      <c r="Y83" s="3"/>
      <c r="Z83" s="8">
        <f t="shared" si="15"/>
        <v>0</v>
      </c>
    </row>
    <row r="84" spans="1:26" s="70" customFormat="1" ht="15" hidden="1" customHeight="1" outlineLevel="2" x14ac:dyDescent="0.3">
      <c r="A84" s="26"/>
      <c r="B84" s="12" t="str">
        <f>CONCATENATE("          ","6298"," - ","VEHICLE MILEAGE")</f>
        <v xml:space="preserve">          6298 - VEHICLE MILEAGE</v>
      </c>
      <c r="C84" s="12"/>
      <c r="D84" s="7"/>
      <c r="E84" s="3"/>
      <c r="F84" s="8">
        <f t="shared" si="8"/>
        <v>0</v>
      </c>
      <c r="G84" s="3"/>
      <c r="H84" s="7">
        <v>25</v>
      </c>
      <c r="I84" s="3"/>
      <c r="J84" s="8">
        <f t="shared" si="9"/>
        <v>8.9384675891165217E-4</v>
      </c>
      <c r="K84" s="3"/>
      <c r="L84" s="7">
        <f t="shared" si="10"/>
        <v>-25</v>
      </c>
      <c r="M84" s="3"/>
      <c r="N84" s="8">
        <f t="shared" si="11"/>
        <v>-1</v>
      </c>
      <c r="O84" s="12"/>
      <c r="P84" s="7"/>
      <c r="Q84" s="3"/>
      <c r="R84" s="8">
        <f t="shared" si="12"/>
        <v>0</v>
      </c>
      <c r="S84" s="3"/>
      <c r="T84" s="7">
        <v>475</v>
      </c>
      <c r="U84" s="3"/>
      <c r="V84" s="8">
        <f t="shared" si="13"/>
        <v>1.9573261688327743E-3</v>
      </c>
      <c r="W84" s="3"/>
      <c r="X84" s="7">
        <f t="shared" si="14"/>
        <v>-475</v>
      </c>
      <c r="Y84" s="3"/>
      <c r="Z84" s="8">
        <f t="shared" si="15"/>
        <v>-1</v>
      </c>
    </row>
    <row r="85" spans="1:26" s="69" customFormat="1" ht="15" customHeight="1" outlineLevel="1" collapsed="1" x14ac:dyDescent="0.3">
      <c r="A85" s="25"/>
      <c r="B85" s="14" t="str">
        <f>CONCATENATE("     ","Utilities                                         ")</f>
        <v xml:space="preserve">     Utilities                                         </v>
      </c>
      <c r="C85" s="14"/>
      <c r="D85" s="2">
        <f>SUM(OSRRefD22_17x_0)</f>
        <v>137.83000000000001</v>
      </c>
      <c r="E85" s="2"/>
      <c r="F85" s="6">
        <f t="shared" si="8"/>
        <v>4.2236787711953869E-3</v>
      </c>
      <c r="G85" s="2"/>
      <c r="H85" s="2">
        <f>SUM(OSRRefH22_17x_0)</f>
        <v>120</v>
      </c>
      <c r="I85" s="2"/>
      <c r="J85" s="6">
        <f t="shared" si="9"/>
        <v>4.2904644427759304E-3</v>
      </c>
      <c r="K85" s="2"/>
      <c r="L85" s="2">
        <f t="shared" si="10"/>
        <v>17.830000000000013</v>
      </c>
      <c r="M85" s="2"/>
      <c r="N85" s="6">
        <f t="shared" si="11"/>
        <v>0.14858333333333343</v>
      </c>
      <c r="O85" s="14"/>
      <c r="P85" s="2">
        <f>SUM(OSRRefP22_17x_0)</f>
        <v>1032.9000000000001</v>
      </c>
      <c r="Q85" s="2"/>
      <c r="R85" s="6">
        <f t="shared" si="12"/>
        <v>3.5522394137143878E-3</v>
      </c>
      <c r="S85" s="2"/>
      <c r="T85" s="2">
        <f>SUM(OSRRefT22_17x_0)</f>
        <v>3760</v>
      </c>
      <c r="U85" s="2"/>
      <c r="V85" s="6">
        <f t="shared" si="13"/>
        <v>1.5493781883813118E-2</v>
      </c>
      <c r="W85" s="2"/>
      <c r="X85" s="2">
        <f t="shared" si="14"/>
        <v>-2727.1</v>
      </c>
      <c r="Y85" s="2"/>
      <c r="Z85" s="6">
        <f t="shared" si="15"/>
        <v>-0.72529255319148933</v>
      </c>
    </row>
    <row r="86" spans="1:26" s="70" customFormat="1" ht="15" hidden="1" customHeight="1" outlineLevel="2" x14ac:dyDescent="0.3">
      <c r="A86" s="26"/>
      <c r="B86" s="12" t="str">
        <f>CONCATENATE("          ","6274"," - ","UTILITIES")</f>
        <v xml:space="preserve">          6274 - UTILITIES</v>
      </c>
      <c r="C86" s="12"/>
      <c r="D86" s="7">
        <v>137.83000000000001</v>
      </c>
      <c r="E86" s="3"/>
      <c r="F86" s="8">
        <f t="shared" si="8"/>
        <v>4.2236787711953869E-3</v>
      </c>
      <c r="G86" s="3"/>
      <c r="H86" s="7">
        <v>120</v>
      </c>
      <c r="I86" s="3"/>
      <c r="J86" s="8">
        <f t="shared" si="9"/>
        <v>4.2904644427759304E-3</v>
      </c>
      <c r="K86" s="3"/>
      <c r="L86" s="7">
        <f t="shared" si="10"/>
        <v>17.830000000000013</v>
      </c>
      <c r="M86" s="3"/>
      <c r="N86" s="8">
        <f t="shared" si="11"/>
        <v>0.14858333333333343</v>
      </c>
      <c r="O86" s="12"/>
      <c r="P86" s="7">
        <v>1032.9000000000001</v>
      </c>
      <c r="Q86" s="3"/>
      <c r="R86" s="8">
        <f t="shared" si="12"/>
        <v>3.5522394137143878E-3</v>
      </c>
      <c r="S86" s="3"/>
      <c r="T86" s="7">
        <v>3760</v>
      </c>
      <c r="U86" s="3"/>
      <c r="V86" s="8">
        <f t="shared" si="13"/>
        <v>1.5493781883813118E-2</v>
      </c>
      <c r="W86" s="3"/>
      <c r="X86" s="7">
        <f t="shared" si="14"/>
        <v>-2727.1</v>
      </c>
      <c r="Y86" s="3"/>
      <c r="Z86" s="8">
        <f t="shared" si="15"/>
        <v>-0.72529255319148933</v>
      </c>
    </row>
    <row r="87" spans="1:26" s="65" customFormat="1" ht="15" customHeight="1" x14ac:dyDescent="0.3">
      <c r="A87" s="35"/>
      <c r="B87" s="35"/>
      <c r="C87" s="35"/>
      <c r="D87" s="2"/>
      <c r="E87" s="2"/>
      <c r="F87" s="6"/>
      <c r="G87" s="2"/>
      <c r="H87" s="2"/>
      <c r="I87" s="2"/>
      <c r="J87" s="6"/>
      <c r="K87" s="2"/>
      <c r="L87" s="2"/>
      <c r="M87" s="2"/>
      <c r="N87" s="6"/>
      <c r="O87" s="35"/>
      <c r="P87" s="2"/>
      <c r="Q87" s="2"/>
      <c r="R87" s="6"/>
      <c r="S87" s="2"/>
      <c r="T87" s="2"/>
      <c r="U87" s="2"/>
      <c r="V87" s="6"/>
      <c r="W87" s="2"/>
      <c r="X87" s="2"/>
      <c r="Y87" s="2"/>
      <c r="Z87" s="6"/>
    </row>
    <row r="88" spans="1:26" s="63" customFormat="1" ht="15" customHeight="1" x14ac:dyDescent="0.3">
      <c r="A88" s="11"/>
      <c r="B88" s="28" t="s">
        <v>291</v>
      </c>
      <c r="C88" s="11"/>
      <c r="D88" s="5">
        <f>SUM(0)</f>
        <v>0</v>
      </c>
      <c r="E88" s="5"/>
      <c r="F88" s="13">
        <f>IF(D$12=0,0,D88/D$12)</f>
        <v>0</v>
      </c>
      <c r="G88" s="5"/>
      <c r="H88" s="5">
        <f>SUM(0)</f>
        <v>0</v>
      </c>
      <c r="I88" s="5"/>
      <c r="J88" s="13">
        <f>IF(H$12=0,0,H88/H$12)</f>
        <v>0</v>
      </c>
      <c r="K88" s="5"/>
      <c r="L88" s="5">
        <f>+D88-H88</f>
        <v>0</v>
      </c>
      <c r="M88" s="5"/>
      <c r="N88" s="13">
        <f>IF(H88=0,0,L88/H88)</f>
        <v>0</v>
      </c>
      <c r="O88" s="11"/>
      <c r="P88" s="5">
        <f>SUM(0)</f>
        <v>0</v>
      </c>
      <c r="Q88" s="5"/>
      <c r="R88" s="13">
        <f>IF(P$12=0,0,P88/P$12)</f>
        <v>0</v>
      </c>
      <c r="S88" s="5"/>
      <c r="T88" s="5">
        <f>SUM(0)</f>
        <v>0</v>
      </c>
      <c r="U88" s="5"/>
      <c r="V88" s="13">
        <f>IF(T$12=0,0,T88/T$12)</f>
        <v>0</v>
      </c>
      <c r="W88" s="5"/>
      <c r="X88" s="5">
        <f>+P88-T88</f>
        <v>0</v>
      </c>
      <c r="Y88" s="5"/>
      <c r="Z88" s="13">
        <f>IF(T88=0,0,X88/T88)</f>
        <v>0</v>
      </c>
    </row>
    <row r="89" spans="1:26" ht="15" customHeight="1" x14ac:dyDescent="0.3">
      <c r="A89" s="10"/>
      <c r="B89" s="11"/>
      <c r="C89" s="11"/>
      <c r="D89" s="4"/>
      <c r="E89" s="4"/>
      <c r="F89" s="9"/>
      <c r="G89" s="4"/>
      <c r="H89" s="4"/>
      <c r="I89" s="4"/>
      <c r="J89" s="9"/>
      <c r="K89" s="4"/>
      <c r="L89" s="4"/>
      <c r="M89" s="4"/>
      <c r="N89" s="9"/>
      <c r="O89" s="11"/>
      <c r="P89" s="4"/>
      <c r="Q89" s="4"/>
      <c r="R89" s="9"/>
      <c r="S89" s="4"/>
      <c r="T89" s="4"/>
      <c r="U89" s="4"/>
      <c r="V89" s="9"/>
      <c r="W89" s="4"/>
      <c r="X89" s="4"/>
      <c r="Y89" s="4"/>
      <c r="Z89" s="9"/>
    </row>
    <row r="90" spans="1:26" s="63" customFormat="1" ht="15" customHeight="1" x14ac:dyDescent="0.3">
      <c r="A90" s="11"/>
      <c r="B90" s="27" t="s">
        <v>292</v>
      </c>
      <c r="C90" s="27"/>
      <c r="D90" s="21">
        <f>+D24-D26+D88</f>
        <v>1870.9399999999987</v>
      </c>
      <c r="E90" s="15"/>
      <c r="F90" s="23">
        <f>IF(D$12=0,0,D90/D$12)</f>
        <v>5.7333305957921292E-2</v>
      </c>
      <c r="G90" s="15"/>
      <c r="H90" s="21">
        <f>+H24-H26+H88</f>
        <v>-5306.0271439692297</v>
      </c>
      <c r="I90" s="15"/>
      <c r="J90" s="23">
        <f>IF(H$12=0,0,H90/H$12)</f>
        <v>-0.18971100661336585</v>
      </c>
      <c r="K90" s="16"/>
      <c r="L90" s="21">
        <f>+D90-H90</f>
        <v>7176.9671439692283</v>
      </c>
      <c r="M90" s="16"/>
      <c r="N90" s="23">
        <f>IF(H90=0,0,L90/H90)</f>
        <v>-1.3526065640516913</v>
      </c>
      <c r="O90" s="28"/>
      <c r="P90" s="21">
        <f>+P24-P26+P88</f>
        <v>1685.5799999999872</v>
      </c>
      <c r="Q90" s="15"/>
      <c r="R90" s="23">
        <f>IF(P$12=0,0,P90/P$12)</f>
        <v>5.796866793463697E-3</v>
      </c>
      <c r="S90" s="15"/>
      <c r="T90" s="21">
        <f>+T24-T26+T88</f>
        <v>-66425.556887899991</v>
      </c>
      <c r="U90" s="15"/>
      <c r="V90" s="23">
        <f>IF(T$12=0,0,T90/T$12)</f>
        <v>-0.27371890689679323</v>
      </c>
      <c r="W90" s="16"/>
      <c r="X90" s="21">
        <f>+P90-T90</f>
        <v>68111.136887899978</v>
      </c>
      <c r="Y90" s="16"/>
      <c r="Z90" s="23">
        <f>IF(T90=0,0,X90/T90)</f>
        <v>-1.0253754741242829</v>
      </c>
    </row>
    <row r="91" spans="1:26" ht="15" customHeight="1" x14ac:dyDescent="0.3">
      <c r="A91" s="10"/>
      <c r="B91" s="11"/>
      <c r="C91" s="10"/>
      <c r="D91" s="4"/>
      <c r="E91" s="4"/>
      <c r="F91" s="9"/>
      <c r="G91" s="4"/>
      <c r="H91" s="4"/>
      <c r="I91" s="4"/>
      <c r="J91" s="9"/>
      <c r="K91" s="4"/>
      <c r="L91" s="4"/>
      <c r="M91" s="4"/>
      <c r="N91" s="9"/>
      <c r="P91" s="4"/>
      <c r="Q91" s="4"/>
      <c r="R91" s="9"/>
      <c r="S91" s="4"/>
      <c r="T91" s="4"/>
      <c r="U91" s="4"/>
      <c r="V91" s="9"/>
      <c r="W91" s="4"/>
      <c r="X91" s="4"/>
      <c r="Y91" s="4"/>
      <c r="Z91" s="9"/>
    </row>
    <row r="92" spans="1:26" s="63" customFormat="1" ht="15" customHeight="1" x14ac:dyDescent="0.3">
      <c r="A92" s="49"/>
      <c r="B92" s="11" t="s">
        <v>293</v>
      </c>
      <c r="C92" s="11"/>
      <c r="D92" s="5">
        <v>2481.2600000000002</v>
      </c>
      <c r="E92" s="5"/>
      <c r="F92" s="13">
        <f>IF(D$12=0,0,D92/D$12)</f>
        <v>7.6036023999247387E-2</v>
      </c>
      <c r="G92" s="5"/>
      <c r="H92" s="5">
        <v>3306</v>
      </c>
      <c r="I92" s="5"/>
      <c r="J92" s="13">
        <f>IF(H$12=0,0,H92/H$12)</f>
        <v>0.11820229539847689</v>
      </c>
      <c r="K92" s="5"/>
      <c r="L92" s="5">
        <f>+D92-H92</f>
        <v>-824.73999999999978</v>
      </c>
      <c r="M92" s="5"/>
      <c r="N92" s="13">
        <f>IF(H92=0,0,L92/H92)</f>
        <v>-0.24946763460375068</v>
      </c>
      <c r="O92" s="11"/>
      <c r="P92" s="5">
        <v>34703.199999999997</v>
      </c>
      <c r="Q92" s="5"/>
      <c r="R92" s="13">
        <f>IF(P$12=0,0,P92/P$12)</f>
        <v>0.11934754073193254</v>
      </c>
      <c r="S92" s="5"/>
      <c r="T92" s="5">
        <v>29554</v>
      </c>
      <c r="U92" s="5"/>
      <c r="V92" s="13">
        <f>IF(T$12=0,0,T92/T$12)</f>
        <v>0.1217827738814396</v>
      </c>
      <c r="W92" s="5"/>
      <c r="X92" s="5">
        <f>+P92-T92</f>
        <v>5149.1999999999971</v>
      </c>
      <c r="Y92" s="5"/>
      <c r="Z92" s="13">
        <f>IF(T92=0,0,X92/T92)</f>
        <v>0.17423022264329691</v>
      </c>
    </row>
    <row r="93" spans="1:26" ht="15" customHeight="1" x14ac:dyDescent="0.3">
      <c r="A93" s="10"/>
      <c r="B93" s="11"/>
      <c r="C93" s="11"/>
      <c r="D93" s="4"/>
      <c r="E93" s="4"/>
      <c r="F93" s="9"/>
      <c r="G93" s="4"/>
      <c r="H93" s="4"/>
      <c r="I93" s="4"/>
      <c r="J93" s="9"/>
      <c r="K93" s="4"/>
      <c r="L93" s="4"/>
      <c r="M93" s="4"/>
      <c r="N93" s="9"/>
      <c r="O93" s="11"/>
      <c r="P93" s="4"/>
      <c r="Q93" s="4"/>
      <c r="R93" s="9"/>
      <c r="S93" s="4"/>
      <c r="T93" s="4"/>
      <c r="U93" s="4"/>
      <c r="V93" s="9"/>
      <c r="W93" s="4"/>
      <c r="X93" s="4"/>
      <c r="Y93" s="4"/>
      <c r="Z93" s="9"/>
    </row>
    <row r="94" spans="1:26" s="63" customFormat="1" ht="15" customHeight="1" x14ac:dyDescent="0.3">
      <c r="A94" s="11"/>
      <c r="B94" s="27" t="s">
        <v>294</v>
      </c>
      <c r="C94" s="27"/>
      <c r="D94" s="34">
        <f>+D90-D92</f>
        <v>-610.32000000000153</v>
      </c>
      <c r="E94" s="15"/>
      <c r="F94" s="29">
        <f>IF(D$12=0,0,D94/D$12)</f>
        <v>-1.8702718041326089E-2</v>
      </c>
      <c r="G94" s="15"/>
      <c r="H94" s="34">
        <f>+H90-H92</f>
        <v>-8612.0271439692297</v>
      </c>
      <c r="I94" s="15"/>
      <c r="J94" s="29">
        <f>IF(H$12=0,0,H94/H$12)</f>
        <v>-0.30791330201184275</v>
      </c>
      <c r="K94" s="16"/>
      <c r="L94" s="34">
        <f>D94-H94</f>
        <v>8001.7071439692281</v>
      </c>
      <c r="M94" s="16"/>
      <c r="N94" s="29">
        <f>IF(H94=0,0,L94/H94)</f>
        <v>-0.92913166786435497</v>
      </c>
      <c r="O94" s="28"/>
      <c r="P94" s="34">
        <f>+P90-P92</f>
        <v>-33017.62000000001</v>
      </c>
      <c r="Q94" s="15"/>
      <c r="R94" s="29">
        <f>IF(P$12=0,0,P94/P$12)</f>
        <v>-0.11355067393846885</v>
      </c>
      <c r="S94" s="15"/>
      <c r="T94" s="34">
        <f>+T90-T92</f>
        <v>-95979.556887899991</v>
      </c>
      <c r="U94" s="15"/>
      <c r="V94" s="29">
        <f>IF(T$12=0,0,T94/T$12)</f>
        <v>-0.39550168077823283</v>
      </c>
      <c r="W94" s="16"/>
      <c r="X94" s="34">
        <f>P94-T94</f>
        <v>62961.936887899981</v>
      </c>
      <c r="Y94" s="16"/>
      <c r="Z94" s="29">
        <f>IF(T94=0,0,X94/T94)</f>
        <v>-0.65599320240076564</v>
      </c>
    </row>
    <row r="95" spans="1:26" ht="15" customHeight="1" x14ac:dyDescent="0.3">
      <c r="A95" s="10"/>
      <c r="B95" s="10"/>
      <c r="C95" s="10"/>
      <c r="D95" s="4"/>
      <c r="E95" s="4"/>
      <c r="F95" s="9"/>
      <c r="G95" s="4"/>
      <c r="H95" s="4"/>
      <c r="I95" s="4"/>
      <c r="J95" s="9"/>
      <c r="K95" s="4"/>
      <c r="L95" s="4"/>
      <c r="M95" s="4"/>
      <c r="N95" s="9"/>
      <c r="P95" s="4"/>
      <c r="Q95" s="4"/>
      <c r="R95" s="9"/>
      <c r="S95" s="4"/>
      <c r="T95" s="4"/>
      <c r="U95" s="4"/>
      <c r="V95" s="9"/>
      <c r="W95" s="4"/>
      <c r="X95" s="4"/>
      <c r="Y95" s="4"/>
      <c r="Z95" s="9"/>
    </row>
    <row r="96" spans="1:26" ht="15" customHeight="1" x14ac:dyDescent="0.3">
      <c r="A96" s="10"/>
      <c r="B96" s="10"/>
      <c r="C96" s="10"/>
      <c r="D96" s="4"/>
      <c r="E96" s="4"/>
      <c r="F96" s="9"/>
      <c r="G96" s="4"/>
      <c r="H96" s="4"/>
      <c r="I96" s="4"/>
      <c r="J96" s="9"/>
      <c r="K96" s="4"/>
      <c r="L96" s="4"/>
      <c r="M96" s="4"/>
      <c r="N96" s="9"/>
      <c r="P96" s="4"/>
      <c r="Q96" s="4"/>
      <c r="R96" s="9"/>
      <c r="S96" s="4"/>
      <c r="T96" s="4"/>
      <c r="U96" s="4"/>
      <c r="V96" s="9"/>
      <c r="W96" s="4"/>
      <c r="X96" s="4"/>
      <c r="Y96" s="4"/>
      <c r="Z96" s="9"/>
    </row>
    <row r="97" spans="1:26" s="63" customFormat="1" ht="15" customHeight="1" x14ac:dyDescent="0.3">
      <c r="A97" s="11"/>
      <c r="B97" s="27" t="s">
        <v>297</v>
      </c>
      <c r="C97" s="27"/>
      <c r="D97" s="32">
        <f>SUM(D94:D96)</f>
        <v>-610.32000000000153</v>
      </c>
      <c r="E97" s="15"/>
      <c r="F97" s="31">
        <f>IF(D$12=0,0,D97/D$12)</f>
        <v>-1.8702718041326089E-2</v>
      </c>
      <c r="G97" s="15"/>
      <c r="H97" s="32">
        <f>SUM(H94:H96)</f>
        <v>-8612.0271439692297</v>
      </c>
      <c r="I97" s="15"/>
      <c r="J97" s="31">
        <f>IF(H$12=0,0,H97/H$12)</f>
        <v>-0.30791330201184275</v>
      </c>
      <c r="K97" s="16"/>
      <c r="L97" s="32">
        <f>+D97-H97</f>
        <v>8001.7071439692281</v>
      </c>
      <c r="M97" s="16"/>
      <c r="N97" s="31">
        <f>IF(H97=0,0,L97/H97)</f>
        <v>-0.92913166786435497</v>
      </c>
      <c r="O97" s="28"/>
      <c r="P97" s="32">
        <f>SUM(P94:P96)</f>
        <v>-33017.62000000001</v>
      </c>
      <c r="Q97" s="15"/>
      <c r="R97" s="31">
        <f>IF(P$12=0,0,P97/P$12)</f>
        <v>-0.11355067393846885</v>
      </c>
      <c r="S97" s="15"/>
      <c r="T97" s="32">
        <f>SUM(T94:T96)</f>
        <v>-95979.556887899991</v>
      </c>
      <c r="U97" s="15"/>
      <c r="V97" s="31">
        <f>IF(T$12=0,0,T97/T$12)</f>
        <v>-0.39550168077823283</v>
      </c>
      <c r="W97" s="16"/>
      <c r="X97" s="32">
        <f>+P97-T97</f>
        <v>62961.936887899981</v>
      </c>
      <c r="Y97" s="16"/>
      <c r="Z97" s="31">
        <f>IF(T97=0,0,X97/T97)</f>
        <v>-0.65599320240076564</v>
      </c>
    </row>
    <row r="98" spans="1:26" ht="15" customHeight="1" x14ac:dyDescent="0.3">
      <c r="A98" s="10"/>
      <c r="C98" s="10"/>
      <c r="D98" s="19"/>
      <c r="E98" s="19"/>
      <c r="G98" s="19"/>
      <c r="H98" s="19"/>
      <c r="I98" s="19"/>
      <c r="J98" s="40"/>
      <c r="K98" s="19"/>
      <c r="L98" s="19"/>
      <c r="M98" s="19"/>
      <c r="P98" s="19"/>
      <c r="Q98" s="19"/>
      <c r="R98" s="40"/>
      <c r="S98" s="19"/>
      <c r="T98" s="19"/>
      <c r="U98" s="19"/>
      <c r="V98" s="40"/>
      <c r="W98" s="19"/>
      <c r="X98" s="19"/>
    </row>
    <row r="99" spans="1:26" ht="15" customHeight="1" x14ac:dyDescent="0.3">
      <c r="A99" s="10"/>
      <c r="B99" s="51">
        <v>44663.047665428239</v>
      </c>
      <c r="D99" s="19"/>
      <c r="E99" s="19"/>
      <c r="G99" s="19"/>
      <c r="H99" s="19"/>
      <c r="I99" s="19"/>
      <c r="J99" s="40"/>
      <c r="K99" s="19"/>
      <c r="L99" s="19"/>
      <c r="M99" s="19"/>
      <c r="P99" s="19"/>
      <c r="Q99" s="19"/>
      <c r="R99" s="40"/>
      <c r="S99" s="19"/>
      <c r="T99" s="19"/>
      <c r="U99" s="19"/>
      <c r="V99" s="40"/>
      <c r="W99" s="19"/>
      <c r="X99" s="19"/>
    </row>
    <row r="100" spans="1:26" ht="15" customHeight="1" x14ac:dyDescent="0.3">
      <c r="A100" s="10"/>
      <c r="B100" s="58" t="s">
        <v>298</v>
      </c>
      <c r="D100" s="19"/>
      <c r="E100" s="19"/>
      <c r="G100" s="19"/>
      <c r="H100" s="19"/>
      <c r="I100" s="19"/>
      <c r="J100" s="40"/>
      <c r="K100" s="19"/>
      <c r="L100" s="19"/>
      <c r="M100" s="19"/>
      <c r="P100" s="19"/>
      <c r="Q100" s="19"/>
      <c r="R100" s="40"/>
      <c r="S100" s="19"/>
      <c r="T100" s="19"/>
      <c r="U100" s="19"/>
      <c r="V100" s="40"/>
      <c r="W100" s="19"/>
      <c r="X100" s="19"/>
    </row>
    <row r="101" spans="1:26" ht="15" customHeight="1" x14ac:dyDescent="0.3">
      <c r="A101" s="10"/>
      <c r="B101" s="50"/>
      <c r="D101" s="19"/>
      <c r="E101" s="19"/>
      <c r="G101" s="19"/>
      <c r="H101" s="19"/>
      <c r="I101" s="19"/>
      <c r="J101" s="40"/>
      <c r="K101" s="19"/>
      <c r="L101" s="19"/>
      <c r="M101" s="19"/>
      <c r="P101" s="19"/>
      <c r="Q101" s="19"/>
      <c r="R101" s="40"/>
      <c r="S101" s="19"/>
      <c r="T101" s="19"/>
      <c r="U101" s="19"/>
      <c r="V101" s="40"/>
      <c r="W101" s="19"/>
      <c r="X101" s="19"/>
    </row>
    <row r="102" spans="1:26" ht="15" customHeight="1" x14ac:dyDescent="0.3">
      <c r="D102" s="19"/>
      <c r="E102" s="19"/>
      <c r="G102" s="19"/>
      <c r="H102" s="19"/>
      <c r="I102" s="19"/>
      <c r="J102" s="40"/>
      <c r="K102" s="19"/>
      <c r="L102" s="19"/>
      <c r="M102" s="19"/>
      <c r="P102" s="19"/>
      <c r="Q102" s="19"/>
      <c r="R102" s="40"/>
      <c r="S102" s="19"/>
      <c r="T102" s="19"/>
      <c r="U102" s="19"/>
      <c r="V102" s="40"/>
      <c r="W102" s="19"/>
      <c r="X102" s="19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C852B7-0F25-9801-CFCC-C33758538A29}">
  <sheetPr>
    <tabColor rgb="FF92D050"/>
    <outlinePr summaryBelow="0" summaryRight="0"/>
  </sheetPr>
  <dimension ref="A2:Z89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6" customWidth="1"/>
    <col min="2" max="2" width="33.44140625" style="66" customWidth="1"/>
    <col min="3" max="3" width="1.88671875" style="66" customWidth="1"/>
    <col min="4" max="4" width="15" style="66" customWidth="1"/>
    <col min="5" max="5" width="1.88671875" style="66" customWidth="1" outlineLevel="1"/>
    <col min="6" max="6" width="15" style="67" customWidth="1" outlineLevel="1"/>
    <col min="7" max="7" width="1.88671875" style="66" customWidth="1" outlineLevel="1"/>
    <col min="8" max="8" width="15" style="66" customWidth="1" outlineLevel="1"/>
    <col min="9" max="9" width="1.88671875" style="66" customWidth="1" outlineLevel="1"/>
    <col min="10" max="10" width="15" style="68" customWidth="1" outlineLevel="1"/>
    <col min="11" max="11" width="1.88671875" style="66" customWidth="1" outlineLevel="1"/>
    <col min="12" max="12" width="15" style="66" customWidth="1" outlineLevel="1"/>
    <col min="13" max="13" width="1.88671875" style="66" customWidth="1" outlineLevel="1"/>
    <col min="14" max="14" width="15" style="67" customWidth="1" outlineLevel="1"/>
    <col min="15" max="15" width="1.88671875" style="64" customWidth="1"/>
    <col min="16" max="16" width="15" style="66" customWidth="1"/>
    <col min="17" max="17" width="1.88671875" style="66" customWidth="1" outlineLevel="1"/>
    <col min="18" max="18" width="15" style="68" customWidth="1" outlineLevel="1"/>
    <col min="19" max="19" width="1.88671875" style="66" customWidth="1" outlineLevel="1"/>
    <col min="20" max="20" width="15" style="66" customWidth="1" outlineLevel="1"/>
    <col min="21" max="21" width="1.88671875" style="66" customWidth="1" outlineLevel="1"/>
    <col min="22" max="22" width="15" style="68" customWidth="1" outlineLevel="1"/>
    <col min="23" max="23" width="1.88671875" style="66" customWidth="1" outlineLevel="1"/>
    <col min="24" max="24" width="15" style="66" customWidth="1" outlineLevel="1"/>
    <col min="25" max="25" width="1.88671875" style="66" customWidth="1" outlineLevel="1"/>
    <col min="26" max="26" width="15" style="68" customWidth="1" outlineLevel="1"/>
  </cols>
  <sheetData>
    <row r="2" spans="1:26" ht="15" customHeight="1" x14ac:dyDescent="0.3">
      <c r="D2" s="54" t="s">
        <v>276</v>
      </c>
    </row>
    <row r="3" spans="1:26" ht="15" customHeight="1" x14ac:dyDescent="0.3">
      <c r="D3" s="54" t="s">
        <v>277</v>
      </c>
      <c r="E3" s="18"/>
      <c r="F3" s="44"/>
      <c r="G3" s="18"/>
      <c r="H3" s="18"/>
      <c r="I3" s="18"/>
      <c r="J3" s="38"/>
      <c r="K3" s="18"/>
      <c r="L3" s="18"/>
      <c r="M3" s="18"/>
      <c r="N3" s="44"/>
      <c r="O3" s="53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ht="15" customHeight="1" x14ac:dyDescent="0.3">
      <c r="D4" s="54" t="str">
        <f>CONCATENATE("Period ",RIGHT(202209,2),", ",2022)</f>
        <v>Period 09, 2022</v>
      </c>
      <c r="E4" s="18"/>
      <c r="F4" s="44"/>
      <c r="G4" s="18"/>
      <c r="H4" s="18"/>
      <c r="I4" s="18"/>
      <c r="J4" s="38"/>
      <c r="K4" s="18"/>
      <c r="L4" s="18"/>
      <c r="M4" s="18"/>
      <c r="N4" s="44"/>
      <c r="O4" s="53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ht="15" customHeight="1" x14ac:dyDescent="0.3">
      <c r="A5" s="24"/>
      <c r="D5" s="60">
        <v>44646</v>
      </c>
      <c r="E5" s="18"/>
      <c r="F5" s="44"/>
      <c r="G5" s="18"/>
      <c r="H5" s="18"/>
      <c r="I5" s="18"/>
      <c r="J5" s="38"/>
      <c r="K5" s="18"/>
      <c r="L5" s="18"/>
      <c r="M5" s="18"/>
      <c r="N5" s="44"/>
      <c r="O5" s="53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ht="15" customHeight="1" x14ac:dyDescent="0.3">
      <c r="A6" s="24"/>
      <c r="B6" s="47"/>
      <c r="C6" s="47"/>
      <c r="D6" s="24" t="str">
        <f>CONCATENATE("Department ","316"," - ","Campus Copy Center")</f>
        <v>Department 316 - Campus Copy Center</v>
      </c>
      <c r="E6" s="18"/>
      <c r="F6" s="44"/>
      <c r="G6" s="18"/>
      <c r="H6" s="18"/>
      <c r="I6" s="18"/>
      <c r="J6" s="38"/>
      <c r="K6" s="18"/>
      <c r="L6" s="18"/>
      <c r="M6" s="18"/>
      <c r="N6" s="44"/>
      <c r="O6" s="59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ht="15" customHeight="1" x14ac:dyDescent="0.3">
      <c r="B7" s="52"/>
    </row>
    <row r="8" spans="1:26" ht="15" customHeight="1" x14ac:dyDescent="0.3">
      <c r="B8" s="52"/>
    </row>
    <row r="9" spans="1:26" ht="15" customHeight="1" x14ac:dyDescent="0.3">
      <c r="B9" s="10"/>
      <c r="C9" s="10"/>
      <c r="D9" s="17" t="s">
        <v>279</v>
      </c>
      <c r="E9" s="17"/>
      <c r="F9" s="36"/>
      <c r="G9" s="17"/>
      <c r="H9" s="17"/>
      <c r="I9" s="17"/>
      <c r="J9" s="43"/>
      <c r="K9" s="17"/>
      <c r="L9" s="17"/>
      <c r="M9" s="17"/>
      <c r="N9" s="36"/>
      <c r="P9" s="17" t="s">
        <v>280</v>
      </c>
      <c r="Q9" s="17"/>
      <c r="R9" s="36"/>
      <c r="S9" s="17"/>
      <c r="T9" s="17"/>
      <c r="U9" s="17"/>
      <c r="V9" s="43"/>
      <c r="W9" s="17"/>
      <c r="X9" s="17"/>
      <c r="Y9" s="17"/>
      <c r="Z9" s="36"/>
    </row>
    <row r="10" spans="1:26" ht="15" customHeight="1" x14ac:dyDescent="0.3">
      <c r="A10" s="11"/>
      <c r="B10" s="57"/>
      <c r="C10" s="11"/>
      <c r="D10" s="41" t="s">
        <v>281</v>
      </c>
      <c r="E10" s="33"/>
      <c r="F10" s="37" t="s">
        <v>282</v>
      </c>
      <c r="G10" s="33"/>
      <c r="H10" s="48" t="s">
        <v>283</v>
      </c>
      <c r="I10" s="33"/>
      <c r="J10" s="45" t="s">
        <v>284</v>
      </c>
      <c r="K10" s="11"/>
      <c r="L10" s="41" t="s">
        <v>285</v>
      </c>
      <c r="M10" s="11"/>
      <c r="N10" s="37" t="s">
        <v>286</v>
      </c>
      <c r="O10" s="11"/>
      <c r="P10" s="56" t="s">
        <v>281</v>
      </c>
      <c r="Q10" s="33"/>
      <c r="R10" s="37" t="s">
        <v>282</v>
      </c>
      <c r="S10" s="33"/>
      <c r="T10" s="48" t="s">
        <v>283</v>
      </c>
      <c r="U10" s="33"/>
      <c r="V10" s="45" t="s">
        <v>284</v>
      </c>
      <c r="W10" s="11"/>
      <c r="X10" s="41" t="s">
        <v>285</v>
      </c>
      <c r="Y10" s="11"/>
      <c r="Z10" s="37" t="s">
        <v>286</v>
      </c>
    </row>
    <row r="11" spans="1:26" ht="16.5" customHeight="1" x14ac:dyDescent="0.3">
      <c r="A11" s="10"/>
      <c r="B11" s="55"/>
      <c r="C11" s="10"/>
      <c r="D11" s="10"/>
      <c r="E11" s="10"/>
      <c r="F11" s="9"/>
      <c r="G11" s="10"/>
      <c r="H11" s="10"/>
      <c r="I11" s="10"/>
      <c r="J11" s="46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6"/>
      <c r="W11" s="10"/>
      <c r="X11" s="10"/>
      <c r="Y11" s="10"/>
      <c r="Z11" s="9"/>
    </row>
    <row r="12" spans="1:26" s="63" customFormat="1" ht="15" customHeight="1" collapsed="1" x14ac:dyDescent="0.3">
      <c r="A12" s="11"/>
      <c r="B12" s="28" t="s">
        <v>287</v>
      </c>
      <c r="C12" s="11"/>
      <c r="D12" s="5">
        <f>SUM(OSRRefD13x_0)</f>
        <v>18218.639999999996</v>
      </c>
      <c r="E12" s="5"/>
      <c r="F12" s="13"/>
      <c r="G12" s="5"/>
      <c r="H12" s="5">
        <f>SUM(OSRRefH13x_0)</f>
        <v>46600</v>
      </c>
      <c r="I12" s="5"/>
      <c r="J12" s="13"/>
      <c r="K12" s="5"/>
      <c r="L12" s="5">
        <f t="shared" ref="L12:L17" si="0">+D12-H12</f>
        <v>-28381.360000000004</v>
      </c>
      <c r="M12" s="5"/>
      <c r="N12" s="13">
        <f t="shared" ref="N12:N17" si="1">IF(H12=0,0,L12/H12)</f>
        <v>-0.60904206008583706</v>
      </c>
      <c r="O12" s="11"/>
      <c r="P12" s="5">
        <f>SUM(OSRRefP13x_0)</f>
        <v>164634.62</v>
      </c>
      <c r="Q12" s="5"/>
      <c r="R12" s="13"/>
      <c r="S12" s="5"/>
      <c r="T12" s="5">
        <f>SUM(OSRRefT13x_0)</f>
        <v>313330</v>
      </c>
      <c r="U12" s="5"/>
      <c r="V12" s="13"/>
      <c r="W12" s="5"/>
      <c r="X12" s="5">
        <f t="shared" ref="X12:X17" si="2">+P12-T12</f>
        <v>-148695.38</v>
      </c>
      <c r="Y12" s="5"/>
      <c r="Z12" s="13">
        <f t="shared" ref="Z12:Z17" si="3">IF(T12=0,0,X12/T12)</f>
        <v>-0.47456477196565922</v>
      </c>
    </row>
    <row r="13" spans="1:26" s="70" customFormat="1" ht="15" hidden="1" customHeight="1" outlineLevel="1" x14ac:dyDescent="0.3">
      <c r="A13" s="42"/>
      <c r="B13" s="12" t="str">
        <f>CONCATENATE("          ","4000"," - ","TAXABLE SALES")</f>
        <v xml:space="preserve">          4000 - TAXABLE SALES</v>
      </c>
      <c r="C13" s="12"/>
      <c r="D13" s="3">
        <f>--10589.72</f>
        <v>10589.72</v>
      </c>
      <c r="E13" s="3"/>
      <c r="F13" s="20"/>
      <c r="G13" s="3"/>
      <c r="H13" s="3">
        <v>12100</v>
      </c>
      <c r="I13" s="3"/>
      <c r="J13" s="20"/>
      <c r="K13" s="3"/>
      <c r="L13" s="3">
        <f t="shared" si="0"/>
        <v>-1510.2800000000007</v>
      </c>
      <c r="M13" s="3"/>
      <c r="N13" s="20">
        <f t="shared" si="1"/>
        <v>-0.12481652892561988</v>
      </c>
      <c r="O13" s="12"/>
      <c r="P13" s="3">
        <f>--128105.83</f>
        <v>128105.83</v>
      </c>
      <c r="Q13" s="3"/>
      <c r="R13" s="20"/>
      <c r="S13" s="3"/>
      <c r="T13" s="3">
        <v>163530</v>
      </c>
      <c r="U13" s="3"/>
      <c r="V13" s="20"/>
      <c r="W13" s="3"/>
      <c r="X13" s="3">
        <f t="shared" si="2"/>
        <v>-35424.17</v>
      </c>
      <c r="Y13" s="3"/>
      <c r="Z13" s="20">
        <f t="shared" si="3"/>
        <v>-0.21662184308689536</v>
      </c>
    </row>
    <row r="14" spans="1:26" s="70" customFormat="1" ht="15" hidden="1" customHeight="1" outlineLevel="1" x14ac:dyDescent="0.3">
      <c r="A14" s="42"/>
      <c r="B14" s="12" t="str">
        <f>CONCATENATE("          ","4100"," - ","NON-TAXABLE SALES")</f>
        <v xml:space="preserve">          4100 - NON-TAXABLE SALES</v>
      </c>
      <c r="C14" s="12"/>
      <c r="D14" s="3">
        <f>--7630.91</f>
        <v>7630.91</v>
      </c>
      <c r="E14" s="3"/>
      <c r="F14" s="20"/>
      <c r="G14" s="3"/>
      <c r="H14" s="3">
        <v>34500</v>
      </c>
      <c r="I14" s="3"/>
      <c r="J14" s="20"/>
      <c r="K14" s="3"/>
      <c r="L14" s="3">
        <f t="shared" si="0"/>
        <v>-26869.09</v>
      </c>
      <c r="M14" s="3"/>
      <c r="N14" s="20">
        <f t="shared" si="1"/>
        <v>-0.77881420289855074</v>
      </c>
      <c r="O14" s="12"/>
      <c r="P14" s="3">
        <f>--37217.53</f>
        <v>37217.53</v>
      </c>
      <c r="Q14" s="3"/>
      <c r="R14" s="20"/>
      <c r="S14" s="3"/>
      <c r="T14" s="3">
        <v>149800</v>
      </c>
      <c r="U14" s="3"/>
      <c r="V14" s="20"/>
      <c r="W14" s="3"/>
      <c r="X14" s="3">
        <f t="shared" si="2"/>
        <v>-112582.47</v>
      </c>
      <c r="Y14" s="3"/>
      <c r="Z14" s="20">
        <f t="shared" si="3"/>
        <v>-0.7515518691588785</v>
      </c>
    </row>
    <row r="15" spans="1:26" s="70" customFormat="1" ht="15" hidden="1" customHeight="1" outlineLevel="1" x14ac:dyDescent="0.3">
      <c r="A15" s="42"/>
      <c r="B15" s="12" t="str">
        <f>CONCATENATE("          ","4141"," - ","NON-TAXABLE SALES-LOGO GIFTS")</f>
        <v xml:space="preserve">          4141 - NON-TAXABLE SALES-LOGO GIFTS</v>
      </c>
      <c r="C15" s="12"/>
      <c r="D15" s="3">
        <f>0</f>
        <v>0</v>
      </c>
      <c r="E15" s="3"/>
      <c r="F15" s="20"/>
      <c r="G15" s="3"/>
      <c r="H15" s="3"/>
      <c r="I15" s="3"/>
      <c r="J15" s="20"/>
      <c r="K15" s="3"/>
      <c r="L15" s="3">
        <f t="shared" si="0"/>
        <v>0</v>
      </c>
      <c r="M15" s="3"/>
      <c r="N15" s="20">
        <f t="shared" si="1"/>
        <v>0</v>
      </c>
      <c r="O15" s="12"/>
      <c r="P15" s="3">
        <f>0</f>
        <v>0</v>
      </c>
      <c r="Q15" s="3"/>
      <c r="R15" s="20"/>
      <c r="S15" s="3"/>
      <c r="T15" s="3"/>
      <c r="U15" s="3"/>
      <c r="V15" s="20"/>
      <c r="W15" s="3"/>
      <c r="X15" s="3">
        <f t="shared" si="2"/>
        <v>0</v>
      </c>
      <c r="Y15" s="3"/>
      <c r="Z15" s="20">
        <f t="shared" si="3"/>
        <v>0</v>
      </c>
    </row>
    <row r="16" spans="1:26" s="70" customFormat="1" ht="15" hidden="1" customHeight="1" outlineLevel="1" x14ac:dyDescent="0.3">
      <c r="A16" s="42"/>
      <c r="B16" s="12" t="str">
        <f>CONCATENATE("          ","4146"," - ","NON-TAXABLE SALES-COIN OP MACH")</f>
        <v xml:space="preserve">          4146 - NON-TAXABLE SALES-COIN OP MACH</v>
      </c>
      <c r="C16" s="12"/>
      <c r="D16" s="3">
        <f>0</f>
        <v>0</v>
      </c>
      <c r="E16" s="3"/>
      <c r="F16" s="20"/>
      <c r="G16" s="3"/>
      <c r="H16" s="3"/>
      <c r="I16" s="3"/>
      <c r="J16" s="20"/>
      <c r="K16" s="3"/>
      <c r="L16" s="3">
        <f t="shared" si="0"/>
        <v>0</v>
      </c>
      <c r="M16" s="3"/>
      <c r="N16" s="20">
        <f t="shared" si="1"/>
        <v>0</v>
      </c>
      <c r="O16" s="12"/>
      <c r="P16" s="3">
        <f>0</f>
        <v>0</v>
      </c>
      <c r="Q16" s="3"/>
      <c r="R16" s="20"/>
      <c r="S16" s="3"/>
      <c r="T16" s="3"/>
      <c r="U16" s="3"/>
      <c r="V16" s="20"/>
      <c r="W16" s="3"/>
      <c r="X16" s="3">
        <f t="shared" si="2"/>
        <v>0</v>
      </c>
      <c r="Y16" s="3"/>
      <c r="Z16" s="20">
        <f t="shared" si="3"/>
        <v>0</v>
      </c>
    </row>
    <row r="17" spans="1:26" s="70" customFormat="1" ht="15" hidden="1" customHeight="1" outlineLevel="1" x14ac:dyDescent="0.3">
      <c r="A17" s="42"/>
      <c r="B17" s="12" t="str">
        <f>CONCATENATE("          ","4200"," - ","TAXABLE RETURNS")</f>
        <v xml:space="preserve">          4200 - TAXABLE RETURNS</v>
      </c>
      <c r="C17" s="12"/>
      <c r="D17" s="3">
        <f>-1.99</f>
        <v>-1.99</v>
      </c>
      <c r="E17" s="3"/>
      <c r="F17" s="20"/>
      <c r="G17" s="3"/>
      <c r="H17" s="3"/>
      <c r="I17" s="3"/>
      <c r="J17" s="20"/>
      <c r="K17" s="3"/>
      <c r="L17" s="3">
        <f t="shared" si="0"/>
        <v>-1.99</v>
      </c>
      <c r="M17" s="3"/>
      <c r="N17" s="20">
        <f t="shared" si="1"/>
        <v>0</v>
      </c>
      <c r="O17" s="12"/>
      <c r="P17" s="3">
        <f>-688.74</f>
        <v>-688.74</v>
      </c>
      <c r="Q17" s="3"/>
      <c r="R17" s="20"/>
      <c r="S17" s="3"/>
      <c r="T17" s="3"/>
      <c r="U17" s="3"/>
      <c r="V17" s="20"/>
      <c r="W17" s="3"/>
      <c r="X17" s="3">
        <f t="shared" si="2"/>
        <v>-688.74</v>
      </c>
      <c r="Y17" s="3"/>
      <c r="Z17" s="20">
        <f t="shared" si="3"/>
        <v>0</v>
      </c>
    </row>
    <row r="18" spans="1:26" ht="15" customHeight="1" x14ac:dyDescent="0.3">
      <c r="A18" s="10"/>
      <c r="B18" s="11"/>
      <c r="C18" s="10"/>
      <c r="D18" s="4"/>
      <c r="E18" s="4"/>
      <c r="F18" s="9"/>
      <c r="G18" s="4"/>
      <c r="H18" s="4"/>
      <c r="I18" s="4"/>
      <c r="J18" s="9"/>
      <c r="K18" s="4"/>
      <c r="L18" s="4"/>
      <c r="M18" s="4"/>
      <c r="N18" s="9"/>
      <c r="P18" s="4"/>
      <c r="Q18" s="4"/>
      <c r="R18" s="9"/>
      <c r="S18" s="4"/>
      <c r="T18" s="4"/>
      <c r="U18" s="4"/>
      <c r="V18" s="9"/>
      <c r="W18" s="4"/>
      <c r="X18" s="4"/>
      <c r="Y18" s="4"/>
      <c r="Z18" s="9"/>
    </row>
    <row r="19" spans="1:26" s="63" customFormat="1" ht="15" customHeight="1" collapsed="1" x14ac:dyDescent="0.3">
      <c r="A19" s="11"/>
      <c r="B19" s="28" t="s">
        <v>288</v>
      </c>
      <c r="C19" s="11"/>
      <c r="D19" s="5">
        <f>SUM(OSRRefD16x_0)</f>
        <v>0</v>
      </c>
      <c r="E19" s="5"/>
      <c r="F19" s="13">
        <f>IF(D$12=0,0,D19/D$12)</f>
        <v>0</v>
      </c>
      <c r="G19" s="5"/>
      <c r="H19" s="5">
        <f>SUM(OSRRefH16x_0)</f>
        <v>0</v>
      </c>
      <c r="I19" s="5"/>
      <c r="J19" s="13">
        <f>IF(H$12=0,0,H19/H$12)</f>
        <v>0</v>
      </c>
      <c r="K19" s="5"/>
      <c r="L19" s="5">
        <f>+D19-H19</f>
        <v>0</v>
      </c>
      <c r="M19" s="5"/>
      <c r="N19" s="13">
        <f>IF(H19=0,0,L19/H19)</f>
        <v>0</v>
      </c>
      <c r="O19" s="11"/>
      <c r="P19" s="5">
        <f>SUM(OSRRefP16x_0)</f>
        <v>8.26</v>
      </c>
      <c r="Q19" s="5"/>
      <c r="R19" s="13">
        <f>IF(P$12=0,0,P19/P$12)</f>
        <v>5.0171707505991149E-5</v>
      </c>
      <c r="S19" s="5"/>
      <c r="T19" s="5">
        <f>SUM(OSRRefT16x_0)</f>
        <v>0</v>
      </c>
      <c r="U19" s="5"/>
      <c r="V19" s="13">
        <f>IF(T$12=0,0,T19/T$12)</f>
        <v>0</v>
      </c>
      <c r="W19" s="5"/>
      <c r="X19" s="5">
        <f>+P19-T19</f>
        <v>8.26</v>
      </c>
      <c r="Y19" s="5"/>
      <c r="Z19" s="13">
        <f>IF(T19=0,0,X19/T19)</f>
        <v>0</v>
      </c>
    </row>
    <row r="20" spans="1:26" s="70" customFormat="1" ht="15" hidden="1" customHeight="1" outlineLevel="1" x14ac:dyDescent="0.3">
      <c r="A20" s="42"/>
      <c r="B20" s="12" t="str">
        <f>CONCATENATE("          ","5000"," - ","PURCHASES @ COST")</f>
        <v xml:space="preserve">          5000 - PURCHASES @ COST</v>
      </c>
      <c r="C20" s="12"/>
      <c r="D20" s="3"/>
      <c r="E20" s="3"/>
      <c r="F20" s="20">
        <f>IF(D$12=0,0,D20/D$12)</f>
        <v>0</v>
      </c>
      <c r="G20" s="3"/>
      <c r="H20" s="3">
        <v>0</v>
      </c>
      <c r="I20" s="3"/>
      <c r="J20" s="20">
        <f>IF(H$12=0,0,H20/H$12)</f>
        <v>0</v>
      </c>
      <c r="K20" s="3"/>
      <c r="L20" s="3">
        <f>+D20-H20</f>
        <v>0</v>
      </c>
      <c r="M20" s="3"/>
      <c r="N20" s="20">
        <f>IF(H20=0,0,L20/H20)</f>
        <v>0</v>
      </c>
      <c r="O20" s="12"/>
      <c r="P20" s="3"/>
      <c r="Q20" s="3"/>
      <c r="R20" s="20">
        <f>IF(P$12=0,0,P20/P$12)</f>
        <v>0</v>
      </c>
      <c r="S20" s="3"/>
      <c r="T20" s="3">
        <v>0</v>
      </c>
      <c r="U20" s="3"/>
      <c r="V20" s="20">
        <f>IF(T$12=0,0,T20/T$12)</f>
        <v>0</v>
      </c>
      <c r="W20" s="3"/>
      <c r="X20" s="3">
        <f>+P20-T20</f>
        <v>0</v>
      </c>
      <c r="Y20" s="3"/>
      <c r="Z20" s="20">
        <f>IF(T20=0,0,X20/T20)</f>
        <v>0</v>
      </c>
    </row>
    <row r="21" spans="1:26" s="70" customFormat="1" ht="15" hidden="1" customHeight="1" outlineLevel="1" x14ac:dyDescent="0.3">
      <c r="A21" s="42"/>
      <c r="B21" s="12" t="str">
        <f>CONCATENATE("          ","5500"," - ","FREIGHT-IN")</f>
        <v xml:space="preserve">          5500 - FREIGHT-IN</v>
      </c>
      <c r="C21" s="12"/>
      <c r="D21" s="3"/>
      <c r="E21" s="3"/>
      <c r="F21" s="20">
        <f>IF(D$12=0,0,D21/D$12)</f>
        <v>0</v>
      </c>
      <c r="G21" s="3"/>
      <c r="H21" s="3"/>
      <c r="I21" s="3"/>
      <c r="J21" s="20">
        <f>IF(H$12=0,0,H21/H$12)</f>
        <v>0</v>
      </c>
      <c r="K21" s="3"/>
      <c r="L21" s="3">
        <f>+D21-H21</f>
        <v>0</v>
      </c>
      <c r="M21" s="3"/>
      <c r="N21" s="20">
        <f>IF(H21=0,0,L21/H21)</f>
        <v>0</v>
      </c>
      <c r="O21" s="12"/>
      <c r="P21" s="3">
        <v>8.26</v>
      </c>
      <c r="Q21" s="3"/>
      <c r="R21" s="20">
        <f>IF(P$12=0,0,P21/P$12)</f>
        <v>5.0171707505991149E-5</v>
      </c>
      <c r="S21" s="3"/>
      <c r="T21" s="3"/>
      <c r="U21" s="3"/>
      <c r="V21" s="20">
        <f>IF(T$12=0,0,T21/T$12)</f>
        <v>0</v>
      </c>
      <c r="W21" s="3"/>
      <c r="X21" s="3">
        <f>+P21-T21</f>
        <v>8.26</v>
      </c>
      <c r="Y21" s="3"/>
      <c r="Z21" s="20">
        <f>IF(T21=0,0,X21/T21)</f>
        <v>0</v>
      </c>
    </row>
    <row r="22" spans="1:26" ht="15" customHeight="1" x14ac:dyDescent="0.3">
      <c r="A22" s="10"/>
      <c r="B22" s="11"/>
      <c r="C22" s="11"/>
      <c r="D22" s="4"/>
      <c r="E22" s="4"/>
      <c r="F22" s="9"/>
      <c r="G22" s="4"/>
      <c r="H22" s="4"/>
      <c r="I22" s="4"/>
      <c r="J22" s="9"/>
      <c r="K22" s="4"/>
      <c r="L22" s="4"/>
      <c r="M22" s="4"/>
      <c r="N22" s="9"/>
      <c r="O22" s="11"/>
      <c r="P22" s="4"/>
      <c r="Q22" s="4"/>
      <c r="R22" s="9"/>
      <c r="S22" s="4"/>
      <c r="T22" s="4"/>
      <c r="U22" s="4"/>
      <c r="V22" s="9"/>
      <c r="W22" s="4"/>
      <c r="X22" s="4"/>
      <c r="Y22" s="4"/>
      <c r="Z22" s="9"/>
    </row>
    <row r="23" spans="1:26" s="63" customFormat="1" ht="15" customHeight="1" x14ac:dyDescent="0.3">
      <c r="A23" s="11"/>
      <c r="B23" s="27" t="s">
        <v>289</v>
      </c>
      <c r="C23" s="27"/>
      <c r="D23" s="21">
        <f>D12-D19</f>
        <v>18218.639999999996</v>
      </c>
      <c r="E23" s="15"/>
      <c r="F23" s="23">
        <f>IF(D$12=0,0,D23/D$12)</f>
        <v>1</v>
      </c>
      <c r="G23" s="15"/>
      <c r="H23" s="21">
        <f>H12-H19</f>
        <v>46600</v>
      </c>
      <c r="I23" s="15"/>
      <c r="J23" s="23">
        <f>IF(H$12=0,0,H23/H$12)</f>
        <v>1</v>
      </c>
      <c r="K23" s="16"/>
      <c r="L23" s="21">
        <f>+D23-H23</f>
        <v>-28381.360000000004</v>
      </c>
      <c r="M23" s="16"/>
      <c r="N23" s="23">
        <f>IF(H23=0,0,L23/H23)</f>
        <v>-0.60904206008583706</v>
      </c>
      <c r="O23" s="28"/>
      <c r="P23" s="21">
        <f>P12-P19</f>
        <v>164626.35999999999</v>
      </c>
      <c r="Q23" s="15"/>
      <c r="R23" s="23">
        <f>IF(P$12=0,0,P23/P$12)</f>
        <v>0.9999498282924939</v>
      </c>
      <c r="S23" s="15"/>
      <c r="T23" s="21">
        <f>T12-T19</f>
        <v>313330</v>
      </c>
      <c r="U23" s="15"/>
      <c r="V23" s="23">
        <f>IF(T$12=0,0,T23/T$12)</f>
        <v>1</v>
      </c>
      <c r="W23" s="16"/>
      <c r="X23" s="21">
        <f>+P23-T23</f>
        <v>-148703.64000000001</v>
      </c>
      <c r="Y23" s="16"/>
      <c r="Z23" s="23">
        <f>IF(T23=0,0,X23/T23)</f>
        <v>-0.47459113394823355</v>
      </c>
    </row>
    <row r="24" spans="1:26" ht="15" customHeight="1" x14ac:dyDescent="0.3">
      <c r="A24" s="10"/>
      <c r="B24" s="11"/>
      <c r="C24" s="10"/>
      <c r="D24" s="2"/>
      <c r="E24" s="2"/>
      <c r="F24" s="6"/>
      <c r="G24" s="2"/>
      <c r="H24" s="2"/>
      <c r="I24" s="2"/>
      <c r="J24" s="6"/>
      <c r="K24" s="2"/>
      <c r="L24" s="2"/>
      <c r="M24" s="2"/>
      <c r="N24" s="6"/>
      <c r="O24" s="35"/>
      <c r="P24" s="2"/>
      <c r="Q24" s="2"/>
      <c r="R24" s="6"/>
      <c r="S24" s="2"/>
      <c r="T24" s="2"/>
      <c r="U24" s="2"/>
      <c r="V24" s="6"/>
      <c r="W24" s="2"/>
      <c r="X24" s="2"/>
      <c r="Y24" s="2"/>
      <c r="Z24" s="6"/>
    </row>
    <row r="25" spans="1:26" s="63" customFormat="1" ht="15" customHeight="1" x14ac:dyDescent="0.3">
      <c r="A25" s="11"/>
      <c r="B25" s="28" t="s">
        <v>290</v>
      </c>
      <c r="C25" s="11"/>
      <c r="D25" s="22" cm="1">
        <f t="array" ref="D25">SUM(OSRRefD22x_0)</f>
        <v>33901.689999999995</v>
      </c>
      <c r="E25" s="22"/>
      <c r="F25" s="30">
        <f t="shared" ref="F25:F72" si="4">IF(D$12=0,0,D25/D$12)</f>
        <v>1.860824408408092</v>
      </c>
      <c r="G25" s="22"/>
      <c r="H25" s="22" cm="1">
        <f t="array" ref="H25">SUM(OSRRefH22x_0)</f>
        <v>23986.604975615395</v>
      </c>
      <c r="I25" s="22"/>
      <c r="J25" s="30">
        <f t="shared" ref="J25:J72" si="5">IF(H$12=0,0,H25/H$12)</f>
        <v>0.51473401235226168</v>
      </c>
      <c r="K25" s="5"/>
      <c r="L25" s="22">
        <f t="shared" ref="L25:L72" si="6">+D25-H25</f>
        <v>9915.0850243845998</v>
      </c>
      <c r="M25" s="5"/>
      <c r="N25" s="30">
        <f t="shared" ref="N25:N72" si="7">IF(H25=0,0,L25/H25)</f>
        <v>0.41335924923365358</v>
      </c>
      <c r="O25" s="11"/>
      <c r="P25" s="22" cm="1">
        <f t="array" ref="P25">SUM(OSRRefP22x_0)</f>
        <v>216887.65000000002</v>
      </c>
      <c r="Q25" s="22"/>
      <c r="R25" s="30">
        <f t="shared" ref="R25:R72" si="8">IF(P$12=0,0,P25/P$12)</f>
        <v>1.3173878616781818</v>
      </c>
      <c r="S25" s="22"/>
      <c r="T25" s="22" cm="1">
        <f t="array" ref="T25">SUM(OSRRefT22x_0)</f>
        <v>276298.94523894246</v>
      </c>
      <c r="U25" s="22"/>
      <c r="V25" s="30">
        <f t="shared" ref="V25:V72" si="9">IF(T$12=0,0,T25/T$12)</f>
        <v>0.88181452538519278</v>
      </c>
      <c r="W25" s="5"/>
      <c r="X25" s="22">
        <f t="shared" ref="X25:X72" si="10">+P25-T25</f>
        <v>-59411.295238942432</v>
      </c>
      <c r="Y25" s="5"/>
      <c r="Z25" s="30">
        <f t="shared" ref="Z25:Z72" si="11">IF(T25=0,0,X25/T25)</f>
        <v>-0.21502541454714469</v>
      </c>
    </row>
    <row r="26" spans="1:26" s="69" customFormat="1" ht="15" customHeight="1" outlineLevel="1" collapsed="1" x14ac:dyDescent="0.3">
      <c r="A26" s="25"/>
      <c r="B26" s="14" t="str">
        <f>CONCATENATE("     ","*Benefits                                         ")</f>
        <v xml:space="preserve">     *Benefits                                         </v>
      </c>
      <c r="C26" s="14"/>
      <c r="D26" s="2">
        <f>SUM(OSRRefD22_0x_0)</f>
        <v>4409.54</v>
      </c>
      <c r="E26" s="2"/>
      <c r="F26" s="6">
        <f t="shared" si="4"/>
        <v>0.24203453166646913</v>
      </c>
      <c r="G26" s="2"/>
      <c r="H26" s="2">
        <f>SUM(OSRRefH22_0x_0)</f>
        <v>4438.2928217692333</v>
      </c>
      <c r="I26" s="2"/>
      <c r="J26" s="6">
        <f t="shared" si="5"/>
        <v>9.5242335231099429E-2</v>
      </c>
      <c r="K26" s="2"/>
      <c r="L26" s="2">
        <f t="shared" si="6"/>
        <v>-28.752821769233378</v>
      </c>
      <c r="M26" s="2"/>
      <c r="N26" s="6">
        <f t="shared" si="7"/>
        <v>-6.4783516824767915E-3</v>
      </c>
      <c r="O26" s="14"/>
      <c r="P26" s="2">
        <f>SUM(OSRRefP22_0x_0)</f>
        <v>67168.75</v>
      </c>
      <c r="Q26" s="2"/>
      <c r="R26" s="6">
        <f t="shared" si="8"/>
        <v>0.40798678916985992</v>
      </c>
      <c r="S26" s="2"/>
      <c r="T26" s="2">
        <f>SUM(OSRRefT22_0x_0)</f>
        <v>53859.621200480768</v>
      </c>
      <c r="U26" s="2"/>
      <c r="V26" s="6">
        <f t="shared" si="9"/>
        <v>0.17189423674873383</v>
      </c>
      <c r="W26" s="2"/>
      <c r="X26" s="2">
        <f t="shared" si="10"/>
        <v>13309.128799519232</v>
      </c>
      <c r="Y26" s="2"/>
      <c r="Z26" s="6">
        <f t="shared" si="11"/>
        <v>0.24710773122556665</v>
      </c>
    </row>
    <row r="27" spans="1:26" s="70" customFormat="1" ht="15" hidden="1" customHeight="1" outlineLevel="2" x14ac:dyDescent="0.3">
      <c r="A27" s="26"/>
      <c r="B27" s="12" t="str">
        <f>CONCATENATE("          ","6111"," - ","F.I.C.A.")</f>
        <v xml:space="preserve">          6111 - F.I.C.A.</v>
      </c>
      <c r="C27" s="12"/>
      <c r="D27" s="7">
        <v>671.98</v>
      </c>
      <c r="E27" s="3"/>
      <c r="F27" s="8">
        <f t="shared" si="4"/>
        <v>3.6884202113878981E-2</v>
      </c>
      <c r="G27" s="3"/>
      <c r="H27" s="7">
        <v>849.25988561538497</v>
      </c>
      <c r="I27" s="3"/>
      <c r="J27" s="8">
        <f t="shared" si="5"/>
        <v>1.8224461064707834E-2</v>
      </c>
      <c r="K27" s="3"/>
      <c r="L27" s="7">
        <f t="shared" si="6"/>
        <v>-177.27988561538496</v>
      </c>
      <c r="M27" s="3"/>
      <c r="N27" s="8">
        <f t="shared" si="7"/>
        <v>-0.20874633150360752</v>
      </c>
      <c r="O27" s="12"/>
      <c r="P27" s="7">
        <v>11181.19</v>
      </c>
      <c r="Q27" s="3"/>
      <c r="R27" s="8">
        <f t="shared" si="8"/>
        <v>6.7915180901805469E-2</v>
      </c>
      <c r="S27" s="3"/>
      <c r="T27" s="7">
        <v>9297.9498014423098</v>
      </c>
      <c r="U27" s="3"/>
      <c r="V27" s="8">
        <f t="shared" si="9"/>
        <v>2.9674623564428269E-2</v>
      </c>
      <c r="W27" s="3"/>
      <c r="X27" s="7">
        <f t="shared" si="10"/>
        <v>1883.2401985576907</v>
      </c>
      <c r="Y27" s="3"/>
      <c r="Z27" s="8">
        <f t="shared" si="11"/>
        <v>0.20254359711272696</v>
      </c>
    </row>
    <row r="28" spans="1:26" s="70" customFormat="1" ht="15" hidden="1" customHeight="1" outlineLevel="2" x14ac:dyDescent="0.3">
      <c r="A28" s="26"/>
      <c r="B28" s="12" t="str">
        <f>CONCATENATE("          ","6112"," - ","COMPENSATION INSURANCE")</f>
        <v xml:space="preserve">          6112 - COMPENSATION INSURANCE</v>
      </c>
      <c r="C28" s="12"/>
      <c r="D28" s="7">
        <v>181</v>
      </c>
      <c r="E28" s="3"/>
      <c r="F28" s="8">
        <f t="shared" si="4"/>
        <v>9.9348798812644648E-3</v>
      </c>
      <c r="G28" s="3"/>
      <c r="H28" s="7">
        <v>173.11452</v>
      </c>
      <c r="I28" s="3"/>
      <c r="J28" s="8">
        <f t="shared" si="5"/>
        <v>3.7149038626609443E-3</v>
      </c>
      <c r="K28" s="3"/>
      <c r="L28" s="7">
        <f t="shared" si="6"/>
        <v>7.8854800000000012</v>
      </c>
      <c r="M28" s="3"/>
      <c r="N28" s="8">
        <f t="shared" si="7"/>
        <v>4.5550656293879922E-2</v>
      </c>
      <c r="O28" s="12"/>
      <c r="P28" s="7">
        <v>2535.13</v>
      </c>
      <c r="Q28" s="3"/>
      <c r="R28" s="8">
        <f t="shared" si="8"/>
        <v>1.5398523105286119E-2</v>
      </c>
      <c r="S28" s="3"/>
      <c r="T28" s="7">
        <v>1901.8612499999999</v>
      </c>
      <c r="U28" s="3"/>
      <c r="V28" s="8">
        <f t="shared" si="9"/>
        <v>6.069834519516165E-3</v>
      </c>
      <c r="W28" s="3"/>
      <c r="X28" s="7">
        <f t="shared" si="10"/>
        <v>633.26875000000018</v>
      </c>
      <c r="Y28" s="3"/>
      <c r="Z28" s="8">
        <f t="shared" si="11"/>
        <v>0.33297315984538839</v>
      </c>
    </row>
    <row r="29" spans="1:26" s="70" customFormat="1" ht="15" hidden="1" customHeight="1" outlineLevel="2" x14ac:dyDescent="0.3">
      <c r="A29" s="26"/>
      <c r="B29" s="12" t="str">
        <f>CONCATENATE("          ","6113"," - ","GROUP INSURANCE")</f>
        <v xml:space="preserve">          6113 - GROUP INSURANCE</v>
      </c>
      <c r="C29" s="12"/>
      <c r="D29" s="7">
        <v>1287</v>
      </c>
      <c r="E29" s="3"/>
      <c r="F29" s="8">
        <f t="shared" si="4"/>
        <v>7.0641935951311421E-2</v>
      </c>
      <c r="G29" s="3"/>
      <c r="H29" s="7">
        <v>1326</v>
      </c>
      <c r="I29" s="3"/>
      <c r="J29" s="8">
        <f t="shared" si="5"/>
        <v>2.8454935622317597E-2</v>
      </c>
      <c r="K29" s="3"/>
      <c r="L29" s="7">
        <f t="shared" si="6"/>
        <v>-39</v>
      </c>
      <c r="M29" s="3"/>
      <c r="N29" s="8">
        <f t="shared" si="7"/>
        <v>-2.9411764705882353E-2</v>
      </c>
      <c r="O29" s="12"/>
      <c r="P29" s="7">
        <v>21747.02</v>
      </c>
      <c r="Q29" s="3"/>
      <c r="R29" s="8">
        <f t="shared" si="8"/>
        <v>0.13209263033498059</v>
      </c>
      <c r="S29" s="3"/>
      <c r="T29" s="7">
        <v>16876.5</v>
      </c>
      <c r="U29" s="3"/>
      <c r="V29" s="8">
        <f t="shared" si="9"/>
        <v>5.3861743210034146E-2</v>
      </c>
      <c r="W29" s="3"/>
      <c r="X29" s="7">
        <f t="shared" si="10"/>
        <v>4870.5200000000004</v>
      </c>
      <c r="Y29" s="3"/>
      <c r="Z29" s="8">
        <f t="shared" si="11"/>
        <v>0.28859775427369422</v>
      </c>
    </row>
    <row r="30" spans="1:26" s="70" customFormat="1" ht="15" hidden="1" customHeight="1" outlineLevel="2" x14ac:dyDescent="0.3">
      <c r="A30" s="26"/>
      <c r="B30" s="12" t="str">
        <f>CONCATENATE("          ","6114"," - ","STATE UNEMPLOYMENT INSURANCE")</f>
        <v xml:space="preserve">          6114 - STATE UNEMPLOYMENT INSURANCE</v>
      </c>
      <c r="C30" s="12"/>
      <c r="D30" s="7">
        <v>31.8</v>
      </c>
      <c r="E30" s="3"/>
      <c r="F30" s="8">
        <f t="shared" si="4"/>
        <v>1.7454650841116576E-3</v>
      </c>
      <c r="G30" s="3"/>
      <c r="H30" s="7">
        <v>23.303877692307701</v>
      </c>
      <c r="I30" s="3"/>
      <c r="J30" s="8">
        <f t="shared" si="5"/>
        <v>5.0008321228128111E-4</v>
      </c>
      <c r="K30" s="3"/>
      <c r="L30" s="7">
        <f t="shared" si="6"/>
        <v>8.4961223076922998</v>
      </c>
      <c r="M30" s="3"/>
      <c r="N30" s="8">
        <f t="shared" si="7"/>
        <v>0.36457976736192521</v>
      </c>
      <c r="O30" s="12"/>
      <c r="P30" s="7">
        <v>445.36</v>
      </c>
      <c r="Q30" s="3"/>
      <c r="R30" s="8">
        <f t="shared" si="8"/>
        <v>2.7051418468363462E-3</v>
      </c>
      <c r="S30" s="3"/>
      <c r="T30" s="7">
        <v>256.01978365384599</v>
      </c>
      <c r="U30" s="3"/>
      <c r="V30" s="8">
        <f t="shared" si="9"/>
        <v>8.1709310839640629E-4</v>
      </c>
      <c r="W30" s="3"/>
      <c r="X30" s="7">
        <f t="shared" si="10"/>
        <v>189.34021634615402</v>
      </c>
      <c r="Y30" s="3"/>
      <c r="Z30" s="8">
        <f t="shared" si="11"/>
        <v>0.73955306751666228</v>
      </c>
    </row>
    <row r="31" spans="1:26" s="70" customFormat="1" ht="15" hidden="1" customHeight="1" outlineLevel="2" x14ac:dyDescent="0.3">
      <c r="A31" s="26"/>
      <c r="B31" s="12" t="str">
        <f>CONCATENATE("          ","6115"," - ","P.E.R.S.")</f>
        <v xml:space="preserve">          6115 - P.E.R.S.</v>
      </c>
      <c r="C31" s="12"/>
      <c r="D31" s="7">
        <v>793.49</v>
      </c>
      <c r="E31" s="3"/>
      <c r="F31" s="8">
        <f t="shared" si="4"/>
        <v>4.3553744955715692E-2</v>
      </c>
      <c r="G31" s="3"/>
      <c r="H31" s="7">
        <v>762.81007692307799</v>
      </c>
      <c r="I31" s="3"/>
      <c r="J31" s="8">
        <f t="shared" si="5"/>
        <v>1.6369314955430859E-2</v>
      </c>
      <c r="K31" s="3"/>
      <c r="L31" s="7">
        <f t="shared" si="6"/>
        <v>30.679923076922023</v>
      </c>
      <c r="M31" s="3"/>
      <c r="N31" s="8">
        <f t="shared" si="7"/>
        <v>4.0219609054818237E-2</v>
      </c>
      <c r="O31" s="12"/>
      <c r="P31" s="7">
        <v>14085.32</v>
      </c>
      <c r="Q31" s="3"/>
      <c r="R31" s="8">
        <f t="shared" si="8"/>
        <v>8.5555030892044456E-2</v>
      </c>
      <c r="S31" s="3"/>
      <c r="T31" s="7">
        <v>9254.9917115384596</v>
      </c>
      <c r="U31" s="3"/>
      <c r="V31" s="8">
        <f t="shared" si="9"/>
        <v>2.9537521818971881E-2</v>
      </c>
      <c r="W31" s="3"/>
      <c r="X31" s="7">
        <f t="shared" si="10"/>
        <v>4830.3282884615401</v>
      </c>
      <c r="Y31" s="3"/>
      <c r="Z31" s="8">
        <f t="shared" si="11"/>
        <v>0.52191600371067148</v>
      </c>
    </row>
    <row r="32" spans="1:26" s="70" customFormat="1" ht="15" hidden="1" customHeight="1" outlineLevel="2" x14ac:dyDescent="0.3">
      <c r="A32" s="26"/>
      <c r="B32" s="12" t="str">
        <f>CONCATENATE("          ","6116"," - ","EDUCATIONAL BENEFITS")</f>
        <v xml:space="preserve">          6116 - EDUCATIONAL BENEFITS</v>
      </c>
      <c r="C32" s="12"/>
      <c r="D32" s="7"/>
      <c r="E32" s="3"/>
      <c r="F32" s="8">
        <f t="shared" si="4"/>
        <v>0</v>
      </c>
      <c r="G32" s="3"/>
      <c r="H32" s="7">
        <v>0</v>
      </c>
      <c r="I32" s="3"/>
      <c r="J32" s="8">
        <f t="shared" si="5"/>
        <v>0</v>
      </c>
      <c r="K32" s="3"/>
      <c r="L32" s="7">
        <f t="shared" si="6"/>
        <v>0</v>
      </c>
      <c r="M32" s="3"/>
      <c r="N32" s="8">
        <f t="shared" si="7"/>
        <v>0</v>
      </c>
      <c r="O32" s="12"/>
      <c r="P32" s="7"/>
      <c r="Q32" s="3"/>
      <c r="R32" s="8">
        <f t="shared" si="8"/>
        <v>0</v>
      </c>
      <c r="S32" s="3"/>
      <c r="T32" s="7">
        <v>0</v>
      </c>
      <c r="U32" s="3"/>
      <c r="V32" s="8">
        <f t="shared" si="9"/>
        <v>0</v>
      </c>
      <c r="W32" s="3"/>
      <c r="X32" s="7">
        <f t="shared" si="10"/>
        <v>0</v>
      </c>
      <c r="Y32" s="3"/>
      <c r="Z32" s="8">
        <f t="shared" si="11"/>
        <v>0</v>
      </c>
    </row>
    <row r="33" spans="1:26" s="70" customFormat="1" ht="15" hidden="1" customHeight="1" outlineLevel="2" x14ac:dyDescent="0.3">
      <c r="A33" s="26"/>
      <c r="B33" s="12" t="str">
        <f>CONCATENATE("          ","6118"," - ","VACATION")</f>
        <v xml:space="preserve">          6118 - VACATION</v>
      </c>
      <c r="C33" s="12"/>
      <c r="D33" s="7">
        <v>640.52</v>
      </c>
      <c r="E33" s="3"/>
      <c r="F33" s="8">
        <f t="shared" si="4"/>
        <v>3.5157399235069144E-2</v>
      </c>
      <c r="G33" s="3"/>
      <c r="H33" s="7">
        <v>620.89192307692304</v>
      </c>
      <c r="I33" s="3"/>
      <c r="J33" s="8">
        <f t="shared" si="5"/>
        <v>1.3323861010234399E-2</v>
      </c>
      <c r="K33" s="3"/>
      <c r="L33" s="7">
        <f t="shared" si="6"/>
        <v>19.628076923076947</v>
      </c>
      <c r="M33" s="3"/>
      <c r="N33" s="8">
        <f t="shared" si="7"/>
        <v>3.1612710994543249E-2</v>
      </c>
      <c r="O33" s="12"/>
      <c r="P33" s="7">
        <v>7525.19</v>
      </c>
      <c r="Q33" s="3"/>
      <c r="R33" s="8">
        <f t="shared" si="8"/>
        <v>4.5708429976635531E-2</v>
      </c>
      <c r="S33" s="3"/>
      <c r="T33" s="7">
        <v>8167.1770192307604</v>
      </c>
      <c r="U33" s="3"/>
      <c r="V33" s="8">
        <f t="shared" si="9"/>
        <v>2.606573586707548E-2</v>
      </c>
      <c r="W33" s="3"/>
      <c r="X33" s="7">
        <f t="shared" si="10"/>
        <v>-641.98701923076078</v>
      </c>
      <c r="Y33" s="3"/>
      <c r="Z33" s="8">
        <f t="shared" si="11"/>
        <v>-7.8605743174062784E-2</v>
      </c>
    </row>
    <row r="34" spans="1:26" s="70" customFormat="1" ht="15" hidden="1" customHeight="1" outlineLevel="2" x14ac:dyDescent="0.3">
      <c r="A34" s="26"/>
      <c r="B34" s="12" t="str">
        <f>CONCATENATE("          ","6119"," - ","SICK LEAVE")</f>
        <v xml:space="preserve">          6119 - SICK LEAVE</v>
      </c>
      <c r="C34" s="12"/>
      <c r="D34" s="7">
        <v>411.06</v>
      </c>
      <c r="E34" s="3"/>
      <c r="F34" s="8">
        <f t="shared" si="4"/>
        <v>2.2562606209903708E-2</v>
      </c>
      <c r="G34" s="3"/>
      <c r="H34" s="7">
        <v>332.91253846153899</v>
      </c>
      <c r="I34" s="3"/>
      <c r="J34" s="8">
        <f t="shared" si="5"/>
        <v>7.1440458897325965E-3</v>
      </c>
      <c r="K34" s="3"/>
      <c r="L34" s="7">
        <f t="shared" si="6"/>
        <v>78.147461538461016</v>
      </c>
      <c r="M34" s="3"/>
      <c r="N34" s="8">
        <f t="shared" si="7"/>
        <v>0.23473871515803332</v>
      </c>
      <c r="O34" s="12"/>
      <c r="P34" s="7">
        <v>5786.78</v>
      </c>
      <c r="Q34" s="3"/>
      <c r="R34" s="8">
        <f t="shared" si="8"/>
        <v>3.5149229244736006E-2</v>
      </c>
      <c r="S34" s="3"/>
      <c r="T34" s="7">
        <v>4080.1216346153901</v>
      </c>
      <c r="U34" s="3"/>
      <c r="V34" s="8">
        <f t="shared" si="9"/>
        <v>1.3021803321148278E-2</v>
      </c>
      <c r="W34" s="3"/>
      <c r="X34" s="7">
        <f t="shared" si="10"/>
        <v>1706.6583653846096</v>
      </c>
      <c r="Y34" s="3"/>
      <c r="Z34" s="8">
        <f t="shared" si="11"/>
        <v>0.41828614885043414</v>
      </c>
    </row>
    <row r="35" spans="1:26" s="70" customFormat="1" ht="15" hidden="1" customHeight="1" outlineLevel="2" x14ac:dyDescent="0.3">
      <c r="A35" s="26"/>
      <c r="B35" s="12" t="str">
        <f>CONCATENATE("          ","6156"," - ","EMPLOYEE MEALS")</f>
        <v xml:space="preserve">          6156 - EMPLOYEE MEALS</v>
      </c>
      <c r="C35" s="12"/>
      <c r="D35" s="7">
        <v>392.69</v>
      </c>
      <c r="E35" s="3"/>
      <c r="F35" s="8">
        <f t="shared" si="4"/>
        <v>2.1554298235214049E-2</v>
      </c>
      <c r="G35" s="3"/>
      <c r="H35" s="7">
        <v>350</v>
      </c>
      <c r="I35" s="3"/>
      <c r="J35" s="8">
        <f t="shared" si="5"/>
        <v>7.5107296137339056E-3</v>
      </c>
      <c r="K35" s="3"/>
      <c r="L35" s="7">
        <f t="shared" si="6"/>
        <v>42.69</v>
      </c>
      <c r="M35" s="3"/>
      <c r="N35" s="8">
        <f t="shared" si="7"/>
        <v>0.12197142857142856</v>
      </c>
      <c r="O35" s="12"/>
      <c r="P35" s="7">
        <v>3862.76</v>
      </c>
      <c r="Q35" s="3"/>
      <c r="R35" s="8">
        <f t="shared" si="8"/>
        <v>2.3462622867535397E-2</v>
      </c>
      <c r="S35" s="3"/>
      <c r="T35" s="7">
        <v>4025</v>
      </c>
      <c r="U35" s="3"/>
      <c r="V35" s="8">
        <f t="shared" si="9"/>
        <v>1.2845881339163182E-2</v>
      </c>
      <c r="W35" s="3"/>
      <c r="X35" s="7">
        <f t="shared" si="10"/>
        <v>-162.23999999999978</v>
      </c>
      <c r="Y35" s="3"/>
      <c r="Z35" s="8">
        <f t="shared" si="11"/>
        <v>-4.0308074534161437E-2</v>
      </c>
    </row>
    <row r="36" spans="1:26" s="69" customFormat="1" ht="15" customHeight="1" outlineLevel="1" collapsed="1" x14ac:dyDescent="0.3">
      <c r="A36" s="25"/>
      <c r="B36" s="14" t="str">
        <f>CONCATENATE("     ","*Payroll                                          ")</f>
        <v xml:space="preserve">     *Payroll                                          </v>
      </c>
      <c r="C36" s="14"/>
      <c r="D36" s="2">
        <f>SUM(OSRRefD22_1x_0)</f>
        <v>13661.55</v>
      </c>
      <c r="E36" s="2"/>
      <c r="F36" s="6">
        <f t="shared" si="4"/>
        <v>0.74986662012093119</v>
      </c>
      <c r="G36" s="2"/>
      <c r="H36" s="2">
        <f>SUM(OSRRefH22_1x_0)</f>
        <v>10303.312153846158</v>
      </c>
      <c r="I36" s="2"/>
      <c r="J36" s="6">
        <f t="shared" si="5"/>
        <v>0.22110111918124803</v>
      </c>
      <c r="K36" s="2"/>
      <c r="L36" s="2">
        <f t="shared" si="6"/>
        <v>3358.237846153841</v>
      </c>
      <c r="M36" s="2"/>
      <c r="N36" s="6">
        <f t="shared" si="7"/>
        <v>0.32593769809257239</v>
      </c>
      <c r="O36" s="14"/>
      <c r="P36" s="2">
        <f>SUM(OSRRefP22_1x_0)</f>
        <v>126860.69</v>
      </c>
      <c r="Q36" s="2"/>
      <c r="R36" s="6">
        <f t="shared" si="8"/>
        <v>0.77055901122133363</v>
      </c>
      <c r="S36" s="2"/>
      <c r="T36" s="2">
        <f>SUM(OSRRefT22_1x_0)</f>
        <v>110634.32403846169</v>
      </c>
      <c r="U36" s="2"/>
      <c r="V36" s="6">
        <f t="shared" si="9"/>
        <v>0.35309202450598953</v>
      </c>
      <c r="W36" s="2"/>
      <c r="X36" s="2">
        <f t="shared" si="10"/>
        <v>16226.365961538308</v>
      </c>
      <c r="Y36" s="2"/>
      <c r="Z36" s="6">
        <f t="shared" si="11"/>
        <v>0.1466666525290764</v>
      </c>
    </row>
    <row r="37" spans="1:26" s="70" customFormat="1" ht="15" hidden="1" customHeight="1" outlineLevel="2" x14ac:dyDescent="0.3">
      <c r="A37" s="26"/>
      <c r="B37" s="12" t="str">
        <f>CONCATENATE("          ","6001"," - ","ADMINISTRATIVE SALARIES")</f>
        <v xml:space="preserve">          6001 - ADMINISTRATIVE SALARIES</v>
      </c>
      <c r="C37" s="12"/>
      <c r="D37" s="7"/>
      <c r="E37" s="3"/>
      <c r="F37" s="8">
        <f t="shared" si="4"/>
        <v>0</v>
      </c>
      <c r="G37" s="3"/>
      <c r="H37" s="7">
        <v>0</v>
      </c>
      <c r="I37" s="3"/>
      <c r="J37" s="8">
        <f t="shared" si="5"/>
        <v>0</v>
      </c>
      <c r="K37" s="3"/>
      <c r="L37" s="7">
        <f t="shared" si="6"/>
        <v>0</v>
      </c>
      <c r="M37" s="3"/>
      <c r="N37" s="8">
        <f t="shared" si="7"/>
        <v>0</v>
      </c>
      <c r="O37" s="12"/>
      <c r="P37" s="7"/>
      <c r="Q37" s="3"/>
      <c r="R37" s="8">
        <f t="shared" si="8"/>
        <v>0</v>
      </c>
      <c r="S37" s="3"/>
      <c r="T37" s="7">
        <v>0</v>
      </c>
      <c r="U37" s="3"/>
      <c r="V37" s="8">
        <f t="shared" si="9"/>
        <v>0</v>
      </c>
      <c r="W37" s="3"/>
      <c r="X37" s="7">
        <f t="shared" si="10"/>
        <v>0</v>
      </c>
      <c r="Y37" s="3"/>
      <c r="Z37" s="8">
        <f t="shared" si="11"/>
        <v>0</v>
      </c>
    </row>
    <row r="38" spans="1:26" s="70" customFormat="1" ht="15" hidden="1" customHeight="1" outlineLevel="2" x14ac:dyDescent="0.3">
      <c r="A38" s="26"/>
      <c r="B38" s="12" t="str">
        <f>CONCATENATE("          ","6002"," - ","STAFF SALARIES")</f>
        <v xml:space="preserve">          6002 - STAFF SALARIES</v>
      </c>
      <c r="C38" s="12"/>
      <c r="D38" s="7">
        <v>9955.57</v>
      </c>
      <c r="E38" s="3"/>
      <c r="F38" s="8">
        <f t="shared" si="4"/>
        <v>0.54644968010784567</v>
      </c>
      <c r="G38" s="3"/>
      <c r="H38" s="7">
        <v>7982.8961538461599</v>
      </c>
      <c r="I38" s="3"/>
      <c r="J38" s="8">
        <f t="shared" si="5"/>
        <v>0.17130678441729957</v>
      </c>
      <c r="K38" s="3"/>
      <c r="L38" s="7">
        <f t="shared" si="6"/>
        <v>1972.6738461538398</v>
      </c>
      <c r="M38" s="3"/>
      <c r="N38" s="8">
        <f t="shared" si="7"/>
        <v>0.24711255265464094</v>
      </c>
      <c r="O38" s="12"/>
      <c r="P38" s="7">
        <v>103037.42</v>
      </c>
      <c r="Q38" s="3"/>
      <c r="R38" s="8">
        <f t="shared" si="8"/>
        <v>0.6258551208731189</v>
      </c>
      <c r="S38" s="3"/>
      <c r="T38" s="7">
        <v>95797.824038461695</v>
      </c>
      <c r="U38" s="3"/>
      <c r="V38" s="8">
        <f t="shared" si="9"/>
        <v>0.30574098885667411</v>
      </c>
      <c r="W38" s="3"/>
      <c r="X38" s="7">
        <f t="shared" si="10"/>
        <v>7239.5959615383035</v>
      </c>
      <c r="Y38" s="3"/>
      <c r="Z38" s="8">
        <f t="shared" si="11"/>
        <v>7.5571611716688802E-2</v>
      </c>
    </row>
    <row r="39" spans="1:26" s="70" customFormat="1" ht="15" hidden="1" customHeight="1" outlineLevel="2" x14ac:dyDescent="0.3">
      <c r="A39" s="26"/>
      <c r="B39" s="12" t="str">
        <f>CONCATENATE("          ","6003"," - ","STAFF HOURLY-9 MONTH")</f>
        <v xml:space="preserve">          6003 - STAFF HOURLY-9 MONTH</v>
      </c>
      <c r="C39" s="12"/>
      <c r="D39" s="7"/>
      <c r="E39" s="3"/>
      <c r="F39" s="8">
        <f t="shared" si="4"/>
        <v>0</v>
      </c>
      <c r="G39" s="3"/>
      <c r="H39" s="7">
        <v>0</v>
      </c>
      <c r="I39" s="3"/>
      <c r="J39" s="8">
        <f t="shared" si="5"/>
        <v>0</v>
      </c>
      <c r="K39" s="3"/>
      <c r="L39" s="7">
        <f t="shared" si="6"/>
        <v>0</v>
      </c>
      <c r="M39" s="3"/>
      <c r="N39" s="8">
        <f t="shared" si="7"/>
        <v>0</v>
      </c>
      <c r="O39" s="12"/>
      <c r="P39" s="7"/>
      <c r="Q39" s="3"/>
      <c r="R39" s="8">
        <f t="shared" si="8"/>
        <v>0</v>
      </c>
      <c r="S39" s="3"/>
      <c r="T39" s="7">
        <v>0</v>
      </c>
      <c r="U39" s="3"/>
      <c r="V39" s="8">
        <f t="shared" si="9"/>
        <v>0</v>
      </c>
      <c r="W39" s="3"/>
      <c r="X39" s="7">
        <f t="shared" si="10"/>
        <v>0</v>
      </c>
      <c r="Y39" s="3"/>
      <c r="Z39" s="8">
        <f t="shared" si="11"/>
        <v>0</v>
      </c>
    </row>
    <row r="40" spans="1:26" s="70" customFormat="1" ht="15" hidden="1" customHeight="1" outlineLevel="2" x14ac:dyDescent="0.3">
      <c r="A40" s="26"/>
      <c r="B40" s="12" t="str">
        <f>CONCATENATE("          ","6004"," - ","STAFF HOURLY")</f>
        <v xml:space="preserve">          6004 - STAFF HOURLY</v>
      </c>
      <c r="C40" s="12"/>
      <c r="D40" s="7"/>
      <c r="E40" s="3"/>
      <c r="F40" s="8">
        <f t="shared" si="4"/>
        <v>0</v>
      </c>
      <c r="G40" s="3"/>
      <c r="H40" s="7">
        <v>1386</v>
      </c>
      <c r="I40" s="3"/>
      <c r="J40" s="8">
        <f t="shared" si="5"/>
        <v>2.9742489270386266E-2</v>
      </c>
      <c r="K40" s="3"/>
      <c r="L40" s="7">
        <f t="shared" si="6"/>
        <v>-1386</v>
      </c>
      <c r="M40" s="3"/>
      <c r="N40" s="8">
        <f t="shared" si="7"/>
        <v>-1</v>
      </c>
      <c r="O40" s="12"/>
      <c r="P40" s="7"/>
      <c r="Q40" s="3"/>
      <c r="R40" s="8">
        <f t="shared" si="8"/>
        <v>0</v>
      </c>
      <c r="S40" s="3"/>
      <c r="T40" s="7">
        <v>5751.9</v>
      </c>
      <c r="U40" s="3"/>
      <c r="V40" s="8">
        <f t="shared" si="9"/>
        <v>1.835732295024415E-2</v>
      </c>
      <c r="W40" s="3"/>
      <c r="X40" s="7">
        <f t="shared" si="10"/>
        <v>-5751.9</v>
      </c>
      <c r="Y40" s="3"/>
      <c r="Z40" s="8">
        <f t="shared" si="11"/>
        <v>-1</v>
      </c>
    </row>
    <row r="41" spans="1:26" s="70" customFormat="1" ht="15" hidden="1" customHeight="1" outlineLevel="2" x14ac:dyDescent="0.3">
      <c r="A41" s="26"/>
      <c r="B41" s="12" t="str">
        <f>CONCATENATE("          ","6005"," - ","TEMPORARY WAGES-HOURLY")</f>
        <v xml:space="preserve">          6005 - TEMPORARY WAGES-HOURLY</v>
      </c>
      <c r="C41" s="12"/>
      <c r="D41" s="7"/>
      <c r="E41" s="3"/>
      <c r="F41" s="8">
        <f t="shared" si="4"/>
        <v>0</v>
      </c>
      <c r="G41" s="3"/>
      <c r="H41" s="7">
        <v>0</v>
      </c>
      <c r="I41" s="3"/>
      <c r="J41" s="8">
        <f t="shared" si="5"/>
        <v>0</v>
      </c>
      <c r="K41" s="3"/>
      <c r="L41" s="7">
        <f t="shared" si="6"/>
        <v>0</v>
      </c>
      <c r="M41" s="3"/>
      <c r="N41" s="8">
        <f t="shared" si="7"/>
        <v>0</v>
      </c>
      <c r="O41" s="12"/>
      <c r="P41" s="7"/>
      <c r="Q41" s="3"/>
      <c r="R41" s="8">
        <f t="shared" si="8"/>
        <v>0</v>
      </c>
      <c r="S41" s="3"/>
      <c r="T41" s="7">
        <v>0</v>
      </c>
      <c r="U41" s="3"/>
      <c r="V41" s="8">
        <f t="shared" si="9"/>
        <v>0</v>
      </c>
      <c r="W41" s="3"/>
      <c r="X41" s="7">
        <f t="shared" si="10"/>
        <v>0</v>
      </c>
      <c r="Y41" s="3"/>
      <c r="Z41" s="8">
        <f t="shared" si="11"/>
        <v>0</v>
      </c>
    </row>
    <row r="42" spans="1:26" s="70" customFormat="1" ht="15" hidden="1" customHeight="1" outlineLevel="2" x14ac:dyDescent="0.3">
      <c r="A42" s="26"/>
      <c r="B42" s="12" t="str">
        <f>CONCATENATE("          ","6006"," - ","TEMPORARY PART TIME")</f>
        <v xml:space="preserve">          6006 - TEMPORARY PART TIME</v>
      </c>
      <c r="C42" s="12"/>
      <c r="D42" s="7"/>
      <c r="E42" s="3"/>
      <c r="F42" s="8">
        <f t="shared" si="4"/>
        <v>0</v>
      </c>
      <c r="G42" s="3"/>
      <c r="H42" s="7">
        <v>0</v>
      </c>
      <c r="I42" s="3"/>
      <c r="J42" s="8">
        <f t="shared" si="5"/>
        <v>0</v>
      </c>
      <c r="K42" s="3"/>
      <c r="L42" s="7">
        <f t="shared" si="6"/>
        <v>0</v>
      </c>
      <c r="M42" s="3"/>
      <c r="N42" s="8">
        <f t="shared" si="7"/>
        <v>0</v>
      </c>
      <c r="O42" s="12"/>
      <c r="P42" s="7"/>
      <c r="Q42" s="3"/>
      <c r="R42" s="8">
        <f t="shared" si="8"/>
        <v>0</v>
      </c>
      <c r="S42" s="3"/>
      <c r="T42" s="7">
        <v>0</v>
      </c>
      <c r="U42" s="3"/>
      <c r="V42" s="8">
        <f t="shared" si="9"/>
        <v>0</v>
      </c>
      <c r="W42" s="3"/>
      <c r="X42" s="7">
        <f t="shared" si="10"/>
        <v>0</v>
      </c>
      <c r="Y42" s="3"/>
      <c r="Z42" s="8">
        <f t="shared" si="11"/>
        <v>0</v>
      </c>
    </row>
    <row r="43" spans="1:26" s="70" customFormat="1" ht="15" hidden="1" customHeight="1" outlineLevel="2" x14ac:dyDescent="0.3">
      <c r="A43" s="26"/>
      <c r="B43" s="12" t="str">
        <f>CONCATENATE("          ","6007"," - ","STUDENT HOURLY")</f>
        <v xml:space="preserve">          6007 - STUDENT HOURLY</v>
      </c>
      <c r="C43" s="12"/>
      <c r="D43" s="7">
        <v>3705.98</v>
      </c>
      <c r="E43" s="3"/>
      <c r="F43" s="8">
        <f t="shared" si="4"/>
        <v>0.20341694001308555</v>
      </c>
      <c r="G43" s="3"/>
      <c r="H43" s="7">
        <v>934.41600000000005</v>
      </c>
      <c r="I43" s="3"/>
      <c r="J43" s="8">
        <f t="shared" si="5"/>
        <v>2.0051845493562231E-2</v>
      </c>
      <c r="K43" s="3"/>
      <c r="L43" s="7">
        <f t="shared" si="6"/>
        <v>2771.5639999999999</v>
      </c>
      <c r="M43" s="3"/>
      <c r="N43" s="8">
        <f t="shared" si="7"/>
        <v>2.9660921902022221</v>
      </c>
      <c r="O43" s="12"/>
      <c r="P43" s="7">
        <v>23823.27</v>
      </c>
      <c r="Q43" s="3"/>
      <c r="R43" s="8">
        <f t="shared" si="8"/>
        <v>0.14470389034821474</v>
      </c>
      <c r="S43" s="3"/>
      <c r="T43" s="7">
        <v>8652</v>
      </c>
      <c r="U43" s="3"/>
      <c r="V43" s="8">
        <f t="shared" si="9"/>
        <v>2.7613059713401205E-2</v>
      </c>
      <c r="W43" s="3"/>
      <c r="X43" s="7">
        <f t="shared" si="10"/>
        <v>15171.27</v>
      </c>
      <c r="Y43" s="3"/>
      <c r="Z43" s="8">
        <f t="shared" si="11"/>
        <v>1.7534986130374481</v>
      </c>
    </row>
    <row r="44" spans="1:26" s="70" customFormat="1" ht="15" hidden="1" customHeight="1" outlineLevel="2" x14ac:dyDescent="0.3">
      <c r="A44" s="26"/>
      <c r="B44" s="12" t="str">
        <f>CONCATENATE("          ","6008"," - ","STUDENT HOURLY-FICA EXEMPT")</f>
        <v xml:space="preserve">          6008 - STUDENT HOURLY-FICA EXEMPT</v>
      </c>
      <c r="C44" s="12"/>
      <c r="D44" s="7"/>
      <c r="E44" s="3"/>
      <c r="F44" s="8">
        <f t="shared" si="4"/>
        <v>0</v>
      </c>
      <c r="G44" s="3"/>
      <c r="H44" s="7">
        <v>0</v>
      </c>
      <c r="I44" s="3"/>
      <c r="J44" s="8">
        <f t="shared" si="5"/>
        <v>0</v>
      </c>
      <c r="K44" s="3"/>
      <c r="L44" s="7">
        <f t="shared" si="6"/>
        <v>0</v>
      </c>
      <c r="M44" s="3"/>
      <c r="N44" s="8">
        <f t="shared" si="7"/>
        <v>0</v>
      </c>
      <c r="O44" s="12"/>
      <c r="P44" s="7"/>
      <c r="Q44" s="3"/>
      <c r="R44" s="8">
        <f t="shared" si="8"/>
        <v>0</v>
      </c>
      <c r="S44" s="3"/>
      <c r="T44" s="7">
        <v>432.6</v>
      </c>
      <c r="U44" s="3"/>
      <c r="V44" s="8">
        <f t="shared" si="9"/>
        <v>1.3806529856700603E-3</v>
      </c>
      <c r="W44" s="3"/>
      <c r="X44" s="7">
        <f t="shared" si="10"/>
        <v>-432.6</v>
      </c>
      <c r="Y44" s="3"/>
      <c r="Z44" s="8">
        <f t="shared" si="11"/>
        <v>-1</v>
      </c>
    </row>
    <row r="45" spans="1:26" s="70" customFormat="1" ht="15" hidden="1" customHeight="1" outlineLevel="2" x14ac:dyDescent="0.3">
      <c r="A45" s="26"/>
      <c r="B45" s="12" t="str">
        <f>CONCATENATE("          ","6009"," - ","TEMPORARY-SEASONAL")</f>
        <v xml:space="preserve">          6009 - TEMPORARY-SEASONAL</v>
      </c>
      <c r="C45" s="12"/>
      <c r="D45" s="7"/>
      <c r="E45" s="3"/>
      <c r="F45" s="8">
        <f t="shared" si="4"/>
        <v>0</v>
      </c>
      <c r="G45" s="3"/>
      <c r="H45" s="7">
        <v>0</v>
      </c>
      <c r="I45" s="3"/>
      <c r="J45" s="8">
        <f t="shared" si="5"/>
        <v>0</v>
      </c>
      <c r="K45" s="3"/>
      <c r="L45" s="7">
        <f t="shared" si="6"/>
        <v>0</v>
      </c>
      <c r="M45" s="3"/>
      <c r="N45" s="8">
        <f t="shared" si="7"/>
        <v>0</v>
      </c>
      <c r="O45" s="12"/>
      <c r="P45" s="7"/>
      <c r="Q45" s="3"/>
      <c r="R45" s="8">
        <f t="shared" si="8"/>
        <v>0</v>
      </c>
      <c r="S45" s="3"/>
      <c r="T45" s="7">
        <v>0</v>
      </c>
      <c r="U45" s="3"/>
      <c r="V45" s="8">
        <f t="shared" si="9"/>
        <v>0</v>
      </c>
      <c r="W45" s="3"/>
      <c r="X45" s="7">
        <f t="shared" si="10"/>
        <v>0</v>
      </c>
      <c r="Y45" s="3"/>
      <c r="Z45" s="8">
        <f t="shared" si="11"/>
        <v>0</v>
      </c>
    </row>
    <row r="46" spans="1:26" s="70" customFormat="1" ht="15" hidden="1" customHeight="1" outlineLevel="2" x14ac:dyDescent="0.3">
      <c r="A46" s="26"/>
      <c r="B46" s="12" t="str">
        <f>CONCATENATE("          ","6010"," - ","GRATUITY")</f>
        <v xml:space="preserve">          6010 - GRATUITY</v>
      </c>
      <c r="C46" s="12"/>
      <c r="D46" s="7"/>
      <c r="E46" s="3"/>
      <c r="F46" s="8">
        <f t="shared" si="4"/>
        <v>0</v>
      </c>
      <c r="G46" s="3"/>
      <c r="H46" s="7">
        <v>0</v>
      </c>
      <c r="I46" s="3"/>
      <c r="J46" s="8">
        <f t="shared" si="5"/>
        <v>0</v>
      </c>
      <c r="K46" s="3"/>
      <c r="L46" s="7">
        <f t="shared" si="6"/>
        <v>0</v>
      </c>
      <c r="M46" s="3"/>
      <c r="N46" s="8">
        <f t="shared" si="7"/>
        <v>0</v>
      </c>
      <c r="O46" s="12"/>
      <c r="P46" s="7"/>
      <c r="Q46" s="3"/>
      <c r="R46" s="8">
        <f t="shared" si="8"/>
        <v>0</v>
      </c>
      <c r="S46" s="3"/>
      <c r="T46" s="7">
        <v>0</v>
      </c>
      <c r="U46" s="3"/>
      <c r="V46" s="8">
        <f t="shared" si="9"/>
        <v>0</v>
      </c>
      <c r="W46" s="3"/>
      <c r="X46" s="7">
        <f t="shared" si="10"/>
        <v>0</v>
      </c>
      <c r="Y46" s="3"/>
      <c r="Z46" s="8">
        <f t="shared" si="11"/>
        <v>0</v>
      </c>
    </row>
    <row r="47" spans="1:26" s="69" customFormat="1" ht="15" customHeight="1" outlineLevel="1" collapsed="1" x14ac:dyDescent="0.3">
      <c r="A47" s="25"/>
      <c r="B47" s="14" t="str">
        <f>CONCATENATE("     ","Advertising/Promo                                 ")</f>
        <v xml:space="preserve">     Advertising/Promo                                 </v>
      </c>
      <c r="C47" s="14"/>
      <c r="D47" s="2">
        <f>SUM(OSRRefD22_2x_0)</f>
        <v>0</v>
      </c>
      <c r="E47" s="2"/>
      <c r="F47" s="6">
        <f t="shared" si="4"/>
        <v>0</v>
      </c>
      <c r="G47" s="2"/>
      <c r="H47" s="2">
        <f>SUM(OSRRefH22_2x_0)</f>
        <v>50</v>
      </c>
      <c r="I47" s="2"/>
      <c r="J47" s="6">
        <f t="shared" si="5"/>
        <v>1.0729613733905579E-3</v>
      </c>
      <c r="K47" s="2"/>
      <c r="L47" s="2">
        <f t="shared" si="6"/>
        <v>-50</v>
      </c>
      <c r="M47" s="2"/>
      <c r="N47" s="6">
        <f t="shared" si="7"/>
        <v>-1</v>
      </c>
      <c r="O47" s="14"/>
      <c r="P47" s="2">
        <f>SUM(OSRRefP22_2x_0)</f>
        <v>151.85</v>
      </c>
      <c r="Q47" s="2"/>
      <c r="R47" s="6">
        <f t="shared" si="8"/>
        <v>9.2234549452599945E-4</v>
      </c>
      <c r="S47" s="2"/>
      <c r="T47" s="2">
        <f>SUM(OSRRefT22_2x_0)</f>
        <v>450</v>
      </c>
      <c r="U47" s="2"/>
      <c r="V47" s="6">
        <f t="shared" si="9"/>
        <v>1.4361854913350141E-3</v>
      </c>
      <c r="W47" s="2"/>
      <c r="X47" s="2">
        <f t="shared" si="10"/>
        <v>-298.14999999999998</v>
      </c>
      <c r="Y47" s="2"/>
      <c r="Z47" s="6">
        <f t="shared" si="11"/>
        <v>-0.66255555555555545</v>
      </c>
    </row>
    <row r="48" spans="1:26" s="70" customFormat="1" ht="15" hidden="1" customHeight="1" outlineLevel="2" x14ac:dyDescent="0.3">
      <c r="A48" s="26"/>
      <c r="B48" s="12" t="str">
        <f>CONCATENATE("          ","6362"," - ","ADVERTISING EXPENSE")</f>
        <v xml:space="preserve">          6362 - ADVERTISING EXPENSE</v>
      </c>
      <c r="C48" s="12"/>
      <c r="D48" s="7"/>
      <c r="E48" s="3"/>
      <c r="F48" s="8">
        <f t="shared" si="4"/>
        <v>0</v>
      </c>
      <c r="G48" s="3"/>
      <c r="H48" s="7">
        <v>50</v>
      </c>
      <c r="I48" s="3"/>
      <c r="J48" s="8">
        <f t="shared" si="5"/>
        <v>1.0729613733905579E-3</v>
      </c>
      <c r="K48" s="3"/>
      <c r="L48" s="7">
        <f t="shared" si="6"/>
        <v>-50</v>
      </c>
      <c r="M48" s="3"/>
      <c r="N48" s="8">
        <f t="shared" si="7"/>
        <v>-1</v>
      </c>
      <c r="O48" s="12"/>
      <c r="P48" s="7">
        <v>151.85</v>
      </c>
      <c r="Q48" s="3"/>
      <c r="R48" s="8">
        <f t="shared" si="8"/>
        <v>9.2234549452599945E-4</v>
      </c>
      <c r="S48" s="3"/>
      <c r="T48" s="7">
        <v>450</v>
      </c>
      <c r="U48" s="3"/>
      <c r="V48" s="8">
        <f t="shared" si="9"/>
        <v>1.4361854913350141E-3</v>
      </c>
      <c r="W48" s="3"/>
      <c r="X48" s="7">
        <f t="shared" si="10"/>
        <v>-298.14999999999998</v>
      </c>
      <c r="Y48" s="3"/>
      <c r="Z48" s="8">
        <f t="shared" si="11"/>
        <v>-0.66255555555555545</v>
      </c>
    </row>
    <row r="49" spans="1:26" s="69" customFormat="1" ht="15" customHeight="1" outlineLevel="1" collapsed="1" x14ac:dyDescent="0.3">
      <c r="A49" s="25"/>
      <c r="B49" s="14" t="str">
        <f>CONCATENATE("     ","Depreciation                                      ")</f>
        <v xml:space="preserve">     Depreciation                                      </v>
      </c>
      <c r="C49" s="14"/>
      <c r="D49" s="2">
        <f>SUM(OSRRefD22_3x_0)</f>
        <v>169.88</v>
      </c>
      <c r="E49" s="2"/>
      <c r="F49" s="6">
        <f t="shared" si="4"/>
        <v>9.3245159902166155E-3</v>
      </c>
      <c r="G49" s="2"/>
      <c r="H49" s="2">
        <f>SUM(OSRRefH22_3x_0)</f>
        <v>170</v>
      </c>
      <c r="I49" s="2"/>
      <c r="J49" s="6">
        <f t="shared" si="5"/>
        <v>3.6480686695278971E-3</v>
      </c>
      <c r="K49" s="2"/>
      <c r="L49" s="2">
        <f t="shared" si="6"/>
        <v>-0.12000000000000455</v>
      </c>
      <c r="M49" s="2"/>
      <c r="N49" s="6">
        <f t="shared" si="7"/>
        <v>-7.0588235294120319E-4</v>
      </c>
      <c r="O49" s="14"/>
      <c r="P49" s="2">
        <f>SUM(OSRRefP22_3x_0)</f>
        <v>1528.92</v>
      </c>
      <c r="Q49" s="2"/>
      <c r="R49" s="6">
        <f t="shared" si="8"/>
        <v>9.286746615019369E-3</v>
      </c>
      <c r="S49" s="2"/>
      <c r="T49" s="2">
        <f>SUM(OSRRefT22_3x_0)</f>
        <v>1530</v>
      </c>
      <c r="U49" s="2"/>
      <c r="V49" s="6">
        <f t="shared" si="9"/>
        <v>4.8830306705390479E-3</v>
      </c>
      <c r="W49" s="2"/>
      <c r="X49" s="2">
        <f t="shared" si="10"/>
        <v>-1.0799999999999272</v>
      </c>
      <c r="Y49" s="2"/>
      <c r="Z49" s="6">
        <f t="shared" si="11"/>
        <v>-7.0588235294112892E-4</v>
      </c>
    </row>
    <row r="50" spans="1:26" s="70" customFormat="1" ht="15" hidden="1" customHeight="1" outlineLevel="2" x14ac:dyDescent="0.3">
      <c r="A50" s="26"/>
      <c r="B50" s="12" t="str">
        <f>CONCATENATE("          ","6322"," - ","EQUIPMENT DEPRECIATION EXPENSE")</f>
        <v xml:space="preserve">          6322 - EQUIPMENT DEPRECIATION EXPENSE</v>
      </c>
      <c r="C50" s="12"/>
      <c r="D50" s="7">
        <v>169.88</v>
      </c>
      <c r="E50" s="3"/>
      <c r="F50" s="8">
        <f t="shared" si="4"/>
        <v>9.3245159902166155E-3</v>
      </c>
      <c r="G50" s="3"/>
      <c r="H50" s="7">
        <v>170</v>
      </c>
      <c r="I50" s="3"/>
      <c r="J50" s="8">
        <f t="shared" si="5"/>
        <v>3.6480686695278971E-3</v>
      </c>
      <c r="K50" s="3"/>
      <c r="L50" s="7">
        <f t="shared" si="6"/>
        <v>-0.12000000000000455</v>
      </c>
      <c r="M50" s="3"/>
      <c r="N50" s="8">
        <f t="shared" si="7"/>
        <v>-7.0588235294120319E-4</v>
      </c>
      <c r="O50" s="12"/>
      <c r="P50" s="7">
        <v>1528.92</v>
      </c>
      <c r="Q50" s="3"/>
      <c r="R50" s="8">
        <f t="shared" si="8"/>
        <v>9.286746615019369E-3</v>
      </c>
      <c r="S50" s="3"/>
      <c r="T50" s="7">
        <v>1530</v>
      </c>
      <c r="U50" s="3"/>
      <c r="V50" s="8">
        <f t="shared" si="9"/>
        <v>4.8830306705390479E-3</v>
      </c>
      <c r="W50" s="3"/>
      <c r="X50" s="7">
        <f t="shared" si="10"/>
        <v>-1.0799999999999272</v>
      </c>
      <c r="Y50" s="3"/>
      <c r="Z50" s="8">
        <f t="shared" si="11"/>
        <v>-7.0588235294112892E-4</v>
      </c>
    </row>
    <row r="51" spans="1:26" s="69" customFormat="1" ht="15" customHeight="1" outlineLevel="1" collapsed="1" x14ac:dyDescent="0.3">
      <c r="A51" s="25"/>
      <c r="B51" s="14" t="str">
        <f>CONCATENATE("     ","Equipment Rental                                  ")</f>
        <v xml:space="preserve">     Equipment Rental                                  </v>
      </c>
      <c r="C51" s="14"/>
      <c r="D51" s="2">
        <f>SUM(OSRRefD22_4x_0)</f>
        <v>1205.6400000000001</v>
      </c>
      <c r="E51" s="2"/>
      <c r="F51" s="6">
        <f t="shared" si="4"/>
        <v>6.6176180000263485E-2</v>
      </c>
      <c r="G51" s="2"/>
      <c r="H51" s="2">
        <f>SUM(OSRRefH22_4x_0)</f>
        <v>1300</v>
      </c>
      <c r="I51" s="2"/>
      <c r="J51" s="6">
        <f t="shared" si="5"/>
        <v>2.7896995708154508E-2</v>
      </c>
      <c r="K51" s="2"/>
      <c r="L51" s="2">
        <f t="shared" si="6"/>
        <v>-94.3599999999999</v>
      </c>
      <c r="M51" s="2"/>
      <c r="N51" s="6">
        <f t="shared" si="7"/>
        <v>-7.2584615384615303E-2</v>
      </c>
      <c r="O51" s="14"/>
      <c r="P51" s="2">
        <f>SUM(OSRRefP22_4x_0)</f>
        <v>10942.02</v>
      </c>
      <c r="Q51" s="2"/>
      <c r="R51" s="6">
        <f t="shared" si="8"/>
        <v>6.6462448785073278E-2</v>
      </c>
      <c r="S51" s="2"/>
      <c r="T51" s="2">
        <f>SUM(OSRRefT22_4x_0)</f>
        <v>11500</v>
      </c>
      <c r="U51" s="2"/>
      <c r="V51" s="6">
        <f t="shared" si="9"/>
        <v>3.6702518111894809E-2</v>
      </c>
      <c r="W51" s="2"/>
      <c r="X51" s="2">
        <f t="shared" si="10"/>
        <v>-557.97999999999956</v>
      </c>
      <c r="Y51" s="2"/>
      <c r="Z51" s="6">
        <f t="shared" si="11"/>
        <v>-4.8519999999999959E-2</v>
      </c>
    </row>
    <row r="52" spans="1:26" s="70" customFormat="1" ht="15" hidden="1" customHeight="1" outlineLevel="2" x14ac:dyDescent="0.3">
      <c r="A52" s="26"/>
      <c r="B52" s="12" t="str">
        <f>CONCATENATE("          ","6351"," - ","EQUIPMENT RENTAL")</f>
        <v xml:space="preserve">          6351 - EQUIPMENT RENTAL</v>
      </c>
      <c r="C52" s="12"/>
      <c r="D52" s="7">
        <v>1205.6400000000001</v>
      </c>
      <c r="E52" s="3"/>
      <c r="F52" s="8">
        <f t="shared" si="4"/>
        <v>6.6176180000263485E-2</v>
      </c>
      <c r="G52" s="3"/>
      <c r="H52" s="7">
        <v>1300</v>
      </c>
      <c r="I52" s="3"/>
      <c r="J52" s="8">
        <f t="shared" si="5"/>
        <v>2.7896995708154508E-2</v>
      </c>
      <c r="K52" s="3"/>
      <c r="L52" s="7">
        <f t="shared" si="6"/>
        <v>-94.3599999999999</v>
      </c>
      <c r="M52" s="3"/>
      <c r="N52" s="8">
        <f t="shared" si="7"/>
        <v>-7.2584615384615303E-2</v>
      </c>
      <c r="O52" s="12"/>
      <c r="P52" s="7">
        <v>10942.02</v>
      </c>
      <c r="Q52" s="3"/>
      <c r="R52" s="8">
        <f t="shared" si="8"/>
        <v>6.6462448785073278E-2</v>
      </c>
      <c r="S52" s="3"/>
      <c r="T52" s="7">
        <v>11500</v>
      </c>
      <c r="U52" s="3"/>
      <c r="V52" s="8">
        <f t="shared" si="9"/>
        <v>3.6702518111894809E-2</v>
      </c>
      <c r="W52" s="3"/>
      <c r="X52" s="7">
        <f t="shared" si="10"/>
        <v>-557.97999999999956</v>
      </c>
      <c r="Y52" s="3"/>
      <c r="Z52" s="8">
        <f t="shared" si="11"/>
        <v>-4.8519999999999959E-2</v>
      </c>
    </row>
    <row r="53" spans="1:26" s="69" customFormat="1" ht="15" customHeight="1" outlineLevel="1" collapsed="1" x14ac:dyDescent="0.3">
      <c r="A53" s="25"/>
      <c r="B53" s="14" t="str">
        <f>CONCATENATE("     ","Freight out/Postage                               ")</f>
        <v xml:space="preserve">     Freight out/Postage                               </v>
      </c>
      <c r="C53" s="14"/>
      <c r="D53" s="2">
        <f>SUM(OSRRefD22_5x_0)</f>
        <v>1763.2199999999993</v>
      </c>
      <c r="E53" s="2"/>
      <c r="F53" s="6">
        <f t="shared" si="4"/>
        <v>9.6781098918470296E-2</v>
      </c>
      <c r="G53" s="2"/>
      <c r="H53" s="2">
        <f>SUM(OSRRefH22_5x_0)</f>
        <v>0</v>
      </c>
      <c r="I53" s="2"/>
      <c r="J53" s="6">
        <f t="shared" si="5"/>
        <v>0</v>
      </c>
      <c r="K53" s="2"/>
      <c r="L53" s="2">
        <f t="shared" si="6"/>
        <v>1763.2199999999993</v>
      </c>
      <c r="M53" s="2"/>
      <c r="N53" s="6">
        <f t="shared" si="7"/>
        <v>0</v>
      </c>
      <c r="O53" s="14"/>
      <c r="P53" s="2">
        <f>SUM(OSRRefP22_5x_0)</f>
        <v>-62599.829999999987</v>
      </c>
      <c r="Q53" s="2"/>
      <c r="R53" s="6">
        <f t="shared" si="8"/>
        <v>-0.38023491049452413</v>
      </c>
      <c r="S53" s="2"/>
      <c r="T53" s="2">
        <f>SUM(OSRRefT22_5x_0)</f>
        <v>-26700</v>
      </c>
      <c r="U53" s="2"/>
      <c r="V53" s="6">
        <f t="shared" si="9"/>
        <v>-8.5213672485877509E-2</v>
      </c>
      <c r="W53" s="2"/>
      <c r="X53" s="2">
        <f t="shared" si="10"/>
        <v>-35899.829999999987</v>
      </c>
      <c r="Y53" s="2"/>
      <c r="Z53" s="6">
        <f t="shared" si="11"/>
        <v>1.3445629213483141</v>
      </c>
    </row>
    <row r="54" spans="1:26" s="70" customFormat="1" ht="15" hidden="1" customHeight="1" outlineLevel="2" x14ac:dyDescent="0.3">
      <c r="A54" s="26"/>
      <c r="B54" s="12" t="str">
        <f>CONCATENATE("          ","6305"," - ","FREIGHT OUT")</f>
        <v xml:space="preserve">          6305 - FREIGHT OUT</v>
      </c>
      <c r="C54" s="12"/>
      <c r="D54" s="7">
        <v>10386.42</v>
      </c>
      <c r="E54" s="3"/>
      <c r="F54" s="8">
        <f t="shared" si="4"/>
        <v>0.57009853644399378</v>
      </c>
      <c r="G54" s="3"/>
      <c r="H54" s="7">
        <v>6000</v>
      </c>
      <c r="I54" s="3"/>
      <c r="J54" s="8">
        <f t="shared" si="5"/>
        <v>0.12875536480686695</v>
      </c>
      <c r="K54" s="3"/>
      <c r="L54" s="7">
        <f t="shared" si="6"/>
        <v>4386.42</v>
      </c>
      <c r="M54" s="3"/>
      <c r="N54" s="8">
        <f t="shared" si="7"/>
        <v>0.73107</v>
      </c>
      <c r="O54" s="12"/>
      <c r="P54" s="7">
        <v>105602.41</v>
      </c>
      <c r="Q54" s="3"/>
      <c r="R54" s="8">
        <f t="shared" si="8"/>
        <v>0.64143501530844493</v>
      </c>
      <c r="S54" s="3"/>
      <c r="T54" s="7">
        <v>134300</v>
      </c>
      <c r="U54" s="3"/>
      <c r="V54" s="8">
        <f t="shared" si="9"/>
        <v>0.42862158108064979</v>
      </c>
      <c r="W54" s="3"/>
      <c r="X54" s="7">
        <f t="shared" si="10"/>
        <v>-28697.589999999997</v>
      </c>
      <c r="Y54" s="3"/>
      <c r="Z54" s="8">
        <f t="shared" si="11"/>
        <v>-0.2136827252419955</v>
      </c>
    </row>
    <row r="55" spans="1:26" s="70" customFormat="1" ht="15" hidden="1" customHeight="1" outlineLevel="2" x14ac:dyDescent="0.3">
      <c r="A55" s="26"/>
      <c r="B55" s="12" t="str">
        <f>CONCATENATE("          ","6307"," - ","POSTAGE")</f>
        <v xml:space="preserve">          6307 - POSTAGE</v>
      </c>
      <c r="C55" s="12"/>
      <c r="D55" s="7">
        <v>-8623.2000000000007</v>
      </c>
      <c r="E55" s="3"/>
      <c r="F55" s="8">
        <f t="shared" si="4"/>
        <v>-0.47331743752552347</v>
      </c>
      <c r="G55" s="3"/>
      <c r="H55" s="7">
        <v>-6000</v>
      </c>
      <c r="I55" s="3"/>
      <c r="J55" s="8">
        <f t="shared" si="5"/>
        <v>-0.12875536480686695</v>
      </c>
      <c r="K55" s="3"/>
      <c r="L55" s="7">
        <f t="shared" si="6"/>
        <v>-2623.2000000000007</v>
      </c>
      <c r="M55" s="3"/>
      <c r="N55" s="8">
        <f t="shared" si="7"/>
        <v>0.43720000000000014</v>
      </c>
      <c r="O55" s="12"/>
      <c r="P55" s="7">
        <v>-168202.23999999999</v>
      </c>
      <c r="Q55" s="3"/>
      <c r="R55" s="8">
        <f t="shared" si="8"/>
        <v>-1.0216699258029689</v>
      </c>
      <c r="S55" s="3"/>
      <c r="T55" s="7">
        <v>-161000</v>
      </c>
      <c r="U55" s="3"/>
      <c r="V55" s="8">
        <f t="shared" si="9"/>
        <v>-0.51383525356652726</v>
      </c>
      <c r="W55" s="3"/>
      <c r="X55" s="7">
        <f t="shared" si="10"/>
        <v>-7202.2399999999907</v>
      </c>
      <c r="Y55" s="3"/>
      <c r="Z55" s="8">
        <f t="shared" si="11"/>
        <v>4.4734409937888138E-2</v>
      </c>
    </row>
    <row r="56" spans="1:26" s="69" customFormat="1" ht="15" customHeight="1" outlineLevel="1" collapsed="1" x14ac:dyDescent="0.3">
      <c r="A56" s="25"/>
      <c r="B56" s="14" t="str">
        <f>CONCATENATE("     ","General                                           ")</f>
        <v xml:space="preserve">     General                                           </v>
      </c>
      <c r="C56" s="14"/>
      <c r="D56" s="2">
        <f>SUM(OSRRefD22_6x_0)</f>
        <v>0</v>
      </c>
      <c r="E56" s="2"/>
      <c r="F56" s="6">
        <f t="shared" si="4"/>
        <v>0</v>
      </c>
      <c r="G56" s="2"/>
      <c r="H56" s="2">
        <f>SUM(OSRRefH22_6x_0)</f>
        <v>0</v>
      </c>
      <c r="I56" s="2"/>
      <c r="J56" s="6">
        <f t="shared" si="5"/>
        <v>0</v>
      </c>
      <c r="K56" s="2"/>
      <c r="L56" s="2">
        <f t="shared" si="6"/>
        <v>0</v>
      </c>
      <c r="M56" s="2"/>
      <c r="N56" s="6">
        <f t="shared" si="7"/>
        <v>0</v>
      </c>
      <c r="O56" s="14"/>
      <c r="P56" s="2">
        <f>SUM(OSRRefP22_6x_0)</f>
        <v>91.31</v>
      </c>
      <c r="Q56" s="2"/>
      <c r="R56" s="6">
        <f t="shared" si="8"/>
        <v>5.546221080353573E-4</v>
      </c>
      <c r="S56" s="2"/>
      <c r="T56" s="2">
        <f>SUM(OSRRefT22_6x_0)</f>
        <v>0</v>
      </c>
      <c r="U56" s="2"/>
      <c r="V56" s="6">
        <f t="shared" si="9"/>
        <v>0</v>
      </c>
      <c r="W56" s="2"/>
      <c r="X56" s="2">
        <f t="shared" si="10"/>
        <v>91.31</v>
      </c>
      <c r="Y56" s="2"/>
      <c r="Z56" s="6">
        <f t="shared" si="11"/>
        <v>0</v>
      </c>
    </row>
    <row r="57" spans="1:26" s="70" customFormat="1" ht="15" hidden="1" customHeight="1" outlineLevel="2" x14ac:dyDescent="0.3">
      <c r="A57" s="26"/>
      <c r="B57" s="12" t="str">
        <f>CONCATENATE("          ","6279"," - ","GENERAL EXPENSE")</f>
        <v xml:space="preserve">          6279 - GENERAL EXPENSE</v>
      </c>
      <c r="C57" s="12"/>
      <c r="D57" s="7"/>
      <c r="E57" s="3"/>
      <c r="F57" s="8">
        <f t="shared" si="4"/>
        <v>0</v>
      </c>
      <c r="G57" s="3"/>
      <c r="H57" s="7"/>
      <c r="I57" s="3"/>
      <c r="J57" s="8">
        <f t="shared" si="5"/>
        <v>0</v>
      </c>
      <c r="K57" s="3"/>
      <c r="L57" s="7">
        <f t="shared" si="6"/>
        <v>0</v>
      </c>
      <c r="M57" s="3"/>
      <c r="N57" s="8">
        <f t="shared" si="7"/>
        <v>0</v>
      </c>
      <c r="O57" s="12"/>
      <c r="P57" s="7">
        <v>91.31</v>
      </c>
      <c r="Q57" s="3"/>
      <c r="R57" s="8">
        <f t="shared" si="8"/>
        <v>5.546221080353573E-4</v>
      </c>
      <c r="S57" s="3"/>
      <c r="T57" s="7"/>
      <c r="U57" s="3"/>
      <c r="V57" s="8">
        <f t="shared" si="9"/>
        <v>0</v>
      </c>
      <c r="W57" s="3"/>
      <c r="X57" s="7">
        <f t="shared" si="10"/>
        <v>91.31</v>
      </c>
      <c r="Y57" s="3"/>
      <c r="Z57" s="8">
        <f t="shared" si="11"/>
        <v>0</v>
      </c>
    </row>
    <row r="58" spans="1:26" s="69" customFormat="1" ht="15" customHeight="1" outlineLevel="1" collapsed="1" x14ac:dyDescent="0.3">
      <c r="A58" s="25"/>
      <c r="B58" s="14" t="str">
        <f>CONCATENATE("     ","Repair and Maintenance                            ")</f>
        <v xml:space="preserve">     Repair and Maintenance                            </v>
      </c>
      <c r="C58" s="14"/>
      <c r="D58" s="2">
        <f>SUM(OSRRefD22_7x_0)</f>
        <v>2724.17</v>
      </c>
      <c r="E58" s="2"/>
      <c r="F58" s="6">
        <f t="shared" si="4"/>
        <v>0.14952652887372497</v>
      </c>
      <c r="G58" s="2"/>
      <c r="H58" s="2">
        <f>SUM(OSRRefH22_7x_0)</f>
        <v>5600</v>
      </c>
      <c r="I58" s="2"/>
      <c r="J58" s="6">
        <f t="shared" si="5"/>
        <v>0.12017167381974249</v>
      </c>
      <c r="K58" s="2"/>
      <c r="L58" s="2">
        <f t="shared" si="6"/>
        <v>-2875.83</v>
      </c>
      <c r="M58" s="2"/>
      <c r="N58" s="6">
        <f t="shared" si="7"/>
        <v>-0.51354107142857142</v>
      </c>
      <c r="O58" s="14"/>
      <c r="P58" s="2">
        <f>SUM(OSRRefP22_7x_0)</f>
        <v>26095.590000000004</v>
      </c>
      <c r="Q58" s="2"/>
      <c r="R58" s="6">
        <f t="shared" si="8"/>
        <v>0.15850609063877333</v>
      </c>
      <c r="S58" s="2"/>
      <c r="T58" s="2">
        <f>SUM(OSRRefT22_7x_0)</f>
        <v>49300</v>
      </c>
      <c r="U58" s="2"/>
      <c r="V58" s="6">
        <f t="shared" si="9"/>
        <v>0.15734209938403601</v>
      </c>
      <c r="W58" s="2"/>
      <c r="X58" s="2">
        <f t="shared" si="10"/>
        <v>-23204.409999999996</v>
      </c>
      <c r="Y58" s="2"/>
      <c r="Z58" s="6">
        <f t="shared" si="11"/>
        <v>-0.47067768762677475</v>
      </c>
    </row>
    <row r="59" spans="1:26" s="70" customFormat="1" ht="15" hidden="1" customHeight="1" outlineLevel="2" x14ac:dyDescent="0.3">
      <c r="A59" s="26"/>
      <c r="B59" s="12" t="str">
        <f>CONCATENATE("          ","6371"," - ","COMPUTER SOFTWARE MAINTENANCE")</f>
        <v xml:space="preserve">          6371 - COMPUTER SOFTWARE MAINTENANCE</v>
      </c>
      <c r="C59" s="12"/>
      <c r="D59" s="7"/>
      <c r="E59" s="3"/>
      <c r="F59" s="8">
        <f t="shared" si="4"/>
        <v>0</v>
      </c>
      <c r="G59" s="3"/>
      <c r="H59" s="7"/>
      <c r="I59" s="3"/>
      <c r="J59" s="8">
        <f t="shared" si="5"/>
        <v>0</v>
      </c>
      <c r="K59" s="3"/>
      <c r="L59" s="7">
        <f t="shared" si="6"/>
        <v>0</v>
      </c>
      <c r="M59" s="3"/>
      <c r="N59" s="8">
        <f t="shared" si="7"/>
        <v>0</v>
      </c>
      <c r="O59" s="12"/>
      <c r="P59" s="7"/>
      <c r="Q59" s="3"/>
      <c r="R59" s="8">
        <f t="shared" si="8"/>
        <v>0</v>
      </c>
      <c r="S59" s="3"/>
      <c r="T59" s="7">
        <v>100</v>
      </c>
      <c r="U59" s="3"/>
      <c r="V59" s="8">
        <f t="shared" si="9"/>
        <v>3.1915233140778095E-4</v>
      </c>
      <c r="W59" s="3"/>
      <c r="X59" s="7">
        <f t="shared" si="10"/>
        <v>-100</v>
      </c>
      <c r="Y59" s="3"/>
      <c r="Z59" s="8">
        <f t="shared" si="11"/>
        <v>-1</v>
      </c>
    </row>
    <row r="60" spans="1:26" s="70" customFormat="1" ht="15" hidden="1" customHeight="1" outlineLevel="2" x14ac:dyDescent="0.3">
      <c r="A60" s="26"/>
      <c r="B60" s="12" t="str">
        <f>CONCATENATE("          ","6373"," - ","MAINTENANCE CONTRACTS")</f>
        <v xml:space="preserve">          6373 - MAINTENANCE CONTRACTS</v>
      </c>
      <c r="C60" s="12"/>
      <c r="D60" s="7">
        <v>964.58</v>
      </c>
      <c r="E60" s="3"/>
      <c r="F60" s="8">
        <f t="shared" si="4"/>
        <v>5.2944676441271155E-2</v>
      </c>
      <c r="G60" s="3"/>
      <c r="H60" s="7">
        <v>5600</v>
      </c>
      <c r="I60" s="3"/>
      <c r="J60" s="8">
        <f t="shared" si="5"/>
        <v>0.12017167381974249</v>
      </c>
      <c r="K60" s="3"/>
      <c r="L60" s="7">
        <f t="shared" si="6"/>
        <v>-4635.42</v>
      </c>
      <c r="M60" s="3"/>
      <c r="N60" s="8">
        <f t="shared" si="7"/>
        <v>-0.82775357142857142</v>
      </c>
      <c r="O60" s="12"/>
      <c r="P60" s="7">
        <v>8477.85</v>
      </c>
      <c r="Q60" s="3"/>
      <c r="R60" s="8">
        <f t="shared" si="8"/>
        <v>5.1494940736037172E-2</v>
      </c>
      <c r="S60" s="3"/>
      <c r="T60" s="7">
        <v>49200</v>
      </c>
      <c r="U60" s="3"/>
      <c r="V60" s="8">
        <f t="shared" si="9"/>
        <v>0.15702294705262823</v>
      </c>
      <c r="W60" s="3"/>
      <c r="X60" s="7">
        <f t="shared" si="10"/>
        <v>-40722.15</v>
      </c>
      <c r="Y60" s="3"/>
      <c r="Z60" s="8">
        <f t="shared" si="11"/>
        <v>-0.8276859756097561</v>
      </c>
    </row>
    <row r="61" spans="1:26" s="70" customFormat="1" ht="15" hidden="1" customHeight="1" outlineLevel="2" x14ac:dyDescent="0.3">
      <c r="A61" s="26"/>
      <c r="B61" s="12" t="str">
        <f>CONCATENATE("          ","6375"," - ","OUTSIDE REPAIRS &amp; MAINTENANCE")</f>
        <v xml:space="preserve">          6375 - OUTSIDE REPAIRS &amp; MAINTENANCE</v>
      </c>
      <c r="C61" s="12"/>
      <c r="D61" s="7">
        <v>1759.59</v>
      </c>
      <c r="E61" s="3"/>
      <c r="F61" s="8">
        <f t="shared" si="4"/>
        <v>9.6581852432453819E-2</v>
      </c>
      <c r="G61" s="3"/>
      <c r="H61" s="7"/>
      <c r="I61" s="3"/>
      <c r="J61" s="8">
        <f t="shared" si="5"/>
        <v>0</v>
      </c>
      <c r="K61" s="3"/>
      <c r="L61" s="7">
        <f t="shared" si="6"/>
        <v>1759.59</v>
      </c>
      <c r="M61" s="3"/>
      <c r="N61" s="8">
        <f t="shared" si="7"/>
        <v>0</v>
      </c>
      <c r="O61" s="12"/>
      <c r="P61" s="7">
        <v>17617.740000000002</v>
      </c>
      <c r="Q61" s="3"/>
      <c r="R61" s="8">
        <f t="shared" si="8"/>
        <v>0.10701114990273615</v>
      </c>
      <c r="S61" s="3"/>
      <c r="T61" s="7"/>
      <c r="U61" s="3"/>
      <c r="V61" s="8">
        <f t="shared" si="9"/>
        <v>0</v>
      </c>
      <c r="W61" s="3"/>
      <c r="X61" s="7">
        <f t="shared" si="10"/>
        <v>17617.740000000002</v>
      </c>
      <c r="Y61" s="3"/>
      <c r="Z61" s="8">
        <f t="shared" si="11"/>
        <v>0</v>
      </c>
    </row>
    <row r="62" spans="1:26" s="69" customFormat="1" ht="15" customHeight="1" outlineLevel="1" collapsed="1" x14ac:dyDescent="0.3">
      <c r="A62" s="25"/>
      <c r="B62" s="14" t="str">
        <f>CONCATENATE("     ","Royalty &amp; Commissions                             ")</f>
        <v xml:space="preserve">     Royalty &amp; Commissions                             </v>
      </c>
      <c r="C62" s="14"/>
      <c r="D62" s="2">
        <f>SUM(OSRRefD22_8x_0)</f>
        <v>2502.14</v>
      </c>
      <c r="E62" s="2"/>
      <c r="F62" s="6">
        <f t="shared" si="4"/>
        <v>0.13733955992324348</v>
      </c>
      <c r="G62" s="2"/>
      <c r="H62" s="2">
        <f>SUM(OSRRefH22_8x_0)</f>
        <v>600</v>
      </c>
      <c r="I62" s="2"/>
      <c r="J62" s="6">
        <f t="shared" si="5"/>
        <v>1.2875536480686695E-2</v>
      </c>
      <c r="K62" s="2"/>
      <c r="L62" s="2">
        <f t="shared" si="6"/>
        <v>1902.1399999999999</v>
      </c>
      <c r="M62" s="2"/>
      <c r="N62" s="6">
        <f t="shared" si="7"/>
        <v>3.170233333333333</v>
      </c>
      <c r="O62" s="14"/>
      <c r="P62" s="2">
        <f>SUM(OSRRefP22_8x_0)</f>
        <v>10005.620000000001</v>
      </c>
      <c r="Q62" s="2"/>
      <c r="R62" s="6">
        <f t="shared" si="8"/>
        <v>6.0774702185967942E-2</v>
      </c>
      <c r="S62" s="2"/>
      <c r="T62" s="2">
        <f>SUM(OSRRefT22_8x_0)</f>
        <v>33300</v>
      </c>
      <c r="U62" s="2"/>
      <c r="V62" s="6">
        <f t="shared" si="9"/>
        <v>0.10627772635879106</v>
      </c>
      <c r="W62" s="2"/>
      <c r="X62" s="2">
        <f t="shared" si="10"/>
        <v>-23294.379999999997</v>
      </c>
      <c r="Y62" s="2"/>
      <c r="Z62" s="6">
        <f t="shared" si="11"/>
        <v>-0.69953093093093088</v>
      </c>
    </row>
    <row r="63" spans="1:26" s="70" customFormat="1" ht="15" hidden="1" customHeight="1" outlineLevel="2" x14ac:dyDescent="0.3">
      <c r="A63" s="26"/>
      <c r="B63" s="12" t="str">
        <f>CONCATENATE("          ","6259"," - ","ROYALTY &amp; COMMISSIONS")</f>
        <v xml:space="preserve">          6259 - ROYALTY &amp; COMMISSIONS</v>
      </c>
      <c r="C63" s="12"/>
      <c r="D63" s="7">
        <v>2502.14</v>
      </c>
      <c r="E63" s="3"/>
      <c r="F63" s="8">
        <f t="shared" si="4"/>
        <v>0.13733955992324348</v>
      </c>
      <c r="G63" s="3"/>
      <c r="H63" s="7">
        <v>600</v>
      </c>
      <c r="I63" s="3"/>
      <c r="J63" s="8">
        <f t="shared" si="5"/>
        <v>1.2875536480686695E-2</v>
      </c>
      <c r="K63" s="3"/>
      <c r="L63" s="7">
        <f t="shared" si="6"/>
        <v>1902.1399999999999</v>
      </c>
      <c r="M63" s="3"/>
      <c r="N63" s="8">
        <f t="shared" si="7"/>
        <v>3.170233333333333</v>
      </c>
      <c r="O63" s="12"/>
      <c r="P63" s="7">
        <v>10005.620000000001</v>
      </c>
      <c r="Q63" s="3"/>
      <c r="R63" s="8">
        <f t="shared" si="8"/>
        <v>6.0774702185967942E-2</v>
      </c>
      <c r="S63" s="3"/>
      <c r="T63" s="7">
        <v>33300</v>
      </c>
      <c r="U63" s="3"/>
      <c r="V63" s="8">
        <f t="shared" si="9"/>
        <v>0.10627772635879106</v>
      </c>
      <c r="W63" s="3"/>
      <c r="X63" s="7">
        <f t="shared" si="10"/>
        <v>-23294.379999999997</v>
      </c>
      <c r="Y63" s="3"/>
      <c r="Z63" s="8">
        <f t="shared" si="11"/>
        <v>-0.69953093093093088</v>
      </c>
    </row>
    <row r="64" spans="1:26" s="69" customFormat="1" ht="15" customHeight="1" outlineLevel="1" collapsed="1" x14ac:dyDescent="0.3">
      <c r="A64" s="25"/>
      <c r="B64" s="14" t="str">
        <f>CONCATENATE("     ","Subscriptions &amp; Dues                              ")</f>
        <v xml:space="preserve">     Subscriptions &amp; Dues                              </v>
      </c>
      <c r="C64" s="14"/>
      <c r="D64" s="2">
        <f>SUM(OSRRefD22_9x_0)</f>
        <v>5.28</v>
      </c>
      <c r="E64" s="2"/>
      <c r="F64" s="6">
        <f t="shared" si="4"/>
        <v>2.8981307056948275E-4</v>
      </c>
      <c r="G64" s="2"/>
      <c r="H64" s="2">
        <f>SUM(OSRRefH22_9x_0)</f>
        <v>0</v>
      </c>
      <c r="I64" s="2"/>
      <c r="J64" s="6">
        <f t="shared" si="5"/>
        <v>0</v>
      </c>
      <c r="K64" s="2"/>
      <c r="L64" s="2">
        <f t="shared" si="6"/>
        <v>5.28</v>
      </c>
      <c r="M64" s="2"/>
      <c r="N64" s="6">
        <f t="shared" si="7"/>
        <v>0</v>
      </c>
      <c r="O64" s="14"/>
      <c r="P64" s="2">
        <f>SUM(OSRRefP22_9x_0)</f>
        <v>5.28</v>
      </c>
      <c r="Q64" s="2"/>
      <c r="R64" s="6">
        <f t="shared" si="8"/>
        <v>3.2071018841602091E-5</v>
      </c>
      <c r="S64" s="2"/>
      <c r="T64" s="2">
        <f>SUM(OSRRefT22_9x_0)</f>
        <v>0</v>
      </c>
      <c r="U64" s="2"/>
      <c r="V64" s="6">
        <f t="shared" si="9"/>
        <v>0</v>
      </c>
      <c r="W64" s="2"/>
      <c r="X64" s="2">
        <f t="shared" si="10"/>
        <v>5.28</v>
      </c>
      <c r="Y64" s="2"/>
      <c r="Z64" s="6">
        <f t="shared" si="11"/>
        <v>0</v>
      </c>
    </row>
    <row r="65" spans="1:26" s="70" customFormat="1" ht="15" hidden="1" customHeight="1" outlineLevel="2" x14ac:dyDescent="0.3">
      <c r="A65" s="26"/>
      <c r="B65" s="12" t="str">
        <f>CONCATENATE("          ","6258"," - ","MEMBERSHIP DUES")</f>
        <v xml:space="preserve">          6258 - MEMBERSHIP DUES</v>
      </c>
      <c r="C65" s="12"/>
      <c r="D65" s="7">
        <v>5.28</v>
      </c>
      <c r="E65" s="3"/>
      <c r="F65" s="8">
        <f t="shared" si="4"/>
        <v>2.8981307056948275E-4</v>
      </c>
      <c r="G65" s="3"/>
      <c r="H65" s="7"/>
      <c r="I65" s="3"/>
      <c r="J65" s="8">
        <f t="shared" si="5"/>
        <v>0</v>
      </c>
      <c r="K65" s="3"/>
      <c r="L65" s="7">
        <f t="shared" si="6"/>
        <v>5.28</v>
      </c>
      <c r="M65" s="3"/>
      <c r="N65" s="8">
        <f t="shared" si="7"/>
        <v>0</v>
      </c>
      <c r="O65" s="12"/>
      <c r="P65" s="7">
        <v>5.28</v>
      </c>
      <c r="Q65" s="3"/>
      <c r="R65" s="8">
        <f t="shared" si="8"/>
        <v>3.2071018841602091E-5</v>
      </c>
      <c r="S65" s="3"/>
      <c r="T65" s="7"/>
      <c r="U65" s="3"/>
      <c r="V65" s="8">
        <f t="shared" si="9"/>
        <v>0</v>
      </c>
      <c r="W65" s="3"/>
      <c r="X65" s="7">
        <f t="shared" si="10"/>
        <v>5.28</v>
      </c>
      <c r="Y65" s="3"/>
      <c r="Z65" s="8">
        <f t="shared" si="11"/>
        <v>0</v>
      </c>
    </row>
    <row r="66" spans="1:26" s="69" customFormat="1" ht="15" customHeight="1" outlineLevel="1" collapsed="1" x14ac:dyDescent="0.3">
      <c r="A66" s="25"/>
      <c r="B66" s="14" t="str">
        <f>CONCATENATE("     ","Supplies                                          ")</f>
        <v xml:space="preserve">     Supplies                                          </v>
      </c>
      <c r="C66" s="14"/>
      <c r="D66" s="2">
        <f>SUM(OSRRefD22_10x_0)</f>
        <v>7414.27</v>
      </c>
      <c r="E66" s="2"/>
      <c r="F66" s="6">
        <f t="shared" si="4"/>
        <v>0.40696067324454527</v>
      </c>
      <c r="G66" s="2"/>
      <c r="H66" s="2">
        <f>SUM(OSRRefH22_10x_0)</f>
        <v>1350</v>
      </c>
      <c r="I66" s="2"/>
      <c r="J66" s="6">
        <f t="shared" si="5"/>
        <v>2.8969957081545063E-2</v>
      </c>
      <c r="K66" s="2"/>
      <c r="L66" s="2">
        <f t="shared" si="6"/>
        <v>6064.27</v>
      </c>
      <c r="M66" s="2"/>
      <c r="N66" s="6">
        <f t="shared" si="7"/>
        <v>4.4920518518518522</v>
      </c>
      <c r="O66" s="14"/>
      <c r="P66" s="2">
        <f>SUM(OSRRefP22_10x_0)</f>
        <v>35707.050000000003</v>
      </c>
      <c r="Q66" s="2"/>
      <c r="R66" s="6">
        <f t="shared" si="8"/>
        <v>0.21688664267576288</v>
      </c>
      <c r="S66" s="2"/>
      <c r="T66" s="2">
        <f>SUM(OSRRefT22_10x_0)</f>
        <v>40850</v>
      </c>
      <c r="U66" s="2"/>
      <c r="V66" s="6">
        <f t="shared" si="9"/>
        <v>0.13037372738007852</v>
      </c>
      <c r="W66" s="2"/>
      <c r="X66" s="2">
        <f t="shared" si="10"/>
        <v>-5142.9499999999971</v>
      </c>
      <c r="Y66" s="2"/>
      <c r="Z66" s="6">
        <f t="shared" si="11"/>
        <v>-0.12589840881272943</v>
      </c>
    </row>
    <row r="67" spans="1:26" s="70" customFormat="1" ht="15" hidden="1" customHeight="1" outlineLevel="2" x14ac:dyDescent="0.3">
      <c r="A67" s="26"/>
      <c r="B67" s="12" t="str">
        <f>CONCATENATE("          ","6241"," - ","OFFICE EXPENSE")</f>
        <v xml:space="preserve">          6241 - OFFICE EXPENSE</v>
      </c>
      <c r="C67" s="12"/>
      <c r="D67" s="7">
        <v>1063.92</v>
      </c>
      <c r="E67" s="3"/>
      <c r="F67" s="8">
        <f t="shared" si="4"/>
        <v>5.8397333719750776E-2</v>
      </c>
      <c r="G67" s="3"/>
      <c r="H67" s="7"/>
      <c r="I67" s="3"/>
      <c r="J67" s="8">
        <f t="shared" si="5"/>
        <v>0</v>
      </c>
      <c r="K67" s="3"/>
      <c r="L67" s="7">
        <f t="shared" si="6"/>
        <v>1063.92</v>
      </c>
      <c r="M67" s="3"/>
      <c r="N67" s="8">
        <f t="shared" si="7"/>
        <v>0</v>
      </c>
      <c r="O67" s="12"/>
      <c r="P67" s="7">
        <v>9221.3799999999992</v>
      </c>
      <c r="Q67" s="3"/>
      <c r="R67" s="8">
        <f t="shared" si="8"/>
        <v>5.6011184038934216E-2</v>
      </c>
      <c r="S67" s="3"/>
      <c r="T67" s="7">
        <v>50</v>
      </c>
      <c r="U67" s="3"/>
      <c r="V67" s="8">
        <f t="shared" si="9"/>
        <v>1.5957616570389047E-4</v>
      </c>
      <c r="W67" s="3"/>
      <c r="X67" s="7">
        <f t="shared" si="10"/>
        <v>9171.3799999999992</v>
      </c>
      <c r="Y67" s="3"/>
      <c r="Z67" s="8">
        <f t="shared" si="11"/>
        <v>183.42759999999998</v>
      </c>
    </row>
    <row r="68" spans="1:26" s="70" customFormat="1" ht="15" hidden="1" customHeight="1" outlineLevel="2" x14ac:dyDescent="0.3">
      <c r="A68" s="26"/>
      <c r="B68" s="12" t="str">
        <f>CONCATENATE("          ","6243"," - ","PAPER SUPPLIES")</f>
        <v xml:space="preserve">          6243 - PAPER SUPPLIES</v>
      </c>
      <c r="C68" s="12"/>
      <c r="D68" s="7">
        <v>1213.21</v>
      </c>
      <c r="E68" s="3"/>
      <c r="F68" s="8">
        <f t="shared" si="4"/>
        <v>6.6591688512424654E-2</v>
      </c>
      <c r="G68" s="3"/>
      <c r="H68" s="7">
        <v>150</v>
      </c>
      <c r="I68" s="3"/>
      <c r="J68" s="8">
        <f t="shared" si="5"/>
        <v>3.2188841201716738E-3</v>
      </c>
      <c r="K68" s="3"/>
      <c r="L68" s="7">
        <f t="shared" si="6"/>
        <v>1063.21</v>
      </c>
      <c r="M68" s="3"/>
      <c r="N68" s="8">
        <f t="shared" si="7"/>
        <v>7.0880666666666672</v>
      </c>
      <c r="O68" s="12"/>
      <c r="P68" s="7">
        <v>6835.14</v>
      </c>
      <c r="Q68" s="3"/>
      <c r="R68" s="8">
        <f t="shared" si="8"/>
        <v>4.151702722064169E-2</v>
      </c>
      <c r="S68" s="3"/>
      <c r="T68" s="7">
        <v>30350</v>
      </c>
      <c r="U68" s="3"/>
      <c r="V68" s="8">
        <f t="shared" si="9"/>
        <v>9.686273258226151E-2</v>
      </c>
      <c r="W68" s="3"/>
      <c r="X68" s="7">
        <f t="shared" si="10"/>
        <v>-23514.86</v>
      </c>
      <c r="Y68" s="3"/>
      <c r="Z68" s="8">
        <f t="shared" si="11"/>
        <v>-0.77478945634266894</v>
      </c>
    </row>
    <row r="69" spans="1:26" s="70" customFormat="1" ht="15" hidden="1" customHeight="1" outlineLevel="2" x14ac:dyDescent="0.3">
      <c r="A69" s="26"/>
      <c r="B69" s="12" t="str">
        <f>CONCATENATE("          ","6245"," - ","PRINTING")</f>
        <v xml:space="preserve">          6245 - PRINTING</v>
      </c>
      <c r="C69" s="12"/>
      <c r="D69" s="7">
        <v>3671.2</v>
      </c>
      <c r="E69" s="3"/>
      <c r="F69" s="8">
        <f t="shared" si="4"/>
        <v>0.20150790618838732</v>
      </c>
      <c r="G69" s="3"/>
      <c r="H69" s="7">
        <v>500</v>
      </c>
      <c r="I69" s="3"/>
      <c r="J69" s="8">
        <f t="shared" si="5"/>
        <v>1.0729613733905579E-2</v>
      </c>
      <c r="K69" s="3"/>
      <c r="L69" s="7">
        <f t="shared" si="6"/>
        <v>3171.2</v>
      </c>
      <c r="M69" s="3"/>
      <c r="N69" s="8">
        <f t="shared" si="7"/>
        <v>6.3423999999999996</v>
      </c>
      <c r="O69" s="12"/>
      <c r="P69" s="7">
        <v>5332.53</v>
      </c>
      <c r="Q69" s="3"/>
      <c r="R69" s="8">
        <f t="shared" si="8"/>
        <v>3.2390089034736433E-2</v>
      </c>
      <c r="S69" s="3"/>
      <c r="T69" s="7">
        <v>7995</v>
      </c>
      <c r="U69" s="3"/>
      <c r="V69" s="8">
        <f t="shared" si="9"/>
        <v>2.5516228896052085E-2</v>
      </c>
      <c r="W69" s="3"/>
      <c r="X69" s="7">
        <f t="shared" si="10"/>
        <v>-2662.4700000000003</v>
      </c>
      <c r="Y69" s="3"/>
      <c r="Z69" s="8">
        <f t="shared" si="11"/>
        <v>-0.33301688555347098</v>
      </c>
    </row>
    <row r="70" spans="1:26" s="70" customFormat="1" ht="15" hidden="1" customHeight="1" outlineLevel="2" x14ac:dyDescent="0.3">
      <c r="A70" s="26"/>
      <c r="B70" s="12" t="str">
        <f>CONCATENATE("          ","6247"," - ","STORE SUPPLIES")</f>
        <v xml:space="preserve">          6247 - STORE SUPPLIES</v>
      </c>
      <c r="C70" s="12"/>
      <c r="D70" s="7">
        <v>1465.94</v>
      </c>
      <c r="E70" s="3"/>
      <c r="F70" s="8">
        <f t="shared" si="4"/>
        <v>8.0463744823982497E-2</v>
      </c>
      <c r="G70" s="3"/>
      <c r="H70" s="7">
        <v>700</v>
      </c>
      <c r="I70" s="3"/>
      <c r="J70" s="8">
        <f t="shared" si="5"/>
        <v>1.5021459227467811E-2</v>
      </c>
      <c r="K70" s="3"/>
      <c r="L70" s="7">
        <f t="shared" si="6"/>
        <v>765.94</v>
      </c>
      <c r="M70" s="3"/>
      <c r="N70" s="8">
        <f t="shared" si="7"/>
        <v>1.0942000000000001</v>
      </c>
      <c r="O70" s="12"/>
      <c r="P70" s="7">
        <v>14318</v>
      </c>
      <c r="Q70" s="3"/>
      <c r="R70" s="8">
        <f t="shared" si="8"/>
        <v>8.6968342381450514E-2</v>
      </c>
      <c r="S70" s="3"/>
      <c r="T70" s="7">
        <v>2455</v>
      </c>
      <c r="U70" s="3"/>
      <c r="V70" s="8">
        <f t="shared" si="9"/>
        <v>7.8351897360610222E-3</v>
      </c>
      <c r="W70" s="3"/>
      <c r="X70" s="7">
        <f t="shared" si="10"/>
        <v>11863</v>
      </c>
      <c r="Y70" s="3"/>
      <c r="Z70" s="8">
        <f t="shared" si="11"/>
        <v>4.8321792260692469</v>
      </c>
    </row>
    <row r="71" spans="1:26" s="69" customFormat="1" ht="15" customHeight="1" outlineLevel="1" collapsed="1" x14ac:dyDescent="0.3">
      <c r="A71" s="25"/>
      <c r="B71" s="14" t="str">
        <f>CONCATENATE("     ","Telephone/Data Lines                              ")</f>
        <v xml:space="preserve">     Telephone/Data Lines                              </v>
      </c>
      <c r="C71" s="14"/>
      <c r="D71" s="2">
        <f>SUM(OSRRefD22_11x_0)</f>
        <v>46</v>
      </c>
      <c r="E71" s="2"/>
      <c r="F71" s="6">
        <f t="shared" si="4"/>
        <v>2.5248865996583725E-3</v>
      </c>
      <c r="G71" s="2"/>
      <c r="H71" s="2">
        <f>SUM(OSRRefH22_11x_0)</f>
        <v>175</v>
      </c>
      <c r="I71" s="2"/>
      <c r="J71" s="6">
        <f t="shared" si="5"/>
        <v>3.7553648068669528E-3</v>
      </c>
      <c r="K71" s="2"/>
      <c r="L71" s="2">
        <f t="shared" si="6"/>
        <v>-129</v>
      </c>
      <c r="M71" s="2"/>
      <c r="N71" s="6">
        <f t="shared" si="7"/>
        <v>-0.7371428571428571</v>
      </c>
      <c r="O71" s="14"/>
      <c r="P71" s="2">
        <f>SUM(OSRRefP22_11x_0)</f>
        <v>930.4</v>
      </c>
      <c r="Q71" s="2"/>
      <c r="R71" s="6">
        <f t="shared" si="8"/>
        <v>5.6513022595126106E-3</v>
      </c>
      <c r="S71" s="2"/>
      <c r="T71" s="2">
        <f>SUM(OSRRefT22_11x_0)</f>
        <v>1575</v>
      </c>
      <c r="U71" s="2"/>
      <c r="V71" s="6">
        <f t="shared" si="9"/>
        <v>5.0266492196725495E-3</v>
      </c>
      <c r="W71" s="2"/>
      <c r="X71" s="2">
        <f t="shared" si="10"/>
        <v>-644.6</v>
      </c>
      <c r="Y71" s="2"/>
      <c r="Z71" s="6">
        <f t="shared" si="11"/>
        <v>-0.40926984126984128</v>
      </c>
    </row>
    <row r="72" spans="1:26" s="70" customFormat="1" ht="15" hidden="1" customHeight="1" outlineLevel="2" x14ac:dyDescent="0.3">
      <c r="A72" s="26"/>
      <c r="B72" s="12" t="str">
        <f>CONCATENATE("          ","6309"," - ","TELEPHONE")</f>
        <v xml:space="preserve">          6309 - TELEPHONE</v>
      </c>
      <c r="C72" s="12"/>
      <c r="D72" s="7">
        <v>46</v>
      </c>
      <c r="E72" s="3"/>
      <c r="F72" s="8">
        <f t="shared" si="4"/>
        <v>2.5248865996583725E-3</v>
      </c>
      <c r="G72" s="3"/>
      <c r="H72" s="7">
        <v>175</v>
      </c>
      <c r="I72" s="3"/>
      <c r="J72" s="8">
        <f t="shared" si="5"/>
        <v>3.7553648068669528E-3</v>
      </c>
      <c r="K72" s="3"/>
      <c r="L72" s="7">
        <f t="shared" si="6"/>
        <v>-129</v>
      </c>
      <c r="M72" s="3"/>
      <c r="N72" s="8">
        <f t="shared" si="7"/>
        <v>-0.7371428571428571</v>
      </c>
      <c r="O72" s="12"/>
      <c r="P72" s="7">
        <v>930.4</v>
      </c>
      <c r="Q72" s="3"/>
      <c r="R72" s="8">
        <f t="shared" si="8"/>
        <v>5.6513022595126106E-3</v>
      </c>
      <c r="S72" s="3"/>
      <c r="T72" s="7">
        <v>1575</v>
      </c>
      <c r="U72" s="3"/>
      <c r="V72" s="8">
        <f t="shared" si="9"/>
        <v>5.0266492196725495E-3</v>
      </c>
      <c r="W72" s="3"/>
      <c r="X72" s="7">
        <f t="shared" si="10"/>
        <v>-644.6</v>
      </c>
      <c r="Y72" s="3"/>
      <c r="Z72" s="8">
        <f t="shared" si="11"/>
        <v>-0.40926984126984128</v>
      </c>
    </row>
    <row r="73" spans="1:26" s="65" customFormat="1" ht="15" customHeight="1" x14ac:dyDescent="0.3">
      <c r="A73" s="35"/>
      <c r="B73" s="35"/>
      <c r="C73" s="35"/>
      <c r="D73" s="2"/>
      <c r="E73" s="2"/>
      <c r="F73" s="6"/>
      <c r="G73" s="2"/>
      <c r="H73" s="2"/>
      <c r="I73" s="2"/>
      <c r="J73" s="6"/>
      <c r="K73" s="2"/>
      <c r="L73" s="2"/>
      <c r="M73" s="2"/>
      <c r="N73" s="6"/>
      <c r="O73" s="35"/>
      <c r="P73" s="2"/>
      <c r="Q73" s="2"/>
      <c r="R73" s="6"/>
      <c r="S73" s="2"/>
      <c r="T73" s="2"/>
      <c r="U73" s="2"/>
      <c r="V73" s="6"/>
      <c r="W73" s="2"/>
      <c r="X73" s="2"/>
      <c r="Y73" s="2"/>
      <c r="Z73" s="6"/>
    </row>
    <row r="74" spans="1:26" s="63" customFormat="1" ht="15" customHeight="1" collapsed="1" x14ac:dyDescent="0.3">
      <c r="A74" s="11"/>
      <c r="B74" s="28" t="s">
        <v>291</v>
      </c>
      <c r="C74" s="11"/>
      <c r="D74" s="5">
        <f>SUM(OSRRefD25x_0)</f>
        <v>0</v>
      </c>
      <c r="E74" s="5"/>
      <c r="F74" s="13">
        <f>IF(D$12=0,0,D74/D$12)</f>
        <v>0</v>
      </c>
      <c r="G74" s="5"/>
      <c r="H74" s="5">
        <f>SUM(OSRRefH25x_0)</f>
        <v>0</v>
      </c>
      <c r="I74" s="5"/>
      <c r="J74" s="13">
        <f>IF(H$12=0,0,H74/H$12)</f>
        <v>0</v>
      </c>
      <c r="K74" s="5"/>
      <c r="L74" s="5">
        <f>+D74-H74</f>
        <v>0</v>
      </c>
      <c r="M74" s="5"/>
      <c r="N74" s="13">
        <f>IF(H74=0,0,L74/H74)</f>
        <v>0</v>
      </c>
      <c r="O74" s="11"/>
      <c r="P74" s="5">
        <f>SUM(OSRRefP25x_0)</f>
        <v>15135.44</v>
      </c>
      <c r="Q74" s="5"/>
      <c r="R74" s="13">
        <f>IF(P$12=0,0,P74/P$12)</f>
        <v>9.1933519207563999E-2</v>
      </c>
      <c r="S74" s="5"/>
      <c r="T74" s="5">
        <f>SUM(OSRRefT25x_0)</f>
        <v>33910</v>
      </c>
      <c r="U74" s="5"/>
      <c r="V74" s="13">
        <f>IF(T$12=0,0,T74/T$12)</f>
        <v>0.10822455558037851</v>
      </c>
      <c r="W74" s="5"/>
      <c r="X74" s="5">
        <f>+P74-T74</f>
        <v>-18774.559999999998</v>
      </c>
      <c r="Y74" s="5"/>
      <c r="Z74" s="13">
        <f>IF(T74=0,0,X74/T74)</f>
        <v>-0.55365850781480386</v>
      </c>
    </row>
    <row r="75" spans="1:26" s="70" customFormat="1" ht="15" hidden="1" customHeight="1" outlineLevel="1" x14ac:dyDescent="0.3">
      <c r="A75" s="42"/>
      <c r="B75" s="12" t="str">
        <f>CONCATENATE("          ","9150"," - ","MISC. INCOME")</f>
        <v xml:space="preserve">          9150 - MISC. INCOME</v>
      </c>
      <c r="C75" s="12"/>
      <c r="D75" s="3">
        <f>0</f>
        <v>0</v>
      </c>
      <c r="E75" s="3"/>
      <c r="F75" s="20">
        <f>IF(D$12=0,0,D75/D$12)</f>
        <v>0</v>
      </c>
      <c r="G75" s="3"/>
      <c r="H75" s="3"/>
      <c r="I75" s="3"/>
      <c r="J75" s="20">
        <f>IF(H$12=0,0,H75/H$12)</f>
        <v>0</v>
      </c>
      <c r="K75" s="3"/>
      <c r="L75" s="3">
        <f>+D75-H75</f>
        <v>0</v>
      </c>
      <c r="M75" s="3"/>
      <c r="N75" s="20">
        <f>IF(H75=0,0,L75/H75)</f>
        <v>0</v>
      </c>
      <c r="O75" s="12"/>
      <c r="P75" s="3">
        <f>--15135.44</f>
        <v>15135.44</v>
      </c>
      <c r="Q75" s="3"/>
      <c r="R75" s="20">
        <f>IF(P$12=0,0,P75/P$12)</f>
        <v>9.1933519207563999E-2</v>
      </c>
      <c r="S75" s="3"/>
      <c r="T75" s="3">
        <v>33910</v>
      </c>
      <c r="U75" s="3"/>
      <c r="V75" s="20">
        <f>IF(T$12=0,0,T75/T$12)</f>
        <v>0.10822455558037851</v>
      </c>
      <c r="W75" s="3"/>
      <c r="X75" s="3">
        <f>+P75-T75</f>
        <v>-18774.559999999998</v>
      </c>
      <c r="Y75" s="3"/>
      <c r="Z75" s="20">
        <f>IF(T75=0,0,X75/T75)</f>
        <v>-0.55365850781480386</v>
      </c>
    </row>
    <row r="76" spans="1:26" ht="15" customHeight="1" x14ac:dyDescent="0.3">
      <c r="A76" s="10"/>
      <c r="B76" s="11"/>
      <c r="C76" s="11"/>
      <c r="D76" s="4"/>
      <c r="E76" s="4"/>
      <c r="F76" s="9"/>
      <c r="G76" s="4"/>
      <c r="H76" s="4"/>
      <c r="I76" s="4"/>
      <c r="J76" s="9"/>
      <c r="K76" s="4"/>
      <c r="L76" s="4"/>
      <c r="M76" s="4"/>
      <c r="N76" s="9"/>
      <c r="O76" s="11"/>
      <c r="P76" s="4"/>
      <c r="Q76" s="4"/>
      <c r="R76" s="9"/>
      <c r="S76" s="4"/>
      <c r="T76" s="4"/>
      <c r="U76" s="4"/>
      <c r="V76" s="9"/>
      <c r="W76" s="4"/>
      <c r="X76" s="4"/>
      <c r="Y76" s="4"/>
      <c r="Z76" s="9"/>
    </row>
    <row r="77" spans="1:26" s="63" customFormat="1" ht="15" customHeight="1" x14ac:dyDescent="0.3">
      <c r="A77" s="11"/>
      <c r="B77" s="27" t="s">
        <v>292</v>
      </c>
      <c r="C77" s="27"/>
      <c r="D77" s="21">
        <f>+D23-D25+D74</f>
        <v>-15683.05</v>
      </c>
      <c r="E77" s="15"/>
      <c r="F77" s="23">
        <f>IF(D$12=0,0,D77/D$12)</f>
        <v>-0.86082440840809205</v>
      </c>
      <c r="G77" s="15"/>
      <c r="H77" s="21">
        <f>+H23-H25+H74</f>
        <v>22613.395024384605</v>
      </c>
      <c r="I77" s="15"/>
      <c r="J77" s="23">
        <f>IF(H$12=0,0,H77/H$12)</f>
        <v>0.48526598764773832</v>
      </c>
      <c r="K77" s="16"/>
      <c r="L77" s="21">
        <f>+D77-H77</f>
        <v>-38296.445024384608</v>
      </c>
      <c r="M77" s="16"/>
      <c r="N77" s="23">
        <f>IF(H77=0,0,L77/H77)</f>
        <v>-1.6935292105890587</v>
      </c>
      <c r="O77" s="28"/>
      <c r="P77" s="21">
        <f>+P23-P25+P74</f>
        <v>-37125.850000000035</v>
      </c>
      <c r="Q77" s="15"/>
      <c r="R77" s="23">
        <f>IF(P$12=0,0,P77/P$12)</f>
        <v>-0.22550451417812387</v>
      </c>
      <c r="S77" s="15"/>
      <c r="T77" s="21">
        <f>+T23-T25+T74</f>
        <v>70941.054761057545</v>
      </c>
      <c r="U77" s="15"/>
      <c r="V77" s="23">
        <f>IF(T$12=0,0,T77/T$12)</f>
        <v>0.22641003019518574</v>
      </c>
      <c r="W77" s="16"/>
      <c r="X77" s="21">
        <f>+P77-T77</f>
        <v>-108066.90476105758</v>
      </c>
      <c r="Y77" s="16"/>
      <c r="Z77" s="23">
        <f>IF(T77=0,0,X77/T77)</f>
        <v>-1.5233337751327027</v>
      </c>
    </row>
    <row r="78" spans="1:26" ht="15" customHeight="1" x14ac:dyDescent="0.3">
      <c r="A78" s="10"/>
      <c r="B78" s="11"/>
      <c r="C78" s="10"/>
      <c r="D78" s="4"/>
      <c r="E78" s="4"/>
      <c r="F78" s="9"/>
      <c r="G78" s="4"/>
      <c r="H78" s="4"/>
      <c r="I78" s="4"/>
      <c r="J78" s="9"/>
      <c r="K78" s="4"/>
      <c r="L78" s="4"/>
      <c r="M78" s="4"/>
      <c r="N78" s="9"/>
      <c r="P78" s="4"/>
      <c r="Q78" s="4"/>
      <c r="R78" s="9"/>
      <c r="S78" s="4"/>
      <c r="T78" s="4"/>
      <c r="U78" s="4"/>
      <c r="V78" s="9"/>
      <c r="W78" s="4"/>
      <c r="X78" s="4"/>
      <c r="Y78" s="4"/>
      <c r="Z78" s="9"/>
    </row>
    <row r="79" spans="1:26" s="63" customFormat="1" ht="15" customHeight="1" x14ac:dyDescent="0.3">
      <c r="A79" s="49"/>
      <c r="B79" s="11" t="s">
        <v>293</v>
      </c>
      <c r="C79" s="11"/>
      <c r="D79" s="5">
        <v>1372.7</v>
      </c>
      <c r="E79" s="5"/>
      <c r="F79" s="13">
        <f>IF(D$12=0,0,D79/D$12)</f>
        <v>7.5345909464153218E-2</v>
      </c>
      <c r="G79" s="5"/>
      <c r="H79" s="5">
        <v>5551</v>
      </c>
      <c r="I79" s="5"/>
      <c r="J79" s="13">
        <f>IF(H$12=0,0,H79/H$12)</f>
        <v>0.11912017167381975</v>
      </c>
      <c r="K79" s="5"/>
      <c r="L79" s="5">
        <f>+D79-H79</f>
        <v>-4178.3</v>
      </c>
      <c r="M79" s="5"/>
      <c r="N79" s="13">
        <f>IF(H79=0,0,L79/H79)</f>
        <v>-0.75271122320302652</v>
      </c>
      <c r="O79" s="11"/>
      <c r="P79" s="5">
        <v>19648.740000000002</v>
      </c>
      <c r="Q79" s="5"/>
      <c r="R79" s="13">
        <f>IF(P$12=0,0,P79/P$12)</f>
        <v>0.11934755885487514</v>
      </c>
      <c r="S79" s="5"/>
      <c r="T79" s="5">
        <v>38159</v>
      </c>
      <c r="U79" s="5"/>
      <c r="V79" s="13">
        <f>IF(T$12=0,0,T79/T$12)</f>
        <v>0.12178533814189513</v>
      </c>
      <c r="W79" s="5"/>
      <c r="X79" s="5">
        <f>+P79-T79</f>
        <v>-18510.259999999998</v>
      </c>
      <c r="Y79" s="5"/>
      <c r="Z79" s="13">
        <f>IF(T79=0,0,X79/T79)</f>
        <v>-0.48508241830236637</v>
      </c>
    </row>
    <row r="80" spans="1:26" ht="15" customHeight="1" x14ac:dyDescent="0.3">
      <c r="A80" s="10"/>
      <c r="B80" s="11"/>
      <c r="C80" s="11"/>
      <c r="D80" s="4"/>
      <c r="E80" s="4"/>
      <c r="F80" s="9"/>
      <c r="G80" s="4"/>
      <c r="H80" s="4"/>
      <c r="I80" s="4"/>
      <c r="J80" s="9"/>
      <c r="K80" s="4"/>
      <c r="L80" s="4"/>
      <c r="M80" s="4"/>
      <c r="N80" s="9"/>
      <c r="O80" s="11"/>
      <c r="P80" s="4"/>
      <c r="Q80" s="4"/>
      <c r="R80" s="9"/>
      <c r="S80" s="4"/>
      <c r="T80" s="4"/>
      <c r="U80" s="4"/>
      <c r="V80" s="9"/>
      <c r="W80" s="4"/>
      <c r="X80" s="4"/>
      <c r="Y80" s="4"/>
      <c r="Z80" s="9"/>
    </row>
    <row r="81" spans="1:26" s="63" customFormat="1" ht="15" customHeight="1" x14ac:dyDescent="0.3">
      <c r="A81" s="11"/>
      <c r="B81" s="27" t="s">
        <v>294</v>
      </c>
      <c r="C81" s="27"/>
      <c r="D81" s="34">
        <f>+D77-D79</f>
        <v>-17055.75</v>
      </c>
      <c r="E81" s="15"/>
      <c r="F81" s="29">
        <f>IF(D$12=0,0,D81/D$12)</f>
        <v>-0.93617031787224536</v>
      </c>
      <c r="G81" s="15"/>
      <c r="H81" s="34">
        <f>+H77-H79</f>
        <v>17062.395024384605</v>
      </c>
      <c r="I81" s="15"/>
      <c r="J81" s="29">
        <f>IF(H$12=0,0,H81/H$12)</f>
        <v>0.36614581597391854</v>
      </c>
      <c r="K81" s="16"/>
      <c r="L81" s="34">
        <f>D81-H81</f>
        <v>-34118.145024384605</v>
      </c>
      <c r="M81" s="16"/>
      <c r="N81" s="29">
        <f>IF(H81=0,0,L81/H81)</f>
        <v>-1.9996105456253295</v>
      </c>
      <c r="O81" s="28"/>
      <c r="P81" s="34">
        <f>+P77-P79</f>
        <v>-56774.59000000004</v>
      </c>
      <c r="Q81" s="15"/>
      <c r="R81" s="29">
        <f>IF(P$12=0,0,P81/P$12)</f>
        <v>-0.34485207303299903</v>
      </c>
      <c r="S81" s="15"/>
      <c r="T81" s="34">
        <f>+T77-T79</f>
        <v>32782.054761057545</v>
      </c>
      <c r="U81" s="15"/>
      <c r="V81" s="29">
        <f>IF(T$12=0,0,T81/T$12)</f>
        <v>0.1046246920532906</v>
      </c>
      <c r="W81" s="16"/>
      <c r="X81" s="34">
        <f>P81-T81</f>
        <v>-89556.644761057585</v>
      </c>
      <c r="Y81" s="16"/>
      <c r="Z81" s="29">
        <f>IF(T81=0,0,X81/T81)</f>
        <v>-2.7318801525352736</v>
      </c>
    </row>
    <row r="82" spans="1:26" ht="15" customHeight="1" x14ac:dyDescent="0.3">
      <c r="A82" s="10"/>
      <c r="B82" s="10"/>
      <c r="C82" s="10"/>
      <c r="D82" s="4"/>
      <c r="E82" s="4"/>
      <c r="F82" s="9"/>
      <c r="G82" s="4"/>
      <c r="H82" s="4"/>
      <c r="I82" s="4"/>
      <c r="J82" s="9"/>
      <c r="K82" s="4"/>
      <c r="L82" s="4"/>
      <c r="M82" s="4"/>
      <c r="N82" s="9"/>
      <c r="P82" s="4"/>
      <c r="Q82" s="4"/>
      <c r="R82" s="9"/>
      <c r="S82" s="4"/>
      <c r="T82" s="4"/>
      <c r="U82" s="4"/>
      <c r="V82" s="9"/>
      <c r="W82" s="4"/>
      <c r="X82" s="4"/>
      <c r="Y82" s="4"/>
      <c r="Z82" s="9"/>
    </row>
    <row r="83" spans="1:26" ht="15" customHeight="1" x14ac:dyDescent="0.3">
      <c r="A83" s="10"/>
      <c r="B83" s="10"/>
      <c r="C83" s="10"/>
      <c r="D83" s="4"/>
      <c r="E83" s="4"/>
      <c r="F83" s="9"/>
      <c r="G83" s="4"/>
      <c r="H83" s="4"/>
      <c r="I83" s="4"/>
      <c r="J83" s="9"/>
      <c r="K83" s="4"/>
      <c r="L83" s="4"/>
      <c r="M83" s="4"/>
      <c r="N83" s="9"/>
      <c r="P83" s="4"/>
      <c r="Q83" s="4"/>
      <c r="R83" s="9"/>
      <c r="S83" s="4"/>
      <c r="T83" s="4"/>
      <c r="U83" s="4"/>
      <c r="V83" s="9"/>
      <c r="W83" s="4"/>
      <c r="X83" s="4"/>
      <c r="Y83" s="4"/>
      <c r="Z83" s="9"/>
    </row>
    <row r="84" spans="1:26" s="63" customFormat="1" ht="15" customHeight="1" x14ac:dyDescent="0.3">
      <c r="A84" s="11"/>
      <c r="B84" s="27" t="s">
        <v>297</v>
      </c>
      <c r="C84" s="27"/>
      <c r="D84" s="32">
        <f>SUM(D81:D83)</f>
        <v>-17055.75</v>
      </c>
      <c r="E84" s="15"/>
      <c r="F84" s="31">
        <f>IF(D$12=0,0,D84/D$12)</f>
        <v>-0.93617031787224536</v>
      </c>
      <c r="G84" s="15"/>
      <c r="H84" s="32">
        <f>SUM(H81:H83)</f>
        <v>17062.395024384605</v>
      </c>
      <c r="I84" s="15"/>
      <c r="J84" s="31">
        <f>IF(H$12=0,0,H84/H$12)</f>
        <v>0.36614581597391854</v>
      </c>
      <c r="K84" s="16"/>
      <c r="L84" s="32">
        <f>+D84-H84</f>
        <v>-34118.145024384605</v>
      </c>
      <c r="M84" s="16"/>
      <c r="N84" s="31">
        <f>IF(H84=0,0,L84/H84)</f>
        <v>-1.9996105456253295</v>
      </c>
      <c r="O84" s="28"/>
      <c r="P84" s="32">
        <f>SUM(P81:P83)</f>
        <v>-56774.59000000004</v>
      </c>
      <c r="Q84" s="15"/>
      <c r="R84" s="31">
        <f>IF(P$12=0,0,P84/P$12)</f>
        <v>-0.34485207303299903</v>
      </c>
      <c r="S84" s="15"/>
      <c r="T84" s="32">
        <f>SUM(T81:T83)</f>
        <v>32782.054761057545</v>
      </c>
      <c r="U84" s="15"/>
      <c r="V84" s="31">
        <f>IF(T$12=0,0,T84/T$12)</f>
        <v>0.1046246920532906</v>
      </c>
      <c r="W84" s="16"/>
      <c r="X84" s="32">
        <f>+P84-T84</f>
        <v>-89556.644761057585</v>
      </c>
      <c r="Y84" s="16"/>
      <c r="Z84" s="31">
        <f>IF(T84=0,0,X84/T84)</f>
        <v>-2.7318801525352736</v>
      </c>
    </row>
    <row r="85" spans="1:26" ht="15" customHeight="1" x14ac:dyDescent="0.3">
      <c r="A85" s="10"/>
      <c r="C85" s="10"/>
      <c r="D85" s="19"/>
      <c r="E85" s="19"/>
      <c r="G85" s="19"/>
      <c r="H85" s="19"/>
      <c r="I85" s="19"/>
      <c r="J85" s="40"/>
      <c r="K85" s="19"/>
      <c r="L85" s="19"/>
      <c r="M85" s="19"/>
      <c r="P85" s="19"/>
      <c r="Q85" s="19"/>
      <c r="R85" s="40"/>
      <c r="S85" s="19"/>
      <c r="T85" s="19"/>
      <c r="U85" s="19"/>
      <c r="V85" s="40"/>
      <c r="W85" s="19"/>
      <c r="X85" s="19"/>
    </row>
    <row r="86" spans="1:26" ht="15" customHeight="1" x14ac:dyDescent="0.3">
      <c r="A86" s="10"/>
      <c r="B86" s="51">
        <v>44663.047665428239</v>
      </c>
      <c r="D86" s="19"/>
      <c r="E86" s="19"/>
      <c r="G86" s="19"/>
      <c r="H86" s="19"/>
      <c r="I86" s="19"/>
      <c r="J86" s="40"/>
      <c r="K86" s="19"/>
      <c r="L86" s="19"/>
      <c r="M86" s="19"/>
      <c r="P86" s="19"/>
      <c r="Q86" s="19"/>
      <c r="R86" s="40"/>
      <c r="S86" s="19"/>
      <c r="T86" s="19"/>
      <c r="U86" s="19"/>
      <c r="V86" s="40"/>
      <c r="W86" s="19"/>
      <c r="X86" s="19"/>
    </row>
    <row r="87" spans="1:26" ht="15" customHeight="1" x14ac:dyDescent="0.3">
      <c r="A87" s="10"/>
      <c r="B87" s="58" t="s">
        <v>298</v>
      </c>
      <c r="D87" s="19"/>
      <c r="E87" s="19"/>
      <c r="G87" s="19"/>
      <c r="H87" s="19"/>
      <c r="I87" s="19"/>
      <c r="J87" s="40"/>
      <c r="K87" s="19"/>
      <c r="L87" s="19"/>
      <c r="M87" s="19"/>
      <c r="P87" s="19"/>
      <c r="Q87" s="19"/>
      <c r="R87" s="40"/>
      <c r="S87" s="19"/>
      <c r="T87" s="19"/>
      <c r="U87" s="19"/>
      <c r="V87" s="40"/>
      <c r="W87" s="19"/>
      <c r="X87" s="19"/>
    </row>
    <row r="88" spans="1:26" ht="15" customHeight="1" x14ac:dyDescent="0.3">
      <c r="A88" s="10"/>
      <c r="B88" s="50"/>
      <c r="D88" s="19"/>
      <c r="E88" s="19"/>
      <c r="G88" s="19"/>
      <c r="H88" s="19"/>
      <c r="I88" s="19"/>
      <c r="J88" s="40"/>
      <c r="K88" s="19"/>
      <c r="L88" s="19"/>
      <c r="M88" s="19"/>
      <c r="P88" s="19"/>
      <c r="Q88" s="19"/>
      <c r="R88" s="40"/>
      <c r="S88" s="19"/>
      <c r="T88" s="19"/>
      <c r="U88" s="19"/>
      <c r="V88" s="40"/>
      <c r="W88" s="19"/>
      <c r="X88" s="19"/>
    </row>
    <row r="89" spans="1:26" ht="15" customHeight="1" x14ac:dyDescent="0.3">
      <c r="D89" s="19"/>
      <c r="E89" s="19"/>
      <c r="G89" s="19"/>
      <c r="H89" s="19"/>
      <c r="I89" s="19"/>
      <c r="J89" s="40"/>
      <c r="K89" s="19"/>
      <c r="L89" s="19"/>
      <c r="M89" s="19"/>
      <c r="P89" s="19"/>
      <c r="Q89" s="19"/>
      <c r="R89" s="40"/>
      <c r="S89" s="19"/>
      <c r="T89" s="19"/>
      <c r="U89" s="19"/>
      <c r="V89" s="40"/>
      <c r="W89" s="19"/>
      <c r="X89" s="19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72104F-44E3-42A6-EA87-A164E61D85D3}">
  <sheetPr>
    <tabColor rgb="FFFFC000"/>
    <outlinePr summaryBelow="0" summaryRight="0"/>
  </sheetPr>
  <dimension ref="A2:Z93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6" customWidth="1"/>
    <col min="2" max="2" width="33.44140625" style="66" customWidth="1"/>
    <col min="3" max="3" width="1.88671875" style="66" customWidth="1"/>
    <col min="4" max="4" width="15" style="66" customWidth="1"/>
    <col min="5" max="5" width="1.88671875" style="66" customWidth="1" outlineLevel="1"/>
    <col min="6" max="6" width="15" style="67" customWidth="1" outlineLevel="1"/>
    <col min="7" max="7" width="1.88671875" style="66" customWidth="1" outlineLevel="1"/>
    <col min="8" max="8" width="15" style="66" customWidth="1" outlineLevel="1"/>
    <col min="9" max="9" width="1.88671875" style="66" customWidth="1" outlineLevel="1"/>
    <col min="10" max="10" width="15" style="68" customWidth="1" outlineLevel="1"/>
    <col min="11" max="11" width="1.88671875" style="66" customWidth="1" outlineLevel="1"/>
    <col min="12" max="12" width="15" style="66" customWidth="1" outlineLevel="1"/>
    <col min="13" max="13" width="1.88671875" style="66" customWidth="1" outlineLevel="1"/>
    <col min="14" max="14" width="15" style="67" customWidth="1" outlineLevel="1"/>
    <col min="15" max="15" width="1.88671875" style="64" customWidth="1"/>
    <col min="16" max="16" width="15" style="66" customWidth="1"/>
    <col min="17" max="17" width="1.88671875" style="66" customWidth="1" outlineLevel="1"/>
    <col min="18" max="18" width="15" style="68" customWidth="1" outlineLevel="1"/>
    <col min="19" max="19" width="1.88671875" style="66" customWidth="1" outlineLevel="1"/>
    <col min="20" max="20" width="15" style="66" customWidth="1" outlineLevel="1"/>
    <col min="21" max="21" width="1.88671875" style="66" customWidth="1" outlineLevel="1"/>
    <col min="22" max="22" width="15" style="68" customWidth="1" outlineLevel="1"/>
    <col min="23" max="23" width="1.88671875" style="66" customWidth="1" outlineLevel="1"/>
    <col min="24" max="24" width="15" style="66" customWidth="1" outlineLevel="1"/>
    <col min="25" max="25" width="1.88671875" style="66" customWidth="1" outlineLevel="1"/>
    <col min="26" max="26" width="15" style="68" customWidth="1" outlineLevel="1"/>
  </cols>
  <sheetData>
    <row r="2" spans="1:26" ht="15" customHeight="1" x14ac:dyDescent="0.3">
      <c r="D2" s="54" t="s">
        <v>276</v>
      </c>
    </row>
    <row r="3" spans="1:26" ht="15" customHeight="1" x14ac:dyDescent="0.3">
      <c r="D3" s="54" t="s">
        <v>277</v>
      </c>
      <c r="E3" s="18"/>
      <c r="F3" s="44"/>
      <c r="G3" s="18"/>
      <c r="H3" s="18"/>
      <c r="I3" s="18"/>
      <c r="J3" s="38"/>
      <c r="K3" s="18"/>
      <c r="L3" s="18"/>
      <c r="M3" s="18"/>
      <c r="N3" s="44"/>
      <c r="O3" s="53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ht="15" customHeight="1" x14ac:dyDescent="0.3">
      <c r="D4" s="54" t="str">
        <f>CONCATENATE("Period ",RIGHT(202209,2),", ",2022)</f>
        <v>Period 09, 2022</v>
      </c>
      <c r="E4" s="18"/>
      <c r="F4" s="44"/>
      <c r="G4" s="18"/>
      <c r="H4" s="18"/>
      <c r="I4" s="18"/>
      <c r="J4" s="38"/>
      <c r="K4" s="18"/>
      <c r="L4" s="18"/>
      <c r="M4" s="18"/>
      <c r="N4" s="44"/>
      <c r="O4" s="53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ht="15" customHeight="1" x14ac:dyDescent="0.3">
      <c r="A5" s="24"/>
      <c r="D5" s="60">
        <v>44646</v>
      </c>
      <c r="E5" s="18"/>
      <c r="F5" s="44"/>
      <c r="G5" s="18"/>
      <c r="H5" s="18"/>
      <c r="I5" s="18"/>
      <c r="J5" s="38"/>
      <c r="K5" s="18"/>
      <c r="L5" s="18"/>
      <c r="M5" s="18"/>
      <c r="N5" s="44"/>
      <c r="O5" s="53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ht="15" customHeight="1" x14ac:dyDescent="0.3">
      <c r="A6" s="24"/>
      <c r="B6" s="47"/>
      <c r="C6" s="47"/>
      <c r="D6" s="24" t="s">
        <v>315</v>
      </c>
      <c r="E6" s="18"/>
      <c r="F6" s="44"/>
      <c r="G6" s="18"/>
      <c r="H6" s="18"/>
      <c r="I6" s="18"/>
      <c r="J6" s="38"/>
      <c r="K6" s="18"/>
      <c r="L6" s="18"/>
      <c r="M6" s="18"/>
      <c r="N6" s="44"/>
      <c r="O6" s="59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ht="15" customHeight="1" x14ac:dyDescent="0.3">
      <c r="B7" s="52"/>
    </row>
    <row r="8" spans="1:26" ht="15" customHeight="1" x14ac:dyDescent="0.3">
      <c r="B8" s="52"/>
    </row>
    <row r="9" spans="1:26" ht="15" customHeight="1" x14ac:dyDescent="0.3">
      <c r="B9" s="10"/>
      <c r="C9" s="10"/>
      <c r="D9" s="17" t="s">
        <v>279</v>
      </c>
      <c r="E9" s="17"/>
      <c r="F9" s="36"/>
      <c r="G9" s="17"/>
      <c r="H9" s="17"/>
      <c r="I9" s="17"/>
      <c r="J9" s="43"/>
      <c r="K9" s="17"/>
      <c r="L9" s="17"/>
      <c r="M9" s="17"/>
      <c r="N9" s="36"/>
      <c r="P9" s="17" t="s">
        <v>280</v>
      </c>
      <c r="Q9" s="17"/>
      <c r="R9" s="36"/>
      <c r="S9" s="17"/>
      <c r="T9" s="17"/>
      <c r="U9" s="17"/>
      <c r="V9" s="43"/>
      <c r="W9" s="17"/>
      <c r="X9" s="17"/>
      <c r="Y9" s="17"/>
      <c r="Z9" s="36"/>
    </row>
    <row r="10" spans="1:26" ht="15" customHeight="1" x14ac:dyDescent="0.3">
      <c r="A10" s="11"/>
      <c r="B10" s="57"/>
      <c r="C10" s="11"/>
      <c r="D10" s="41" t="s">
        <v>281</v>
      </c>
      <c r="E10" s="33"/>
      <c r="F10" s="37" t="s">
        <v>282</v>
      </c>
      <c r="G10" s="33"/>
      <c r="H10" s="48" t="s">
        <v>283</v>
      </c>
      <c r="I10" s="33"/>
      <c r="J10" s="45" t="s">
        <v>284</v>
      </c>
      <c r="K10" s="11"/>
      <c r="L10" s="41" t="s">
        <v>285</v>
      </c>
      <c r="M10" s="11"/>
      <c r="N10" s="37" t="s">
        <v>286</v>
      </c>
      <c r="O10" s="11"/>
      <c r="P10" s="56" t="s">
        <v>281</v>
      </c>
      <c r="Q10" s="33"/>
      <c r="R10" s="37" t="s">
        <v>282</v>
      </c>
      <c r="S10" s="33"/>
      <c r="T10" s="48" t="s">
        <v>283</v>
      </c>
      <c r="U10" s="33"/>
      <c r="V10" s="45" t="s">
        <v>284</v>
      </c>
      <c r="W10" s="11"/>
      <c r="X10" s="41" t="s">
        <v>285</v>
      </c>
      <c r="Y10" s="11"/>
      <c r="Z10" s="37" t="s">
        <v>286</v>
      </c>
    </row>
    <row r="11" spans="1:26" ht="16.5" customHeight="1" x14ac:dyDescent="0.3">
      <c r="A11" s="10"/>
      <c r="B11" s="55"/>
      <c r="C11" s="10"/>
      <c r="D11" s="10"/>
      <c r="E11" s="10"/>
      <c r="F11" s="9"/>
      <c r="G11" s="10"/>
      <c r="H11" s="10"/>
      <c r="I11" s="10"/>
      <c r="J11" s="46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6"/>
      <c r="W11" s="10"/>
      <c r="X11" s="10"/>
      <c r="Y11" s="10"/>
      <c r="Z11" s="9"/>
    </row>
    <row r="12" spans="1:26" s="63" customFormat="1" ht="15" customHeight="1" collapsed="1" x14ac:dyDescent="0.3">
      <c r="A12" s="11"/>
      <c r="B12" s="28" t="s">
        <v>287</v>
      </c>
      <c r="C12" s="11"/>
      <c r="D12" s="5">
        <f>SUM(OSRRefD13x_0)</f>
        <v>456695.52</v>
      </c>
      <c r="E12" s="5"/>
      <c r="F12" s="13"/>
      <c r="G12" s="5"/>
      <c r="H12" s="5">
        <f>SUM(OSRRefH13x_0)</f>
        <v>108570</v>
      </c>
      <c r="I12" s="5"/>
      <c r="J12" s="13"/>
      <c r="K12" s="5"/>
      <c r="L12" s="5">
        <f t="shared" ref="L12:L17" si="0">+D12-H12</f>
        <v>348125.52</v>
      </c>
      <c r="M12" s="5"/>
      <c r="N12" s="13">
        <f t="shared" ref="N12:N17" si="1">IF(H12=0,0,L12/H12)</f>
        <v>3.206461453440177</v>
      </c>
      <c r="O12" s="11"/>
      <c r="P12" s="5">
        <f>SUM(OSRRefP13x_0)</f>
        <v>1750471.85</v>
      </c>
      <c r="Q12" s="5"/>
      <c r="R12" s="13"/>
      <c r="S12" s="5"/>
      <c r="T12" s="5">
        <f>SUM(OSRRefT13x_0)</f>
        <v>1585663</v>
      </c>
      <c r="U12" s="5"/>
      <c r="V12" s="13"/>
      <c r="W12" s="5"/>
      <c r="X12" s="5">
        <f t="shared" ref="X12:X17" si="2">+P12-T12</f>
        <v>164808.85000000009</v>
      </c>
      <c r="Y12" s="5"/>
      <c r="Z12" s="13">
        <f t="shared" ref="Z12:Z17" si="3">IF(T12=0,0,X12/T12)</f>
        <v>0.10393687057085907</v>
      </c>
    </row>
    <row r="13" spans="1:26" s="70" customFormat="1" ht="15" hidden="1" customHeight="1" outlineLevel="1" x14ac:dyDescent="0.3">
      <c r="A13" s="42"/>
      <c r="B13" s="12" t="str">
        <f>CONCATENATE("          ","4000"," - ","TAXABLE SALES")</f>
        <v xml:space="preserve">          4000 - TAXABLE SALES</v>
      </c>
      <c r="C13" s="12"/>
      <c r="D13" s="3">
        <f>--432065</f>
        <v>432065</v>
      </c>
      <c r="E13" s="3"/>
      <c r="F13" s="20"/>
      <c r="G13" s="3"/>
      <c r="H13" s="3">
        <v>94696</v>
      </c>
      <c r="I13" s="3"/>
      <c r="J13" s="20"/>
      <c r="K13" s="3"/>
      <c r="L13" s="3">
        <f t="shared" si="0"/>
        <v>337369</v>
      </c>
      <c r="M13" s="3"/>
      <c r="N13" s="20">
        <f t="shared" si="1"/>
        <v>3.5626531215679647</v>
      </c>
      <c r="O13" s="12"/>
      <c r="P13" s="3">
        <f>--1458675.68</f>
        <v>1458675.68</v>
      </c>
      <c r="Q13" s="3"/>
      <c r="R13" s="20"/>
      <c r="S13" s="3"/>
      <c r="T13" s="3">
        <v>1476796</v>
      </c>
      <c r="U13" s="3"/>
      <c r="V13" s="20"/>
      <c r="W13" s="3"/>
      <c r="X13" s="3">
        <f t="shared" si="2"/>
        <v>-18120.320000000065</v>
      </c>
      <c r="Y13" s="3"/>
      <c r="Z13" s="20">
        <f t="shared" si="3"/>
        <v>-1.2270022399844031E-2</v>
      </c>
    </row>
    <row r="14" spans="1:26" s="70" customFormat="1" ht="15" hidden="1" customHeight="1" outlineLevel="1" x14ac:dyDescent="0.3">
      <c r="A14" s="42"/>
      <c r="B14" s="12" t="str">
        <f>CONCATENATE("          ","4100"," - ","NON-TAXABLE SALES")</f>
        <v xml:space="preserve">          4100 - NON-TAXABLE SALES</v>
      </c>
      <c r="C14" s="12"/>
      <c r="D14" s="3">
        <f>--80322.45</f>
        <v>80322.45</v>
      </c>
      <c r="E14" s="3"/>
      <c r="F14" s="20"/>
      <c r="G14" s="3"/>
      <c r="H14" s="3">
        <v>13874</v>
      </c>
      <c r="I14" s="3"/>
      <c r="J14" s="20"/>
      <c r="K14" s="3"/>
      <c r="L14" s="3">
        <f t="shared" si="0"/>
        <v>66448.45</v>
      </c>
      <c r="M14" s="3"/>
      <c r="N14" s="20">
        <f t="shared" si="1"/>
        <v>4.7894226610926909</v>
      </c>
      <c r="O14" s="12"/>
      <c r="P14" s="3">
        <f>--573579.32</f>
        <v>573579.31999999995</v>
      </c>
      <c r="Q14" s="3"/>
      <c r="R14" s="20"/>
      <c r="S14" s="3"/>
      <c r="T14" s="3">
        <v>108867</v>
      </c>
      <c r="U14" s="3"/>
      <c r="V14" s="20"/>
      <c r="W14" s="3"/>
      <c r="X14" s="3">
        <f t="shared" si="2"/>
        <v>464712.31999999995</v>
      </c>
      <c r="Y14" s="3"/>
      <c r="Z14" s="20">
        <f t="shared" si="3"/>
        <v>4.2686242846776334</v>
      </c>
    </row>
    <row r="15" spans="1:26" s="70" customFormat="1" ht="15" hidden="1" customHeight="1" outlineLevel="1" x14ac:dyDescent="0.3">
      <c r="A15" s="42"/>
      <c r="B15" s="12" t="str">
        <f>CONCATENATE("          ","4200"," - ","TAXABLE RETURNS")</f>
        <v xml:space="preserve">          4200 - TAXABLE RETURNS</v>
      </c>
      <c r="C15" s="12"/>
      <c r="D15" s="3">
        <f>-55451.11</f>
        <v>-55451.11</v>
      </c>
      <c r="E15" s="3"/>
      <c r="F15" s="20"/>
      <c r="G15" s="3"/>
      <c r="H15" s="3"/>
      <c r="I15" s="3"/>
      <c r="J15" s="20"/>
      <c r="K15" s="3"/>
      <c r="L15" s="3">
        <f t="shared" si="0"/>
        <v>-55451.11</v>
      </c>
      <c r="M15" s="3"/>
      <c r="N15" s="20">
        <f t="shared" si="1"/>
        <v>0</v>
      </c>
      <c r="O15" s="12"/>
      <c r="P15" s="3">
        <f>-279510.21</f>
        <v>-279510.21000000002</v>
      </c>
      <c r="Q15" s="3"/>
      <c r="R15" s="20"/>
      <c r="S15" s="3"/>
      <c r="T15" s="3"/>
      <c r="U15" s="3"/>
      <c r="V15" s="20"/>
      <c r="W15" s="3"/>
      <c r="X15" s="3">
        <f t="shared" si="2"/>
        <v>-279510.21000000002</v>
      </c>
      <c r="Y15" s="3"/>
      <c r="Z15" s="20">
        <f t="shared" si="3"/>
        <v>0</v>
      </c>
    </row>
    <row r="16" spans="1:26" s="70" customFormat="1" ht="15" hidden="1" customHeight="1" outlineLevel="1" x14ac:dyDescent="0.3">
      <c r="A16" s="42"/>
      <c r="B16" s="12" t="str">
        <f>CONCATENATE("          ","4300"," - ","NON-TAX RETURNS")</f>
        <v xml:space="preserve">          4300 - NON-TAX RETURNS</v>
      </c>
      <c r="C16" s="12"/>
      <c r="D16" s="3">
        <f>0</f>
        <v>0</v>
      </c>
      <c r="E16" s="3"/>
      <c r="F16" s="20"/>
      <c r="G16" s="3"/>
      <c r="H16" s="3"/>
      <c r="I16" s="3"/>
      <c r="J16" s="20"/>
      <c r="K16" s="3"/>
      <c r="L16" s="3">
        <f t="shared" si="0"/>
        <v>0</v>
      </c>
      <c r="M16" s="3"/>
      <c r="N16" s="20">
        <f t="shared" si="1"/>
        <v>0</v>
      </c>
      <c r="O16" s="12"/>
      <c r="P16" s="3">
        <f>-1114.52</f>
        <v>-1114.52</v>
      </c>
      <c r="Q16" s="3"/>
      <c r="R16" s="20"/>
      <c r="S16" s="3"/>
      <c r="T16" s="3"/>
      <c r="U16" s="3"/>
      <c r="V16" s="20"/>
      <c r="W16" s="3"/>
      <c r="X16" s="3">
        <f t="shared" si="2"/>
        <v>-1114.52</v>
      </c>
      <c r="Y16" s="3"/>
      <c r="Z16" s="20">
        <f t="shared" si="3"/>
        <v>0</v>
      </c>
    </row>
    <row r="17" spans="1:26" s="70" customFormat="1" ht="15" hidden="1" customHeight="1" outlineLevel="1" x14ac:dyDescent="0.3">
      <c r="A17" s="42"/>
      <c r="B17" s="12" t="str">
        <f>CONCATENATE("          ","4500"," - ","SALES DISCOUNT")</f>
        <v xml:space="preserve">          4500 - SALES DISCOUNT</v>
      </c>
      <c r="C17" s="12"/>
      <c r="D17" s="3">
        <f>-240.82</f>
        <v>-240.82</v>
      </c>
      <c r="E17" s="3"/>
      <c r="F17" s="20"/>
      <c r="G17" s="3"/>
      <c r="H17" s="3"/>
      <c r="I17" s="3"/>
      <c r="J17" s="20"/>
      <c r="K17" s="3"/>
      <c r="L17" s="3">
        <f t="shared" si="0"/>
        <v>-240.82</v>
      </c>
      <c r="M17" s="3"/>
      <c r="N17" s="20">
        <f t="shared" si="1"/>
        <v>0</v>
      </c>
      <c r="O17" s="12"/>
      <c r="P17" s="3">
        <f>-1158.42</f>
        <v>-1158.42</v>
      </c>
      <c r="Q17" s="3"/>
      <c r="R17" s="20"/>
      <c r="S17" s="3"/>
      <c r="T17" s="3"/>
      <c r="U17" s="3"/>
      <c r="V17" s="20"/>
      <c r="W17" s="3"/>
      <c r="X17" s="3">
        <f t="shared" si="2"/>
        <v>-1158.42</v>
      </c>
      <c r="Y17" s="3"/>
      <c r="Z17" s="20">
        <f t="shared" si="3"/>
        <v>0</v>
      </c>
    </row>
    <row r="18" spans="1:26" ht="15" customHeight="1" x14ac:dyDescent="0.3">
      <c r="A18" s="10"/>
      <c r="B18" s="11"/>
      <c r="C18" s="10"/>
      <c r="D18" s="4"/>
      <c r="E18" s="4"/>
      <c r="F18" s="9"/>
      <c r="G18" s="4"/>
      <c r="H18" s="4"/>
      <c r="I18" s="4"/>
      <c r="J18" s="9"/>
      <c r="K18" s="4"/>
      <c r="L18" s="4"/>
      <c r="M18" s="4"/>
      <c r="N18" s="9"/>
      <c r="P18" s="4"/>
      <c r="Q18" s="4"/>
      <c r="R18" s="9"/>
      <c r="S18" s="4"/>
      <c r="T18" s="4"/>
      <c r="U18" s="4"/>
      <c r="V18" s="9"/>
      <c r="W18" s="4"/>
      <c r="X18" s="4"/>
      <c r="Y18" s="4"/>
      <c r="Z18" s="9"/>
    </row>
    <row r="19" spans="1:26" s="63" customFormat="1" ht="15" customHeight="1" collapsed="1" x14ac:dyDescent="0.3">
      <c r="A19" s="11"/>
      <c r="B19" s="28" t="s">
        <v>288</v>
      </c>
      <c r="C19" s="11"/>
      <c r="D19" s="5">
        <f>SUM(OSRRefD16x_0)</f>
        <v>370733.42</v>
      </c>
      <c r="E19" s="5"/>
      <c r="F19" s="13">
        <f t="shared" ref="F19:F29" si="4">IF(D$12=0,0,D19/D$12)</f>
        <v>0.81177371742118243</v>
      </c>
      <c r="G19" s="5"/>
      <c r="H19" s="5">
        <f>SUM(OSRRefH16x_0)</f>
        <v>97170</v>
      </c>
      <c r="I19" s="5"/>
      <c r="J19" s="13">
        <f t="shared" ref="J19:J29" si="5">IF(H$12=0,0,H19/H$12)</f>
        <v>0.89499861840287376</v>
      </c>
      <c r="K19" s="5"/>
      <c r="L19" s="5">
        <f t="shared" ref="L19:L29" si="6">+D19-H19</f>
        <v>273563.42</v>
      </c>
      <c r="M19" s="5"/>
      <c r="N19" s="13">
        <f t="shared" ref="N19:N29" si="7">IF(H19=0,0,L19/H19)</f>
        <v>2.8153073994031077</v>
      </c>
      <c r="O19" s="11"/>
      <c r="P19" s="5">
        <f>SUM(OSRRefP16x_0)</f>
        <v>1476772.33</v>
      </c>
      <c r="Q19" s="5"/>
      <c r="R19" s="13">
        <f t="shared" ref="R19:R29" si="8">IF(P$12=0,0,P19/P$12)</f>
        <v>0.84364243275320305</v>
      </c>
      <c r="S19" s="5"/>
      <c r="T19" s="5">
        <f>SUM(OSRRefT16x_0)</f>
        <v>1419166</v>
      </c>
      <c r="U19" s="5"/>
      <c r="V19" s="13">
        <f t="shared" ref="V19:V29" si="9">IF(T$12=0,0,T19/T$12)</f>
        <v>0.89499849589729974</v>
      </c>
      <c r="W19" s="5"/>
      <c r="X19" s="5">
        <f t="shared" ref="X19:X29" si="10">+P19-T19</f>
        <v>57606.330000000075</v>
      </c>
      <c r="Y19" s="5"/>
      <c r="Z19" s="13">
        <f t="shared" ref="Z19:Z29" si="11">IF(T19=0,0,X19/T19)</f>
        <v>4.0591678492861355E-2</v>
      </c>
    </row>
    <row r="20" spans="1:26" s="70" customFormat="1" ht="15" hidden="1" customHeight="1" outlineLevel="1" x14ac:dyDescent="0.3">
      <c r="A20" s="42"/>
      <c r="B20" s="12" t="str">
        <f>CONCATENATE("          ","5000"," - ","PURCHASES @ COST")</f>
        <v xml:space="preserve">          5000 - PURCHASES @ COST</v>
      </c>
      <c r="C20" s="12"/>
      <c r="D20" s="3">
        <v>375710.61</v>
      </c>
      <c r="E20" s="3"/>
      <c r="F20" s="20">
        <f t="shared" si="4"/>
        <v>0.82267198504596661</v>
      </c>
      <c r="G20" s="3"/>
      <c r="H20" s="3">
        <v>97170</v>
      </c>
      <c r="I20" s="3"/>
      <c r="J20" s="20">
        <f t="shared" si="5"/>
        <v>0.89499861840287376</v>
      </c>
      <c r="K20" s="3"/>
      <c r="L20" s="3">
        <f t="shared" si="6"/>
        <v>278540.61</v>
      </c>
      <c r="M20" s="3"/>
      <c r="N20" s="20">
        <f t="shared" si="7"/>
        <v>2.8665288669342388</v>
      </c>
      <c r="O20" s="12"/>
      <c r="P20" s="3">
        <v>1550025.54</v>
      </c>
      <c r="Q20" s="3"/>
      <c r="R20" s="20">
        <f t="shared" si="8"/>
        <v>0.88549012656216086</v>
      </c>
      <c r="S20" s="3"/>
      <c r="T20" s="3">
        <v>1419166</v>
      </c>
      <c r="U20" s="3"/>
      <c r="V20" s="20">
        <f t="shared" si="9"/>
        <v>0.89499849589729974</v>
      </c>
      <c r="W20" s="3"/>
      <c r="X20" s="3">
        <f t="shared" si="10"/>
        <v>130859.54000000004</v>
      </c>
      <c r="Y20" s="3"/>
      <c r="Z20" s="20">
        <f t="shared" si="11"/>
        <v>9.220876204756881E-2</v>
      </c>
    </row>
    <row r="21" spans="1:26" s="70" customFormat="1" ht="15" hidden="1" customHeight="1" outlineLevel="1" x14ac:dyDescent="0.3">
      <c r="A21" s="42"/>
      <c r="B21" s="12" t="str">
        <f>CONCATENATE("          ","5081"," - ","PURCHASES @ COST-ELECTRONICS")</f>
        <v xml:space="preserve">          5081 - PURCHASES @ COST-ELECTRONICS</v>
      </c>
      <c r="C21" s="12"/>
      <c r="D21" s="3"/>
      <c r="E21" s="3"/>
      <c r="F21" s="20">
        <f t="shared" si="4"/>
        <v>0</v>
      </c>
      <c r="G21" s="3"/>
      <c r="H21" s="3"/>
      <c r="I21" s="3"/>
      <c r="J21" s="20">
        <f t="shared" si="5"/>
        <v>0</v>
      </c>
      <c r="K21" s="3"/>
      <c r="L21" s="3">
        <f t="shared" si="6"/>
        <v>0</v>
      </c>
      <c r="M21" s="3"/>
      <c r="N21" s="20">
        <f t="shared" si="7"/>
        <v>0</v>
      </c>
      <c r="O21" s="12"/>
      <c r="P21" s="3">
        <v>0</v>
      </c>
      <c r="Q21" s="3"/>
      <c r="R21" s="20">
        <f t="shared" si="8"/>
        <v>0</v>
      </c>
      <c r="S21" s="3"/>
      <c r="T21" s="3"/>
      <c r="U21" s="3"/>
      <c r="V21" s="20">
        <f t="shared" si="9"/>
        <v>0</v>
      </c>
      <c r="W21" s="3"/>
      <c r="X21" s="3">
        <f t="shared" si="10"/>
        <v>0</v>
      </c>
      <c r="Y21" s="3"/>
      <c r="Z21" s="20">
        <f t="shared" si="11"/>
        <v>0</v>
      </c>
    </row>
    <row r="22" spans="1:26" s="70" customFormat="1" ht="15" hidden="1" customHeight="1" outlineLevel="1" x14ac:dyDescent="0.3">
      <c r="A22" s="42"/>
      <c r="B22" s="12" t="str">
        <f>CONCATENATE("          ","5082"," - ","PURCHASES @ COST-COMPUTER HARD")</f>
        <v xml:space="preserve">          5082 - PURCHASES @ COST-COMPUTER HARD</v>
      </c>
      <c r="C22" s="12"/>
      <c r="D22" s="3">
        <v>-16384.86</v>
      </c>
      <c r="E22" s="3"/>
      <c r="F22" s="20">
        <f t="shared" si="4"/>
        <v>-3.5876988677270141E-2</v>
      </c>
      <c r="G22" s="3"/>
      <c r="H22" s="3"/>
      <c r="I22" s="3"/>
      <c r="J22" s="20">
        <f t="shared" si="5"/>
        <v>0</v>
      </c>
      <c r="K22" s="3"/>
      <c r="L22" s="3">
        <f t="shared" si="6"/>
        <v>-16384.86</v>
      </c>
      <c r="M22" s="3"/>
      <c r="N22" s="20">
        <f t="shared" si="7"/>
        <v>0</v>
      </c>
      <c r="O22" s="12"/>
      <c r="P22" s="3">
        <v>-110193.26</v>
      </c>
      <c r="Q22" s="3"/>
      <c r="R22" s="20">
        <f t="shared" si="8"/>
        <v>-6.2950603861467405E-2</v>
      </c>
      <c r="S22" s="3"/>
      <c r="T22" s="3"/>
      <c r="U22" s="3"/>
      <c r="V22" s="20">
        <f t="shared" si="9"/>
        <v>0</v>
      </c>
      <c r="W22" s="3"/>
      <c r="X22" s="3">
        <f t="shared" si="10"/>
        <v>-110193.26</v>
      </c>
      <c r="Y22" s="3"/>
      <c r="Z22" s="20">
        <f t="shared" si="11"/>
        <v>0</v>
      </c>
    </row>
    <row r="23" spans="1:26" s="70" customFormat="1" ht="15" hidden="1" customHeight="1" outlineLevel="1" x14ac:dyDescent="0.3">
      <c r="A23" s="42"/>
      <c r="B23" s="12" t="str">
        <f>CONCATENATE("          ","5083"," - ","PURCHASES @ COST-COMPUTER EQUI")</f>
        <v xml:space="preserve">          5083 - PURCHASES @ COST-COMPUTER EQUI</v>
      </c>
      <c r="C23" s="12"/>
      <c r="D23" s="3"/>
      <c r="E23" s="3"/>
      <c r="F23" s="20">
        <f t="shared" si="4"/>
        <v>0</v>
      </c>
      <c r="G23" s="3"/>
      <c r="H23" s="3"/>
      <c r="I23" s="3"/>
      <c r="J23" s="20">
        <f t="shared" si="5"/>
        <v>0</v>
      </c>
      <c r="K23" s="3"/>
      <c r="L23" s="3">
        <f t="shared" si="6"/>
        <v>0</v>
      </c>
      <c r="M23" s="3"/>
      <c r="N23" s="20">
        <f t="shared" si="7"/>
        <v>0</v>
      </c>
      <c r="O23" s="12"/>
      <c r="P23" s="3">
        <v>0</v>
      </c>
      <c r="Q23" s="3"/>
      <c r="R23" s="20">
        <f t="shared" si="8"/>
        <v>0</v>
      </c>
      <c r="S23" s="3"/>
      <c r="T23" s="3"/>
      <c r="U23" s="3"/>
      <c r="V23" s="20">
        <f t="shared" si="9"/>
        <v>0</v>
      </c>
      <c r="W23" s="3"/>
      <c r="X23" s="3">
        <f t="shared" si="10"/>
        <v>0</v>
      </c>
      <c r="Y23" s="3"/>
      <c r="Z23" s="20">
        <f t="shared" si="11"/>
        <v>0</v>
      </c>
    </row>
    <row r="24" spans="1:26" s="70" customFormat="1" ht="15" hidden="1" customHeight="1" outlineLevel="1" x14ac:dyDescent="0.3">
      <c r="A24" s="42"/>
      <c r="B24" s="12" t="str">
        <f>CONCATENATE("          ","5085"," - ","PURCHASES @ COST-SOFTWARE")</f>
        <v xml:space="preserve">          5085 - PURCHASES @ COST-SOFTWARE</v>
      </c>
      <c r="C24" s="12"/>
      <c r="D24" s="3"/>
      <c r="E24" s="3"/>
      <c r="F24" s="20">
        <f t="shared" si="4"/>
        <v>0</v>
      </c>
      <c r="G24" s="3"/>
      <c r="H24" s="3"/>
      <c r="I24" s="3"/>
      <c r="J24" s="20">
        <f t="shared" si="5"/>
        <v>0</v>
      </c>
      <c r="K24" s="3"/>
      <c r="L24" s="3">
        <f t="shared" si="6"/>
        <v>0</v>
      </c>
      <c r="M24" s="3"/>
      <c r="N24" s="20">
        <f t="shared" si="7"/>
        <v>0</v>
      </c>
      <c r="O24" s="12"/>
      <c r="P24" s="3">
        <v>0</v>
      </c>
      <c r="Q24" s="3"/>
      <c r="R24" s="20">
        <f t="shared" si="8"/>
        <v>0</v>
      </c>
      <c r="S24" s="3"/>
      <c r="T24" s="3"/>
      <c r="U24" s="3"/>
      <c r="V24" s="20">
        <f t="shared" si="9"/>
        <v>0</v>
      </c>
      <c r="W24" s="3"/>
      <c r="X24" s="3">
        <f t="shared" si="10"/>
        <v>0</v>
      </c>
      <c r="Y24" s="3"/>
      <c r="Z24" s="20">
        <f t="shared" si="11"/>
        <v>0</v>
      </c>
    </row>
    <row r="25" spans="1:26" s="70" customFormat="1" ht="15" hidden="1" customHeight="1" outlineLevel="1" x14ac:dyDescent="0.3">
      <c r="A25" s="42"/>
      <c r="B25" s="12" t="str">
        <f>CONCATENATE("          ","5086"," - ","PURCHASES @ COST-COMPUTER SUPP")</f>
        <v xml:space="preserve">          5086 - PURCHASES @ COST-COMPUTER SUPP</v>
      </c>
      <c r="C25" s="12"/>
      <c r="D25" s="3"/>
      <c r="E25" s="3"/>
      <c r="F25" s="20">
        <f t="shared" si="4"/>
        <v>0</v>
      </c>
      <c r="G25" s="3"/>
      <c r="H25" s="3"/>
      <c r="I25" s="3"/>
      <c r="J25" s="20">
        <f t="shared" si="5"/>
        <v>0</v>
      </c>
      <c r="K25" s="3"/>
      <c r="L25" s="3">
        <f t="shared" si="6"/>
        <v>0</v>
      </c>
      <c r="M25" s="3"/>
      <c r="N25" s="20">
        <f t="shared" si="7"/>
        <v>0</v>
      </c>
      <c r="O25" s="12"/>
      <c r="P25" s="3">
        <v>0</v>
      </c>
      <c r="Q25" s="3"/>
      <c r="R25" s="20">
        <f t="shared" si="8"/>
        <v>0</v>
      </c>
      <c r="S25" s="3"/>
      <c r="T25" s="3"/>
      <c r="U25" s="3"/>
      <c r="V25" s="20">
        <f t="shared" si="9"/>
        <v>0</v>
      </c>
      <c r="W25" s="3"/>
      <c r="X25" s="3">
        <f t="shared" si="10"/>
        <v>0</v>
      </c>
      <c r="Y25" s="3"/>
      <c r="Z25" s="20">
        <f t="shared" si="11"/>
        <v>0</v>
      </c>
    </row>
    <row r="26" spans="1:26" s="70" customFormat="1" ht="15" hidden="1" customHeight="1" outlineLevel="1" x14ac:dyDescent="0.3">
      <c r="A26" s="42"/>
      <c r="B26" s="12" t="str">
        <f>CONCATENATE("          ","5200"," - ","PURCHASES OFFSET")</f>
        <v xml:space="preserve">          5200 - PURCHASES OFFSET</v>
      </c>
      <c r="C26" s="12"/>
      <c r="D26" s="3">
        <v>-375789.52</v>
      </c>
      <c r="E26" s="3"/>
      <c r="F26" s="20">
        <f t="shared" si="4"/>
        <v>-0.82284476974943832</v>
      </c>
      <c r="G26" s="3"/>
      <c r="H26" s="3"/>
      <c r="I26" s="3"/>
      <c r="J26" s="20">
        <f t="shared" si="5"/>
        <v>0</v>
      </c>
      <c r="K26" s="3"/>
      <c r="L26" s="3">
        <f t="shared" si="6"/>
        <v>-375789.52</v>
      </c>
      <c r="M26" s="3"/>
      <c r="N26" s="20">
        <f t="shared" si="7"/>
        <v>0</v>
      </c>
      <c r="O26" s="12"/>
      <c r="P26" s="3">
        <v>-1550197.09</v>
      </c>
      <c r="Q26" s="3"/>
      <c r="R26" s="20">
        <f t="shared" si="8"/>
        <v>-0.8855881287094105</v>
      </c>
      <c r="S26" s="3"/>
      <c r="T26" s="3"/>
      <c r="U26" s="3"/>
      <c r="V26" s="20">
        <f t="shared" si="9"/>
        <v>0</v>
      </c>
      <c r="W26" s="3"/>
      <c r="X26" s="3">
        <f t="shared" si="10"/>
        <v>-1550197.09</v>
      </c>
      <c r="Y26" s="3"/>
      <c r="Z26" s="20">
        <f t="shared" si="11"/>
        <v>0</v>
      </c>
    </row>
    <row r="27" spans="1:26" s="70" customFormat="1" ht="15" hidden="1" customHeight="1" outlineLevel="1" x14ac:dyDescent="0.3">
      <c r="A27" s="42"/>
      <c r="B27" s="12" t="str">
        <f>CONCATENATE("          ","5300"," - ","COG$ OFFSET")</f>
        <v xml:space="preserve">          5300 - COG$ OFFSET</v>
      </c>
      <c r="C27" s="12"/>
      <c r="D27" s="3">
        <v>387118.28</v>
      </c>
      <c r="E27" s="3"/>
      <c r="F27" s="20">
        <f t="shared" si="4"/>
        <v>0.84765070609845272</v>
      </c>
      <c r="G27" s="3"/>
      <c r="H27" s="3"/>
      <c r="I27" s="3"/>
      <c r="J27" s="20">
        <f t="shared" si="5"/>
        <v>0</v>
      </c>
      <c r="K27" s="3"/>
      <c r="L27" s="3">
        <f t="shared" si="6"/>
        <v>387118.28</v>
      </c>
      <c r="M27" s="3"/>
      <c r="N27" s="20">
        <f t="shared" si="7"/>
        <v>0</v>
      </c>
      <c r="O27" s="12"/>
      <c r="P27" s="3">
        <v>1586965.59</v>
      </c>
      <c r="Q27" s="3"/>
      <c r="R27" s="20">
        <f t="shared" si="8"/>
        <v>0.9065930366146705</v>
      </c>
      <c r="S27" s="3"/>
      <c r="T27" s="3"/>
      <c r="U27" s="3"/>
      <c r="V27" s="20">
        <f t="shared" si="9"/>
        <v>0</v>
      </c>
      <c r="W27" s="3"/>
      <c r="X27" s="3">
        <f t="shared" si="10"/>
        <v>1586965.59</v>
      </c>
      <c r="Y27" s="3"/>
      <c r="Z27" s="20">
        <f t="shared" si="11"/>
        <v>0</v>
      </c>
    </row>
    <row r="28" spans="1:26" s="70" customFormat="1" ht="15" hidden="1" customHeight="1" outlineLevel="1" x14ac:dyDescent="0.3">
      <c r="A28" s="42"/>
      <c r="B28" s="12" t="str">
        <f>CONCATENATE("          ","5500"," - ","FREIGHT-IN")</f>
        <v xml:space="preserve">          5500 - FREIGHT-IN</v>
      </c>
      <c r="C28" s="12"/>
      <c r="D28" s="3">
        <v>78.91</v>
      </c>
      <c r="E28" s="3"/>
      <c r="F28" s="20">
        <f t="shared" si="4"/>
        <v>1.7278470347158211E-4</v>
      </c>
      <c r="G28" s="3"/>
      <c r="H28" s="3"/>
      <c r="I28" s="3"/>
      <c r="J28" s="20">
        <f t="shared" si="5"/>
        <v>0</v>
      </c>
      <c r="K28" s="3"/>
      <c r="L28" s="3">
        <f t="shared" si="6"/>
        <v>78.91</v>
      </c>
      <c r="M28" s="3"/>
      <c r="N28" s="20">
        <f t="shared" si="7"/>
        <v>0</v>
      </c>
      <c r="O28" s="12"/>
      <c r="P28" s="3">
        <v>171.55</v>
      </c>
      <c r="Q28" s="3"/>
      <c r="R28" s="20">
        <f t="shared" si="8"/>
        <v>9.800214724961158E-5</v>
      </c>
      <c r="S28" s="3"/>
      <c r="T28" s="3"/>
      <c r="U28" s="3"/>
      <c r="V28" s="20">
        <f t="shared" si="9"/>
        <v>0</v>
      </c>
      <c r="W28" s="3"/>
      <c r="X28" s="3">
        <f t="shared" si="10"/>
        <v>171.55</v>
      </c>
      <c r="Y28" s="3"/>
      <c r="Z28" s="20">
        <f t="shared" si="11"/>
        <v>0</v>
      </c>
    </row>
    <row r="29" spans="1:26" s="70" customFormat="1" ht="15" hidden="1" customHeight="1" outlineLevel="1" x14ac:dyDescent="0.3">
      <c r="A29" s="42"/>
      <c r="B29" s="12" t="str">
        <f>CONCATENATE("          ","5583"," - ","FREIGHT-IN-COMPUTER EQUIPMENT")</f>
        <v xml:space="preserve">          5583 - FREIGHT-IN-COMPUTER EQUIPMENT</v>
      </c>
      <c r="C29" s="12"/>
      <c r="D29" s="3"/>
      <c r="E29" s="3"/>
      <c r="F29" s="20">
        <f t="shared" si="4"/>
        <v>0</v>
      </c>
      <c r="G29" s="3"/>
      <c r="H29" s="3"/>
      <c r="I29" s="3"/>
      <c r="J29" s="20">
        <f t="shared" si="5"/>
        <v>0</v>
      </c>
      <c r="K29" s="3"/>
      <c r="L29" s="3">
        <f t="shared" si="6"/>
        <v>0</v>
      </c>
      <c r="M29" s="3"/>
      <c r="N29" s="20">
        <f t="shared" si="7"/>
        <v>0</v>
      </c>
      <c r="O29" s="12"/>
      <c r="P29" s="3">
        <v>0</v>
      </c>
      <c r="Q29" s="3"/>
      <c r="R29" s="20">
        <f t="shared" si="8"/>
        <v>0</v>
      </c>
      <c r="S29" s="3"/>
      <c r="T29" s="3"/>
      <c r="U29" s="3"/>
      <c r="V29" s="20">
        <f t="shared" si="9"/>
        <v>0</v>
      </c>
      <c r="W29" s="3"/>
      <c r="X29" s="3">
        <f t="shared" si="10"/>
        <v>0</v>
      </c>
      <c r="Y29" s="3"/>
      <c r="Z29" s="20">
        <f t="shared" si="11"/>
        <v>0</v>
      </c>
    </row>
    <row r="30" spans="1:26" ht="15" customHeight="1" x14ac:dyDescent="0.3">
      <c r="A30" s="10"/>
      <c r="B30" s="11"/>
      <c r="C30" s="11"/>
      <c r="D30" s="4"/>
      <c r="E30" s="4"/>
      <c r="F30" s="9"/>
      <c r="G30" s="4"/>
      <c r="H30" s="4"/>
      <c r="I30" s="4"/>
      <c r="J30" s="9"/>
      <c r="K30" s="4"/>
      <c r="L30" s="4"/>
      <c r="M30" s="4"/>
      <c r="N30" s="9"/>
      <c r="O30" s="11"/>
      <c r="P30" s="4"/>
      <c r="Q30" s="4"/>
      <c r="R30" s="9"/>
      <c r="S30" s="4"/>
      <c r="T30" s="4"/>
      <c r="U30" s="4"/>
      <c r="V30" s="9"/>
      <c r="W30" s="4"/>
      <c r="X30" s="4"/>
      <c r="Y30" s="4"/>
      <c r="Z30" s="9"/>
    </row>
    <row r="31" spans="1:26" s="63" customFormat="1" ht="15" customHeight="1" x14ac:dyDescent="0.3">
      <c r="A31" s="11"/>
      <c r="B31" s="27" t="s">
        <v>289</v>
      </c>
      <c r="C31" s="27"/>
      <c r="D31" s="21">
        <f>D12-D19</f>
        <v>85962.100000000035</v>
      </c>
      <c r="E31" s="15"/>
      <c r="F31" s="23">
        <f>IF(D$12=0,0,D31/D$12)</f>
        <v>0.18822628257881757</v>
      </c>
      <c r="G31" s="15"/>
      <c r="H31" s="21">
        <f>H12-H19</f>
        <v>11400</v>
      </c>
      <c r="I31" s="15"/>
      <c r="J31" s="23">
        <f>IF(H$12=0,0,H31/H$12)</f>
        <v>0.10500138159712628</v>
      </c>
      <c r="K31" s="16"/>
      <c r="L31" s="21">
        <f>+D31-H31</f>
        <v>74562.100000000035</v>
      </c>
      <c r="M31" s="16"/>
      <c r="N31" s="23">
        <f>IF(H31=0,0,L31/H31)</f>
        <v>6.5405350877193014</v>
      </c>
      <c r="O31" s="28"/>
      <c r="P31" s="21">
        <f>P12-P19</f>
        <v>273699.52</v>
      </c>
      <c r="Q31" s="15"/>
      <c r="R31" s="23">
        <f>IF(P$12=0,0,P31/P$12)</f>
        <v>0.15635756724679692</v>
      </c>
      <c r="S31" s="15"/>
      <c r="T31" s="21">
        <f>T12-T19</f>
        <v>166497</v>
      </c>
      <c r="U31" s="15"/>
      <c r="V31" s="23">
        <f>IF(T$12=0,0,T31/T$12)</f>
        <v>0.10500150410270026</v>
      </c>
      <c r="W31" s="16"/>
      <c r="X31" s="21">
        <f>+P31-T31</f>
        <v>107202.52000000002</v>
      </c>
      <c r="Y31" s="16"/>
      <c r="Z31" s="23">
        <f>IF(T31=0,0,X31/T31)</f>
        <v>0.64387058025069532</v>
      </c>
    </row>
    <row r="32" spans="1:26" ht="15" customHeight="1" x14ac:dyDescent="0.3">
      <c r="A32" s="10"/>
      <c r="B32" s="11"/>
      <c r="C32" s="10"/>
      <c r="D32" s="2"/>
      <c r="E32" s="2"/>
      <c r="F32" s="6"/>
      <c r="G32" s="2"/>
      <c r="H32" s="2"/>
      <c r="I32" s="2"/>
      <c r="J32" s="6"/>
      <c r="K32" s="2"/>
      <c r="L32" s="2"/>
      <c r="M32" s="2"/>
      <c r="N32" s="6"/>
      <c r="O32" s="35"/>
      <c r="P32" s="2"/>
      <c r="Q32" s="2"/>
      <c r="R32" s="6"/>
      <c r="S32" s="2"/>
      <c r="T32" s="2"/>
      <c r="U32" s="2"/>
      <c r="V32" s="6"/>
      <c r="W32" s="2"/>
      <c r="X32" s="2"/>
      <c r="Y32" s="2"/>
      <c r="Z32" s="6"/>
    </row>
    <row r="33" spans="1:26" s="63" customFormat="1" ht="15" customHeight="1" x14ac:dyDescent="0.3">
      <c r="A33" s="11"/>
      <c r="B33" s="28" t="s">
        <v>290</v>
      </c>
      <c r="C33" s="11"/>
      <c r="D33" s="22" cm="1">
        <f t="array" ref="D33">SUM(OSRRefD22x_0)</f>
        <v>16839.859999999997</v>
      </c>
      <c r="E33" s="22"/>
      <c r="F33" s="30">
        <f t="shared" ref="F33:F74" si="12">IF(D$12=0,0,D33/D$12)</f>
        <v>3.6873276094322088E-2</v>
      </c>
      <c r="G33" s="22"/>
      <c r="H33" s="22" cm="1">
        <f t="array" ref="H33">SUM(OSRRefH22x_0)</f>
        <v>14136.013488870001</v>
      </c>
      <c r="I33" s="22"/>
      <c r="J33" s="30">
        <f t="shared" ref="J33:J74" si="13">IF(H$12=0,0,H33/H$12)</f>
        <v>0.13020183742166347</v>
      </c>
      <c r="K33" s="5"/>
      <c r="L33" s="22">
        <f t="shared" ref="L33:L74" si="14">+D33-H33</f>
        <v>2703.8465111299956</v>
      </c>
      <c r="M33" s="5"/>
      <c r="N33" s="30">
        <f t="shared" ref="N33:N74" si="15">IF(H33=0,0,L33/H33)</f>
        <v>0.19127362274087181</v>
      </c>
      <c r="O33" s="11"/>
      <c r="P33" s="22" cm="1">
        <f t="array" ref="P33">SUM(OSRRefP22x_0)</f>
        <v>132654.92000000001</v>
      </c>
      <c r="Q33" s="22"/>
      <c r="R33" s="30">
        <f t="shared" ref="R33:R74" si="16">IF(P$12=0,0,P33/P$12)</f>
        <v>7.5782378334161737E-2</v>
      </c>
      <c r="S33" s="22"/>
      <c r="T33" s="22" cm="1">
        <f t="array" ref="T33">SUM(OSRRefT22x_0)</f>
        <v>142071.8816344825</v>
      </c>
      <c r="U33" s="22"/>
      <c r="V33" s="30">
        <f t="shared" ref="V33:V74" si="17">IF(T$12=0,0,T33/T$12)</f>
        <v>8.9597778112046819E-2</v>
      </c>
      <c r="W33" s="5"/>
      <c r="X33" s="22">
        <f t="shared" ref="X33:X74" si="18">+P33-T33</f>
        <v>-9416.9616344824899</v>
      </c>
      <c r="Y33" s="5"/>
      <c r="Z33" s="30">
        <f t="shared" ref="Z33:Z74" si="19">IF(T33=0,0,X33/T33)</f>
        <v>-6.628307815835166E-2</v>
      </c>
    </row>
    <row r="34" spans="1:26" s="69" customFormat="1" ht="15" customHeight="1" outlineLevel="1" collapsed="1" x14ac:dyDescent="0.3">
      <c r="A34" s="25"/>
      <c r="B34" s="14" t="str">
        <f>CONCATENATE("     ","*Benefits                                         ")</f>
        <v xml:space="preserve">     *Benefits                                         </v>
      </c>
      <c r="C34" s="14"/>
      <c r="D34" s="2">
        <f>SUM(OSRRefD22_0x_0)</f>
        <v>3279.8099999999995</v>
      </c>
      <c r="E34" s="2"/>
      <c r="F34" s="6">
        <f t="shared" si="12"/>
        <v>7.181611941365222E-3</v>
      </c>
      <c r="G34" s="2"/>
      <c r="H34" s="2">
        <f>SUM(OSRRefH22_0x_0)</f>
        <v>2578.94293887</v>
      </c>
      <c r="I34" s="2"/>
      <c r="J34" s="6">
        <f t="shared" si="13"/>
        <v>2.3753734354517823E-2</v>
      </c>
      <c r="K34" s="2"/>
      <c r="L34" s="2">
        <f t="shared" si="14"/>
        <v>700.86706112999946</v>
      </c>
      <c r="M34" s="2"/>
      <c r="N34" s="6">
        <f t="shared" si="15"/>
        <v>0.27176524558433779</v>
      </c>
      <c r="O34" s="14"/>
      <c r="P34" s="2">
        <f>SUM(OSRRefP22_0x_0)</f>
        <v>23248.16</v>
      </c>
      <c r="Q34" s="2"/>
      <c r="R34" s="6">
        <f t="shared" si="16"/>
        <v>1.3281081898003672E-2</v>
      </c>
      <c r="S34" s="2"/>
      <c r="T34" s="2">
        <f>SUM(OSRRefT22_0x_0)</f>
        <v>25399.503771982498</v>
      </c>
      <c r="U34" s="2"/>
      <c r="V34" s="6">
        <f t="shared" si="17"/>
        <v>1.6018223148287183E-2</v>
      </c>
      <c r="W34" s="2"/>
      <c r="X34" s="2">
        <f t="shared" si="18"/>
        <v>-2151.3437719824979</v>
      </c>
      <c r="Y34" s="2"/>
      <c r="Z34" s="6">
        <f t="shared" si="19"/>
        <v>-8.4700228449170994E-2</v>
      </c>
    </row>
    <row r="35" spans="1:26" s="70" customFormat="1" ht="15" hidden="1" customHeight="1" outlineLevel="2" x14ac:dyDescent="0.3">
      <c r="A35" s="26"/>
      <c r="B35" s="12" t="str">
        <f>CONCATENATE("          ","6111"," - ","F.I.C.A.")</f>
        <v xml:space="preserve">          6111 - F.I.C.A.</v>
      </c>
      <c r="C35" s="12"/>
      <c r="D35" s="7">
        <v>606.14</v>
      </c>
      <c r="E35" s="3"/>
      <c r="F35" s="8">
        <f t="shared" si="12"/>
        <v>1.3272300109271927E-3</v>
      </c>
      <c r="G35" s="3"/>
      <c r="H35" s="7">
        <v>457.37151956999998</v>
      </c>
      <c r="I35" s="3"/>
      <c r="J35" s="8">
        <f t="shared" si="13"/>
        <v>4.2126878471953578E-3</v>
      </c>
      <c r="K35" s="3"/>
      <c r="L35" s="7">
        <f t="shared" si="14"/>
        <v>148.76848043000001</v>
      </c>
      <c r="M35" s="3"/>
      <c r="N35" s="8">
        <f t="shared" si="15"/>
        <v>0.32526835201690174</v>
      </c>
      <c r="O35" s="12"/>
      <c r="P35" s="7">
        <v>4893.68</v>
      </c>
      <c r="Q35" s="3"/>
      <c r="R35" s="8">
        <f t="shared" si="16"/>
        <v>2.7956347884143351E-3</v>
      </c>
      <c r="S35" s="3"/>
      <c r="T35" s="7">
        <v>5238.1415958075004</v>
      </c>
      <c r="U35" s="3"/>
      <c r="V35" s="8">
        <f t="shared" si="17"/>
        <v>3.3034393788639203E-3</v>
      </c>
      <c r="W35" s="3"/>
      <c r="X35" s="7">
        <f t="shared" si="18"/>
        <v>-344.46159580750009</v>
      </c>
      <c r="Y35" s="3"/>
      <c r="Z35" s="8">
        <f t="shared" si="19"/>
        <v>-6.5760268123183224E-2</v>
      </c>
    </row>
    <row r="36" spans="1:26" s="70" customFormat="1" ht="15" hidden="1" customHeight="1" outlineLevel="2" x14ac:dyDescent="0.3">
      <c r="A36" s="26"/>
      <c r="B36" s="12" t="str">
        <f>CONCATENATE("          ","6112"," - ","COMPENSATION INSURANCE")</f>
        <v xml:space="preserve">          6112 - COMPENSATION INSURANCE</v>
      </c>
      <c r="C36" s="12"/>
      <c r="D36" s="7">
        <v>149.75</v>
      </c>
      <c r="E36" s="3"/>
      <c r="F36" s="8">
        <f t="shared" si="12"/>
        <v>3.2789899055720974E-4</v>
      </c>
      <c r="G36" s="3"/>
      <c r="H36" s="7">
        <v>165.6078684</v>
      </c>
      <c r="I36" s="3"/>
      <c r="J36" s="8">
        <f t="shared" si="13"/>
        <v>1.5253557004697431E-3</v>
      </c>
      <c r="K36" s="3"/>
      <c r="L36" s="7">
        <f t="shared" si="14"/>
        <v>-15.857868400000001</v>
      </c>
      <c r="M36" s="3"/>
      <c r="N36" s="8">
        <f t="shared" si="15"/>
        <v>-9.5755525104023381E-2</v>
      </c>
      <c r="O36" s="12"/>
      <c r="P36" s="7">
        <v>1299.0999999999999</v>
      </c>
      <c r="Q36" s="3"/>
      <c r="R36" s="8">
        <f t="shared" si="16"/>
        <v>7.4214275425223196E-4</v>
      </c>
      <c r="S36" s="3"/>
      <c r="T36" s="7">
        <v>1610.4793809</v>
      </c>
      <c r="U36" s="3"/>
      <c r="V36" s="8">
        <f t="shared" si="17"/>
        <v>1.0156504761099931E-3</v>
      </c>
      <c r="W36" s="3"/>
      <c r="X36" s="7">
        <f t="shared" si="18"/>
        <v>-311.37938090000011</v>
      </c>
      <c r="Y36" s="3"/>
      <c r="Z36" s="8">
        <f t="shared" si="19"/>
        <v>-0.19334577306167616</v>
      </c>
    </row>
    <row r="37" spans="1:26" s="70" customFormat="1" ht="15" hidden="1" customHeight="1" outlineLevel="2" x14ac:dyDescent="0.3">
      <c r="A37" s="26"/>
      <c r="B37" s="12" t="str">
        <f>CONCATENATE("          ","6113"," - ","GROUP INSURANCE")</f>
        <v xml:space="preserve">          6113 - GROUP INSURANCE</v>
      </c>
      <c r="C37" s="12"/>
      <c r="D37" s="7">
        <v>1539.12</v>
      </c>
      <c r="E37" s="3"/>
      <c r="F37" s="8">
        <f t="shared" si="12"/>
        <v>3.3701228336989156E-3</v>
      </c>
      <c r="G37" s="3"/>
      <c r="H37" s="7">
        <v>943.5</v>
      </c>
      <c r="I37" s="3"/>
      <c r="J37" s="8">
        <f t="shared" si="13"/>
        <v>8.6902459242884783E-3</v>
      </c>
      <c r="K37" s="3"/>
      <c r="L37" s="7">
        <f t="shared" si="14"/>
        <v>595.61999999999989</v>
      </c>
      <c r="M37" s="3"/>
      <c r="N37" s="8">
        <f t="shared" si="15"/>
        <v>0.6312877583465818</v>
      </c>
      <c r="O37" s="12"/>
      <c r="P37" s="7">
        <v>8367.77</v>
      </c>
      <c r="Q37" s="3"/>
      <c r="R37" s="8">
        <f t="shared" si="16"/>
        <v>4.7802939533132163E-3</v>
      </c>
      <c r="S37" s="3"/>
      <c r="T37" s="7">
        <v>8950.5</v>
      </c>
      <c r="U37" s="3"/>
      <c r="V37" s="8">
        <f t="shared" si="17"/>
        <v>5.644642020404083E-3</v>
      </c>
      <c r="W37" s="3"/>
      <c r="X37" s="7">
        <f t="shared" si="18"/>
        <v>-582.72999999999956</v>
      </c>
      <c r="Y37" s="3"/>
      <c r="Z37" s="8">
        <f t="shared" si="19"/>
        <v>-6.5105860007820746E-2</v>
      </c>
    </row>
    <row r="38" spans="1:26" s="70" customFormat="1" ht="15" hidden="1" customHeight="1" outlineLevel="2" x14ac:dyDescent="0.3">
      <c r="A38" s="26"/>
      <c r="B38" s="12" t="str">
        <f>CONCATENATE("          ","6114"," - ","STATE UNEMPLOYMENT INSURANCE")</f>
        <v xml:space="preserve">          6114 - STATE UNEMPLOYMENT INSURANCE</v>
      </c>
      <c r="C38" s="12"/>
      <c r="D38" s="7">
        <v>26.31</v>
      </c>
      <c r="E38" s="3"/>
      <c r="F38" s="8">
        <f t="shared" si="12"/>
        <v>5.7609498775026296E-5</v>
      </c>
      <c r="G38" s="3"/>
      <c r="H38" s="7">
        <v>22.293366899999999</v>
      </c>
      <c r="I38" s="3"/>
      <c r="J38" s="8">
        <f t="shared" si="13"/>
        <v>2.0533634429400387E-4</v>
      </c>
      <c r="K38" s="3"/>
      <c r="L38" s="7">
        <f t="shared" si="14"/>
        <v>4.0166331</v>
      </c>
      <c r="M38" s="3"/>
      <c r="N38" s="8">
        <f t="shared" si="15"/>
        <v>0.1801716680130537</v>
      </c>
      <c r="O38" s="12"/>
      <c r="P38" s="7">
        <v>228.23</v>
      </c>
      <c r="Q38" s="3"/>
      <c r="R38" s="8">
        <f t="shared" si="16"/>
        <v>1.303819881479385E-4</v>
      </c>
      <c r="S38" s="3"/>
      <c r="T38" s="7">
        <v>216.79530127500001</v>
      </c>
      <c r="U38" s="3"/>
      <c r="V38" s="8">
        <f t="shared" si="17"/>
        <v>1.3672217947634523E-4</v>
      </c>
      <c r="W38" s="3"/>
      <c r="X38" s="7">
        <f t="shared" si="18"/>
        <v>11.434698724999976</v>
      </c>
      <c r="Y38" s="3"/>
      <c r="Z38" s="8">
        <f t="shared" si="19"/>
        <v>5.2744218429786514E-2</v>
      </c>
    </row>
    <row r="39" spans="1:26" s="70" customFormat="1" ht="15" hidden="1" customHeight="1" outlineLevel="2" x14ac:dyDescent="0.3">
      <c r="A39" s="26"/>
      <c r="B39" s="12" t="str">
        <f>CONCATENATE("          ","6115"," - ","P.E.R.S.")</f>
        <v xml:space="preserve">          6115 - P.E.R.S.</v>
      </c>
      <c r="C39" s="12"/>
      <c r="D39" s="7">
        <v>123.87</v>
      </c>
      <c r="E39" s="3"/>
      <c r="F39" s="8">
        <f t="shared" si="12"/>
        <v>2.7123103813236443E-4</v>
      </c>
      <c r="G39" s="3"/>
      <c r="H39" s="7">
        <v>202.166134</v>
      </c>
      <c r="I39" s="3"/>
      <c r="J39" s="8">
        <f t="shared" si="13"/>
        <v>1.8620809984341898E-3</v>
      </c>
      <c r="K39" s="3"/>
      <c r="L39" s="7">
        <f t="shared" si="14"/>
        <v>-78.296133999999995</v>
      </c>
      <c r="M39" s="3"/>
      <c r="N39" s="8">
        <f t="shared" si="15"/>
        <v>-0.38728610203329106</v>
      </c>
      <c r="O39" s="12"/>
      <c r="P39" s="7">
        <v>1038.68</v>
      </c>
      <c r="Q39" s="3"/>
      <c r="R39" s="8">
        <f t="shared" si="16"/>
        <v>5.9337143867809134E-4</v>
      </c>
      <c r="S39" s="3"/>
      <c r="T39" s="7">
        <v>1971.1198065000001</v>
      </c>
      <c r="U39" s="3"/>
      <c r="V39" s="8">
        <f t="shared" si="17"/>
        <v>1.2430887310229224E-3</v>
      </c>
      <c r="W39" s="3"/>
      <c r="X39" s="7">
        <f t="shared" si="18"/>
        <v>-932.43980650000003</v>
      </c>
      <c r="Y39" s="3"/>
      <c r="Z39" s="8">
        <f t="shared" si="19"/>
        <v>-0.47305080260731475</v>
      </c>
    </row>
    <row r="40" spans="1:26" s="70" customFormat="1" ht="15" hidden="1" customHeight="1" outlineLevel="2" x14ac:dyDescent="0.3">
      <c r="A40" s="26"/>
      <c r="B40" s="12" t="str">
        <f>CONCATENATE("          ","6116"," - ","EDUCATIONAL BENEFITS")</f>
        <v xml:space="preserve">          6116 - EDUCATIONAL BENEFITS</v>
      </c>
      <c r="C40" s="12"/>
      <c r="D40" s="7"/>
      <c r="E40" s="3"/>
      <c r="F40" s="8">
        <f t="shared" si="12"/>
        <v>0</v>
      </c>
      <c r="G40" s="3"/>
      <c r="H40" s="7">
        <v>0</v>
      </c>
      <c r="I40" s="3"/>
      <c r="J40" s="8">
        <f t="shared" si="13"/>
        <v>0</v>
      </c>
      <c r="K40" s="3"/>
      <c r="L40" s="7">
        <f t="shared" si="14"/>
        <v>0</v>
      </c>
      <c r="M40" s="3"/>
      <c r="N40" s="8">
        <f t="shared" si="15"/>
        <v>0</v>
      </c>
      <c r="O40" s="12"/>
      <c r="P40" s="7"/>
      <c r="Q40" s="3"/>
      <c r="R40" s="8">
        <f t="shared" si="16"/>
        <v>0</v>
      </c>
      <c r="S40" s="3"/>
      <c r="T40" s="7">
        <v>0</v>
      </c>
      <c r="U40" s="3"/>
      <c r="V40" s="8">
        <f t="shared" si="17"/>
        <v>0</v>
      </c>
      <c r="W40" s="3"/>
      <c r="X40" s="7">
        <f t="shared" si="18"/>
        <v>0</v>
      </c>
      <c r="Y40" s="3"/>
      <c r="Z40" s="8">
        <f t="shared" si="19"/>
        <v>0</v>
      </c>
    </row>
    <row r="41" spans="1:26" s="70" customFormat="1" ht="15" hidden="1" customHeight="1" outlineLevel="2" x14ac:dyDescent="0.3">
      <c r="A41" s="26"/>
      <c r="B41" s="12" t="str">
        <f>CONCATENATE("          ","6117"," - ","RETIREMENT STAFF HOURLY")</f>
        <v xml:space="preserve">          6117 - RETIREMENT STAFF HOURLY</v>
      </c>
      <c r="C41" s="12"/>
      <c r="D41" s="7">
        <v>120</v>
      </c>
      <c r="E41" s="3"/>
      <c r="F41" s="8">
        <f t="shared" si="12"/>
        <v>2.627571209807357E-4</v>
      </c>
      <c r="G41" s="3"/>
      <c r="H41" s="7"/>
      <c r="I41" s="3"/>
      <c r="J41" s="8">
        <f t="shared" si="13"/>
        <v>0</v>
      </c>
      <c r="K41" s="3"/>
      <c r="L41" s="7">
        <f t="shared" si="14"/>
        <v>120</v>
      </c>
      <c r="M41" s="3"/>
      <c r="N41" s="8">
        <f t="shared" si="15"/>
        <v>0</v>
      </c>
      <c r="O41" s="12"/>
      <c r="P41" s="7">
        <v>2.66</v>
      </c>
      <c r="Q41" s="3"/>
      <c r="R41" s="8">
        <f t="shared" si="16"/>
        <v>1.519590275044983E-6</v>
      </c>
      <c r="S41" s="3"/>
      <c r="T41" s="7"/>
      <c r="U41" s="3"/>
      <c r="V41" s="8">
        <f t="shared" si="17"/>
        <v>0</v>
      </c>
      <c r="W41" s="3"/>
      <c r="X41" s="7">
        <f t="shared" si="18"/>
        <v>2.66</v>
      </c>
      <c r="Y41" s="3"/>
      <c r="Z41" s="8">
        <f t="shared" si="19"/>
        <v>0</v>
      </c>
    </row>
    <row r="42" spans="1:26" s="70" customFormat="1" ht="15" hidden="1" customHeight="1" outlineLevel="2" x14ac:dyDescent="0.3">
      <c r="A42" s="26"/>
      <c r="B42" s="12" t="str">
        <f>CONCATENATE("          ","6118"," - ","VACATION")</f>
        <v xml:space="preserve">          6118 - VACATION</v>
      </c>
      <c r="C42" s="12"/>
      <c r="D42" s="7">
        <v>247.46</v>
      </c>
      <c r="E42" s="3"/>
      <c r="F42" s="8">
        <f t="shared" si="12"/>
        <v>5.4184897631577383E-4</v>
      </c>
      <c r="G42" s="3"/>
      <c r="H42" s="7">
        <v>179.29106999999999</v>
      </c>
      <c r="I42" s="3"/>
      <c r="J42" s="8">
        <f t="shared" si="13"/>
        <v>1.6513868471953578E-3</v>
      </c>
      <c r="K42" s="3"/>
      <c r="L42" s="7">
        <f t="shared" si="14"/>
        <v>68.168930000000017</v>
      </c>
      <c r="M42" s="3"/>
      <c r="N42" s="8">
        <f t="shared" si="15"/>
        <v>0.38021374963069837</v>
      </c>
      <c r="O42" s="12"/>
      <c r="P42" s="7">
        <v>2540.4299999999998</v>
      </c>
      <c r="Q42" s="3"/>
      <c r="R42" s="8">
        <f t="shared" si="16"/>
        <v>1.4512829783580922E-3</v>
      </c>
      <c r="S42" s="3"/>
      <c r="T42" s="7">
        <v>1748.0879325000001</v>
      </c>
      <c r="U42" s="3"/>
      <c r="V42" s="8">
        <f t="shared" si="17"/>
        <v>1.1024334505503376E-3</v>
      </c>
      <c r="W42" s="3"/>
      <c r="X42" s="7">
        <f t="shared" si="18"/>
        <v>792.34206749999976</v>
      </c>
      <c r="Y42" s="3"/>
      <c r="Z42" s="8">
        <f t="shared" si="19"/>
        <v>0.45326213445501246</v>
      </c>
    </row>
    <row r="43" spans="1:26" s="70" customFormat="1" ht="15" hidden="1" customHeight="1" outlineLevel="2" x14ac:dyDescent="0.3">
      <c r="A43" s="26"/>
      <c r="B43" s="12" t="str">
        <f>CONCATENATE("          ","6119"," - ","SICK LEAVE")</f>
        <v xml:space="preserve">          6119 - SICK LEAVE</v>
      </c>
      <c r="C43" s="12"/>
      <c r="D43" s="7">
        <v>228.77</v>
      </c>
      <c r="E43" s="3"/>
      <c r="F43" s="8">
        <f t="shared" si="12"/>
        <v>5.0092455472302417E-4</v>
      </c>
      <c r="G43" s="3"/>
      <c r="H43" s="7">
        <v>258.71298000000002</v>
      </c>
      <c r="I43" s="3"/>
      <c r="J43" s="8">
        <f t="shared" si="13"/>
        <v>2.3829140646587457E-3</v>
      </c>
      <c r="K43" s="3"/>
      <c r="L43" s="7">
        <f t="shared" si="14"/>
        <v>-29.942980000000006</v>
      </c>
      <c r="M43" s="3"/>
      <c r="N43" s="8">
        <f t="shared" si="15"/>
        <v>-0.1157382207881491</v>
      </c>
      <c r="O43" s="12"/>
      <c r="P43" s="7">
        <v>3303.21</v>
      </c>
      <c r="Q43" s="3"/>
      <c r="R43" s="8">
        <f t="shared" si="16"/>
        <v>1.8870397715907285E-3</v>
      </c>
      <c r="S43" s="3"/>
      <c r="T43" s="7">
        <v>2514.3797549999999</v>
      </c>
      <c r="U43" s="3"/>
      <c r="V43" s="8">
        <f t="shared" si="17"/>
        <v>1.5856961756691049E-3</v>
      </c>
      <c r="W43" s="3"/>
      <c r="X43" s="7">
        <f t="shared" si="18"/>
        <v>788.8302450000001</v>
      </c>
      <c r="Y43" s="3"/>
      <c r="Z43" s="8">
        <f t="shared" si="19"/>
        <v>0.31372756777545724</v>
      </c>
    </row>
    <row r="44" spans="1:26" s="70" customFormat="1" ht="15" hidden="1" customHeight="1" outlineLevel="2" x14ac:dyDescent="0.3">
      <c r="A44" s="26"/>
      <c r="B44" s="12" t="str">
        <f>CONCATENATE("          ","6156"," - ","EMPLOYEE MEALS")</f>
        <v xml:space="preserve">          6156 - EMPLOYEE MEALS</v>
      </c>
      <c r="C44" s="12"/>
      <c r="D44" s="7">
        <v>238.39</v>
      </c>
      <c r="E44" s="3"/>
      <c r="F44" s="8">
        <f t="shared" si="12"/>
        <v>5.2198891725497979E-4</v>
      </c>
      <c r="G44" s="3"/>
      <c r="H44" s="7">
        <v>350</v>
      </c>
      <c r="I44" s="3"/>
      <c r="J44" s="8">
        <f t="shared" si="13"/>
        <v>3.2237266279819469E-3</v>
      </c>
      <c r="K44" s="3"/>
      <c r="L44" s="7">
        <f t="shared" si="14"/>
        <v>-111.61000000000001</v>
      </c>
      <c r="M44" s="3"/>
      <c r="N44" s="8">
        <f t="shared" si="15"/>
        <v>-0.31888571428571433</v>
      </c>
      <c r="O44" s="12"/>
      <c r="P44" s="7">
        <v>1574.4</v>
      </c>
      <c r="Q44" s="3"/>
      <c r="R44" s="8">
        <f t="shared" si="16"/>
        <v>8.9941463497399284E-4</v>
      </c>
      <c r="S44" s="3"/>
      <c r="T44" s="7">
        <v>3150</v>
      </c>
      <c r="U44" s="3"/>
      <c r="V44" s="8">
        <f t="shared" si="17"/>
        <v>1.9865507361904768E-3</v>
      </c>
      <c r="W44" s="3"/>
      <c r="X44" s="7">
        <f t="shared" si="18"/>
        <v>-1575.6</v>
      </c>
      <c r="Y44" s="3"/>
      <c r="Z44" s="8">
        <f t="shared" si="19"/>
        <v>-0.50019047619047619</v>
      </c>
    </row>
    <row r="45" spans="1:26" s="69" customFormat="1" ht="15" customHeight="1" outlineLevel="1" collapsed="1" x14ac:dyDescent="0.3">
      <c r="A45" s="25"/>
      <c r="B45" s="14" t="str">
        <f>CONCATENATE("     ","*Payroll                                          ")</f>
        <v xml:space="preserve">     *Payroll                                          </v>
      </c>
      <c r="C45" s="14"/>
      <c r="D45" s="2">
        <f>SUM(OSRRefD22_1x_0)</f>
        <v>11228.220000000001</v>
      </c>
      <c r="E45" s="2"/>
      <c r="F45" s="6">
        <f t="shared" si="12"/>
        <v>2.4585789674485971E-2</v>
      </c>
      <c r="G45" s="2"/>
      <c r="H45" s="2">
        <f>SUM(OSRRefH22_1x_0)</f>
        <v>10317.07055</v>
      </c>
      <c r="I45" s="2"/>
      <c r="J45" s="6">
        <f t="shared" si="13"/>
        <v>9.502690015658101E-2</v>
      </c>
      <c r="K45" s="2"/>
      <c r="L45" s="2">
        <f t="shared" si="14"/>
        <v>911.1494500000008</v>
      </c>
      <c r="M45" s="2"/>
      <c r="N45" s="6">
        <f t="shared" si="15"/>
        <v>8.8314744537634354E-2</v>
      </c>
      <c r="O45" s="14"/>
      <c r="P45" s="2">
        <f>SUM(OSRRefP22_1x_0)</f>
        <v>92305.21</v>
      </c>
      <c r="Q45" s="2"/>
      <c r="R45" s="6">
        <f t="shared" si="16"/>
        <v>5.2731616335332673E-2</v>
      </c>
      <c r="S45" s="2"/>
      <c r="T45" s="2">
        <f>SUM(OSRRefT22_1x_0)</f>
        <v>100322.3778625</v>
      </c>
      <c r="U45" s="2"/>
      <c r="V45" s="6">
        <f t="shared" si="17"/>
        <v>6.3268410666390024E-2</v>
      </c>
      <c r="W45" s="2"/>
      <c r="X45" s="2">
        <f t="shared" si="18"/>
        <v>-8017.1678624999913</v>
      </c>
      <c r="Y45" s="2"/>
      <c r="Z45" s="6">
        <f t="shared" si="19"/>
        <v>-7.9914053407786789E-2</v>
      </c>
    </row>
    <row r="46" spans="1:26" s="70" customFormat="1" ht="15" hidden="1" customHeight="1" outlineLevel="2" x14ac:dyDescent="0.3">
      <c r="A46" s="26"/>
      <c r="B46" s="12" t="str">
        <f>CONCATENATE("          ","6001"," - ","ADMINISTRATIVE SALARIES")</f>
        <v xml:space="preserve">          6001 - ADMINISTRATIVE SALARIES</v>
      </c>
      <c r="C46" s="12"/>
      <c r="D46" s="7"/>
      <c r="E46" s="3"/>
      <c r="F46" s="8">
        <f t="shared" si="12"/>
        <v>0</v>
      </c>
      <c r="G46" s="3"/>
      <c r="H46" s="7">
        <v>0</v>
      </c>
      <c r="I46" s="3"/>
      <c r="J46" s="8">
        <f t="shared" si="13"/>
        <v>0</v>
      </c>
      <c r="K46" s="3"/>
      <c r="L46" s="7">
        <f t="shared" si="14"/>
        <v>0</v>
      </c>
      <c r="M46" s="3"/>
      <c r="N46" s="8">
        <f t="shared" si="15"/>
        <v>0</v>
      </c>
      <c r="O46" s="12"/>
      <c r="P46" s="7"/>
      <c r="Q46" s="3"/>
      <c r="R46" s="8">
        <f t="shared" si="16"/>
        <v>0</v>
      </c>
      <c r="S46" s="3"/>
      <c r="T46" s="7">
        <v>0</v>
      </c>
      <c r="U46" s="3"/>
      <c r="V46" s="8">
        <f t="shared" si="17"/>
        <v>0</v>
      </c>
      <c r="W46" s="3"/>
      <c r="X46" s="7">
        <f t="shared" si="18"/>
        <v>0</v>
      </c>
      <c r="Y46" s="3"/>
      <c r="Z46" s="8">
        <f t="shared" si="19"/>
        <v>0</v>
      </c>
    </row>
    <row r="47" spans="1:26" s="70" customFormat="1" ht="15" hidden="1" customHeight="1" outlineLevel="2" x14ac:dyDescent="0.3">
      <c r="A47" s="26"/>
      <c r="B47" s="12" t="str">
        <f>CONCATENATE("          ","6002"," - ","STAFF SALARIES")</f>
        <v xml:space="preserve">          6002 - STAFF SALARIES</v>
      </c>
      <c r="C47" s="12"/>
      <c r="D47" s="7">
        <v>1632</v>
      </c>
      <c r="E47" s="3"/>
      <c r="F47" s="8">
        <f t="shared" si="12"/>
        <v>3.5734968453380055E-3</v>
      </c>
      <c r="G47" s="3"/>
      <c r="H47" s="7">
        <v>2233.2305500000002</v>
      </c>
      <c r="I47" s="3"/>
      <c r="J47" s="8">
        <f t="shared" si="13"/>
        <v>2.0569499401307915E-2</v>
      </c>
      <c r="K47" s="3"/>
      <c r="L47" s="7">
        <f t="shared" si="14"/>
        <v>-601.23055000000022</v>
      </c>
      <c r="M47" s="3"/>
      <c r="N47" s="8">
        <f t="shared" si="15"/>
        <v>-0.26922009910709854</v>
      </c>
      <c r="O47" s="12"/>
      <c r="P47" s="7">
        <v>16584.939999999999</v>
      </c>
      <c r="Q47" s="3"/>
      <c r="R47" s="8">
        <f t="shared" si="16"/>
        <v>9.4745539609791488E-3</v>
      </c>
      <c r="S47" s="3"/>
      <c r="T47" s="7">
        <v>21773.9978625</v>
      </c>
      <c r="U47" s="3"/>
      <c r="V47" s="8">
        <f t="shared" si="17"/>
        <v>1.373179412176484E-2</v>
      </c>
      <c r="W47" s="3"/>
      <c r="X47" s="7">
        <f t="shared" si="18"/>
        <v>-5189.0578625000016</v>
      </c>
      <c r="Y47" s="3"/>
      <c r="Z47" s="8">
        <f t="shared" si="19"/>
        <v>-0.23831442876352957</v>
      </c>
    </row>
    <row r="48" spans="1:26" s="70" customFormat="1" ht="15" hidden="1" customHeight="1" outlineLevel="2" x14ac:dyDescent="0.3">
      <c r="A48" s="26"/>
      <c r="B48" s="12" t="str">
        <f>CONCATENATE("          ","6003"," - ","STAFF HOURLY-9 MONTH")</f>
        <v xml:space="preserve">          6003 - STAFF HOURLY-9 MONTH</v>
      </c>
      <c r="C48" s="12"/>
      <c r="D48" s="7"/>
      <c r="E48" s="3"/>
      <c r="F48" s="8">
        <f t="shared" si="12"/>
        <v>0</v>
      </c>
      <c r="G48" s="3"/>
      <c r="H48" s="7">
        <v>0</v>
      </c>
      <c r="I48" s="3"/>
      <c r="J48" s="8">
        <f t="shared" si="13"/>
        <v>0</v>
      </c>
      <c r="K48" s="3"/>
      <c r="L48" s="7">
        <f t="shared" si="14"/>
        <v>0</v>
      </c>
      <c r="M48" s="3"/>
      <c r="N48" s="8">
        <f t="shared" si="15"/>
        <v>0</v>
      </c>
      <c r="O48" s="12"/>
      <c r="P48" s="7"/>
      <c r="Q48" s="3"/>
      <c r="R48" s="8">
        <f t="shared" si="16"/>
        <v>0</v>
      </c>
      <c r="S48" s="3"/>
      <c r="T48" s="7">
        <v>0</v>
      </c>
      <c r="U48" s="3"/>
      <c r="V48" s="8">
        <f t="shared" si="17"/>
        <v>0</v>
      </c>
      <c r="W48" s="3"/>
      <c r="X48" s="7">
        <f t="shared" si="18"/>
        <v>0</v>
      </c>
      <c r="Y48" s="3"/>
      <c r="Z48" s="8">
        <f t="shared" si="19"/>
        <v>0</v>
      </c>
    </row>
    <row r="49" spans="1:26" s="70" customFormat="1" ht="15" hidden="1" customHeight="1" outlineLevel="2" x14ac:dyDescent="0.3">
      <c r="A49" s="26"/>
      <c r="B49" s="12" t="str">
        <f>CONCATENATE("          ","6004"," - ","STAFF HOURLY")</f>
        <v xml:space="preserve">          6004 - STAFF HOURLY</v>
      </c>
      <c r="C49" s="12"/>
      <c r="D49" s="7">
        <v>3489.49</v>
      </c>
      <c r="E49" s="3"/>
      <c r="F49" s="8">
        <f t="shared" si="12"/>
        <v>7.6407362174255606E-3</v>
      </c>
      <c r="G49" s="3"/>
      <c r="H49" s="7">
        <v>3444.32</v>
      </c>
      <c r="I49" s="3"/>
      <c r="J49" s="8">
        <f t="shared" si="13"/>
        <v>3.1724417426545089E-2</v>
      </c>
      <c r="K49" s="3"/>
      <c r="L49" s="7">
        <f t="shared" si="14"/>
        <v>45.169999999999618</v>
      </c>
      <c r="M49" s="3"/>
      <c r="N49" s="8">
        <f t="shared" si="15"/>
        <v>1.3114344776327291E-2</v>
      </c>
      <c r="O49" s="12"/>
      <c r="P49" s="7">
        <v>28472.639999999999</v>
      </c>
      <c r="Q49" s="3"/>
      <c r="R49" s="8">
        <f t="shared" si="16"/>
        <v>1.6265694304081497E-2</v>
      </c>
      <c r="S49" s="3"/>
      <c r="T49" s="7">
        <v>33582.120000000003</v>
      </c>
      <c r="U49" s="3"/>
      <c r="V49" s="8">
        <f t="shared" si="17"/>
        <v>2.1178598478995853E-2</v>
      </c>
      <c r="W49" s="3"/>
      <c r="X49" s="7">
        <f t="shared" si="18"/>
        <v>-5109.4800000000032</v>
      </c>
      <c r="Y49" s="3"/>
      <c r="Z49" s="8">
        <f t="shared" si="19"/>
        <v>-0.15214882205173474</v>
      </c>
    </row>
    <row r="50" spans="1:26" s="70" customFormat="1" ht="15" hidden="1" customHeight="1" outlineLevel="2" x14ac:dyDescent="0.3">
      <c r="A50" s="26"/>
      <c r="B50" s="12" t="str">
        <f>CONCATENATE("          ","6005"," - ","TEMPORARY WAGES-HOURLY")</f>
        <v xml:space="preserve">          6005 - TEMPORARY WAGES-HOURLY</v>
      </c>
      <c r="C50" s="12"/>
      <c r="D50" s="7">
        <v>1412.76</v>
      </c>
      <c r="E50" s="3"/>
      <c r="F50" s="8">
        <f t="shared" si="12"/>
        <v>3.0934395853062014E-3</v>
      </c>
      <c r="G50" s="3"/>
      <c r="H50" s="7">
        <v>0</v>
      </c>
      <c r="I50" s="3"/>
      <c r="J50" s="8">
        <f t="shared" si="13"/>
        <v>0</v>
      </c>
      <c r="K50" s="3"/>
      <c r="L50" s="7">
        <f t="shared" si="14"/>
        <v>1412.76</v>
      </c>
      <c r="M50" s="3"/>
      <c r="N50" s="8">
        <f t="shared" si="15"/>
        <v>0</v>
      </c>
      <c r="O50" s="12"/>
      <c r="P50" s="7">
        <v>11954.94</v>
      </c>
      <c r="Q50" s="3"/>
      <c r="R50" s="8">
        <f t="shared" si="16"/>
        <v>6.8295528431376942E-3</v>
      </c>
      <c r="S50" s="3"/>
      <c r="T50" s="7">
        <v>0</v>
      </c>
      <c r="U50" s="3"/>
      <c r="V50" s="8">
        <f t="shared" si="17"/>
        <v>0</v>
      </c>
      <c r="W50" s="3"/>
      <c r="X50" s="7">
        <f t="shared" si="18"/>
        <v>11954.94</v>
      </c>
      <c r="Y50" s="3"/>
      <c r="Z50" s="8">
        <f t="shared" si="19"/>
        <v>0</v>
      </c>
    </row>
    <row r="51" spans="1:26" s="70" customFormat="1" ht="15" hidden="1" customHeight="1" outlineLevel="2" x14ac:dyDescent="0.3">
      <c r="A51" s="26"/>
      <c r="B51" s="12" t="str">
        <f>CONCATENATE("          ","6006"," - ","TEMPORARY PART TIME")</f>
        <v xml:space="preserve">          6006 - TEMPORARY PART TIME</v>
      </c>
      <c r="C51" s="12"/>
      <c r="D51" s="7"/>
      <c r="E51" s="3"/>
      <c r="F51" s="8">
        <f t="shared" si="12"/>
        <v>0</v>
      </c>
      <c r="G51" s="3"/>
      <c r="H51" s="7">
        <v>0</v>
      </c>
      <c r="I51" s="3"/>
      <c r="J51" s="8">
        <f t="shared" si="13"/>
        <v>0</v>
      </c>
      <c r="K51" s="3"/>
      <c r="L51" s="7">
        <f t="shared" si="14"/>
        <v>0</v>
      </c>
      <c r="M51" s="3"/>
      <c r="N51" s="8">
        <f t="shared" si="15"/>
        <v>0</v>
      </c>
      <c r="O51" s="12"/>
      <c r="P51" s="7"/>
      <c r="Q51" s="3"/>
      <c r="R51" s="8">
        <f t="shared" si="16"/>
        <v>0</v>
      </c>
      <c r="S51" s="3"/>
      <c r="T51" s="7">
        <v>0</v>
      </c>
      <c r="U51" s="3"/>
      <c r="V51" s="8">
        <f t="shared" si="17"/>
        <v>0</v>
      </c>
      <c r="W51" s="3"/>
      <c r="X51" s="7">
        <f t="shared" si="18"/>
        <v>0</v>
      </c>
      <c r="Y51" s="3"/>
      <c r="Z51" s="8">
        <f t="shared" si="19"/>
        <v>0</v>
      </c>
    </row>
    <row r="52" spans="1:26" s="70" customFormat="1" ht="15" hidden="1" customHeight="1" outlineLevel="2" x14ac:dyDescent="0.3">
      <c r="A52" s="26"/>
      <c r="B52" s="12" t="str">
        <f>CONCATENATE("          ","6007"," - ","STUDENT HOURLY")</f>
        <v xml:space="preserve">          6007 - STUDENT HOURLY</v>
      </c>
      <c r="C52" s="12"/>
      <c r="D52" s="7">
        <v>4693.97</v>
      </c>
      <c r="E52" s="3"/>
      <c r="F52" s="8">
        <f t="shared" si="12"/>
        <v>1.0278117026416199E-2</v>
      </c>
      <c r="G52" s="3"/>
      <c r="H52" s="7">
        <v>0</v>
      </c>
      <c r="I52" s="3"/>
      <c r="J52" s="8">
        <f t="shared" si="13"/>
        <v>0</v>
      </c>
      <c r="K52" s="3"/>
      <c r="L52" s="7">
        <f t="shared" si="14"/>
        <v>4693.97</v>
      </c>
      <c r="M52" s="3"/>
      <c r="N52" s="8">
        <f t="shared" si="15"/>
        <v>0</v>
      </c>
      <c r="O52" s="12"/>
      <c r="P52" s="7">
        <v>29147.06</v>
      </c>
      <c r="Q52" s="3"/>
      <c r="R52" s="8">
        <f t="shared" si="16"/>
        <v>1.6650973279004742E-2</v>
      </c>
      <c r="S52" s="3"/>
      <c r="T52" s="7">
        <v>10176</v>
      </c>
      <c r="U52" s="3"/>
      <c r="V52" s="8">
        <f t="shared" si="17"/>
        <v>6.4175048544362831E-3</v>
      </c>
      <c r="W52" s="3"/>
      <c r="X52" s="7">
        <f t="shared" si="18"/>
        <v>18971.060000000001</v>
      </c>
      <c r="Y52" s="3"/>
      <c r="Z52" s="8">
        <f t="shared" si="19"/>
        <v>1.8642944182389938</v>
      </c>
    </row>
    <row r="53" spans="1:26" s="70" customFormat="1" ht="15" hidden="1" customHeight="1" outlineLevel="2" x14ac:dyDescent="0.3">
      <c r="A53" s="26"/>
      <c r="B53" s="12" t="str">
        <f>CONCATENATE("          ","6008"," - ","STUDENT HOURLY-FICA EXEMPT")</f>
        <v xml:space="preserve">          6008 - STUDENT HOURLY-FICA EXEMPT</v>
      </c>
      <c r="C53" s="12"/>
      <c r="D53" s="7"/>
      <c r="E53" s="3"/>
      <c r="F53" s="8">
        <f t="shared" si="12"/>
        <v>0</v>
      </c>
      <c r="G53" s="3"/>
      <c r="H53" s="7">
        <v>4639.5200000000004</v>
      </c>
      <c r="I53" s="3"/>
      <c r="J53" s="8">
        <f t="shared" si="13"/>
        <v>4.2732983328728012E-2</v>
      </c>
      <c r="K53" s="3"/>
      <c r="L53" s="7">
        <f t="shared" si="14"/>
        <v>-4639.5200000000004</v>
      </c>
      <c r="M53" s="3"/>
      <c r="N53" s="8">
        <f t="shared" si="15"/>
        <v>-1</v>
      </c>
      <c r="O53" s="12"/>
      <c r="P53" s="7">
        <v>6145.63</v>
      </c>
      <c r="Q53" s="3"/>
      <c r="R53" s="8">
        <f t="shared" si="16"/>
        <v>3.5108419481295855E-3</v>
      </c>
      <c r="S53" s="3"/>
      <c r="T53" s="7">
        <v>34790.26</v>
      </c>
      <c r="U53" s="3"/>
      <c r="V53" s="8">
        <f t="shared" si="17"/>
        <v>2.1940513211193047E-2</v>
      </c>
      <c r="W53" s="3"/>
      <c r="X53" s="7">
        <f t="shared" si="18"/>
        <v>-28644.63</v>
      </c>
      <c r="Y53" s="3"/>
      <c r="Z53" s="8">
        <f t="shared" si="19"/>
        <v>-0.82335199564475803</v>
      </c>
    </row>
    <row r="54" spans="1:26" s="70" customFormat="1" ht="15" hidden="1" customHeight="1" outlineLevel="2" x14ac:dyDescent="0.3">
      <c r="A54" s="26"/>
      <c r="B54" s="12" t="str">
        <f>CONCATENATE("          ","6009"," - ","TEMPORARY-SEASONAL")</f>
        <v xml:space="preserve">          6009 - TEMPORARY-SEASONAL</v>
      </c>
      <c r="C54" s="12"/>
      <c r="D54" s="7"/>
      <c r="E54" s="3"/>
      <c r="F54" s="8">
        <f t="shared" si="12"/>
        <v>0</v>
      </c>
      <c r="G54" s="3"/>
      <c r="H54" s="7">
        <v>0</v>
      </c>
      <c r="I54" s="3"/>
      <c r="J54" s="8">
        <f t="shared" si="13"/>
        <v>0</v>
      </c>
      <c r="K54" s="3"/>
      <c r="L54" s="7">
        <f t="shared" si="14"/>
        <v>0</v>
      </c>
      <c r="M54" s="3"/>
      <c r="N54" s="8">
        <f t="shared" si="15"/>
        <v>0</v>
      </c>
      <c r="O54" s="12"/>
      <c r="P54" s="7"/>
      <c r="Q54" s="3"/>
      <c r="R54" s="8">
        <f t="shared" si="16"/>
        <v>0</v>
      </c>
      <c r="S54" s="3"/>
      <c r="T54" s="7">
        <v>0</v>
      </c>
      <c r="U54" s="3"/>
      <c r="V54" s="8">
        <f t="shared" si="17"/>
        <v>0</v>
      </c>
      <c r="W54" s="3"/>
      <c r="X54" s="7">
        <f t="shared" si="18"/>
        <v>0</v>
      </c>
      <c r="Y54" s="3"/>
      <c r="Z54" s="8">
        <f t="shared" si="19"/>
        <v>0</v>
      </c>
    </row>
    <row r="55" spans="1:26" s="70" customFormat="1" ht="15" hidden="1" customHeight="1" outlineLevel="2" x14ac:dyDescent="0.3">
      <c r="A55" s="26"/>
      <c r="B55" s="12" t="str">
        <f>CONCATENATE("          ","6010"," - ","GRATUITY")</f>
        <v xml:space="preserve">          6010 - GRATUITY</v>
      </c>
      <c r="C55" s="12"/>
      <c r="D55" s="7"/>
      <c r="E55" s="3"/>
      <c r="F55" s="8">
        <f t="shared" si="12"/>
        <v>0</v>
      </c>
      <c r="G55" s="3"/>
      <c r="H55" s="7">
        <v>0</v>
      </c>
      <c r="I55" s="3"/>
      <c r="J55" s="8">
        <f t="shared" si="13"/>
        <v>0</v>
      </c>
      <c r="K55" s="3"/>
      <c r="L55" s="7">
        <f t="shared" si="14"/>
        <v>0</v>
      </c>
      <c r="M55" s="3"/>
      <c r="N55" s="8">
        <f t="shared" si="15"/>
        <v>0</v>
      </c>
      <c r="O55" s="12"/>
      <c r="P55" s="7"/>
      <c r="Q55" s="3"/>
      <c r="R55" s="8">
        <f t="shared" si="16"/>
        <v>0</v>
      </c>
      <c r="S55" s="3"/>
      <c r="T55" s="7">
        <v>0</v>
      </c>
      <c r="U55" s="3"/>
      <c r="V55" s="8">
        <f t="shared" si="17"/>
        <v>0</v>
      </c>
      <c r="W55" s="3"/>
      <c r="X55" s="7">
        <f t="shared" si="18"/>
        <v>0</v>
      </c>
      <c r="Y55" s="3"/>
      <c r="Z55" s="8">
        <f t="shared" si="19"/>
        <v>0</v>
      </c>
    </row>
    <row r="56" spans="1:26" s="69" customFormat="1" ht="15" customHeight="1" outlineLevel="1" collapsed="1" x14ac:dyDescent="0.3">
      <c r="A56" s="25"/>
      <c r="B56" s="14" t="str">
        <f>CONCATENATE("     ","Advertising/Promo                                 ")</f>
        <v xml:space="preserve">     Advertising/Promo                                 </v>
      </c>
      <c r="C56" s="14"/>
      <c r="D56" s="2">
        <f>SUM(OSRRefD22_2x_0)</f>
        <v>1.98</v>
      </c>
      <c r="E56" s="2"/>
      <c r="F56" s="6">
        <f t="shared" si="12"/>
        <v>4.3354924961821385E-6</v>
      </c>
      <c r="G56" s="2"/>
      <c r="H56" s="2">
        <f>SUM(OSRRefH22_2x_0)</f>
        <v>200</v>
      </c>
      <c r="I56" s="2"/>
      <c r="J56" s="6">
        <f t="shared" si="13"/>
        <v>1.8421295017039699E-3</v>
      </c>
      <c r="K56" s="2"/>
      <c r="L56" s="2">
        <f t="shared" si="14"/>
        <v>-198.02</v>
      </c>
      <c r="M56" s="2"/>
      <c r="N56" s="6">
        <f t="shared" si="15"/>
        <v>-0.99010000000000009</v>
      </c>
      <c r="O56" s="14"/>
      <c r="P56" s="2">
        <f>SUM(OSRRefP22_2x_0)</f>
        <v>178.97</v>
      </c>
      <c r="Q56" s="2"/>
      <c r="R56" s="6">
        <f t="shared" si="16"/>
        <v>1.0224100433263179E-4</v>
      </c>
      <c r="S56" s="2"/>
      <c r="T56" s="2">
        <f>SUM(OSRRefT22_2x_0)</f>
        <v>1800</v>
      </c>
      <c r="U56" s="2"/>
      <c r="V56" s="6">
        <f t="shared" si="17"/>
        <v>1.135171849251701E-3</v>
      </c>
      <c r="W56" s="2"/>
      <c r="X56" s="2">
        <f t="shared" si="18"/>
        <v>-1621.03</v>
      </c>
      <c r="Y56" s="2"/>
      <c r="Z56" s="6">
        <f t="shared" si="19"/>
        <v>-0.90057222222222222</v>
      </c>
    </row>
    <row r="57" spans="1:26" s="70" customFormat="1" ht="15" hidden="1" customHeight="1" outlineLevel="2" x14ac:dyDescent="0.3">
      <c r="A57" s="26"/>
      <c r="B57" s="12" t="str">
        <f>CONCATENATE("          ","6362"," - ","ADVERTISING EXPENSE")</f>
        <v xml:space="preserve">          6362 - ADVERTISING EXPENSE</v>
      </c>
      <c r="C57" s="12"/>
      <c r="D57" s="7">
        <v>1.98</v>
      </c>
      <c r="E57" s="3"/>
      <c r="F57" s="8">
        <f t="shared" si="12"/>
        <v>4.3354924961821385E-6</v>
      </c>
      <c r="G57" s="3"/>
      <c r="H57" s="7">
        <v>200</v>
      </c>
      <c r="I57" s="3"/>
      <c r="J57" s="8">
        <f t="shared" si="13"/>
        <v>1.8421295017039699E-3</v>
      </c>
      <c r="K57" s="3"/>
      <c r="L57" s="7">
        <f t="shared" si="14"/>
        <v>-198.02</v>
      </c>
      <c r="M57" s="3"/>
      <c r="N57" s="8">
        <f t="shared" si="15"/>
        <v>-0.99010000000000009</v>
      </c>
      <c r="O57" s="12"/>
      <c r="P57" s="7">
        <v>178.97</v>
      </c>
      <c r="Q57" s="3"/>
      <c r="R57" s="8">
        <f t="shared" si="16"/>
        <v>1.0224100433263179E-4</v>
      </c>
      <c r="S57" s="3"/>
      <c r="T57" s="7">
        <v>1800</v>
      </c>
      <c r="U57" s="3"/>
      <c r="V57" s="8">
        <f t="shared" si="17"/>
        <v>1.135171849251701E-3</v>
      </c>
      <c r="W57" s="3"/>
      <c r="X57" s="7">
        <f t="shared" si="18"/>
        <v>-1621.03</v>
      </c>
      <c r="Y57" s="3"/>
      <c r="Z57" s="8">
        <f t="shared" si="19"/>
        <v>-0.90057222222222222</v>
      </c>
    </row>
    <row r="58" spans="1:26" s="69" customFormat="1" ht="15" customHeight="1" outlineLevel="1" collapsed="1" x14ac:dyDescent="0.3">
      <c r="A58" s="25"/>
      <c r="B58" s="14" t="str">
        <f>CONCATENATE("     ","Depreciation                                      ")</f>
        <v xml:space="preserve">     Depreciation                                      </v>
      </c>
      <c r="C58" s="14"/>
      <c r="D58" s="2">
        <f>SUM(OSRRefD22_3x_0)</f>
        <v>280.44</v>
      </c>
      <c r="E58" s="2"/>
      <c r="F58" s="6">
        <f t="shared" si="12"/>
        <v>6.140633917319793E-4</v>
      </c>
      <c r="G58" s="2"/>
      <c r="H58" s="2">
        <f>SUM(OSRRefH22_3x_0)</f>
        <v>0</v>
      </c>
      <c r="I58" s="2"/>
      <c r="J58" s="6">
        <f t="shared" si="13"/>
        <v>0</v>
      </c>
      <c r="K58" s="2"/>
      <c r="L58" s="2">
        <f t="shared" si="14"/>
        <v>280.44</v>
      </c>
      <c r="M58" s="2"/>
      <c r="N58" s="6">
        <f t="shared" si="15"/>
        <v>0</v>
      </c>
      <c r="O58" s="14"/>
      <c r="P58" s="2">
        <f>SUM(OSRRefP22_3x_0)</f>
        <v>2523.96</v>
      </c>
      <c r="Q58" s="2"/>
      <c r="R58" s="6">
        <f t="shared" si="16"/>
        <v>1.4418740866926822E-3</v>
      </c>
      <c r="S58" s="2"/>
      <c r="T58" s="2">
        <f>SUM(OSRRefT22_3x_0)</f>
        <v>0</v>
      </c>
      <c r="U58" s="2"/>
      <c r="V58" s="6">
        <f t="shared" si="17"/>
        <v>0</v>
      </c>
      <c r="W58" s="2"/>
      <c r="X58" s="2">
        <f t="shared" si="18"/>
        <v>2523.96</v>
      </c>
      <c r="Y58" s="2"/>
      <c r="Z58" s="6">
        <f t="shared" si="19"/>
        <v>0</v>
      </c>
    </row>
    <row r="59" spans="1:26" s="70" customFormat="1" ht="15" hidden="1" customHeight="1" outlineLevel="2" x14ac:dyDescent="0.3">
      <c r="A59" s="26"/>
      <c r="B59" s="12" t="str">
        <f>CONCATENATE("          ","6322"," - ","EQUIPMENT DEPRECIATION EXPENSE")</f>
        <v xml:space="preserve">          6322 - EQUIPMENT DEPRECIATION EXPENSE</v>
      </c>
      <c r="C59" s="12"/>
      <c r="D59" s="7">
        <v>280.44</v>
      </c>
      <c r="E59" s="3"/>
      <c r="F59" s="8">
        <f t="shared" si="12"/>
        <v>6.140633917319793E-4</v>
      </c>
      <c r="G59" s="3"/>
      <c r="H59" s="7"/>
      <c r="I59" s="3"/>
      <c r="J59" s="8">
        <f t="shared" si="13"/>
        <v>0</v>
      </c>
      <c r="K59" s="3"/>
      <c r="L59" s="7">
        <f t="shared" si="14"/>
        <v>280.44</v>
      </c>
      <c r="M59" s="3"/>
      <c r="N59" s="8">
        <f t="shared" si="15"/>
        <v>0</v>
      </c>
      <c r="O59" s="12"/>
      <c r="P59" s="7">
        <v>2523.96</v>
      </c>
      <c r="Q59" s="3"/>
      <c r="R59" s="8">
        <f t="shared" si="16"/>
        <v>1.4418740866926822E-3</v>
      </c>
      <c r="S59" s="3"/>
      <c r="T59" s="7"/>
      <c r="U59" s="3"/>
      <c r="V59" s="8">
        <f t="shared" si="17"/>
        <v>0</v>
      </c>
      <c r="W59" s="3"/>
      <c r="X59" s="7">
        <f t="shared" si="18"/>
        <v>2523.96</v>
      </c>
      <c r="Y59" s="3"/>
      <c r="Z59" s="8">
        <f t="shared" si="19"/>
        <v>0</v>
      </c>
    </row>
    <row r="60" spans="1:26" s="69" customFormat="1" ht="15" customHeight="1" outlineLevel="1" collapsed="1" x14ac:dyDescent="0.3">
      <c r="A60" s="25"/>
      <c r="B60" s="14" t="str">
        <f>CONCATENATE("     ","Employees' Appreciation                           ")</f>
        <v xml:space="preserve">     Employees' Appreciation                           </v>
      </c>
      <c r="C60" s="14"/>
      <c r="D60" s="2">
        <f>SUM(OSRRefD22_4x_0)</f>
        <v>0</v>
      </c>
      <c r="E60" s="2"/>
      <c r="F60" s="6">
        <f t="shared" si="12"/>
        <v>0</v>
      </c>
      <c r="G60" s="2"/>
      <c r="H60" s="2">
        <f>SUM(OSRRefH22_4x_0)</f>
        <v>20</v>
      </c>
      <c r="I60" s="2"/>
      <c r="J60" s="6">
        <f t="shared" si="13"/>
        <v>1.8421295017039698E-4</v>
      </c>
      <c r="K60" s="2"/>
      <c r="L60" s="2">
        <f t="shared" si="14"/>
        <v>-20</v>
      </c>
      <c r="M60" s="2"/>
      <c r="N60" s="6">
        <f t="shared" si="15"/>
        <v>-1</v>
      </c>
      <c r="O60" s="14"/>
      <c r="P60" s="2">
        <f>SUM(OSRRefP22_4x_0)</f>
        <v>0</v>
      </c>
      <c r="Q60" s="2"/>
      <c r="R60" s="6">
        <f t="shared" si="16"/>
        <v>0</v>
      </c>
      <c r="S60" s="2"/>
      <c r="T60" s="2">
        <f>SUM(OSRRefT22_4x_0)</f>
        <v>180</v>
      </c>
      <c r="U60" s="2"/>
      <c r="V60" s="6">
        <f t="shared" si="17"/>
        <v>1.135171849251701E-4</v>
      </c>
      <c r="W60" s="2"/>
      <c r="X60" s="2">
        <f t="shared" si="18"/>
        <v>-180</v>
      </c>
      <c r="Y60" s="2"/>
      <c r="Z60" s="6">
        <f t="shared" si="19"/>
        <v>-1</v>
      </c>
    </row>
    <row r="61" spans="1:26" s="70" customFormat="1" ht="15" hidden="1" customHeight="1" outlineLevel="2" x14ac:dyDescent="0.3">
      <c r="A61" s="26"/>
      <c r="B61" s="12" t="str">
        <f>CONCATENATE("          ","6277"," - ","EMPLOYEE APPRECIATION")</f>
        <v xml:space="preserve">          6277 - EMPLOYEE APPRECIATION</v>
      </c>
      <c r="C61" s="12"/>
      <c r="D61" s="7"/>
      <c r="E61" s="3"/>
      <c r="F61" s="8">
        <f t="shared" si="12"/>
        <v>0</v>
      </c>
      <c r="G61" s="3"/>
      <c r="H61" s="7">
        <v>20</v>
      </c>
      <c r="I61" s="3"/>
      <c r="J61" s="8">
        <f t="shared" si="13"/>
        <v>1.8421295017039698E-4</v>
      </c>
      <c r="K61" s="3"/>
      <c r="L61" s="7">
        <f t="shared" si="14"/>
        <v>-20</v>
      </c>
      <c r="M61" s="3"/>
      <c r="N61" s="8">
        <f t="shared" si="15"/>
        <v>-1</v>
      </c>
      <c r="O61" s="12"/>
      <c r="P61" s="7"/>
      <c r="Q61" s="3"/>
      <c r="R61" s="8">
        <f t="shared" si="16"/>
        <v>0</v>
      </c>
      <c r="S61" s="3"/>
      <c r="T61" s="7">
        <v>180</v>
      </c>
      <c r="U61" s="3"/>
      <c r="V61" s="8">
        <f t="shared" si="17"/>
        <v>1.135171849251701E-4</v>
      </c>
      <c r="W61" s="3"/>
      <c r="X61" s="7">
        <f t="shared" si="18"/>
        <v>-180</v>
      </c>
      <c r="Y61" s="3"/>
      <c r="Z61" s="8">
        <f t="shared" si="19"/>
        <v>-1</v>
      </c>
    </row>
    <row r="62" spans="1:26" s="69" customFormat="1" ht="15" customHeight="1" outlineLevel="1" collapsed="1" x14ac:dyDescent="0.3">
      <c r="A62" s="25"/>
      <c r="B62" s="14" t="str">
        <f>CONCATENATE("     ","Freight out/Postage                               ")</f>
        <v xml:space="preserve">     Freight out/Postage                               </v>
      </c>
      <c r="C62" s="14"/>
      <c r="D62" s="2">
        <f>SUM(OSRRefD22_5x_0)</f>
        <v>0</v>
      </c>
      <c r="E62" s="2"/>
      <c r="F62" s="6">
        <f t="shared" si="12"/>
        <v>0</v>
      </c>
      <c r="G62" s="2"/>
      <c r="H62" s="2">
        <f>SUM(OSRRefH22_5x_0)</f>
        <v>15</v>
      </c>
      <c r="I62" s="2"/>
      <c r="J62" s="6">
        <f t="shared" si="13"/>
        <v>1.3815971262779773E-4</v>
      </c>
      <c r="K62" s="2"/>
      <c r="L62" s="2">
        <f t="shared" si="14"/>
        <v>-15</v>
      </c>
      <c r="M62" s="2"/>
      <c r="N62" s="6">
        <f t="shared" si="15"/>
        <v>-1</v>
      </c>
      <c r="O62" s="14"/>
      <c r="P62" s="2">
        <f>SUM(OSRRefP22_5x_0)</f>
        <v>122.13</v>
      </c>
      <c r="Q62" s="2"/>
      <c r="R62" s="6">
        <f t="shared" si="16"/>
        <v>6.9769759507986372E-5</v>
      </c>
      <c r="S62" s="2"/>
      <c r="T62" s="2">
        <f>SUM(OSRRefT22_5x_0)</f>
        <v>135</v>
      </c>
      <c r="U62" s="2"/>
      <c r="V62" s="6">
        <f t="shared" si="17"/>
        <v>8.5137888693877583E-5</v>
      </c>
      <c r="W62" s="2"/>
      <c r="X62" s="2">
        <f t="shared" si="18"/>
        <v>-12.870000000000005</v>
      </c>
      <c r="Y62" s="2"/>
      <c r="Z62" s="6">
        <f t="shared" si="19"/>
        <v>-9.5333333333333367E-2</v>
      </c>
    </row>
    <row r="63" spans="1:26" s="70" customFormat="1" ht="15" hidden="1" customHeight="1" outlineLevel="2" x14ac:dyDescent="0.3">
      <c r="A63" s="26"/>
      <c r="B63" s="12" t="str">
        <f>CONCATENATE("          ","6305"," - ","FREIGHT OUT")</f>
        <v xml:space="preserve">          6305 - FREIGHT OUT</v>
      </c>
      <c r="C63" s="12"/>
      <c r="D63" s="7"/>
      <c r="E63" s="3"/>
      <c r="F63" s="8">
        <f t="shared" si="12"/>
        <v>0</v>
      </c>
      <c r="G63" s="3"/>
      <c r="H63" s="7">
        <v>15</v>
      </c>
      <c r="I63" s="3"/>
      <c r="J63" s="8">
        <f t="shared" si="13"/>
        <v>1.3815971262779773E-4</v>
      </c>
      <c r="K63" s="3"/>
      <c r="L63" s="7">
        <f t="shared" si="14"/>
        <v>-15</v>
      </c>
      <c r="M63" s="3"/>
      <c r="N63" s="8">
        <f t="shared" si="15"/>
        <v>-1</v>
      </c>
      <c r="O63" s="12"/>
      <c r="P63" s="7">
        <v>122.13</v>
      </c>
      <c r="Q63" s="3"/>
      <c r="R63" s="8">
        <f t="shared" si="16"/>
        <v>6.9769759507986372E-5</v>
      </c>
      <c r="S63" s="3"/>
      <c r="T63" s="7">
        <v>135</v>
      </c>
      <c r="U63" s="3"/>
      <c r="V63" s="8">
        <f t="shared" si="17"/>
        <v>8.5137888693877583E-5</v>
      </c>
      <c r="W63" s="3"/>
      <c r="X63" s="7">
        <f t="shared" si="18"/>
        <v>-12.870000000000005</v>
      </c>
      <c r="Y63" s="3"/>
      <c r="Z63" s="8">
        <f t="shared" si="19"/>
        <v>-9.5333333333333367E-2</v>
      </c>
    </row>
    <row r="64" spans="1:26" s="69" customFormat="1" ht="15" customHeight="1" outlineLevel="1" collapsed="1" x14ac:dyDescent="0.3">
      <c r="A64" s="25"/>
      <c r="B64" s="14" t="str">
        <f>CONCATENATE("     ","General                                           ")</f>
        <v xml:space="preserve">     General                                           </v>
      </c>
      <c r="C64" s="14"/>
      <c r="D64" s="2">
        <f>SUM(OSRRefD22_6x_0)</f>
        <v>0</v>
      </c>
      <c r="E64" s="2"/>
      <c r="F64" s="6">
        <f t="shared" si="12"/>
        <v>0</v>
      </c>
      <c r="G64" s="2"/>
      <c r="H64" s="2">
        <f>SUM(OSRRefH22_6x_0)</f>
        <v>30</v>
      </c>
      <c r="I64" s="2"/>
      <c r="J64" s="6">
        <f t="shared" si="13"/>
        <v>2.7631942525559546E-4</v>
      </c>
      <c r="K64" s="2"/>
      <c r="L64" s="2">
        <f t="shared" si="14"/>
        <v>-30</v>
      </c>
      <c r="M64" s="2"/>
      <c r="N64" s="6">
        <f t="shared" si="15"/>
        <v>-1</v>
      </c>
      <c r="O64" s="14"/>
      <c r="P64" s="2">
        <f>SUM(OSRRefP22_6x_0)</f>
        <v>0</v>
      </c>
      <c r="Q64" s="2"/>
      <c r="R64" s="6">
        <f t="shared" si="16"/>
        <v>0</v>
      </c>
      <c r="S64" s="2"/>
      <c r="T64" s="2">
        <f>SUM(OSRRefT22_6x_0)</f>
        <v>270</v>
      </c>
      <c r="U64" s="2"/>
      <c r="V64" s="6">
        <f t="shared" si="17"/>
        <v>1.7027577738775517E-4</v>
      </c>
      <c r="W64" s="2"/>
      <c r="X64" s="2">
        <f t="shared" si="18"/>
        <v>-270</v>
      </c>
      <c r="Y64" s="2"/>
      <c r="Z64" s="6">
        <f t="shared" si="19"/>
        <v>-1</v>
      </c>
    </row>
    <row r="65" spans="1:26" s="70" customFormat="1" ht="15" hidden="1" customHeight="1" outlineLevel="2" x14ac:dyDescent="0.3">
      <c r="A65" s="26"/>
      <c r="B65" s="12" t="str">
        <f>CONCATENATE("          ","6279"," - ","GENERAL EXPENSE")</f>
        <v xml:space="preserve">          6279 - GENERAL EXPENSE</v>
      </c>
      <c r="C65" s="12"/>
      <c r="D65" s="7"/>
      <c r="E65" s="3"/>
      <c r="F65" s="8">
        <f t="shared" si="12"/>
        <v>0</v>
      </c>
      <c r="G65" s="3"/>
      <c r="H65" s="7">
        <v>30</v>
      </c>
      <c r="I65" s="3"/>
      <c r="J65" s="8">
        <f t="shared" si="13"/>
        <v>2.7631942525559546E-4</v>
      </c>
      <c r="K65" s="3"/>
      <c r="L65" s="7">
        <f t="shared" si="14"/>
        <v>-30</v>
      </c>
      <c r="M65" s="3"/>
      <c r="N65" s="8">
        <f t="shared" si="15"/>
        <v>-1</v>
      </c>
      <c r="O65" s="12"/>
      <c r="P65" s="7"/>
      <c r="Q65" s="3"/>
      <c r="R65" s="8">
        <f t="shared" si="16"/>
        <v>0</v>
      </c>
      <c r="S65" s="3"/>
      <c r="T65" s="7">
        <v>270</v>
      </c>
      <c r="U65" s="3"/>
      <c r="V65" s="8">
        <f t="shared" si="17"/>
        <v>1.7027577738775517E-4</v>
      </c>
      <c r="W65" s="3"/>
      <c r="X65" s="7">
        <f t="shared" si="18"/>
        <v>-270</v>
      </c>
      <c r="Y65" s="3"/>
      <c r="Z65" s="8">
        <f t="shared" si="19"/>
        <v>-1</v>
      </c>
    </row>
    <row r="66" spans="1:26" s="69" customFormat="1" ht="15" customHeight="1" outlineLevel="1" collapsed="1" x14ac:dyDescent="0.3">
      <c r="A66" s="25"/>
      <c r="B66" s="14" t="str">
        <f>CONCATENATE("     ","Inventory Adjustment                              ")</f>
        <v xml:space="preserve">     Inventory Adjustment                              </v>
      </c>
      <c r="C66" s="14"/>
      <c r="D66" s="2">
        <f>SUM(OSRRefD22_7x_0)</f>
        <v>340</v>
      </c>
      <c r="E66" s="2"/>
      <c r="F66" s="6">
        <f t="shared" si="12"/>
        <v>7.4447850944541773E-4</v>
      </c>
      <c r="G66" s="2"/>
      <c r="H66" s="2">
        <f>SUM(OSRRefH22_7x_0)</f>
        <v>340</v>
      </c>
      <c r="I66" s="2"/>
      <c r="J66" s="6">
        <f t="shared" si="13"/>
        <v>3.1316201528967485E-3</v>
      </c>
      <c r="K66" s="2"/>
      <c r="L66" s="2">
        <f t="shared" si="14"/>
        <v>0</v>
      </c>
      <c r="M66" s="2"/>
      <c r="N66" s="6">
        <f t="shared" si="15"/>
        <v>0</v>
      </c>
      <c r="O66" s="14"/>
      <c r="P66" s="2">
        <f>SUM(OSRRefP22_7x_0)</f>
        <v>7540</v>
      </c>
      <c r="Q66" s="2"/>
      <c r="R66" s="6">
        <f t="shared" si="16"/>
        <v>4.3074100277590869E-3</v>
      </c>
      <c r="S66" s="2"/>
      <c r="T66" s="2">
        <f>SUM(OSRRefT22_7x_0)</f>
        <v>8250</v>
      </c>
      <c r="U66" s="2"/>
      <c r="V66" s="6">
        <f t="shared" si="17"/>
        <v>5.2028709757369626E-3</v>
      </c>
      <c r="W66" s="2"/>
      <c r="X66" s="2">
        <f t="shared" si="18"/>
        <v>-710</v>
      </c>
      <c r="Y66" s="2"/>
      <c r="Z66" s="6">
        <f t="shared" si="19"/>
        <v>-8.606060606060606E-2</v>
      </c>
    </row>
    <row r="67" spans="1:26" s="70" customFormat="1" ht="15" hidden="1" customHeight="1" outlineLevel="2" x14ac:dyDescent="0.3">
      <c r="A67" s="26"/>
      <c r="B67" s="12" t="str">
        <f>CONCATENATE("          ","6408"," - ","INVENTORY ADJUSTMENT")</f>
        <v xml:space="preserve">          6408 - INVENTORY ADJUSTMENT</v>
      </c>
      <c r="C67" s="12"/>
      <c r="D67" s="7">
        <v>340</v>
      </c>
      <c r="E67" s="3"/>
      <c r="F67" s="8">
        <f t="shared" si="12"/>
        <v>7.4447850944541773E-4</v>
      </c>
      <c r="G67" s="3"/>
      <c r="H67" s="7">
        <v>340</v>
      </c>
      <c r="I67" s="3"/>
      <c r="J67" s="8">
        <f t="shared" si="13"/>
        <v>3.1316201528967485E-3</v>
      </c>
      <c r="K67" s="3"/>
      <c r="L67" s="7">
        <f t="shared" si="14"/>
        <v>0</v>
      </c>
      <c r="M67" s="3"/>
      <c r="N67" s="8">
        <f t="shared" si="15"/>
        <v>0</v>
      </c>
      <c r="O67" s="12"/>
      <c r="P67" s="7">
        <v>7540</v>
      </c>
      <c r="Q67" s="3"/>
      <c r="R67" s="8">
        <f t="shared" si="16"/>
        <v>4.3074100277590869E-3</v>
      </c>
      <c r="S67" s="3"/>
      <c r="T67" s="7">
        <v>8250</v>
      </c>
      <c r="U67" s="3"/>
      <c r="V67" s="8">
        <f t="shared" si="17"/>
        <v>5.2028709757369626E-3</v>
      </c>
      <c r="W67" s="3"/>
      <c r="X67" s="7">
        <f t="shared" si="18"/>
        <v>-710</v>
      </c>
      <c r="Y67" s="3"/>
      <c r="Z67" s="8">
        <f t="shared" si="19"/>
        <v>-8.606060606060606E-2</v>
      </c>
    </row>
    <row r="68" spans="1:26" s="69" customFormat="1" ht="15" customHeight="1" outlineLevel="1" collapsed="1" x14ac:dyDescent="0.3">
      <c r="A68" s="25"/>
      <c r="B68" s="14" t="str">
        <f>CONCATENATE("     ","Repair and Maintenance                            ")</f>
        <v xml:space="preserve">     Repair and Maintenance                            </v>
      </c>
      <c r="C68" s="14"/>
      <c r="D68" s="2">
        <f>SUM(OSRRefD22_8x_0)</f>
        <v>1550</v>
      </c>
      <c r="E68" s="2"/>
      <c r="F68" s="6">
        <f t="shared" si="12"/>
        <v>3.3939461460011692E-3</v>
      </c>
      <c r="G68" s="2"/>
      <c r="H68" s="2">
        <f>SUM(OSRRefH22_8x_0)</f>
        <v>0</v>
      </c>
      <c r="I68" s="2"/>
      <c r="J68" s="6">
        <f t="shared" si="13"/>
        <v>0</v>
      </c>
      <c r="K68" s="2"/>
      <c r="L68" s="2">
        <f t="shared" si="14"/>
        <v>1550</v>
      </c>
      <c r="M68" s="2"/>
      <c r="N68" s="6">
        <f t="shared" si="15"/>
        <v>0</v>
      </c>
      <c r="O68" s="14"/>
      <c r="P68" s="2">
        <f>SUM(OSRRefP22_8x_0)</f>
        <v>1550</v>
      </c>
      <c r="Q68" s="2"/>
      <c r="R68" s="6">
        <f t="shared" si="16"/>
        <v>8.8547553621042235E-4</v>
      </c>
      <c r="S68" s="2"/>
      <c r="T68" s="2">
        <f>SUM(OSRRefT22_8x_0)</f>
        <v>0</v>
      </c>
      <c r="U68" s="2"/>
      <c r="V68" s="6">
        <f t="shared" si="17"/>
        <v>0</v>
      </c>
      <c r="W68" s="2"/>
      <c r="X68" s="2">
        <f t="shared" si="18"/>
        <v>1550</v>
      </c>
      <c r="Y68" s="2"/>
      <c r="Z68" s="6">
        <f t="shared" si="19"/>
        <v>0</v>
      </c>
    </row>
    <row r="69" spans="1:26" s="70" customFormat="1" ht="15" hidden="1" customHeight="1" outlineLevel="2" x14ac:dyDescent="0.3">
      <c r="A69" s="26"/>
      <c r="B69" s="12" t="str">
        <f>CONCATENATE("          ","6371"," - ","COMPUTER SOFTWARE MAINTENANCE")</f>
        <v xml:space="preserve">          6371 - COMPUTER SOFTWARE MAINTENANCE</v>
      </c>
      <c r="C69" s="12"/>
      <c r="D69" s="7">
        <v>1550</v>
      </c>
      <c r="E69" s="3"/>
      <c r="F69" s="8">
        <f t="shared" si="12"/>
        <v>3.3939461460011692E-3</v>
      </c>
      <c r="G69" s="3"/>
      <c r="H69" s="7"/>
      <c r="I69" s="3"/>
      <c r="J69" s="8">
        <f t="shared" si="13"/>
        <v>0</v>
      </c>
      <c r="K69" s="3"/>
      <c r="L69" s="7">
        <f t="shared" si="14"/>
        <v>1550</v>
      </c>
      <c r="M69" s="3"/>
      <c r="N69" s="8">
        <f t="shared" si="15"/>
        <v>0</v>
      </c>
      <c r="O69" s="12"/>
      <c r="P69" s="7">
        <v>1550</v>
      </c>
      <c r="Q69" s="3"/>
      <c r="R69" s="8">
        <f t="shared" si="16"/>
        <v>8.8547553621042235E-4</v>
      </c>
      <c r="S69" s="3"/>
      <c r="T69" s="7"/>
      <c r="U69" s="3"/>
      <c r="V69" s="8">
        <f t="shared" si="17"/>
        <v>0</v>
      </c>
      <c r="W69" s="3"/>
      <c r="X69" s="7">
        <f t="shared" si="18"/>
        <v>1550</v>
      </c>
      <c r="Y69" s="3"/>
      <c r="Z69" s="8">
        <f t="shared" si="19"/>
        <v>0</v>
      </c>
    </row>
    <row r="70" spans="1:26" s="69" customFormat="1" ht="15" customHeight="1" outlineLevel="1" collapsed="1" x14ac:dyDescent="0.3">
      <c r="A70" s="25"/>
      <c r="B70" s="14" t="str">
        <f>CONCATENATE("     ","Supplies                                          ")</f>
        <v xml:space="preserve">     Supplies                                          </v>
      </c>
      <c r="C70" s="14"/>
      <c r="D70" s="2">
        <f>SUM(OSRRefD22_9x_0)</f>
        <v>0</v>
      </c>
      <c r="E70" s="2"/>
      <c r="F70" s="6">
        <f t="shared" si="12"/>
        <v>0</v>
      </c>
      <c r="G70" s="2"/>
      <c r="H70" s="2">
        <f>SUM(OSRRefH22_9x_0)</f>
        <v>310</v>
      </c>
      <c r="I70" s="2"/>
      <c r="J70" s="6">
        <f t="shared" si="13"/>
        <v>2.8553007276411533E-3</v>
      </c>
      <c r="K70" s="2"/>
      <c r="L70" s="2">
        <f t="shared" si="14"/>
        <v>-310</v>
      </c>
      <c r="M70" s="2"/>
      <c r="N70" s="6">
        <f t="shared" si="15"/>
        <v>-1</v>
      </c>
      <c r="O70" s="14"/>
      <c r="P70" s="2">
        <f>SUM(OSRRefP22_9x_0)</f>
        <v>3381.75</v>
      </c>
      <c r="Q70" s="2"/>
      <c r="R70" s="6">
        <f t="shared" si="16"/>
        <v>1.9319076739223197E-3</v>
      </c>
      <c r="S70" s="2"/>
      <c r="T70" s="2">
        <f>SUM(OSRRefT22_9x_0)</f>
        <v>2790</v>
      </c>
      <c r="U70" s="2"/>
      <c r="V70" s="6">
        <f t="shared" si="17"/>
        <v>1.7595163663401366E-3</v>
      </c>
      <c r="W70" s="2"/>
      <c r="X70" s="2">
        <f t="shared" si="18"/>
        <v>591.75</v>
      </c>
      <c r="Y70" s="2"/>
      <c r="Z70" s="6">
        <f t="shared" si="19"/>
        <v>0.21209677419354839</v>
      </c>
    </row>
    <row r="71" spans="1:26" s="70" customFormat="1" ht="15" hidden="1" customHeight="1" outlineLevel="2" x14ac:dyDescent="0.3">
      <c r="A71" s="26"/>
      <c r="B71" s="12" t="str">
        <f>CONCATENATE("          ","6241"," - ","OFFICE EXPENSE")</f>
        <v xml:space="preserve">          6241 - OFFICE EXPENSE</v>
      </c>
      <c r="C71" s="12"/>
      <c r="D71" s="7"/>
      <c r="E71" s="3"/>
      <c r="F71" s="8">
        <f t="shared" si="12"/>
        <v>0</v>
      </c>
      <c r="G71" s="3"/>
      <c r="H71" s="7">
        <v>110</v>
      </c>
      <c r="I71" s="3"/>
      <c r="J71" s="8">
        <f t="shared" si="13"/>
        <v>1.0131712259371835E-3</v>
      </c>
      <c r="K71" s="3"/>
      <c r="L71" s="7">
        <f t="shared" si="14"/>
        <v>-110</v>
      </c>
      <c r="M71" s="3"/>
      <c r="N71" s="8">
        <f t="shared" si="15"/>
        <v>-1</v>
      </c>
      <c r="O71" s="12"/>
      <c r="P71" s="7">
        <v>469.75</v>
      </c>
      <c r="Q71" s="3"/>
      <c r="R71" s="8">
        <f t="shared" si="16"/>
        <v>2.6835621492570704E-4</v>
      </c>
      <c r="S71" s="3"/>
      <c r="T71" s="7">
        <v>990</v>
      </c>
      <c r="U71" s="3"/>
      <c r="V71" s="8">
        <f t="shared" si="17"/>
        <v>6.2434451708843553E-4</v>
      </c>
      <c r="W71" s="3"/>
      <c r="X71" s="7">
        <f t="shared" si="18"/>
        <v>-520.25</v>
      </c>
      <c r="Y71" s="3"/>
      <c r="Z71" s="8">
        <f t="shared" si="19"/>
        <v>-0.52550505050505047</v>
      </c>
    </row>
    <row r="72" spans="1:26" s="70" customFormat="1" ht="15" hidden="1" customHeight="1" outlineLevel="2" x14ac:dyDescent="0.3">
      <c r="A72" s="26"/>
      <c r="B72" s="12" t="str">
        <f>CONCATENATE("          ","6247"," - ","STORE SUPPLIES")</f>
        <v xml:space="preserve">          6247 - STORE SUPPLIES</v>
      </c>
      <c r="C72" s="12"/>
      <c r="D72" s="7"/>
      <c r="E72" s="3"/>
      <c r="F72" s="8">
        <f t="shared" si="12"/>
        <v>0</v>
      </c>
      <c r="G72" s="3"/>
      <c r="H72" s="7">
        <v>200</v>
      </c>
      <c r="I72" s="3"/>
      <c r="J72" s="8">
        <f t="shared" si="13"/>
        <v>1.8421295017039699E-3</v>
      </c>
      <c r="K72" s="3"/>
      <c r="L72" s="7">
        <f t="shared" si="14"/>
        <v>-200</v>
      </c>
      <c r="M72" s="3"/>
      <c r="N72" s="8">
        <f t="shared" si="15"/>
        <v>-1</v>
      </c>
      <c r="O72" s="12"/>
      <c r="P72" s="7">
        <v>2912</v>
      </c>
      <c r="Q72" s="3"/>
      <c r="R72" s="8">
        <f t="shared" si="16"/>
        <v>1.6635514589966127E-3</v>
      </c>
      <c r="S72" s="3"/>
      <c r="T72" s="7">
        <v>1800</v>
      </c>
      <c r="U72" s="3"/>
      <c r="V72" s="8">
        <f t="shared" si="17"/>
        <v>1.135171849251701E-3</v>
      </c>
      <c r="W72" s="3"/>
      <c r="X72" s="7">
        <f t="shared" si="18"/>
        <v>1112</v>
      </c>
      <c r="Y72" s="3"/>
      <c r="Z72" s="8">
        <f t="shared" si="19"/>
        <v>0.61777777777777776</v>
      </c>
    </row>
    <row r="73" spans="1:26" s="69" customFormat="1" ht="15" customHeight="1" outlineLevel="1" collapsed="1" x14ac:dyDescent="0.3">
      <c r="A73" s="25"/>
      <c r="B73" s="14" t="str">
        <f>CONCATENATE("     ","Telephone/Data Lines                              ")</f>
        <v xml:space="preserve">     Telephone/Data Lines                              </v>
      </c>
      <c r="C73" s="14"/>
      <c r="D73" s="2">
        <f>SUM(OSRRefD22_10x_0)</f>
        <v>159.41</v>
      </c>
      <c r="E73" s="2"/>
      <c r="F73" s="6">
        <f t="shared" si="12"/>
        <v>3.4905093879615898E-4</v>
      </c>
      <c r="G73" s="2"/>
      <c r="H73" s="2">
        <f>SUM(OSRRefH22_10x_0)</f>
        <v>325</v>
      </c>
      <c r="I73" s="2"/>
      <c r="J73" s="6">
        <f t="shared" si="13"/>
        <v>2.9934604402689509E-3</v>
      </c>
      <c r="K73" s="2"/>
      <c r="L73" s="2">
        <f t="shared" si="14"/>
        <v>-165.59</v>
      </c>
      <c r="M73" s="2"/>
      <c r="N73" s="6">
        <f t="shared" si="15"/>
        <v>-0.50950769230769233</v>
      </c>
      <c r="O73" s="14"/>
      <c r="P73" s="2">
        <f>SUM(OSRRefP22_10x_0)</f>
        <v>1804.74</v>
      </c>
      <c r="Q73" s="2"/>
      <c r="R73" s="6">
        <f t="shared" si="16"/>
        <v>1.0310020124002564E-3</v>
      </c>
      <c r="S73" s="2"/>
      <c r="T73" s="2">
        <f>SUM(OSRRefT22_10x_0)</f>
        <v>2925</v>
      </c>
      <c r="U73" s="2"/>
      <c r="V73" s="6">
        <f t="shared" si="17"/>
        <v>1.8446542550340141E-3</v>
      </c>
      <c r="W73" s="2"/>
      <c r="X73" s="2">
        <f t="shared" si="18"/>
        <v>-1120.26</v>
      </c>
      <c r="Y73" s="2"/>
      <c r="Z73" s="6">
        <f t="shared" si="19"/>
        <v>-0.38299487179487179</v>
      </c>
    </row>
    <row r="74" spans="1:26" s="70" customFormat="1" ht="15" hidden="1" customHeight="1" outlineLevel="2" x14ac:dyDescent="0.3">
      <c r="A74" s="26"/>
      <c r="B74" s="12" t="str">
        <f>CONCATENATE("          ","6309"," - ","TELEPHONE")</f>
        <v xml:space="preserve">          6309 - TELEPHONE</v>
      </c>
      <c r="C74" s="12"/>
      <c r="D74" s="7">
        <v>159.41</v>
      </c>
      <c r="E74" s="3"/>
      <c r="F74" s="8">
        <f t="shared" si="12"/>
        <v>3.4905093879615898E-4</v>
      </c>
      <c r="G74" s="3"/>
      <c r="H74" s="7">
        <v>325</v>
      </c>
      <c r="I74" s="3"/>
      <c r="J74" s="8">
        <f t="shared" si="13"/>
        <v>2.9934604402689509E-3</v>
      </c>
      <c r="K74" s="3"/>
      <c r="L74" s="7">
        <f t="shared" si="14"/>
        <v>-165.59</v>
      </c>
      <c r="M74" s="3"/>
      <c r="N74" s="8">
        <f t="shared" si="15"/>
        <v>-0.50950769230769233</v>
      </c>
      <c r="O74" s="12"/>
      <c r="P74" s="7">
        <v>1804.74</v>
      </c>
      <c r="Q74" s="3"/>
      <c r="R74" s="8">
        <f t="shared" si="16"/>
        <v>1.0310020124002564E-3</v>
      </c>
      <c r="S74" s="3"/>
      <c r="T74" s="7">
        <v>2925</v>
      </c>
      <c r="U74" s="3"/>
      <c r="V74" s="8">
        <f t="shared" si="17"/>
        <v>1.8446542550340141E-3</v>
      </c>
      <c r="W74" s="3"/>
      <c r="X74" s="7">
        <f t="shared" si="18"/>
        <v>-1120.26</v>
      </c>
      <c r="Y74" s="3"/>
      <c r="Z74" s="8">
        <f t="shared" si="19"/>
        <v>-0.38299487179487179</v>
      </c>
    </row>
    <row r="75" spans="1:26" s="65" customFormat="1" ht="15" customHeight="1" x14ac:dyDescent="0.3">
      <c r="A75" s="35"/>
      <c r="B75" s="35"/>
      <c r="C75" s="35"/>
      <c r="D75" s="2"/>
      <c r="E75" s="2"/>
      <c r="F75" s="6"/>
      <c r="G75" s="2"/>
      <c r="H75" s="2"/>
      <c r="I75" s="2"/>
      <c r="J75" s="6"/>
      <c r="K75" s="2"/>
      <c r="L75" s="2"/>
      <c r="M75" s="2"/>
      <c r="N75" s="6"/>
      <c r="O75" s="35"/>
      <c r="P75" s="2"/>
      <c r="Q75" s="2"/>
      <c r="R75" s="6"/>
      <c r="S75" s="2"/>
      <c r="T75" s="2"/>
      <c r="U75" s="2"/>
      <c r="V75" s="6"/>
      <c r="W75" s="2"/>
      <c r="X75" s="2"/>
      <c r="Y75" s="2"/>
      <c r="Z75" s="6"/>
    </row>
    <row r="76" spans="1:26" s="63" customFormat="1" ht="15" customHeight="1" collapsed="1" x14ac:dyDescent="0.3">
      <c r="A76" s="11"/>
      <c r="B76" s="28" t="s">
        <v>291</v>
      </c>
      <c r="C76" s="11"/>
      <c r="D76" s="5">
        <f>SUM(OSRRefD25x_0)</f>
        <v>-1113.07</v>
      </c>
      <c r="E76" s="5"/>
      <c r="F76" s="13">
        <f>IF(D$12=0,0,D76/D$12)</f>
        <v>-2.4372255720835623E-3</v>
      </c>
      <c r="G76" s="5"/>
      <c r="H76" s="5">
        <f>SUM(OSRRefH25x_0)</f>
        <v>818</v>
      </c>
      <c r="I76" s="5"/>
      <c r="J76" s="13">
        <f>IF(H$12=0,0,H76/H$12)</f>
        <v>7.5343096619692367E-3</v>
      </c>
      <c r="K76" s="5"/>
      <c r="L76" s="5">
        <f>+D76-H76</f>
        <v>-1931.07</v>
      </c>
      <c r="M76" s="5"/>
      <c r="N76" s="13">
        <f>IF(H76=0,0,L76/H76)</f>
        <v>-2.360721271393643</v>
      </c>
      <c r="O76" s="11"/>
      <c r="P76" s="5">
        <f>SUM(OSRRefP25x_0)</f>
        <v>3340.9399999999996</v>
      </c>
      <c r="Q76" s="5"/>
      <c r="R76" s="13">
        <f>IF(P$12=0,0,P76/P$12)</f>
        <v>1.9085939599657084E-3</v>
      </c>
      <c r="S76" s="5"/>
      <c r="T76" s="5">
        <f>SUM(OSRRefT25x_0)</f>
        <v>14590</v>
      </c>
      <c r="U76" s="5"/>
      <c r="V76" s="13">
        <f>IF(T$12=0,0,T76/T$12)</f>
        <v>9.2011984892123987E-3</v>
      </c>
      <c r="W76" s="5"/>
      <c r="X76" s="5">
        <f>+P76-T76</f>
        <v>-11249.060000000001</v>
      </c>
      <c r="Y76" s="5"/>
      <c r="Z76" s="13">
        <f>IF(T76=0,0,X76/T76)</f>
        <v>-0.77101165181631259</v>
      </c>
    </row>
    <row r="77" spans="1:26" s="70" customFormat="1" ht="15" hidden="1" customHeight="1" outlineLevel="1" x14ac:dyDescent="0.3">
      <c r="A77" s="42"/>
      <c r="B77" s="12" t="str">
        <f>CONCATENATE("          ","4187"," - ","NON-TAXABLE SALES-COMPUTER REP")</f>
        <v xml:space="preserve">          4187 - NON-TAXABLE SALES-COMPUTER REP</v>
      </c>
      <c r="C77" s="12"/>
      <c r="D77" s="3">
        <f>0</f>
        <v>0</v>
      </c>
      <c r="E77" s="3"/>
      <c r="F77" s="20">
        <f>IF(D$12=0,0,D77/D$12)</f>
        <v>0</v>
      </c>
      <c r="G77" s="3"/>
      <c r="H77" s="3"/>
      <c r="I77" s="3"/>
      <c r="J77" s="20">
        <f>IF(H$12=0,0,H77/H$12)</f>
        <v>0</v>
      </c>
      <c r="K77" s="3"/>
      <c r="L77" s="3">
        <f>+D77-H77</f>
        <v>0</v>
      </c>
      <c r="M77" s="3"/>
      <c r="N77" s="20">
        <f>IF(H77=0,0,L77/H77)</f>
        <v>0</v>
      </c>
      <c r="O77" s="12"/>
      <c r="P77" s="3">
        <f>0</f>
        <v>0</v>
      </c>
      <c r="Q77" s="3"/>
      <c r="R77" s="20">
        <f>IF(P$12=0,0,P77/P$12)</f>
        <v>0</v>
      </c>
      <c r="S77" s="3"/>
      <c r="T77" s="3"/>
      <c r="U77" s="3"/>
      <c r="V77" s="20">
        <f>IF(T$12=0,0,T77/T$12)</f>
        <v>0</v>
      </c>
      <c r="W77" s="3"/>
      <c r="X77" s="3">
        <f>+P77-T77</f>
        <v>0</v>
      </c>
      <c r="Y77" s="3"/>
      <c r="Z77" s="20">
        <f>IF(T77=0,0,X77/T77)</f>
        <v>0</v>
      </c>
    </row>
    <row r="78" spans="1:26" s="70" customFormat="1" ht="15" hidden="1" customHeight="1" outlineLevel="1" x14ac:dyDescent="0.3">
      <c r="A78" s="42"/>
      <c r="B78" s="12" t="str">
        <f>CONCATENATE("          ","9087"," - ","")</f>
        <v xml:space="preserve">          9087 - </v>
      </c>
      <c r="C78" s="12"/>
      <c r="D78" s="3">
        <f>-1475.31</f>
        <v>-1475.31</v>
      </c>
      <c r="E78" s="3"/>
      <c r="F78" s="20">
        <f>IF(D$12=0,0,D78/D$12)</f>
        <v>-3.2304017346174098E-3</v>
      </c>
      <c r="G78" s="3"/>
      <c r="H78" s="3"/>
      <c r="I78" s="3"/>
      <c r="J78" s="20">
        <f>IF(H$12=0,0,H78/H$12)</f>
        <v>0</v>
      </c>
      <c r="K78" s="3"/>
      <c r="L78" s="3">
        <f>+D78-H78</f>
        <v>-1475.31</v>
      </c>
      <c r="M78" s="3"/>
      <c r="N78" s="20">
        <f>IF(H78=0,0,L78/H78)</f>
        <v>0</v>
      </c>
      <c r="O78" s="12"/>
      <c r="P78" s="3">
        <f>--731.78</f>
        <v>731.78</v>
      </c>
      <c r="Q78" s="3"/>
      <c r="R78" s="20">
        <f>IF(P$12=0,0,P78/P$12)</f>
        <v>4.1804728250842763E-4</v>
      </c>
      <c r="S78" s="3"/>
      <c r="T78" s="3"/>
      <c r="U78" s="3"/>
      <c r="V78" s="20">
        <f>IF(T$12=0,0,T78/T$12)</f>
        <v>0</v>
      </c>
      <c r="W78" s="3"/>
      <c r="X78" s="3">
        <f>+P78-T78</f>
        <v>731.78</v>
      </c>
      <c r="Y78" s="3"/>
      <c r="Z78" s="20">
        <f>IF(T78=0,0,X78/T78)</f>
        <v>0</v>
      </c>
    </row>
    <row r="79" spans="1:26" s="70" customFormat="1" ht="15" hidden="1" customHeight="1" outlineLevel="1" x14ac:dyDescent="0.3">
      <c r="A79" s="42"/>
      <c r="B79" s="12" t="str">
        <f>CONCATENATE("          ","9150"," - ","MISC. INCOME")</f>
        <v xml:space="preserve">          9150 - MISC. INCOME</v>
      </c>
      <c r="C79" s="12"/>
      <c r="D79" s="3">
        <f>--362.24</f>
        <v>362.24</v>
      </c>
      <c r="E79" s="3"/>
      <c r="F79" s="20">
        <f>IF(D$12=0,0,D79/D$12)</f>
        <v>7.9317616253384753E-4</v>
      </c>
      <c r="G79" s="3"/>
      <c r="H79" s="3">
        <v>818</v>
      </c>
      <c r="I79" s="3"/>
      <c r="J79" s="20">
        <f>IF(H$12=0,0,H79/H$12)</f>
        <v>7.5343096619692367E-3</v>
      </c>
      <c r="K79" s="3"/>
      <c r="L79" s="3">
        <f>+D79-H79</f>
        <v>-455.76</v>
      </c>
      <c r="M79" s="3"/>
      <c r="N79" s="20">
        <f>IF(H79=0,0,L79/H79)</f>
        <v>-0.55716381418092908</v>
      </c>
      <c r="O79" s="12"/>
      <c r="P79" s="3">
        <f>--2609.16</f>
        <v>2609.16</v>
      </c>
      <c r="Q79" s="3"/>
      <c r="R79" s="20">
        <f>IF(P$12=0,0,P79/P$12)</f>
        <v>1.490546677457281E-3</v>
      </c>
      <c r="S79" s="3"/>
      <c r="T79" s="3">
        <v>14590</v>
      </c>
      <c r="U79" s="3"/>
      <c r="V79" s="20">
        <f>IF(T$12=0,0,T79/T$12)</f>
        <v>9.2011984892123987E-3</v>
      </c>
      <c r="W79" s="3"/>
      <c r="X79" s="3">
        <f>+P79-T79</f>
        <v>-11980.84</v>
      </c>
      <c r="Y79" s="3"/>
      <c r="Z79" s="20">
        <f>IF(T79=0,0,X79/T79)</f>
        <v>-0.82116792323509258</v>
      </c>
    </row>
    <row r="80" spans="1:26" ht="15" customHeight="1" x14ac:dyDescent="0.3">
      <c r="A80" s="10"/>
      <c r="B80" s="11"/>
      <c r="C80" s="11"/>
      <c r="D80" s="4"/>
      <c r="E80" s="4"/>
      <c r="F80" s="9"/>
      <c r="G80" s="4"/>
      <c r="H80" s="4"/>
      <c r="I80" s="4"/>
      <c r="J80" s="9"/>
      <c r="K80" s="4"/>
      <c r="L80" s="4"/>
      <c r="M80" s="4"/>
      <c r="N80" s="9"/>
      <c r="O80" s="11"/>
      <c r="P80" s="4"/>
      <c r="Q80" s="4"/>
      <c r="R80" s="9"/>
      <c r="S80" s="4"/>
      <c r="T80" s="4"/>
      <c r="U80" s="4"/>
      <c r="V80" s="9"/>
      <c r="W80" s="4"/>
      <c r="X80" s="4"/>
      <c r="Y80" s="4"/>
      <c r="Z80" s="9"/>
    </row>
    <row r="81" spans="1:26" s="63" customFormat="1" ht="15" customHeight="1" x14ac:dyDescent="0.3">
      <c r="A81" s="11"/>
      <c r="B81" s="27" t="s">
        <v>292</v>
      </c>
      <c r="C81" s="27"/>
      <c r="D81" s="21">
        <f>+D31-D33+D76</f>
        <v>68009.170000000027</v>
      </c>
      <c r="E81" s="15"/>
      <c r="F81" s="23">
        <f>IF(D$12=0,0,D81/D$12)</f>
        <v>0.14891578091241189</v>
      </c>
      <c r="G81" s="15"/>
      <c r="H81" s="21">
        <f>+H31-H33+H76</f>
        <v>-1918.0134888700013</v>
      </c>
      <c r="I81" s="15"/>
      <c r="J81" s="23">
        <f>IF(H$12=0,0,H81/H$12)</f>
        <v>-1.7666146162567939E-2</v>
      </c>
      <c r="K81" s="16"/>
      <c r="L81" s="21">
        <f>+D81-H81</f>
        <v>69927.183488870025</v>
      </c>
      <c r="M81" s="16"/>
      <c r="N81" s="23">
        <f>IF(H81=0,0,L81/H81)</f>
        <v>-36.458129150107105</v>
      </c>
      <c r="O81" s="28"/>
      <c r="P81" s="21">
        <f>+P31-P33+P76</f>
        <v>144385.54</v>
      </c>
      <c r="Q81" s="15"/>
      <c r="R81" s="23">
        <f>IF(P$12=0,0,P81/P$12)</f>
        <v>8.24837828726009E-2</v>
      </c>
      <c r="S81" s="15"/>
      <c r="T81" s="21">
        <f>+T31-T33+T76</f>
        <v>39015.118365517497</v>
      </c>
      <c r="U81" s="15"/>
      <c r="V81" s="23">
        <f>IF(T$12=0,0,T81/T$12)</f>
        <v>2.4604924479865835E-2</v>
      </c>
      <c r="W81" s="16"/>
      <c r="X81" s="21">
        <f>+P81-T81</f>
        <v>105370.42163448251</v>
      </c>
      <c r="Y81" s="16"/>
      <c r="Z81" s="23">
        <f>IF(T81=0,0,X81/T81)</f>
        <v>2.7007587327381128</v>
      </c>
    </row>
    <row r="82" spans="1:26" ht="15" customHeight="1" x14ac:dyDescent="0.3">
      <c r="A82" s="10"/>
      <c r="B82" s="11"/>
      <c r="C82" s="10"/>
      <c r="D82" s="4"/>
      <c r="E82" s="4"/>
      <c r="F82" s="9"/>
      <c r="G82" s="4"/>
      <c r="H82" s="4"/>
      <c r="I82" s="4"/>
      <c r="J82" s="9"/>
      <c r="K82" s="4"/>
      <c r="L82" s="4"/>
      <c r="M82" s="4"/>
      <c r="N82" s="9"/>
      <c r="P82" s="4"/>
      <c r="Q82" s="4"/>
      <c r="R82" s="9"/>
      <c r="S82" s="4"/>
      <c r="T82" s="4"/>
      <c r="U82" s="4"/>
      <c r="V82" s="9"/>
      <c r="W82" s="4"/>
      <c r="X82" s="4"/>
      <c r="Y82" s="4"/>
      <c r="Z82" s="9"/>
    </row>
    <row r="83" spans="1:26" s="63" customFormat="1" ht="15" customHeight="1" x14ac:dyDescent="0.3">
      <c r="A83" s="49"/>
      <c r="B83" s="11" t="s">
        <v>293</v>
      </c>
      <c r="C83" s="11"/>
      <c r="D83" s="5">
        <v>47421.86</v>
      </c>
      <c r="E83" s="5"/>
      <c r="F83" s="13">
        <f>IF(D$12=0,0,D83/D$12)</f>
        <v>0.10383692837626259</v>
      </c>
      <c r="G83" s="5"/>
      <c r="H83" s="5">
        <v>12533</v>
      </c>
      <c r="I83" s="5"/>
      <c r="J83" s="13">
        <f>IF(H$12=0,0,H83/H$12)</f>
        <v>0.11543704522427926</v>
      </c>
      <c r="K83" s="5"/>
      <c r="L83" s="5">
        <f>+D83-H83</f>
        <v>34888.86</v>
      </c>
      <c r="M83" s="5"/>
      <c r="N83" s="13">
        <f>IF(H83=0,0,L83/H83)</f>
        <v>2.7837596744594273</v>
      </c>
      <c r="O83" s="11"/>
      <c r="P83" s="5">
        <v>208914.52</v>
      </c>
      <c r="Q83" s="5"/>
      <c r="R83" s="13">
        <f>IF(P$12=0,0,P83/P$12)</f>
        <v>0.1193475462058987</v>
      </c>
      <c r="S83" s="5"/>
      <c r="T83" s="5">
        <v>193106</v>
      </c>
      <c r="U83" s="5"/>
      <c r="V83" s="13">
        <f>IF(T$12=0,0,T83/T$12)</f>
        <v>0.12178249728977721</v>
      </c>
      <c r="W83" s="5"/>
      <c r="X83" s="5">
        <f>+P83-T83</f>
        <v>15808.51999999999</v>
      </c>
      <c r="Y83" s="5"/>
      <c r="Z83" s="13">
        <f>IF(T83=0,0,X83/T83)</f>
        <v>8.1864468219527045E-2</v>
      </c>
    </row>
    <row r="84" spans="1:26" ht="15" customHeight="1" x14ac:dyDescent="0.3">
      <c r="A84" s="10"/>
      <c r="B84" s="11"/>
      <c r="C84" s="11"/>
      <c r="D84" s="4"/>
      <c r="E84" s="4"/>
      <c r="F84" s="9"/>
      <c r="G84" s="4"/>
      <c r="H84" s="4"/>
      <c r="I84" s="4"/>
      <c r="J84" s="9"/>
      <c r="K84" s="4"/>
      <c r="L84" s="4"/>
      <c r="M84" s="4"/>
      <c r="N84" s="9"/>
      <c r="O84" s="11"/>
      <c r="P84" s="4"/>
      <c r="Q84" s="4"/>
      <c r="R84" s="9"/>
      <c r="S84" s="4"/>
      <c r="T84" s="4"/>
      <c r="U84" s="4"/>
      <c r="V84" s="9"/>
      <c r="W84" s="4"/>
      <c r="X84" s="4"/>
      <c r="Y84" s="4"/>
      <c r="Z84" s="9"/>
    </row>
    <row r="85" spans="1:26" s="63" customFormat="1" ht="15" customHeight="1" x14ac:dyDescent="0.3">
      <c r="A85" s="11"/>
      <c r="B85" s="27" t="s">
        <v>294</v>
      </c>
      <c r="C85" s="27"/>
      <c r="D85" s="34">
        <f>+D81-D83</f>
        <v>20587.310000000027</v>
      </c>
      <c r="E85" s="15"/>
      <c r="F85" s="29">
        <f>IF(D$12=0,0,D85/D$12)</f>
        <v>4.5078852536149308E-2</v>
      </c>
      <c r="G85" s="15"/>
      <c r="H85" s="34">
        <f>+H81-H83</f>
        <v>-14451.013488870001</v>
      </c>
      <c r="I85" s="15"/>
      <c r="J85" s="29">
        <f>IF(H$12=0,0,H85/H$12)</f>
        <v>-0.1331031913868472</v>
      </c>
      <c r="K85" s="16"/>
      <c r="L85" s="34">
        <f>D85-H85</f>
        <v>35038.323488870024</v>
      </c>
      <c r="M85" s="16"/>
      <c r="N85" s="29">
        <f>IF(H85=0,0,L85/H85)</f>
        <v>-2.424627415638088</v>
      </c>
      <c r="O85" s="28"/>
      <c r="P85" s="34">
        <f>+P81-P83</f>
        <v>-64528.979999999981</v>
      </c>
      <c r="Q85" s="15"/>
      <c r="R85" s="29">
        <f>IF(P$12=0,0,P85/P$12)</f>
        <v>-3.6863763333297807E-2</v>
      </c>
      <c r="S85" s="15"/>
      <c r="T85" s="34">
        <f>+T81-T83</f>
        <v>-154090.8816344825</v>
      </c>
      <c r="U85" s="15"/>
      <c r="V85" s="29">
        <f>IF(T$12=0,0,T85/T$12)</f>
        <v>-9.7177572809911378E-2</v>
      </c>
      <c r="W85" s="16"/>
      <c r="X85" s="34">
        <f>P85-T85</f>
        <v>89561.901634482521</v>
      </c>
      <c r="Y85" s="16"/>
      <c r="Z85" s="29">
        <f>IF(T85=0,0,X85/T85)</f>
        <v>-0.58122778378886464</v>
      </c>
    </row>
    <row r="86" spans="1:26" ht="15" customHeight="1" x14ac:dyDescent="0.3">
      <c r="A86" s="10"/>
      <c r="B86" s="10"/>
      <c r="C86" s="10"/>
      <c r="D86" s="4"/>
      <c r="E86" s="4"/>
      <c r="F86" s="9"/>
      <c r="G86" s="4"/>
      <c r="H86" s="4"/>
      <c r="I86" s="4"/>
      <c r="J86" s="9"/>
      <c r="K86" s="4"/>
      <c r="L86" s="4"/>
      <c r="M86" s="4"/>
      <c r="N86" s="9"/>
      <c r="P86" s="4"/>
      <c r="Q86" s="4"/>
      <c r="R86" s="9"/>
      <c r="S86" s="4"/>
      <c r="T86" s="4"/>
      <c r="U86" s="4"/>
      <c r="V86" s="9"/>
      <c r="W86" s="4"/>
      <c r="X86" s="4"/>
      <c r="Y86" s="4"/>
      <c r="Z86" s="9"/>
    </row>
    <row r="87" spans="1:26" ht="15" customHeight="1" x14ac:dyDescent="0.3">
      <c r="A87" s="10"/>
      <c r="B87" s="10"/>
      <c r="C87" s="10"/>
      <c r="D87" s="4"/>
      <c r="E87" s="4"/>
      <c r="F87" s="9"/>
      <c r="G87" s="4"/>
      <c r="H87" s="4"/>
      <c r="I87" s="4"/>
      <c r="J87" s="9"/>
      <c r="K87" s="4"/>
      <c r="L87" s="4"/>
      <c r="M87" s="4"/>
      <c r="N87" s="9"/>
      <c r="P87" s="4"/>
      <c r="Q87" s="4"/>
      <c r="R87" s="9"/>
      <c r="S87" s="4"/>
      <c r="T87" s="4"/>
      <c r="U87" s="4"/>
      <c r="V87" s="9"/>
      <c r="W87" s="4"/>
      <c r="X87" s="4"/>
      <c r="Y87" s="4"/>
      <c r="Z87" s="9"/>
    </row>
    <row r="88" spans="1:26" s="63" customFormat="1" ht="15" customHeight="1" x14ac:dyDescent="0.3">
      <c r="A88" s="11"/>
      <c r="B88" s="27" t="s">
        <v>297</v>
      </c>
      <c r="C88" s="27"/>
      <c r="D88" s="32">
        <f>SUM(D85:D87)</f>
        <v>20587.310000000027</v>
      </c>
      <c r="E88" s="15"/>
      <c r="F88" s="31">
        <f>IF(D$12=0,0,D88/D$12)</f>
        <v>4.5078852536149308E-2</v>
      </c>
      <c r="G88" s="15"/>
      <c r="H88" s="32">
        <f>SUM(H85:H87)</f>
        <v>-14451.013488870001</v>
      </c>
      <c r="I88" s="15"/>
      <c r="J88" s="31">
        <f>IF(H$12=0,0,H88/H$12)</f>
        <v>-0.1331031913868472</v>
      </c>
      <c r="K88" s="16"/>
      <c r="L88" s="32">
        <f>+D88-H88</f>
        <v>35038.323488870024</v>
      </c>
      <c r="M88" s="16"/>
      <c r="N88" s="31">
        <f>IF(H88=0,0,L88/H88)</f>
        <v>-2.424627415638088</v>
      </c>
      <c r="O88" s="28"/>
      <c r="P88" s="32">
        <f>SUM(P85:P87)</f>
        <v>-64528.979999999981</v>
      </c>
      <c r="Q88" s="15"/>
      <c r="R88" s="31">
        <f>IF(P$12=0,0,P88/P$12)</f>
        <v>-3.6863763333297807E-2</v>
      </c>
      <c r="S88" s="15"/>
      <c r="T88" s="32">
        <f>SUM(T85:T87)</f>
        <v>-154090.8816344825</v>
      </c>
      <c r="U88" s="15"/>
      <c r="V88" s="31">
        <f>IF(T$12=0,0,T88/T$12)</f>
        <v>-9.7177572809911378E-2</v>
      </c>
      <c r="W88" s="16"/>
      <c r="X88" s="32">
        <f>+P88-T88</f>
        <v>89561.901634482521</v>
      </c>
      <c r="Y88" s="16"/>
      <c r="Z88" s="31">
        <f>IF(T88=0,0,X88/T88)</f>
        <v>-0.58122778378886464</v>
      </c>
    </row>
    <row r="89" spans="1:26" ht="15" customHeight="1" x14ac:dyDescent="0.3">
      <c r="A89" s="10"/>
      <c r="C89" s="10"/>
      <c r="D89" s="19"/>
      <c r="E89" s="19"/>
      <c r="G89" s="19"/>
      <c r="H89" s="19"/>
      <c r="I89" s="19"/>
      <c r="J89" s="40"/>
      <c r="K89" s="19"/>
      <c r="L89" s="19"/>
      <c r="M89" s="19"/>
      <c r="P89" s="19"/>
      <c r="Q89" s="19"/>
      <c r="R89" s="40"/>
      <c r="S89" s="19"/>
      <c r="T89" s="19"/>
      <c r="U89" s="19"/>
      <c r="V89" s="40"/>
      <c r="W89" s="19"/>
      <c r="X89" s="19"/>
    </row>
    <row r="90" spans="1:26" ht="15" customHeight="1" x14ac:dyDescent="0.3">
      <c r="A90" s="10"/>
      <c r="B90" s="51">
        <v>44663.047646261577</v>
      </c>
      <c r="D90" s="19"/>
      <c r="E90" s="19"/>
      <c r="G90" s="19"/>
      <c r="H90" s="19"/>
      <c r="I90" s="19"/>
      <c r="J90" s="40"/>
      <c r="K90" s="19"/>
      <c r="L90" s="19"/>
      <c r="M90" s="19"/>
      <c r="P90" s="19"/>
      <c r="Q90" s="19"/>
      <c r="R90" s="40"/>
      <c r="S90" s="19"/>
      <c r="T90" s="19"/>
      <c r="U90" s="19"/>
      <c r="V90" s="40"/>
      <c r="W90" s="19"/>
      <c r="X90" s="19"/>
    </row>
    <row r="91" spans="1:26" ht="15" customHeight="1" x14ac:dyDescent="0.3">
      <c r="A91" s="10"/>
      <c r="B91" s="58" t="s">
        <v>298</v>
      </c>
      <c r="D91" s="19"/>
      <c r="E91" s="19"/>
      <c r="G91" s="19"/>
      <c r="H91" s="19"/>
      <c r="I91" s="19"/>
      <c r="J91" s="40"/>
      <c r="K91" s="19"/>
      <c r="L91" s="19"/>
      <c r="M91" s="19"/>
      <c r="P91" s="19"/>
      <c r="Q91" s="19"/>
      <c r="R91" s="40"/>
      <c r="S91" s="19"/>
      <c r="T91" s="19"/>
      <c r="U91" s="19"/>
      <c r="V91" s="40"/>
      <c r="W91" s="19"/>
      <c r="X91" s="19"/>
    </row>
    <row r="92" spans="1:26" ht="15" customHeight="1" x14ac:dyDescent="0.3">
      <c r="A92" s="10"/>
      <c r="B92" s="50"/>
      <c r="D92" s="19"/>
      <c r="E92" s="19"/>
      <c r="G92" s="19"/>
      <c r="H92" s="19"/>
      <c r="I92" s="19"/>
      <c r="J92" s="40"/>
      <c r="K92" s="19"/>
      <c r="L92" s="19"/>
      <c r="M92" s="19"/>
      <c r="P92" s="19"/>
      <c r="Q92" s="19"/>
      <c r="R92" s="40"/>
      <c r="S92" s="19"/>
      <c r="T92" s="19"/>
      <c r="U92" s="19"/>
      <c r="V92" s="40"/>
      <c r="W92" s="19"/>
      <c r="X92" s="19"/>
    </row>
    <row r="93" spans="1:26" ht="15" customHeight="1" x14ac:dyDescent="0.3">
      <c r="D93" s="19"/>
      <c r="E93" s="19"/>
      <c r="G93" s="19"/>
      <c r="H93" s="19"/>
      <c r="I93" s="19"/>
      <c r="J93" s="40"/>
      <c r="K93" s="19"/>
      <c r="L93" s="19"/>
      <c r="M93" s="19"/>
      <c r="P93" s="19"/>
      <c r="Q93" s="19"/>
      <c r="R93" s="40"/>
      <c r="S93" s="19"/>
      <c r="T93" s="19"/>
      <c r="U93" s="19"/>
      <c r="V93" s="40"/>
      <c r="W93" s="19"/>
      <c r="X93" s="19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9E3291-0244-6808-0532-0E8EE71AFD3B}">
  <sheetPr>
    <tabColor rgb="FF92D050"/>
    <outlinePr summaryBelow="0" summaryRight="0"/>
  </sheetPr>
  <dimension ref="A2:Z93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6" customWidth="1"/>
    <col min="2" max="2" width="33.44140625" style="66" customWidth="1"/>
    <col min="3" max="3" width="1.88671875" style="66" customWidth="1"/>
    <col min="4" max="4" width="15" style="66" customWidth="1"/>
    <col min="5" max="5" width="1.88671875" style="66" customWidth="1" outlineLevel="1"/>
    <col min="6" max="6" width="15" style="67" customWidth="1" outlineLevel="1"/>
    <col min="7" max="7" width="1.88671875" style="66" customWidth="1" outlineLevel="1"/>
    <col min="8" max="8" width="15" style="66" customWidth="1" outlineLevel="1"/>
    <col min="9" max="9" width="1.88671875" style="66" customWidth="1" outlineLevel="1"/>
    <col min="10" max="10" width="15" style="68" customWidth="1" outlineLevel="1"/>
    <col min="11" max="11" width="1.88671875" style="66" customWidth="1" outlineLevel="1"/>
    <col min="12" max="12" width="15" style="66" customWidth="1" outlineLevel="1"/>
    <col min="13" max="13" width="1.88671875" style="66" customWidth="1" outlineLevel="1"/>
    <col min="14" max="14" width="15" style="67" customWidth="1" outlineLevel="1"/>
    <col min="15" max="15" width="1.88671875" style="64" customWidth="1"/>
    <col min="16" max="16" width="15" style="66" customWidth="1"/>
    <col min="17" max="17" width="1.88671875" style="66" customWidth="1" outlineLevel="1"/>
    <col min="18" max="18" width="15" style="68" customWidth="1" outlineLevel="1"/>
    <col min="19" max="19" width="1.88671875" style="66" customWidth="1" outlineLevel="1"/>
    <col min="20" max="20" width="15" style="66" customWidth="1" outlineLevel="1"/>
    <col min="21" max="21" width="1.88671875" style="66" customWidth="1" outlineLevel="1"/>
    <col min="22" max="22" width="15" style="68" customWidth="1" outlineLevel="1"/>
    <col min="23" max="23" width="1.88671875" style="66" customWidth="1" outlineLevel="1"/>
    <col min="24" max="24" width="15" style="66" customWidth="1" outlineLevel="1"/>
    <col min="25" max="25" width="1.88671875" style="66" customWidth="1" outlineLevel="1"/>
    <col min="26" max="26" width="15" style="68" customWidth="1" outlineLevel="1"/>
  </cols>
  <sheetData>
    <row r="2" spans="1:26" ht="15" customHeight="1" x14ac:dyDescent="0.3">
      <c r="D2" s="54" t="s">
        <v>276</v>
      </c>
    </row>
    <row r="3" spans="1:26" ht="15" customHeight="1" x14ac:dyDescent="0.3">
      <c r="D3" s="54" t="s">
        <v>277</v>
      </c>
      <c r="E3" s="18"/>
      <c r="F3" s="44"/>
      <c r="G3" s="18"/>
      <c r="H3" s="18"/>
      <c r="I3" s="18"/>
      <c r="J3" s="38"/>
      <c r="K3" s="18"/>
      <c r="L3" s="18"/>
      <c r="M3" s="18"/>
      <c r="N3" s="44"/>
      <c r="O3" s="53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ht="15" customHeight="1" x14ac:dyDescent="0.3">
      <c r="D4" s="54" t="str">
        <f>CONCATENATE("Period ",RIGHT(202209,2),", ",2022)</f>
        <v>Period 09, 2022</v>
      </c>
      <c r="E4" s="18"/>
      <c r="F4" s="44"/>
      <c r="G4" s="18"/>
      <c r="H4" s="18"/>
      <c r="I4" s="18"/>
      <c r="J4" s="38"/>
      <c r="K4" s="18"/>
      <c r="L4" s="18"/>
      <c r="M4" s="18"/>
      <c r="N4" s="44"/>
      <c r="O4" s="53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ht="15" customHeight="1" x14ac:dyDescent="0.3">
      <c r="A5" s="24"/>
      <c r="D5" s="60">
        <v>44646</v>
      </c>
      <c r="E5" s="18"/>
      <c r="F5" s="44"/>
      <c r="G5" s="18"/>
      <c r="H5" s="18"/>
      <c r="I5" s="18"/>
      <c r="J5" s="38"/>
      <c r="K5" s="18"/>
      <c r="L5" s="18"/>
      <c r="M5" s="18"/>
      <c r="N5" s="44"/>
      <c r="O5" s="53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ht="15" customHeight="1" x14ac:dyDescent="0.3">
      <c r="A6" s="24"/>
      <c r="B6" s="47"/>
      <c r="C6" s="47"/>
      <c r="D6" s="24" t="str">
        <f>CONCATENATE("Department ","317"," - ","Computer Store")</f>
        <v>Department 317 - Computer Store</v>
      </c>
      <c r="E6" s="18"/>
      <c r="F6" s="44"/>
      <c r="G6" s="18"/>
      <c r="H6" s="18"/>
      <c r="I6" s="18"/>
      <c r="J6" s="38"/>
      <c r="K6" s="18"/>
      <c r="L6" s="18"/>
      <c r="M6" s="18"/>
      <c r="N6" s="44"/>
      <c r="O6" s="59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ht="15" customHeight="1" x14ac:dyDescent="0.3">
      <c r="B7" s="52"/>
    </row>
    <row r="8" spans="1:26" ht="15" customHeight="1" x14ac:dyDescent="0.3">
      <c r="B8" s="52"/>
    </row>
    <row r="9" spans="1:26" ht="15" customHeight="1" x14ac:dyDescent="0.3">
      <c r="B9" s="10"/>
      <c r="C9" s="10"/>
      <c r="D9" s="17" t="s">
        <v>279</v>
      </c>
      <c r="E9" s="17"/>
      <c r="F9" s="36"/>
      <c r="G9" s="17"/>
      <c r="H9" s="17"/>
      <c r="I9" s="17"/>
      <c r="J9" s="43"/>
      <c r="K9" s="17"/>
      <c r="L9" s="17"/>
      <c r="M9" s="17"/>
      <c r="N9" s="36"/>
      <c r="P9" s="17" t="s">
        <v>280</v>
      </c>
      <c r="Q9" s="17"/>
      <c r="R9" s="36"/>
      <c r="S9" s="17"/>
      <c r="T9" s="17"/>
      <c r="U9" s="17"/>
      <c r="V9" s="43"/>
      <c r="W9" s="17"/>
      <c r="X9" s="17"/>
      <c r="Y9" s="17"/>
      <c r="Z9" s="36"/>
    </row>
    <row r="10" spans="1:26" ht="15" customHeight="1" x14ac:dyDescent="0.3">
      <c r="A10" s="11"/>
      <c r="B10" s="57"/>
      <c r="C10" s="11"/>
      <c r="D10" s="41" t="s">
        <v>281</v>
      </c>
      <c r="E10" s="33"/>
      <c r="F10" s="37" t="s">
        <v>282</v>
      </c>
      <c r="G10" s="33"/>
      <c r="H10" s="48" t="s">
        <v>283</v>
      </c>
      <c r="I10" s="33"/>
      <c r="J10" s="45" t="s">
        <v>284</v>
      </c>
      <c r="K10" s="11"/>
      <c r="L10" s="41" t="s">
        <v>285</v>
      </c>
      <c r="M10" s="11"/>
      <c r="N10" s="37" t="s">
        <v>286</v>
      </c>
      <c r="O10" s="11"/>
      <c r="P10" s="56" t="s">
        <v>281</v>
      </c>
      <c r="Q10" s="33"/>
      <c r="R10" s="37" t="s">
        <v>282</v>
      </c>
      <c r="S10" s="33"/>
      <c r="T10" s="48" t="s">
        <v>283</v>
      </c>
      <c r="U10" s="33"/>
      <c r="V10" s="45" t="s">
        <v>284</v>
      </c>
      <c r="W10" s="11"/>
      <c r="X10" s="41" t="s">
        <v>285</v>
      </c>
      <c r="Y10" s="11"/>
      <c r="Z10" s="37" t="s">
        <v>286</v>
      </c>
    </row>
    <row r="11" spans="1:26" ht="16.5" customHeight="1" x14ac:dyDescent="0.3">
      <c r="A11" s="10"/>
      <c r="B11" s="55"/>
      <c r="C11" s="10"/>
      <c r="D11" s="10"/>
      <c r="E11" s="10"/>
      <c r="F11" s="9"/>
      <c r="G11" s="10"/>
      <c r="H11" s="10"/>
      <c r="I11" s="10"/>
      <c r="J11" s="46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6"/>
      <c r="W11" s="10"/>
      <c r="X11" s="10"/>
      <c r="Y11" s="10"/>
      <c r="Z11" s="9"/>
    </row>
    <row r="12" spans="1:26" s="63" customFormat="1" ht="15" customHeight="1" collapsed="1" x14ac:dyDescent="0.3">
      <c r="A12" s="11"/>
      <c r="B12" s="28" t="s">
        <v>287</v>
      </c>
      <c r="C12" s="11"/>
      <c r="D12" s="5">
        <f>SUM(OSRRefD13x_0)</f>
        <v>456695.52</v>
      </c>
      <c r="E12" s="5"/>
      <c r="F12" s="13"/>
      <c r="G12" s="5"/>
      <c r="H12" s="5">
        <f>SUM(OSRRefH13x_0)</f>
        <v>108570</v>
      </c>
      <c r="I12" s="5"/>
      <c r="J12" s="13"/>
      <c r="K12" s="5"/>
      <c r="L12" s="5">
        <f t="shared" ref="L12:L17" si="0">+D12-H12</f>
        <v>348125.52</v>
      </c>
      <c r="M12" s="5"/>
      <c r="N12" s="13">
        <f t="shared" ref="N12:N17" si="1">IF(H12=0,0,L12/H12)</f>
        <v>3.206461453440177</v>
      </c>
      <c r="O12" s="11"/>
      <c r="P12" s="5">
        <f>SUM(OSRRefP13x_0)</f>
        <v>1750471.85</v>
      </c>
      <c r="Q12" s="5"/>
      <c r="R12" s="13"/>
      <c r="S12" s="5"/>
      <c r="T12" s="5">
        <f>SUM(OSRRefT13x_0)</f>
        <v>1585663</v>
      </c>
      <c r="U12" s="5"/>
      <c r="V12" s="13"/>
      <c r="W12" s="5"/>
      <c r="X12" s="5">
        <f t="shared" ref="X12:X17" si="2">+P12-T12</f>
        <v>164808.85000000009</v>
      </c>
      <c r="Y12" s="5"/>
      <c r="Z12" s="13">
        <f t="shared" ref="Z12:Z17" si="3">IF(T12=0,0,X12/T12)</f>
        <v>0.10393687057085907</v>
      </c>
    </row>
    <row r="13" spans="1:26" s="70" customFormat="1" ht="15" hidden="1" customHeight="1" outlineLevel="1" x14ac:dyDescent="0.3">
      <c r="A13" s="42"/>
      <c r="B13" s="12" t="str">
        <f>CONCATENATE("          ","4000"," - ","TAXABLE SALES")</f>
        <v xml:space="preserve">          4000 - TAXABLE SALES</v>
      </c>
      <c r="C13" s="12"/>
      <c r="D13" s="3">
        <f>--432065</f>
        <v>432065</v>
      </c>
      <c r="E13" s="3"/>
      <c r="F13" s="20"/>
      <c r="G13" s="3"/>
      <c r="H13" s="3">
        <v>94696</v>
      </c>
      <c r="I13" s="3"/>
      <c r="J13" s="20"/>
      <c r="K13" s="3"/>
      <c r="L13" s="3">
        <f t="shared" si="0"/>
        <v>337369</v>
      </c>
      <c r="M13" s="3"/>
      <c r="N13" s="20">
        <f t="shared" si="1"/>
        <v>3.5626531215679647</v>
      </c>
      <c r="O13" s="12"/>
      <c r="P13" s="3">
        <f>--1458675.68</f>
        <v>1458675.68</v>
      </c>
      <c r="Q13" s="3"/>
      <c r="R13" s="20"/>
      <c r="S13" s="3"/>
      <c r="T13" s="3">
        <v>1476796</v>
      </c>
      <c r="U13" s="3"/>
      <c r="V13" s="20"/>
      <c r="W13" s="3"/>
      <c r="X13" s="3">
        <f t="shared" si="2"/>
        <v>-18120.320000000065</v>
      </c>
      <c r="Y13" s="3"/>
      <c r="Z13" s="20">
        <f t="shared" si="3"/>
        <v>-1.2270022399844031E-2</v>
      </c>
    </row>
    <row r="14" spans="1:26" s="70" customFormat="1" ht="15" hidden="1" customHeight="1" outlineLevel="1" x14ac:dyDescent="0.3">
      <c r="A14" s="42"/>
      <c r="B14" s="12" t="str">
        <f>CONCATENATE("          ","4100"," - ","NON-TAXABLE SALES")</f>
        <v xml:space="preserve">          4100 - NON-TAXABLE SALES</v>
      </c>
      <c r="C14" s="12"/>
      <c r="D14" s="3">
        <f>--80322.45</f>
        <v>80322.45</v>
      </c>
      <c r="E14" s="3"/>
      <c r="F14" s="20"/>
      <c r="G14" s="3"/>
      <c r="H14" s="3">
        <v>13874</v>
      </c>
      <c r="I14" s="3"/>
      <c r="J14" s="20"/>
      <c r="K14" s="3"/>
      <c r="L14" s="3">
        <f t="shared" si="0"/>
        <v>66448.45</v>
      </c>
      <c r="M14" s="3"/>
      <c r="N14" s="20">
        <f t="shared" si="1"/>
        <v>4.7894226610926909</v>
      </c>
      <c r="O14" s="12"/>
      <c r="P14" s="3">
        <f>--573579.32</f>
        <v>573579.31999999995</v>
      </c>
      <c r="Q14" s="3"/>
      <c r="R14" s="20"/>
      <c r="S14" s="3"/>
      <c r="T14" s="3">
        <v>108867</v>
      </c>
      <c r="U14" s="3"/>
      <c r="V14" s="20"/>
      <c r="W14" s="3"/>
      <c r="X14" s="3">
        <f t="shared" si="2"/>
        <v>464712.31999999995</v>
      </c>
      <c r="Y14" s="3"/>
      <c r="Z14" s="20">
        <f t="shared" si="3"/>
        <v>4.2686242846776334</v>
      </c>
    </row>
    <row r="15" spans="1:26" s="70" customFormat="1" ht="15" hidden="1" customHeight="1" outlineLevel="1" x14ac:dyDescent="0.3">
      <c r="A15" s="42"/>
      <c r="B15" s="12" t="str">
        <f>CONCATENATE("          ","4200"," - ","TAXABLE RETURNS")</f>
        <v xml:space="preserve">          4200 - TAXABLE RETURNS</v>
      </c>
      <c r="C15" s="12"/>
      <c r="D15" s="3">
        <f>-55451.11</f>
        <v>-55451.11</v>
      </c>
      <c r="E15" s="3"/>
      <c r="F15" s="20"/>
      <c r="G15" s="3"/>
      <c r="H15" s="3"/>
      <c r="I15" s="3"/>
      <c r="J15" s="20"/>
      <c r="K15" s="3"/>
      <c r="L15" s="3">
        <f t="shared" si="0"/>
        <v>-55451.11</v>
      </c>
      <c r="M15" s="3"/>
      <c r="N15" s="20">
        <f t="shared" si="1"/>
        <v>0</v>
      </c>
      <c r="O15" s="12"/>
      <c r="P15" s="3">
        <f>-279510.21</f>
        <v>-279510.21000000002</v>
      </c>
      <c r="Q15" s="3"/>
      <c r="R15" s="20"/>
      <c r="S15" s="3"/>
      <c r="T15" s="3"/>
      <c r="U15" s="3"/>
      <c r="V15" s="20"/>
      <c r="W15" s="3"/>
      <c r="X15" s="3">
        <f t="shared" si="2"/>
        <v>-279510.21000000002</v>
      </c>
      <c r="Y15" s="3"/>
      <c r="Z15" s="20">
        <f t="shared" si="3"/>
        <v>0</v>
      </c>
    </row>
    <row r="16" spans="1:26" s="70" customFormat="1" ht="15" hidden="1" customHeight="1" outlineLevel="1" x14ac:dyDescent="0.3">
      <c r="A16" s="42"/>
      <c r="B16" s="12" t="str">
        <f>CONCATENATE("          ","4300"," - ","NON-TAX RETURNS")</f>
        <v xml:space="preserve">          4300 - NON-TAX RETURNS</v>
      </c>
      <c r="C16" s="12"/>
      <c r="D16" s="3">
        <f>0</f>
        <v>0</v>
      </c>
      <c r="E16" s="3"/>
      <c r="F16" s="20"/>
      <c r="G16" s="3"/>
      <c r="H16" s="3"/>
      <c r="I16" s="3"/>
      <c r="J16" s="20"/>
      <c r="K16" s="3"/>
      <c r="L16" s="3">
        <f t="shared" si="0"/>
        <v>0</v>
      </c>
      <c r="M16" s="3"/>
      <c r="N16" s="20">
        <f t="shared" si="1"/>
        <v>0</v>
      </c>
      <c r="O16" s="12"/>
      <c r="P16" s="3">
        <f>-1114.52</f>
        <v>-1114.52</v>
      </c>
      <c r="Q16" s="3"/>
      <c r="R16" s="20"/>
      <c r="S16" s="3"/>
      <c r="T16" s="3"/>
      <c r="U16" s="3"/>
      <c r="V16" s="20"/>
      <c r="W16" s="3"/>
      <c r="X16" s="3">
        <f t="shared" si="2"/>
        <v>-1114.52</v>
      </c>
      <c r="Y16" s="3"/>
      <c r="Z16" s="20">
        <f t="shared" si="3"/>
        <v>0</v>
      </c>
    </row>
    <row r="17" spans="1:26" s="70" customFormat="1" ht="15" hidden="1" customHeight="1" outlineLevel="1" x14ac:dyDescent="0.3">
      <c r="A17" s="42"/>
      <c r="B17" s="12" t="str">
        <f>CONCATENATE("          ","4500"," - ","SALES DISCOUNT")</f>
        <v xml:space="preserve">          4500 - SALES DISCOUNT</v>
      </c>
      <c r="C17" s="12"/>
      <c r="D17" s="3">
        <f>-240.82</f>
        <v>-240.82</v>
      </c>
      <c r="E17" s="3"/>
      <c r="F17" s="20"/>
      <c r="G17" s="3"/>
      <c r="H17" s="3"/>
      <c r="I17" s="3"/>
      <c r="J17" s="20"/>
      <c r="K17" s="3"/>
      <c r="L17" s="3">
        <f t="shared" si="0"/>
        <v>-240.82</v>
      </c>
      <c r="M17" s="3"/>
      <c r="N17" s="20">
        <f t="shared" si="1"/>
        <v>0</v>
      </c>
      <c r="O17" s="12"/>
      <c r="P17" s="3">
        <f>-1158.42</f>
        <v>-1158.42</v>
      </c>
      <c r="Q17" s="3"/>
      <c r="R17" s="20"/>
      <c r="S17" s="3"/>
      <c r="T17" s="3"/>
      <c r="U17" s="3"/>
      <c r="V17" s="20"/>
      <c r="W17" s="3"/>
      <c r="X17" s="3">
        <f t="shared" si="2"/>
        <v>-1158.42</v>
      </c>
      <c r="Y17" s="3"/>
      <c r="Z17" s="20">
        <f t="shared" si="3"/>
        <v>0</v>
      </c>
    </row>
    <row r="18" spans="1:26" ht="15" customHeight="1" x14ac:dyDescent="0.3">
      <c r="A18" s="10"/>
      <c r="B18" s="11"/>
      <c r="C18" s="10"/>
      <c r="D18" s="4"/>
      <c r="E18" s="4"/>
      <c r="F18" s="9"/>
      <c r="G18" s="4"/>
      <c r="H18" s="4"/>
      <c r="I18" s="4"/>
      <c r="J18" s="9"/>
      <c r="K18" s="4"/>
      <c r="L18" s="4"/>
      <c r="M18" s="4"/>
      <c r="N18" s="9"/>
      <c r="P18" s="4"/>
      <c r="Q18" s="4"/>
      <c r="R18" s="9"/>
      <c r="S18" s="4"/>
      <c r="T18" s="4"/>
      <c r="U18" s="4"/>
      <c r="V18" s="9"/>
      <c r="W18" s="4"/>
      <c r="X18" s="4"/>
      <c r="Y18" s="4"/>
      <c r="Z18" s="9"/>
    </row>
    <row r="19" spans="1:26" s="63" customFormat="1" ht="15" customHeight="1" collapsed="1" x14ac:dyDescent="0.3">
      <c r="A19" s="11"/>
      <c r="B19" s="28" t="s">
        <v>288</v>
      </c>
      <c r="C19" s="11"/>
      <c r="D19" s="5">
        <f>SUM(OSRRefD16x_0)</f>
        <v>370733.42</v>
      </c>
      <c r="E19" s="5"/>
      <c r="F19" s="13">
        <f t="shared" ref="F19:F29" si="4">IF(D$12=0,0,D19/D$12)</f>
        <v>0.81177371742118243</v>
      </c>
      <c r="G19" s="5"/>
      <c r="H19" s="5">
        <f>SUM(OSRRefH16x_0)</f>
        <v>97170</v>
      </c>
      <c r="I19" s="5"/>
      <c r="J19" s="13">
        <f t="shared" ref="J19:J29" si="5">IF(H$12=0,0,H19/H$12)</f>
        <v>0.89499861840287376</v>
      </c>
      <c r="K19" s="5"/>
      <c r="L19" s="5">
        <f t="shared" ref="L19:L29" si="6">+D19-H19</f>
        <v>273563.42</v>
      </c>
      <c r="M19" s="5"/>
      <c r="N19" s="13">
        <f t="shared" ref="N19:N29" si="7">IF(H19=0,0,L19/H19)</f>
        <v>2.8153073994031077</v>
      </c>
      <c r="O19" s="11"/>
      <c r="P19" s="5">
        <f>SUM(OSRRefP16x_0)</f>
        <v>1476772.33</v>
      </c>
      <c r="Q19" s="5"/>
      <c r="R19" s="13">
        <f t="shared" ref="R19:R29" si="8">IF(P$12=0,0,P19/P$12)</f>
        <v>0.84364243275320305</v>
      </c>
      <c r="S19" s="5"/>
      <c r="T19" s="5">
        <f>SUM(OSRRefT16x_0)</f>
        <v>1419166</v>
      </c>
      <c r="U19" s="5"/>
      <c r="V19" s="13">
        <f t="shared" ref="V19:V29" si="9">IF(T$12=0,0,T19/T$12)</f>
        <v>0.89499849589729974</v>
      </c>
      <c r="W19" s="5"/>
      <c r="X19" s="5">
        <f t="shared" ref="X19:X29" si="10">+P19-T19</f>
        <v>57606.330000000075</v>
      </c>
      <c r="Y19" s="5"/>
      <c r="Z19" s="13">
        <f t="shared" ref="Z19:Z29" si="11">IF(T19=0,0,X19/T19)</f>
        <v>4.0591678492861355E-2</v>
      </c>
    </row>
    <row r="20" spans="1:26" s="70" customFormat="1" ht="15" hidden="1" customHeight="1" outlineLevel="1" x14ac:dyDescent="0.3">
      <c r="A20" s="42"/>
      <c r="B20" s="12" t="str">
        <f>CONCATENATE("          ","5000"," - ","PURCHASES @ COST")</f>
        <v xml:space="preserve">          5000 - PURCHASES @ COST</v>
      </c>
      <c r="C20" s="12"/>
      <c r="D20" s="3">
        <v>375710.61</v>
      </c>
      <c r="E20" s="3"/>
      <c r="F20" s="20">
        <f t="shared" si="4"/>
        <v>0.82267198504596661</v>
      </c>
      <c r="G20" s="3"/>
      <c r="H20" s="3">
        <v>97170</v>
      </c>
      <c r="I20" s="3"/>
      <c r="J20" s="20">
        <f t="shared" si="5"/>
        <v>0.89499861840287376</v>
      </c>
      <c r="K20" s="3"/>
      <c r="L20" s="3">
        <f t="shared" si="6"/>
        <v>278540.61</v>
      </c>
      <c r="M20" s="3"/>
      <c r="N20" s="20">
        <f t="shared" si="7"/>
        <v>2.8665288669342388</v>
      </c>
      <c r="O20" s="12"/>
      <c r="P20" s="3">
        <v>1550025.54</v>
      </c>
      <c r="Q20" s="3"/>
      <c r="R20" s="20">
        <f t="shared" si="8"/>
        <v>0.88549012656216086</v>
      </c>
      <c r="S20" s="3"/>
      <c r="T20" s="3">
        <v>1419166</v>
      </c>
      <c r="U20" s="3"/>
      <c r="V20" s="20">
        <f t="shared" si="9"/>
        <v>0.89499849589729974</v>
      </c>
      <c r="W20" s="3"/>
      <c r="X20" s="3">
        <f t="shared" si="10"/>
        <v>130859.54000000004</v>
      </c>
      <c r="Y20" s="3"/>
      <c r="Z20" s="20">
        <f t="shared" si="11"/>
        <v>9.220876204756881E-2</v>
      </c>
    </row>
    <row r="21" spans="1:26" s="70" customFormat="1" ht="15" hidden="1" customHeight="1" outlineLevel="1" x14ac:dyDescent="0.3">
      <c r="A21" s="42"/>
      <c r="B21" s="12" t="str">
        <f>CONCATENATE("          ","5081"," - ","PURCHASES @ COST-ELECTRONICS")</f>
        <v xml:space="preserve">          5081 - PURCHASES @ COST-ELECTRONICS</v>
      </c>
      <c r="C21" s="12"/>
      <c r="D21" s="3"/>
      <c r="E21" s="3"/>
      <c r="F21" s="20">
        <f t="shared" si="4"/>
        <v>0</v>
      </c>
      <c r="G21" s="3"/>
      <c r="H21" s="3"/>
      <c r="I21" s="3"/>
      <c r="J21" s="20">
        <f t="shared" si="5"/>
        <v>0</v>
      </c>
      <c r="K21" s="3"/>
      <c r="L21" s="3">
        <f t="shared" si="6"/>
        <v>0</v>
      </c>
      <c r="M21" s="3"/>
      <c r="N21" s="20">
        <f t="shared" si="7"/>
        <v>0</v>
      </c>
      <c r="O21" s="12"/>
      <c r="P21" s="3">
        <v>0</v>
      </c>
      <c r="Q21" s="3"/>
      <c r="R21" s="20">
        <f t="shared" si="8"/>
        <v>0</v>
      </c>
      <c r="S21" s="3"/>
      <c r="T21" s="3"/>
      <c r="U21" s="3"/>
      <c r="V21" s="20">
        <f t="shared" si="9"/>
        <v>0</v>
      </c>
      <c r="W21" s="3"/>
      <c r="X21" s="3">
        <f t="shared" si="10"/>
        <v>0</v>
      </c>
      <c r="Y21" s="3"/>
      <c r="Z21" s="20">
        <f t="shared" si="11"/>
        <v>0</v>
      </c>
    </row>
    <row r="22" spans="1:26" s="70" customFormat="1" ht="15" hidden="1" customHeight="1" outlineLevel="1" x14ac:dyDescent="0.3">
      <c r="A22" s="42"/>
      <c r="B22" s="12" t="str">
        <f>CONCATENATE("          ","5082"," - ","PURCHASES @ COST-COMPUTER HARD")</f>
        <v xml:space="preserve">          5082 - PURCHASES @ COST-COMPUTER HARD</v>
      </c>
      <c r="C22" s="12"/>
      <c r="D22" s="3">
        <v>-16384.86</v>
      </c>
      <c r="E22" s="3"/>
      <c r="F22" s="20">
        <f t="shared" si="4"/>
        <v>-3.5876988677270141E-2</v>
      </c>
      <c r="G22" s="3"/>
      <c r="H22" s="3"/>
      <c r="I22" s="3"/>
      <c r="J22" s="20">
        <f t="shared" si="5"/>
        <v>0</v>
      </c>
      <c r="K22" s="3"/>
      <c r="L22" s="3">
        <f t="shared" si="6"/>
        <v>-16384.86</v>
      </c>
      <c r="M22" s="3"/>
      <c r="N22" s="20">
        <f t="shared" si="7"/>
        <v>0</v>
      </c>
      <c r="O22" s="12"/>
      <c r="P22" s="3">
        <v>-110193.26</v>
      </c>
      <c r="Q22" s="3"/>
      <c r="R22" s="20">
        <f t="shared" si="8"/>
        <v>-6.2950603861467405E-2</v>
      </c>
      <c r="S22" s="3"/>
      <c r="T22" s="3"/>
      <c r="U22" s="3"/>
      <c r="V22" s="20">
        <f t="shared" si="9"/>
        <v>0</v>
      </c>
      <c r="W22" s="3"/>
      <c r="X22" s="3">
        <f t="shared" si="10"/>
        <v>-110193.26</v>
      </c>
      <c r="Y22" s="3"/>
      <c r="Z22" s="20">
        <f t="shared" si="11"/>
        <v>0</v>
      </c>
    </row>
    <row r="23" spans="1:26" s="70" customFormat="1" ht="15" hidden="1" customHeight="1" outlineLevel="1" x14ac:dyDescent="0.3">
      <c r="A23" s="42"/>
      <c r="B23" s="12" t="str">
        <f>CONCATENATE("          ","5083"," - ","PURCHASES @ COST-COMPUTER EQUI")</f>
        <v xml:space="preserve">          5083 - PURCHASES @ COST-COMPUTER EQUI</v>
      </c>
      <c r="C23" s="12"/>
      <c r="D23" s="3"/>
      <c r="E23" s="3"/>
      <c r="F23" s="20">
        <f t="shared" si="4"/>
        <v>0</v>
      </c>
      <c r="G23" s="3"/>
      <c r="H23" s="3"/>
      <c r="I23" s="3"/>
      <c r="J23" s="20">
        <f t="shared" si="5"/>
        <v>0</v>
      </c>
      <c r="K23" s="3"/>
      <c r="L23" s="3">
        <f t="shared" si="6"/>
        <v>0</v>
      </c>
      <c r="M23" s="3"/>
      <c r="N23" s="20">
        <f t="shared" si="7"/>
        <v>0</v>
      </c>
      <c r="O23" s="12"/>
      <c r="P23" s="3">
        <v>0</v>
      </c>
      <c r="Q23" s="3"/>
      <c r="R23" s="20">
        <f t="shared" si="8"/>
        <v>0</v>
      </c>
      <c r="S23" s="3"/>
      <c r="T23" s="3"/>
      <c r="U23" s="3"/>
      <c r="V23" s="20">
        <f t="shared" si="9"/>
        <v>0</v>
      </c>
      <c r="W23" s="3"/>
      <c r="X23" s="3">
        <f t="shared" si="10"/>
        <v>0</v>
      </c>
      <c r="Y23" s="3"/>
      <c r="Z23" s="20">
        <f t="shared" si="11"/>
        <v>0</v>
      </c>
    </row>
    <row r="24" spans="1:26" s="70" customFormat="1" ht="15" hidden="1" customHeight="1" outlineLevel="1" x14ac:dyDescent="0.3">
      <c r="A24" s="42"/>
      <c r="B24" s="12" t="str">
        <f>CONCATENATE("          ","5085"," - ","PURCHASES @ COST-SOFTWARE")</f>
        <v xml:space="preserve">          5085 - PURCHASES @ COST-SOFTWARE</v>
      </c>
      <c r="C24" s="12"/>
      <c r="D24" s="3"/>
      <c r="E24" s="3"/>
      <c r="F24" s="20">
        <f t="shared" si="4"/>
        <v>0</v>
      </c>
      <c r="G24" s="3"/>
      <c r="H24" s="3"/>
      <c r="I24" s="3"/>
      <c r="J24" s="20">
        <f t="shared" si="5"/>
        <v>0</v>
      </c>
      <c r="K24" s="3"/>
      <c r="L24" s="3">
        <f t="shared" si="6"/>
        <v>0</v>
      </c>
      <c r="M24" s="3"/>
      <c r="N24" s="20">
        <f t="shared" si="7"/>
        <v>0</v>
      </c>
      <c r="O24" s="12"/>
      <c r="P24" s="3">
        <v>0</v>
      </c>
      <c r="Q24" s="3"/>
      <c r="R24" s="20">
        <f t="shared" si="8"/>
        <v>0</v>
      </c>
      <c r="S24" s="3"/>
      <c r="T24" s="3"/>
      <c r="U24" s="3"/>
      <c r="V24" s="20">
        <f t="shared" si="9"/>
        <v>0</v>
      </c>
      <c r="W24" s="3"/>
      <c r="X24" s="3">
        <f t="shared" si="10"/>
        <v>0</v>
      </c>
      <c r="Y24" s="3"/>
      <c r="Z24" s="20">
        <f t="shared" si="11"/>
        <v>0</v>
      </c>
    </row>
    <row r="25" spans="1:26" s="70" customFormat="1" ht="15" hidden="1" customHeight="1" outlineLevel="1" x14ac:dyDescent="0.3">
      <c r="A25" s="42"/>
      <c r="B25" s="12" t="str">
        <f>CONCATENATE("          ","5086"," - ","PURCHASES @ COST-COMPUTER SUPP")</f>
        <v xml:space="preserve">          5086 - PURCHASES @ COST-COMPUTER SUPP</v>
      </c>
      <c r="C25" s="12"/>
      <c r="D25" s="3"/>
      <c r="E25" s="3"/>
      <c r="F25" s="20">
        <f t="shared" si="4"/>
        <v>0</v>
      </c>
      <c r="G25" s="3"/>
      <c r="H25" s="3"/>
      <c r="I25" s="3"/>
      <c r="J25" s="20">
        <f t="shared" si="5"/>
        <v>0</v>
      </c>
      <c r="K25" s="3"/>
      <c r="L25" s="3">
        <f t="shared" si="6"/>
        <v>0</v>
      </c>
      <c r="M25" s="3"/>
      <c r="N25" s="20">
        <f t="shared" si="7"/>
        <v>0</v>
      </c>
      <c r="O25" s="12"/>
      <c r="P25" s="3">
        <v>0</v>
      </c>
      <c r="Q25" s="3"/>
      <c r="R25" s="20">
        <f t="shared" si="8"/>
        <v>0</v>
      </c>
      <c r="S25" s="3"/>
      <c r="T25" s="3"/>
      <c r="U25" s="3"/>
      <c r="V25" s="20">
        <f t="shared" si="9"/>
        <v>0</v>
      </c>
      <c r="W25" s="3"/>
      <c r="X25" s="3">
        <f t="shared" si="10"/>
        <v>0</v>
      </c>
      <c r="Y25" s="3"/>
      <c r="Z25" s="20">
        <f t="shared" si="11"/>
        <v>0</v>
      </c>
    </row>
    <row r="26" spans="1:26" s="70" customFormat="1" ht="15" hidden="1" customHeight="1" outlineLevel="1" x14ac:dyDescent="0.3">
      <c r="A26" s="42"/>
      <c r="B26" s="12" t="str">
        <f>CONCATENATE("          ","5200"," - ","PURCHASES OFFSET")</f>
        <v xml:space="preserve">          5200 - PURCHASES OFFSET</v>
      </c>
      <c r="C26" s="12"/>
      <c r="D26" s="3">
        <v>-375789.52</v>
      </c>
      <c r="E26" s="3"/>
      <c r="F26" s="20">
        <f t="shared" si="4"/>
        <v>-0.82284476974943832</v>
      </c>
      <c r="G26" s="3"/>
      <c r="H26" s="3"/>
      <c r="I26" s="3"/>
      <c r="J26" s="20">
        <f t="shared" si="5"/>
        <v>0</v>
      </c>
      <c r="K26" s="3"/>
      <c r="L26" s="3">
        <f t="shared" si="6"/>
        <v>-375789.52</v>
      </c>
      <c r="M26" s="3"/>
      <c r="N26" s="20">
        <f t="shared" si="7"/>
        <v>0</v>
      </c>
      <c r="O26" s="12"/>
      <c r="P26" s="3">
        <v>-1550197.09</v>
      </c>
      <c r="Q26" s="3"/>
      <c r="R26" s="20">
        <f t="shared" si="8"/>
        <v>-0.8855881287094105</v>
      </c>
      <c r="S26" s="3"/>
      <c r="T26" s="3"/>
      <c r="U26" s="3"/>
      <c r="V26" s="20">
        <f t="shared" si="9"/>
        <v>0</v>
      </c>
      <c r="W26" s="3"/>
      <c r="X26" s="3">
        <f t="shared" si="10"/>
        <v>-1550197.09</v>
      </c>
      <c r="Y26" s="3"/>
      <c r="Z26" s="20">
        <f t="shared" si="11"/>
        <v>0</v>
      </c>
    </row>
    <row r="27" spans="1:26" s="70" customFormat="1" ht="15" hidden="1" customHeight="1" outlineLevel="1" x14ac:dyDescent="0.3">
      <c r="A27" s="42"/>
      <c r="B27" s="12" t="str">
        <f>CONCATENATE("          ","5300"," - ","COG$ OFFSET")</f>
        <v xml:space="preserve">          5300 - COG$ OFFSET</v>
      </c>
      <c r="C27" s="12"/>
      <c r="D27" s="3">
        <v>387118.28</v>
      </c>
      <c r="E27" s="3"/>
      <c r="F27" s="20">
        <f t="shared" si="4"/>
        <v>0.84765070609845272</v>
      </c>
      <c r="G27" s="3"/>
      <c r="H27" s="3"/>
      <c r="I27" s="3"/>
      <c r="J27" s="20">
        <f t="shared" si="5"/>
        <v>0</v>
      </c>
      <c r="K27" s="3"/>
      <c r="L27" s="3">
        <f t="shared" si="6"/>
        <v>387118.28</v>
      </c>
      <c r="M27" s="3"/>
      <c r="N27" s="20">
        <f t="shared" si="7"/>
        <v>0</v>
      </c>
      <c r="O27" s="12"/>
      <c r="P27" s="3">
        <v>1586965.59</v>
      </c>
      <c r="Q27" s="3"/>
      <c r="R27" s="20">
        <f t="shared" si="8"/>
        <v>0.9065930366146705</v>
      </c>
      <c r="S27" s="3"/>
      <c r="T27" s="3"/>
      <c r="U27" s="3"/>
      <c r="V27" s="20">
        <f t="shared" si="9"/>
        <v>0</v>
      </c>
      <c r="W27" s="3"/>
      <c r="X27" s="3">
        <f t="shared" si="10"/>
        <v>1586965.59</v>
      </c>
      <c r="Y27" s="3"/>
      <c r="Z27" s="20">
        <f t="shared" si="11"/>
        <v>0</v>
      </c>
    </row>
    <row r="28" spans="1:26" s="70" customFormat="1" ht="15" hidden="1" customHeight="1" outlineLevel="1" x14ac:dyDescent="0.3">
      <c r="A28" s="42"/>
      <c r="B28" s="12" t="str">
        <f>CONCATENATE("          ","5500"," - ","FREIGHT-IN")</f>
        <v xml:space="preserve">          5500 - FREIGHT-IN</v>
      </c>
      <c r="C28" s="12"/>
      <c r="D28" s="3">
        <v>78.91</v>
      </c>
      <c r="E28" s="3"/>
      <c r="F28" s="20">
        <f t="shared" si="4"/>
        <v>1.7278470347158211E-4</v>
      </c>
      <c r="G28" s="3"/>
      <c r="H28" s="3"/>
      <c r="I28" s="3"/>
      <c r="J28" s="20">
        <f t="shared" si="5"/>
        <v>0</v>
      </c>
      <c r="K28" s="3"/>
      <c r="L28" s="3">
        <f t="shared" si="6"/>
        <v>78.91</v>
      </c>
      <c r="M28" s="3"/>
      <c r="N28" s="20">
        <f t="shared" si="7"/>
        <v>0</v>
      </c>
      <c r="O28" s="12"/>
      <c r="P28" s="3">
        <v>171.55</v>
      </c>
      <c r="Q28" s="3"/>
      <c r="R28" s="20">
        <f t="shared" si="8"/>
        <v>9.800214724961158E-5</v>
      </c>
      <c r="S28" s="3"/>
      <c r="T28" s="3"/>
      <c r="U28" s="3"/>
      <c r="V28" s="20">
        <f t="shared" si="9"/>
        <v>0</v>
      </c>
      <c r="W28" s="3"/>
      <c r="X28" s="3">
        <f t="shared" si="10"/>
        <v>171.55</v>
      </c>
      <c r="Y28" s="3"/>
      <c r="Z28" s="20">
        <f t="shared" si="11"/>
        <v>0</v>
      </c>
    </row>
    <row r="29" spans="1:26" s="70" customFormat="1" ht="15" hidden="1" customHeight="1" outlineLevel="1" x14ac:dyDescent="0.3">
      <c r="A29" s="42"/>
      <c r="B29" s="12" t="str">
        <f>CONCATENATE("          ","5583"," - ","FREIGHT-IN-COMPUTER EQUIPMENT")</f>
        <v xml:space="preserve">          5583 - FREIGHT-IN-COMPUTER EQUIPMENT</v>
      </c>
      <c r="C29" s="12"/>
      <c r="D29" s="3"/>
      <c r="E29" s="3"/>
      <c r="F29" s="20">
        <f t="shared" si="4"/>
        <v>0</v>
      </c>
      <c r="G29" s="3"/>
      <c r="H29" s="3"/>
      <c r="I29" s="3"/>
      <c r="J29" s="20">
        <f t="shared" si="5"/>
        <v>0</v>
      </c>
      <c r="K29" s="3"/>
      <c r="L29" s="3">
        <f t="shared" si="6"/>
        <v>0</v>
      </c>
      <c r="M29" s="3"/>
      <c r="N29" s="20">
        <f t="shared" si="7"/>
        <v>0</v>
      </c>
      <c r="O29" s="12"/>
      <c r="P29" s="3">
        <v>0</v>
      </c>
      <c r="Q29" s="3"/>
      <c r="R29" s="20">
        <f t="shared" si="8"/>
        <v>0</v>
      </c>
      <c r="S29" s="3"/>
      <c r="T29" s="3"/>
      <c r="U29" s="3"/>
      <c r="V29" s="20">
        <f t="shared" si="9"/>
        <v>0</v>
      </c>
      <c r="W29" s="3"/>
      <c r="X29" s="3">
        <f t="shared" si="10"/>
        <v>0</v>
      </c>
      <c r="Y29" s="3"/>
      <c r="Z29" s="20">
        <f t="shared" si="11"/>
        <v>0</v>
      </c>
    </row>
    <row r="30" spans="1:26" ht="15" customHeight="1" x14ac:dyDescent="0.3">
      <c r="A30" s="10"/>
      <c r="B30" s="11"/>
      <c r="C30" s="11"/>
      <c r="D30" s="4"/>
      <c r="E30" s="4"/>
      <c r="F30" s="9"/>
      <c r="G30" s="4"/>
      <c r="H30" s="4"/>
      <c r="I30" s="4"/>
      <c r="J30" s="9"/>
      <c r="K30" s="4"/>
      <c r="L30" s="4"/>
      <c r="M30" s="4"/>
      <c r="N30" s="9"/>
      <c r="O30" s="11"/>
      <c r="P30" s="4"/>
      <c r="Q30" s="4"/>
      <c r="R30" s="9"/>
      <c r="S30" s="4"/>
      <c r="T30" s="4"/>
      <c r="U30" s="4"/>
      <c r="V30" s="9"/>
      <c r="W30" s="4"/>
      <c r="X30" s="4"/>
      <c r="Y30" s="4"/>
      <c r="Z30" s="9"/>
    </row>
    <row r="31" spans="1:26" s="63" customFormat="1" ht="15" customHeight="1" x14ac:dyDescent="0.3">
      <c r="A31" s="11"/>
      <c r="B31" s="27" t="s">
        <v>289</v>
      </c>
      <c r="C31" s="27"/>
      <c r="D31" s="21">
        <f>D12-D19</f>
        <v>85962.100000000035</v>
      </c>
      <c r="E31" s="15"/>
      <c r="F31" s="23">
        <f>IF(D$12=0,0,D31/D$12)</f>
        <v>0.18822628257881757</v>
      </c>
      <c r="G31" s="15"/>
      <c r="H31" s="21">
        <f>H12-H19</f>
        <v>11400</v>
      </c>
      <c r="I31" s="15"/>
      <c r="J31" s="23">
        <f>IF(H$12=0,0,H31/H$12)</f>
        <v>0.10500138159712628</v>
      </c>
      <c r="K31" s="16"/>
      <c r="L31" s="21">
        <f>+D31-H31</f>
        <v>74562.100000000035</v>
      </c>
      <c r="M31" s="16"/>
      <c r="N31" s="23">
        <f>IF(H31=0,0,L31/H31)</f>
        <v>6.5405350877193014</v>
      </c>
      <c r="O31" s="28"/>
      <c r="P31" s="21">
        <f>P12-P19</f>
        <v>273699.52</v>
      </c>
      <c r="Q31" s="15"/>
      <c r="R31" s="23">
        <f>IF(P$12=0,0,P31/P$12)</f>
        <v>0.15635756724679692</v>
      </c>
      <c r="S31" s="15"/>
      <c r="T31" s="21">
        <f>T12-T19</f>
        <v>166497</v>
      </c>
      <c r="U31" s="15"/>
      <c r="V31" s="23">
        <f>IF(T$12=0,0,T31/T$12)</f>
        <v>0.10500150410270026</v>
      </c>
      <c r="W31" s="16"/>
      <c r="X31" s="21">
        <f>+P31-T31</f>
        <v>107202.52000000002</v>
      </c>
      <c r="Y31" s="16"/>
      <c r="Z31" s="23">
        <f>IF(T31=0,0,X31/T31)</f>
        <v>0.64387058025069532</v>
      </c>
    </row>
    <row r="32" spans="1:26" ht="15" customHeight="1" x14ac:dyDescent="0.3">
      <c r="A32" s="10"/>
      <c r="B32" s="11"/>
      <c r="C32" s="10"/>
      <c r="D32" s="2"/>
      <c r="E32" s="2"/>
      <c r="F32" s="6"/>
      <c r="G32" s="2"/>
      <c r="H32" s="2"/>
      <c r="I32" s="2"/>
      <c r="J32" s="6"/>
      <c r="K32" s="2"/>
      <c r="L32" s="2"/>
      <c r="M32" s="2"/>
      <c r="N32" s="6"/>
      <c r="O32" s="35"/>
      <c r="P32" s="2"/>
      <c r="Q32" s="2"/>
      <c r="R32" s="6"/>
      <c r="S32" s="2"/>
      <c r="T32" s="2"/>
      <c r="U32" s="2"/>
      <c r="V32" s="6"/>
      <c r="W32" s="2"/>
      <c r="X32" s="2"/>
      <c r="Y32" s="2"/>
      <c r="Z32" s="6"/>
    </row>
    <row r="33" spans="1:26" s="63" customFormat="1" ht="15" customHeight="1" x14ac:dyDescent="0.3">
      <c r="A33" s="11"/>
      <c r="B33" s="28" t="s">
        <v>290</v>
      </c>
      <c r="C33" s="11"/>
      <c r="D33" s="22" cm="1">
        <f t="array" ref="D33">SUM(OSRRefD22x_0)</f>
        <v>16839.859999999997</v>
      </c>
      <c r="E33" s="22"/>
      <c r="F33" s="30">
        <f t="shared" ref="F33:F74" si="12">IF(D$12=0,0,D33/D$12)</f>
        <v>3.6873276094322088E-2</v>
      </c>
      <c r="G33" s="22"/>
      <c r="H33" s="22" cm="1">
        <f t="array" ref="H33">SUM(OSRRefH22x_0)</f>
        <v>14136.013488870001</v>
      </c>
      <c r="I33" s="22"/>
      <c r="J33" s="30">
        <f t="shared" ref="J33:J74" si="13">IF(H$12=0,0,H33/H$12)</f>
        <v>0.13020183742166347</v>
      </c>
      <c r="K33" s="5"/>
      <c r="L33" s="22">
        <f t="shared" ref="L33:L74" si="14">+D33-H33</f>
        <v>2703.8465111299956</v>
      </c>
      <c r="M33" s="5"/>
      <c r="N33" s="30">
        <f t="shared" ref="N33:N74" si="15">IF(H33=0,0,L33/H33)</f>
        <v>0.19127362274087181</v>
      </c>
      <c r="O33" s="11"/>
      <c r="P33" s="22" cm="1">
        <f t="array" ref="P33">SUM(OSRRefP22x_0)</f>
        <v>132654.92000000001</v>
      </c>
      <c r="Q33" s="22"/>
      <c r="R33" s="30">
        <f t="shared" ref="R33:R74" si="16">IF(P$12=0,0,P33/P$12)</f>
        <v>7.5782378334161737E-2</v>
      </c>
      <c r="S33" s="22"/>
      <c r="T33" s="22" cm="1">
        <f t="array" ref="T33">SUM(OSRRefT22x_0)</f>
        <v>142071.8816344825</v>
      </c>
      <c r="U33" s="22"/>
      <c r="V33" s="30">
        <f t="shared" ref="V33:V74" si="17">IF(T$12=0,0,T33/T$12)</f>
        <v>8.9597778112046819E-2</v>
      </c>
      <c r="W33" s="5"/>
      <c r="X33" s="22">
        <f t="shared" ref="X33:X74" si="18">+P33-T33</f>
        <v>-9416.9616344824899</v>
      </c>
      <c r="Y33" s="5"/>
      <c r="Z33" s="30">
        <f t="shared" ref="Z33:Z74" si="19">IF(T33=0,0,X33/T33)</f>
        <v>-6.628307815835166E-2</v>
      </c>
    </row>
    <row r="34" spans="1:26" s="69" customFormat="1" ht="15" customHeight="1" outlineLevel="1" collapsed="1" x14ac:dyDescent="0.3">
      <c r="A34" s="25"/>
      <c r="B34" s="14" t="str">
        <f>CONCATENATE("     ","*Benefits                                         ")</f>
        <v xml:space="preserve">     *Benefits                                         </v>
      </c>
      <c r="C34" s="14"/>
      <c r="D34" s="2">
        <f>SUM(OSRRefD22_0x_0)</f>
        <v>3279.8099999999995</v>
      </c>
      <c r="E34" s="2"/>
      <c r="F34" s="6">
        <f t="shared" si="12"/>
        <v>7.181611941365222E-3</v>
      </c>
      <c r="G34" s="2"/>
      <c r="H34" s="2">
        <f>SUM(OSRRefH22_0x_0)</f>
        <v>2578.94293887</v>
      </c>
      <c r="I34" s="2"/>
      <c r="J34" s="6">
        <f t="shared" si="13"/>
        <v>2.3753734354517823E-2</v>
      </c>
      <c r="K34" s="2"/>
      <c r="L34" s="2">
        <f t="shared" si="14"/>
        <v>700.86706112999946</v>
      </c>
      <c r="M34" s="2"/>
      <c r="N34" s="6">
        <f t="shared" si="15"/>
        <v>0.27176524558433779</v>
      </c>
      <c r="O34" s="14"/>
      <c r="P34" s="2">
        <f>SUM(OSRRefP22_0x_0)</f>
        <v>23248.16</v>
      </c>
      <c r="Q34" s="2"/>
      <c r="R34" s="6">
        <f t="shared" si="16"/>
        <v>1.3281081898003672E-2</v>
      </c>
      <c r="S34" s="2"/>
      <c r="T34" s="2">
        <f>SUM(OSRRefT22_0x_0)</f>
        <v>25399.503771982498</v>
      </c>
      <c r="U34" s="2"/>
      <c r="V34" s="6">
        <f t="shared" si="17"/>
        <v>1.6018223148287183E-2</v>
      </c>
      <c r="W34" s="2"/>
      <c r="X34" s="2">
        <f t="shared" si="18"/>
        <v>-2151.3437719824979</v>
      </c>
      <c r="Y34" s="2"/>
      <c r="Z34" s="6">
        <f t="shared" si="19"/>
        <v>-8.4700228449170994E-2</v>
      </c>
    </row>
    <row r="35" spans="1:26" s="70" customFormat="1" ht="15" hidden="1" customHeight="1" outlineLevel="2" x14ac:dyDescent="0.3">
      <c r="A35" s="26"/>
      <c r="B35" s="12" t="str">
        <f>CONCATENATE("          ","6111"," - ","F.I.C.A.")</f>
        <v xml:space="preserve">          6111 - F.I.C.A.</v>
      </c>
      <c r="C35" s="12"/>
      <c r="D35" s="7">
        <v>606.14</v>
      </c>
      <c r="E35" s="3"/>
      <c r="F35" s="8">
        <f t="shared" si="12"/>
        <v>1.3272300109271927E-3</v>
      </c>
      <c r="G35" s="3"/>
      <c r="H35" s="7">
        <v>457.37151956999998</v>
      </c>
      <c r="I35" s="3"/>
      <c r="J35" s="8">
        <f t="shared" si="13"/>
        <v>4.2126878471953578E-3</v>
      </c>
      <c r="K35" s="3"/>
      <c r="L35" s="7">
        <f t="shared" si="14"/>
        <v>148.76848043000001</v>
      </c>
      <c r="M35" s="3"/>
      <c r="N35" s="8">
        <f t="shared" si="15"/>
        <v>0.32526835201690174</v>
      </c>
      <c r="O35" s="12"/>
      <c r="P35" s="7">
        <v>4893.68</v>
      </c>
      <c r="Q35" s="3"/>
      <c r="R35" s="8">
        <f t="shared" si="16"/>
        <v>2.7956347884143351E-3</v>
      </c>
      <c r="S35" s="3"/>
      <c r="T35" s="7">
        <v>5238.1415958075004</v>
      </c>
      <c r="U35" s="3"/>
      <c r="V35" s="8">
        <f t="shared" si="17"/>
        <v>3.3034393788639203E-3</v>
      </c>
      <c r="W35" s="3"/>
      <c r="X35" s="7">
        <f t="shared" si="18"/>
        <v>-344.46159580750009</v>
      </c>
      <c r="Y35" s="3"/>
      <c r="Z35" s="8">
        <f t="shared" si="19"/>
        <v>-6.5760268123183224E-2</v>
      </c>
    </row>
    <row r="36" spans="1:26" s="70" customFormat="1" ht="15" hidden="1" customHeight="1" outlineLevel="2" x14ac:dyDescent="0.3">
      <c r="A36" s="26"/>
      <c r="B36" s="12" t="str">
        <f>CONCATENATE("          ","6112"," - ","COMPENSATION INSURANCE")</f>
        <v xml:space="preserve">          6112 - COMPENSATION INSURANCE</v>
      </c>
      <c r="C36" s="12"/>
      <c r="D36" s="7">
        <v>149.75</v>
      </c>
      <c r="E36" s="3"/>
      <c r="F36" s="8">
        <f t="shared" si="12"/>
        <v>3.2789899055720974E-4</v>
      </c>
      <c r="G36" s="3"/>
      <c r="H36" s="7">
        <v>165.6078684</v>
      </c>
      <c r="I36" s="3"/>
      <c r="J36" s="8">
        <f t="shared" si="13"/>
        <v>1.5253557004697431E-3</v>
      </c>
      <c r="K36" s="3"/>
      <c r="L36" s="7">
        <f t="shared" si="14"/>
        <v>-15.857868400000001</v>
      </c>
      <c r="M36" s="3"/>
      <c r="N36" s="8">
        <f t="shared" si="15"/>
        <v>-9.5755525104023381E-2</v>
      </c>
      <c r="O36" s="12"/>
      <c r="P36" s="7">
        <v>1299.0999999999999</v>
      </c>
      <c r="Q36" s="3"/>
      <c r="R36" s="8">
        <f t="shared" si="16"/>
        <v>7.4214275425223196E-4</v>
      </c>
      <c r="S36" s="3"/>
      <c r="T36" s="7">
        <v>1610.4793809</v>
      </c>
      <c r="U36" s="3"/>
      <c r="V36" s="8">
        <f t="shared" si="17"/>
        <v>1.0156504761099931E-3</v>
      </c>
      <c r="W36" s="3"/>
      <c r="X36" s="7">
        <f t="shared" si="18"/>
        <v>-311.37938090000011</v>
      </c>
      <c r="Y36" s="3"/>
      <c r="Z36" s="8">
        <f t="shared" si="19"/>
        <v>-0.19334577306167616</v>
      </c>
    </row>
    <row r="37" spans="1:26" s="70" customFormat="1" ht="15" hidden="1" customHeight="1" outlineLevel="2" x14ac:dyDescent="0.3">
      <c r="A37" s="26"/>
      <c r="B37" s="12" t="str">
        <f>CONCATENATE("          ","6113"," - ","GROUP INSURANCE")</f>
        <v xml:space="preserve">          6113 - GROUP INSURANCE</v>
      </c>
      <c r="C37" s="12"/>
      <c r="D37" s="7">
        <v>1539.12</v>
      </c>
      <c r="E37" s="3"/>
      <c r="F37" s="8">
        <f t="shared" si="12"/>
        <v>3.3701228336989156E-3</v>
      </c>
      <c r="G37" s="3"/>
      <c r="H37" s="7">
        <v>943.5</v>
      </c>
      <c r="I37" s="3"/>
      <c r="J37" s="8">
        <f t="shared" si="13"/>
        <v>8.6902459242884783E-3</v>
      </c>
      <c r="K37" s="3"/>
      <c r="L37" s="7">
        <f t="shared" si="14"/>
        <v>595.61999999999989</v>
      </c>
      <c r="M37" s="3"/>
      <c r="N37" s="8">
        <f t="shared" si="15"/>
        <v>0.6312877583465818</v>
      </c>
      <c r="O37" s="12"/>
      <c r="P37" s="7">
        <v>8367.77</v>
      </c>
      <c r="Q37" s="3"/>
      <c r="R37" s="8">
        <f t="shared" si="16"/>
        <v>4.7802939533132163E-3</v>
      </c>
      <c r="S37" s="3"/>
      <c r="T37" s="7">
        <v>8950.5</v>
      </c>
      <c r="U37" s="3"/>
      <c r="V37" s="8">
        <f t="shared" si="17"/>
        <v>5.644642020404083E-3</v>
      </c>
      <c r="W37" s="3"/>
      <c r="X37" s="7">
        <f t="shared" si="18"/>
        <v>-582.72999999999956</v>
      </c>
      <c r="Y37" s="3"/>
      <c r="Z37" s="8">
        <f t="shared" si="19"/>
        <v>-6.5105860007820746E-2</v>
      </c>
    </row>
    <row r="38" spans="1:26" s="70" customFormat="1" ht="15" hidden="1" customHeight="1" outlineLevel="2" x14ac:dyDescent="0.3">
      <c r="A38" s="26"/>
      <c r="B38" s="12" t="str">
        <f>CONCATENATE("          ","6114"," - ","STATE UNEMPLOYMENT INSURANCE")</f>
        <v xml:space="preserve">          6114 - STATE UNEMPLOYMENT INSURANCE</v>
      </c>
      <c r="C38" s="12"/>
      <c r="D38" s="7">
        <v>26.31</v>
      </c>
      <c r="E38" s="3"/>
      <c r="F38" s="8">
        <f t="shared" si="12"/>
        <v>5.7609498775026296E-5</v>
      </c>
      <c r="G38" s="3"/>
      <c r="H38" s="7">
        <v>22.293366899999999</v>
      </c>
      <c r="I38" s="3"/>
      <c r="J38" s="8">
        <f t="shared" si="13"/>
        <v>2.0533634429400387E-4</v>
      </c>
      <c r="K38" s="3"/>
      <c r="L38" s="7">
        <f t="shared" si="14"/>
        <v>4.0166331</v>
      </c>
      <c r="M38" s="3"/>
      <c r="N38" s="8">
        <f t="shared" si="15"/>
        <v>0.1801716680130537</v>
      </c>
      <c r="O38" s="12"/>
      <c r="P38" s="7">
        <v>228.23</v>
      </c>
      <c r="Q38" s="3"/>
      <c r="R38" s="8">
        <f t="shared" si="16"/>
        <v>1.303819881479385E-4</v>
      </c>
      <c r="S38" s="3"/>
      <c r="T38" s="7">
        <v>216.79530127500001</v>
      </c>
      <c r="U38" s="3"/>
      <c r="V38" s="8">
        <f t="shared" si="17"/>
        <v>1.3672217947634523E-4</v>
      </c>
      <c r="W38" s="3"/>
      <c r="X38" s="7">
        <f t="shared" si="18"/>
        <v>11.434698724999976</v>
      </c>
      <c r="Y38" s="3"/>
      <c r="Z38" s="8">
        <f t="shared" si="19"/>
        <v>5.2744218429786514E-2</v>
      </c>
    </row>
    <row r="39" spans="1:26" s="70" customFormat="1" ht="15" hidden="1" customHeight="1" outlineLevel="2" x14ac:dyDescent="0.3">
      <c r="A39" s="26"/>
      <c r="B39" s="12" t="str">
        <f>CONCATENATE("          ","6115"," - ","P.E.R.S.")</f>
        <v xml:space="preserve">          6115 - P.E.R.S.</v>
      </c>
      <c r="C39" s="12"/>
      <c r="D39" s="7">
        <v>123.87</v>
      </c>
      <c r="E39" s="3"/>
      <c r="F39" s="8">
        <f t="shared" si="12"/>
        <v>2.7123103813236443E-4</v>
      </c>
      <c r="G39" s="3"/>
      <c r="H39" s="7">
        <v>202.166134</v>
      </c>
      <c r="I39" s="3"/>
      <c r="J39" s="8">
        <f t="shared" si="13"/>
        <v>1.8620809984341898E-3</v>
      </c>
      <c r="K39" s="3"/>
      <c r="L39" s="7">
        <f t="shared" si="14"/>
        <v>-78.296133999999995</v>
      </c>
      <c r="M39" s="3"/>
      <c r="N39" s="8">
        <f t="shared" si="15"/>
        <v>-0.38728610203329106</v>
      </c>
      <c r="O39" s="12"/>
      <c r="P39" s="7">
        <v>1038.68</v>
      </c>
      <c r="Q39" s="3"/>
      <c r="R39" s="8">
        <f t="shared" si="16"/>
        <v>5.9337143867809134E-4</v>
      </c>
      <c r="S39" s="3"/>
      <c r="T39" s="7">
        <v>1971.1198065000001</v>
      </c>
      <c r="U39" s="3"/>
      <c r="V39" s="8">
        <f t="shared" si="17"/>
        <v>1.2430887310229224E-3</v>
      </c>
      <c r="W39" s="3"/>
      <c r="X39" s="7">
        <f t="shared" si="18"/>
        <v>-932.43980650000003</v>
      </c>
      <c r="Y39" s="3"/>
      <c r="Z39" s="8">
        <f t="shared" si="19"/>
        <v>-0.47305080260731475</v>
      </c>
    </row>
    <row r="40" spans="1:26" s="70" customFormat="1" ht="15" hidden="1" customHeight="1" outlineLevel="2" x14ac:dyDescent="0.3">
      <c r="A40" s="26"/>
      <c r="B40" s="12" t="str">
        <f>CONCATENATE("          ","6116"," - ","EDUCATIONAL BENEFITS")</f>
        <v xml:space="preserve">          6116 - EDUCATIONAL BENEFITS</v>
      </c>
      <c r="C40" s="12"/>
      <c r="D40" s="7"/>
      <c r="E40" s="3"/>
      <c r="F40" s="8">
        <f t="shared" si="12"/>
        <v>0</v>
      </c>
      <c r="G40" s="3"/>
      <c r="H40" s="7">
        <v>0</v>
      </c>
      <c r="I40" s="3"/>
      <c r="J40" s="8">
        <f t="shared" si="13"/>
        <v>0</v>
      </c>
      <c r="K40" s="3"/>
      <c r="L40" s="7">
        <f t="shared" si="14"/>
        <v>0</v>
      </c>
      <c r="M40" s="3"/>
      <c r="N40" s="8">
        <f t="shared" si="15"/>
        <v>0</v>
      </c>
      <c r="O40" s="12"/>
      <c r="P40" s="7"/>
      <c r="Q40" s="3"/>
      <c r="R40" s="8">
        <f t="shared" si="16"/>
        <v>0</v>
      </c>
      <c r="S40" s="3"/>
      <c r="T40" s="7">
        <v>0</v>
      </c>
      <c r="U40" s="3"/>
      <c r="V40" s="8">
        <f t="shared" si="17"/>
        <v>0</v>
      </c>
      <c r="W40" s="3"/>
      <c r="X40" s="7">
        <f t="shared" si="18"/>
        <v>0</v>
      </c>
      <c r="Y40" s="3"/>
      <c r="Z40" s="8">
        <f t="shared" si="19"/>
        <v>0</v>
      </c>
    </row>
    <row r="41" spans="1:26" s="70" customFormat="1" ht="15" hidden="1" customHeight="1" outlineLevel="2" x14ac:dyDescent="0.3">
      <c r="A41" s="26"/>
      <c r="B41" s="12" t="str">
        <f>CONCATENATE("          ","6117"," - ","RETIREMENT STAFF HOURLY")</f>
        <v xml:space="preserve">          6117 - RETIREMENT STAFF HOURLY</v>
      </c>
      <c r="C41" s="12"/>
      <c r="D41" s="7">
        <v>120</v>
      </c>
      <c r="E41" s="3"/>
      <c r="F41" s="8">
        <f t="shared" si="12"/>
        <v>2.627571209807357E-4</v>
      </c>
      <c r="G41" s="3"/>
      <c r="H41" s="7"/>
      <c r="I41" s="3"/>
      <c r="J41" s="8">
        <f t="shared" si="13"/>
        <v>0</v>
      </c>
      <c r="K41" s="3"/>
      <c r="L41" s="7">
        <f t="shared" si="14"/>
        <v>120</v>
      </c>
      <c r="M41" s="3"/>
      <c r="N41" s="8">
        <f t="shared" si="15"/>
        <v>0</v>
      </c>
      <c r="O41" s="12"/>
      <c r="P41" s="7">
        <v>2.66</v>
      </c>
      <c r="Q41" s="3"/>
      <c r="R41" s="8">
        <f t="shared" si="16"/>
        <v>1.519590275044983E-6</v>
      </c>
      <c r="S41" s="3"/>
      <c r="T41" s="7"/>
      <c r="U41" s="3"/>
      <c r="V41" s="8">
        <f t="shared" si="17"/>
        <v>0</v>
      </c>
      <c r="W41" s="3"/>
      <c r="X41" s="7">
        <f t="shared" si="18"/>
        <v>2.66</v>
      </c>
      <c r="Y41" s="3"/>
      <c r="Z41" s="8">
        <f t="shared" si="19"/>
        <v>0</v>
      </c>
    </row>
    <row r="42" spans="1:26" s="70" customFormat="1" ht="15" hidden="1" customHeight="1" outlineLevel="2" x14ac:dyDescent="0.3">
      <c r="A42" s="26"/>
      <c r="B42" s="12" t="str">
        <f>CONCATENATE("          ","6118"," - ","VACATION")</f>
        <v xml:space="preserve">          6118 - VACATION</v>
      </c>
      <c r="C42" s="12"/>
      <c r="D42" s="7">
        <v>247.46</v>
      </c>
      <c r="E42" s="3"/>
      <c r="F42" s="8">
        <f t="shared" si="12"/>
        <v>5.4184897631577383E-4</v>
      </c>
      <c r="G42" s="3"/>
      <c r="H42" s="7">
        <v>179.29106999999999</v>
      </c>
      <c r="I42" s="3"/>
      <c r="J42" s="8">
        <f t="shared" si="13"/>
        <v>1.6513868471953578E-3</v>
      </c>
      <c r="K42" s="3"/>
      <c r="L42" s="7">
        <f t="shared" si="14"/>
        <v>68.168930000000017</v>
      </c>
      <c r="M42" s="3"/>
      <c r="N42" s="8">
        <f t="shared" si="15"/>
        <v>0.38021374963069837</v>
      </c>
      <c r="O42" s="12"/>
      <c r="P42" s="7">
        <v>2540.4299999999998</v>
      </c>
      <c r="Q42" s="3"/>
      <c r="R42" s="8">
        <f t="shared" si="16"/>
        <v>1.4512829783580922E-3</v>
      </c>
      <c r="S42" s="3"/>
      <c r="T42" s="7">
        <v>1748.0879325000001</v>
      </c>
      <c r="U42" s="3"/>
      <c r="V42" s="8">
        <f t="shared" si="17"/>
        <v>1.1024334505503376E-3</v>
      </c>
      <c r="W42" s="3"/>
      <c r="X42" s="7">
        <f t="shared" si="18"/>
        <v>792.34206749999976</v>
      </c>
      <c r="Y42" s="3"/>
      <c r="Z42" s="8">
        <f t="shared" si="19"/>
        <v>0.45326213445501246</v>
      </c>
    </row>
    <row r="43" spans="1:26" s="70" customFormat="1" ht="15" hidden="1" customHeight="1" outlineLevel="2" x14ac:dyDescent="0.3">
      <c r="A43" s="26"/>
      <c r="B43" s="12" t="str">
        <f>CONCATENATE("          ","6119"," - ","SICK LEAVE")</f>
        <v xml:space="preserve">          6119 - SICK LEAVE</v>
      </c>
      <c r="C43" s="12"/>
      <c r="D43" s="7">
        <v>228.77</v>
      </c>
      <c r="E43" s="3"/>
      <c r="F43" s="8">
        <f t="shared" si="12"/>
        <v>5.0092455472302417E-4</v>
      </c>
      <c r="G43" s="3"/>
      <c r="H43" s="7">
        <v>258.71298000000002</v>
      </c>
      <c r="I43" s="3"/>
      <c r="J43" s="8">
        <f t="shared" si="13"/>
        <v>2.3829140646587457E-3</v>
      </c>
      <c r="K43" s="3"/>
      <c r="L43" s="7">
        <f t="shared" si="14"/>
        <v>-29.942980000000006</v>
      </c>
      <c r="M43" s="3"/>
      <c r="N43" s="8">
        <f t="shared" si="15"/>
        <v>-0.1157382207881491</v>
      </c>
      <c r="O43" s="12"/>
      <c r="P43" s="7">
        <v>3303.21</v>
      </c>
      <c r="Q43" s="3"/>
      <c r="R43" s="8">
        <f t="shared" si="16"/>
        <v>1.8870397715907285E-3</v>
      </c>
      <c r="S43" s="3"/>
      <c r="T43" s="7">
        <v>2514.3797549999999</v>
      </c>
      <c r="U43" s="3"/>
      <c r="V43" s="8">
        <f t="shared" si="17"/>
        <v>1.5856961756691049E-3</v>
      </c>
      <c r="W43" s="3"/>
      <c r="X43" s="7">
        <f t="shared" si="18"/>
        <v>788.8302450000001</v>
      </c>
      <c r="Y43" s="3"/>
      <c r="Z43" s="8">
        <f t="shared" si="19"/>
        <v>0.31372756777545724</v>
      </c>
    </row>
    <row r="44" spans="1:26" s="70" customFormat="1" ht="15" hidden="1" customHeight="1" outlineLevel="2" x14ac:dyDescent="0.3">
      <c r="A44" s="26"/>
      <c r="B44" s="12" t="str">
        <f>CONCATENATE("          ","6156"," - ","EMPLOYEE MEALS")</f>
        <v xml:space="preserve">          6156 - EMPLOYEE MEALS</v>
      </c>
      <c r="C44" s="12"/>
      <c r="D44" s="7">
        <v>238.39</v>
      </c>
      <c r="E44" s="3"/>
      <c r="F44" s="8">
        <f t="shared" si="12"/>
        <v>5.2198891725497979E-4</v>
      </c>
      <c r="G44" s="3"/>
      <c r="H44" s="7">
        <v>350</v>
      </c>
      <c r="I44" s="3"/>
      <c r="J44" s="8">
        <f t="shared" si="13"/>
        <v>3.2237266279819469E-3</v>
      </c>
      <c r="K44" s="3"/>
      <c r="L44" s="7">
        <f t="shared" si="14"/>
        <v>-111.61000000000001</v>
      </c>
      <c r="M44" s="3"/>
      <c r="N44" s="8">
        <f t="shared" si="15"/>
        <v>-0.31888571428571433</v>
      </c>
      <c r="O44" s="12"/>
      <c r="P44" s="7">
        <v>1574.4</v>
      </c>
      <c r="Q44" s="3"/>
      <c r="R44" s="8">
        <f t="shared" si="16"/>
        <v>8.9941463497399284E-4</v>
      </c>
      <c r="S44" s="3"/>
      <c r="T44" s="7">
        <v>3150</v>
      </c>
      <c r="U44" s="3"/>
      <c r="V44" s="8">
        <f t="shared" si="17"/>
        <v>1.9865507361904768E-3</v>
      </c>
      <c r="W44" s="3"/>
      <c r="X44" s="7">
        <f t="shared" si="18"/>
        <v>-1575.6</v>
      </c>
      <c r="Y44" s="3"/>
      <c r="Z44" s="8">
        <f t="shared" si="19"/>
        <v>-0.50019047619047619</v>
      </c>
    </row>
    <row r="45" spans="1:26" s="69" customFormat="1" ht="15" customHeight="1" outlineLevel="1" collapsed="1" x14ac:dyDescent="0.3">
      <c r="A45" s="25"/>
      <c r="B45" s="14" t="str">
        <f>CONCATENATE("     ","*Payroll                                          ")</f>
        <v xml:space="preserve">     *Payroll                                          </v>
      </c>
      <c r="C45" s="14"/>
      <c r="D45" s="2">
        <f>SUM(OSRRefD22_1x_0)</f>
        <v>11228.220000000001</v>
      </c>
      <c r="E45" s="2"/>
      <c r="F45" s="6">
        <f t="shared" si="12"/>
        <v>2.4585789674485971E-2</v>
      </c>
      <c r="G45" s="2"/>
      <c r="H45" s="2">
        <f>SUM(OSRRefH22_1x_0)</f>
        <v>10317.07055</v>
      </c>
      <c r="I45" s="2"/>
      <c r="J45" s="6">
        <f t="shared" si="13"/>
        <v>9.502690015658101E-2</v>
      </c>
      <c r="K45" s="2"/>
      <c r="L45" s="2">
        <f t="shared" si="14"/>
        <v>911.1494500000008</v>
      </c>
      <c r="M45" s="2"/>
      <c r="N45" s="6">
        <f t="shared" si="15"/>
        <v>8.8314744537634354E-2</v>
      </c>
      <c r="O45" s="14"/>
      <c r="P45" s="2">
        <f>SUM(OSRRefP22_1x_0)</f>
        <v>92305.21</v>
      </c>
      <c r="Q45" s="2"/>
      <c r="R45" s="6">
        <f t="shared" si="16"/>
        <v>5.2731616335332673E-2</v>
      </c>
      <c r="S45" s="2"/>
      <c r="T45" s="2">
        <f>SUM(OSRRefT22_1x_0)</f>
        <v>100322.3778625</v>
      </c>
      <c r="U45" s="2"/>
      <c r="V45" s="6">
        <f t="shared" si="17"/>
        <v>6.3268410666390024E-2</v>
      </c>
      <c r="W45" s="2"/>
      <c r="X45" s="2">
        <f t="shared" si="18"/>
        <v>-8017.1678624999913</v>
      </c>
      <c r="Y45" s="2"/>
      <c r="Z45" s="6">
        <f t="shared" si="19"/>
        <v>-7.9914053407786789E-2</v>
      </c>
    </row>
    <row r="46" spans="1:26" s="70" customFormat="1" ht="15" hidden="1" customHeight="1" outlineLevel="2" x14ac:dyDescent="0.3">
      <c r="A46" s="26"/>
      <c r="B46" s="12" t="str">
        <f>CONCATENATE("          ","6001"," - ","ADMINISTRATIVE SALARIES")</f>
        <v xml:space="preserve">          6001 - ADMINISTRATIVE SALARIES</v>
      </c>
      <c r="C46" s="12"/>
      <c r="D46" s="7"/>
      <c r="E46" s="3"/>
      <c r="F46" s="8">
        <f t="shared" si="12"/>
        <v>0</v>
      </c>
      <c r="G46" s="3"/>
      <c r="H46" s="7">
        <v>0</v>
      </c>
      <c r="I46" s="3"/>
      <c r="J46" s="8">
        <f t="shared" si="13"/>
        <v>0</v>
      </c>
      <c r="K46" s="3"/>
      <c r="L46" s="7">
        <f t="shared" si="14"/>
        <v>0</v>
      </c>
      <c r="M46" s="3"/>
      <c r="N46" s="8">
        <f t="shared" si="15"/>
        <v>0</v>
      </c>
      <c r="O46" s="12"/>
      <c r="P46" s="7"/>
      <c r="Q46" s="3"/>
      <c r="R46" s="8">
        <f t="shared" si="16"/>
        <v>0</v>
      </c>
      <c r="S46" s="3"/>
      <c r="T46" s="7">
        <v>0</v>
      </c>
      <c r="U46" s="3"/>
      <c r="V46" s="8">
        <f t="shared" si="17"/>
        <v>0</v>
      </c>
      <c r="W46" s="3"/>
      <c r="X46" s="7">
        <f t="shared" si="18"/>
        <v>0</v>
      </c>
      <c r="Y46" s="3"/>
      <c r="Z46" s="8">
        <f t="shared" si="19"/>
        <v>0</v>
      </c>
    </row>
    <row r="47" spans="1:26" s="70" customFormat="1" ht="15" hidden="1" customHeight="1" outlineLevel="2" x14ac:dyDescent="0.3">
      <c r="A47" s="26"/>
      <c r="B47" s="12" t="str">
        <f>CONCATENATE("          ","6002"," - ","STAFF SALARIES")</f>
        <v xml:space="preserve">          6002 - STAFF SALARIES</v>
      </c>
      <c r="C47" s="12"/>
      <c r="D47" s="7">
        <v>1632</v>
      </c>
      <c r="E47" s="3"/>
      <c r="F47" s="8">
        <f t="shared" si="12"/>
        <v>3.5734968453380055E-3</v>
      </c>
      <c r="G47" s="3"/>
      <c r="H47" s="7">
        <v>2233.2305500000002</v>
      </c>
      <c r="I47" s="3"/>
      <c r="J47" s="8">
        <f t="shared" si="13"/>
        <v>2.0569499401307915E-2</v>
      </c>
      <c r="K47" s="3"/>
      <c r="L47" s="7">
        <f t="shared" si="14"/>
        <v>-601.23055000000022</v>
      </c>
      <c r="M47" s="3"/>
      <c r="N47" s="8">
        <f t="shared" si="15"/>
        <v>-0.26922009910709854</v>
      </c>
      <c r="O47" s="12"/>
      <c r="P47" s="7">
        <v>16584.939999999999</v>
      </c>
      <c r="Q47" s="3"/>
      <c r="R47" s="8">
        <f t="shared" si="16"/>
        <v>9.4745539609791488E-3</v>
      </c>
      <c r="S47" s="3"/>
      <c r="T47" s="7">
        <v>21773.9978625</v>
      </c>
      <c r="U47" s="3"/>
      <c r="V47" s="8">
        <f t="shared" si="17"/>
        <v>1.373179412176484E-2</v>
      </c>
      <c r="W47" s="3"/>
      <c r="X47" s="7">
        <f t="shared" si="18"/>
        <v>-5189.0578625000016</v>
      </c>
      <c r="Y47" s="3"/>
      <c r="Z47" s="8">
        <f t="shared" si="19"/>
        <v>-0.23831442876352957</v>
      </c>
    </row>
    <row r="48" spans="1:26" s="70" customFormat="1" ht="15" hidden="1" customHeight="1" outlineLevel="2" x14ac:dyDescent="0.3">
      <c r="A48" s="26"/>
      <c r="B48" s="12" t="str">
        <f>CONCATENATE("          ","6003"," - ","STAFF HOURLY-9 MONTH")</f>
        <v xml:space="preserve">          6003 - STAFF HOURLY-9 MONTH</v>
      </c>
      <c r="C48" s="12"/>
      <c r="D48" s="7"/>
      <c r="E48" s="3"/>
      <c r="F48" s="8">
        <f t="shared" si="12"/>
        <v>0</v>
      </c>
      <c r="G48" s="3"/>
      <c r="H48" s="7">
        <v>0</v>
      </c>
      <c r="I48" s="3"/>
      <c r="J48" s="8">
        <f t="shared" si="13"/>
        <v>0</v>
      </c>
      <c r="K48" s="3"/>
      <c r="L48" s="7">
        <f t="shared" si="14"/>
        <v>0</v>
      </c>
      <c r="M48" s="3"/>
      <c r="N48" s="8">
        <f t="shared" si="15"/>
        <v>0</v>
      </c>
      <c r="O48" s="12"/>
      <c r="P48" s="7"/>
      <c r="Q48" s="3"/>
      <c r="R48" s="8">
        <f t="shared" si="16"/>
        <v>0</v>
      </c>
      <c r="S48" s="3"/>
      <c r="T48" s="7">
        <v>0</v>
      </c>
      <c r="U48" s="3"/>
      <c r="V48" s="8">
        <f t="shared" si="17"/>
        <v>0</v>
      </c>
      <c r="W48" s="3"/>
      <c r="X48" s="7">
        <f t="shared" si="18"/>
        <v>0</v>
      </c>
      <c r="Y48" s="3"/>
      <c r="Z48" s="8">
        <f t="shared" si="19"/>
        <v>0</v>
      </c>
    </row>
    <row r="49" spans="1:26" s="70" customFormat="1" ht="15" hidden="1" customHeight="1" outlineLevel="2" x14ac:dyDescent="0.3">
      <c r="A49" s="26"/>
      <c r="B49" s="12" t="str">
        <f>CONCATENATE("          ","6004"," - ","STAFF HOURLY")</f>
        <v xml:space="preserve">          6004 - STAFF HOURLY</v>
      </c>
      <c r="C49" s="12"/>
      <c r="D49" s="7">
        <v>3489.49</v>
      </c>
      <c r="E49" s="3"/>
      <c r="F49" s="8">
        <f t="shared" si="12"/>
        <v>7.6407362174255606E-3</v>
      </c>
      <c r="G49" s="3"/>
      <c r="H49" s="7">
        <v>3444.32</v>
      </c>
      <c r="I49" s="3"/>
      <c r="J49" s="8">
        <f t="shared" si="13"/>
        <v>3.1724417426545089E-2</v>
      </c>
      <c r="K49" s="3"/>
      <c r="L49" s="7">
        <f t="shared" si="14"/>
        <v>45.169999999999618</v>
      </c>
      <c r="M49" s="3"/>
      <c r="N49" s="8">
        <f t="shared" si="15"/>
        <v>1.3114344776327291E-2</v>
      </c>
      <c r="O49" s="12"/>
      <c r="P49" s="7">
        <v>28472.639999999999</v>
      </c>
      <c r="Q49" s="3"/>
      <c r="R49" s="8">
        <f t="shared" si="16"/>
        <v>1.6265694304081497E-2</v>
      </c>
      <c r="S49" s="3"/>
      <c r="T49" s="7">
        <v>33582.120000000003</v>
      </c>
      <c r="U49" s="3"/>
      <c r="V49" s="8">
        <f t="shared" si="17"/>
        <v>2.1178598478995853E-2</v>
      </c>
      <c r="W49" s="3"/>
      <c r="X49" s="7">
        <f t="shared" si="18"/>
        <v>-5109.4800000000032</v>
      </c>
      <c r="Y49" s="3"/>
      <c r="Z49" s="8">
        <f t="shared" si="19"/>
        <v>-0.15214882205173474</v>
      </c>
    </row>
    <row r="50" spans="1:26" s="70" customFormat="1" ht="15" hidden="1" customHeight="1" outlineLevel="2" x14ac:dyDescent="0.3">
      <c r="A50" s="26"/>
      <c r="B50" s="12" t="str">
        <f>CONCATENATE("          ","6005"," - ","TEMPORARY WAGES-HOURLY")</f>
        <v xml:space="preserve">          6005 - TEMPORARY WAGES-HOURLY</v>
      </c>
      <c r="C50" s="12"/>
      <c r="D50" s="7">
        <v>1412.76</v>
      </c>
      <c r="E50" s="3"/>
      <c r="F50" s="8">
        <f t="shared" si="12"/>
        <v>3.0934395853062014E-3</v>
      </c>
      <c r="G50" s="3"/>
      <c r="H50" s="7">
        <v>0</v>
      </c>
      <c r="I50" s="3"/>
      <c r="J50" s="8">
        <f t="shared" si="13"/>
        <v>0</v>
      </c>
      <c r="K50" s="3"/>
      <c r="L50" s="7">
        <f t="shared" si="14"/>
        <v>1412.76</v>
      </c>
      <c r="M50" s="3"/>
      <c r="N50" s="8">
        <f t="shared" si="15"/>
        <v>0</v>
      </c>
      <c r="O50" s="12"/>
      <c r="P50" s="7">
        <v>11954.94</v>
      </c>
      <c r="Q50" s="3"/>
      <c r="R50" s="8">
        <f t="shared" si="16"/>
        <v>6.8295528431376942E-3</v>
      </c>
      <c r="S50" s="3"/>
      <c r="T50" s="7">
        <v>0</v>
      </c>
      <c r="U50" s="3"/>
      <c r="V50" s="8">
        <f t="shared" si="17"/>
        <v>0</v>
      </c>
      <c r="W50" s="3"/>
      <c r="X50" s="7">
        <f t="shared" si="18"/>
        <v>11954.94</v>
      </c>
      <c r="Y50" s="3"/>
      <c r="Z50" s="8">
        <f t="shared" si="19"/>
        <v>0</v>
      </c>
    </row>
    <row r="51" spans="1:26" s="70" customFormat="1" ht="15" hidden="1" customHeight="1" outlineLevel="2" x14ac:dyDescent="0.3">
      <c r="A51" s="26"/>
      <c r="B51" s="12" t="str">
        <f>CONCATENATE("          ","6006"," - ","TEMPORARY PART TIME")</f>
        <v xml:space="preserve">          6006 - TEMPORARY PART TIME</v>
      </c>
      <c r="C51" s="12"/>
      <c r="D51" s="7"/>
      <c r="E51" s="3"/>
      <c r="F51" s="8">
        <f t="shared" si="12"/>
        <v>0</v>
      </c>
      <c r="G51" s="3"/>
      <c r="H51" s="7">
        <v>0</v>
      </c>
      <c r="I51" s="3"/>
      <c r="J51" s="8">
        <f t="shared" si="13"/>
        <v>0</v>
      </c>
      <c r="K51" s="3"/>
      <c r="L51" s="7">
        <f t="shared" si="14"/>
        <v>0</v>
      </c>
      <c r="M51" s="3"/>
      <c r="N51" s="8">
        <f t="shared" si="15"/>
        <v>0</v>
      </c>
      <c r="O51" s="12"/>
      <c r="P51" s="7"/>
      <c r="Q51" s="3"/>
      <c r="R51" s="8">
        <f t="shared" si="16"/>
        <v>0</v>
      </c>
      <c r="S51" s="3"/>
      <c r="T51" s="7">
        <v>0</v>
      </c>
      <c r="U51" s="3"/>
      <c r="V51" s="8">
        <f t="shared" si="17"/>
        <v>0</v>
      </c>
      <c r="W51" s="3"/>
      <c r="X51" s="7">
        <f t="shared" si="18"/>
        <v>0</v>
      </c>
      <c r="Y51" s="3"/>
      <c r="Z51" s="8">
        <f t="shared" si="19"/>
        <v>0</v>
      </c>
    </row>
    <row r="52" spans="1:26" s="70" customFormat="1" ht="15" hidden="1" customHeight="1" outlineLevel="2" x14ac:dyDescent="0.3">
      <c r="A52" s="26"/>
      <c r="B52" s="12" t="str">
        <f>CONCATENATE("          ","6007"," - ","STUDENT HOURLY")</f>
        <v xml:space="preserve">          6007 - STUDENT HOURLY</v>
      </c>
      <c r="C52" s="12"/>
      <c r="D52" s="7">
        <v>4693.97</v>
      </c>
      <c r="E52" s="3"/>
      <c r="F52" s="8">
        <f t="shared" si="12"/>
        <v>1.0278117026416199E-2</v>
      </c>
      <c r="G52" s="3"/>
      <c r="H52" s="7">
        <v>0</v>
      </c>
      <c r="I52" s="3"/>
      <c r="J52" s="8">
        <f t="shared" si="13"/>
        <v>0</v>
      </c>
      <c r="K52" s="3"/>
      <c r="L52" s="7">
        <f t="shared" si="14"/>
        <v>4693.97</v>
      </c>
      <c r="M52" s="3"/>
      <c r="N52" s="8">
        <f t="shared" si="15"/>
        <v>0</v>
      </c>
      <c r="O52" s="12"/>
      <c r="P52" s="7">
        <v>29147.06</v>
      </c>
      <c r="Q52" s="3"/>
      <c r="R52" s="8">
        <f t="shared" si="16"/>
        <v>1.6650973279004742E-2</v>
      </c>
      <c r="S52" s="3"/>
      <c r="T52" s="7">
        <v>10176</v>
      </c>
      <c r="U52" s="3"/>
      <c r="V52" s="8">
        <f t="shared" si="17"/>
        <v>6.4175048544362831E-3</v>
      </c>
      <c r="W52" s="3"/>
      <c r="X52" s="7">
        <f t="shared" si="18"/>
        <v>18971.060000000001</v>
      </c>
      <c r="Y52" s="3"/>
      <c r="Z52" s="8">
        <f t="shared" si="19"/>
        <v>1.8642944182389938</v>
      </c>
    </row>
    <row r="53" spans="1:26" s="70" customFormat="1" ht="15" hidden="1" customHeight="1" outlineLevel="2" x14ac:dyDescent="0.3">
      <c r="A53" s="26"/>
      <c r="B53" s="12" t="str">
        <f>CONCATENATE("          ","6008"," - ","STUDENT HOURLY-FICA EXEMPT")</f>
        <v xml:space="preserve">          6008 - STUDENT HOURLY-FICA EXEMPT</v>
      </c>
      <c r="C53" s="12"/>
      <c r="D53" s="7"/>
      <c r="E53" s="3"/>
      <c r="F53" s="8">
        <f t="shared" si="12"/>
        <v>0</v>
      </c>
      <c r="G53" s="3"/>
      <c r="H53" s="7">
        <v>4639.5200000000004</v>
      </c>
      <c r="I53" s="3"/>
      <c r="J53" s="8">
        <f t="shared" si="13"/>
        <v>4.2732983328728012E-2</v>
      </c>
      <c r="K53" s="3"/>
      <c r="L53" s="7">
        <f t="shared" si="14"/>
        <v>-4639.5200000000004</v>
      </c>
      <c r="M53" s="3"/>
      <c r="N53" s="8">
        <f t="shared" si="15"/>
        <v>-1</v>
      </c>
      <c r="O53" s="12"/>
      <c r="P53" s="7">
        <v>6145.63</v>
      </c>
      <c r="Q53" s="3"/>
      <c r="R53" s="8">
        <f t="shared" si="16"/>
        <v>3.5108419481295855E-3</v>
      </c>
      <c r="S53" s="3"/>
      <c r="T53" s="7">
        <v>34790.26</v>
      </c>
      <c r="U53" s="3"/>
      <c r="V53" s="8">
        <f t="shared" si="17"/>
        <v>2.1940513211193047E-2</v>
      </c>
      <c r="W53" s="3"/>
      <c r="X53" s="7">
        <f t="shared" si="18"/>
        <v>-28644.63</v>
      </c>
      <c r="Y53" s="3"/>
      <c r="Z53" s="8">
        <f t="shared" si="19"/>
        <v>-0.82335199564475803</v>
      </c>
    </row>
    <row r="54" spans="1:26" s="70" customFormat="1" ht="15" hidden="1" customHeight="1" outlineLevel="2" x14ac:dyDescent="0.3">
      <c r="A54" s="26"/>
      <c r="B54" s="12" t="str">
        <f>CONCATENATE("          ","6009"," - ","TEMPORARY-SEASONAL")</f>
        <v xml:space="preserve">          6009 - TEMPORARY-SEASONAL</v>
      </c>
      <c r="C54" s="12"/>
      <c r="D54" s="7"/>
      <c r="E54" s="3"/>
      <c r="F54" s="8">
        <f t="shared" si="12"/>
        <v>0</v>
      </c>
      <c r="G54" s="3"/>
      <c r="H54" s="7">
        <v>0</v>
      </c>
      <c r="I54" s="3"/>
      <c r="J54" s="8">
        <f t="shared" si="13"/>
        <v>0</v>
      </c>
      <c r="K54" s="3"/>
      <c r="L54" s="7">
        <f t="shared" si="14"/>
        <v>0</v>
      </c>
      <c r="M54" s="3"/>
      <c r="N54" s="8">
        <f t="shared" si="15"/>
        <v>0</v>
      </c>
      <c r="O54" s="12"/>
      <c r="P54" s="7"/>
      <c r="Q54" s="3"/>
      <c r="R54" s="8">
        <f t="shared" si="16"/>
        <v>0</v>
      </c>
      <c r="S54" s="3"/>
      <c r="T54" s="7">
        <v>0</v>
      </c>
      <c r="U54" s="3"/>
      <c r="V54" s="8">
        <f t="shared" si="17"/>
        <v>0</v>
      </c>
      <c r="W54" s="3"/>
      <c r="X54" s="7">
        <f t="shared" si="18"/>
        <v>0</v>
      </c>
      <c r="Y54" s="3"/>
      <c r="Z54" s="8">
        <f t="shared" si="19"/>
        <v>0</v>
      </c>
    </row>
    <row r="55" spans="1:26" s="70" customFormat="1" ht="15" hidden="1" customHeight="1" outlineLevel="2" x14ac:dyDescent="0.3">
      <c r="A55" s="26"/>
      <c r="B55" s="12" t="str">
        <f>CONCATENATE("          ","6010"," - ","GRATUITY")</f>
        <v xml:space="preserve">          6010 - GRATUITY</v>
      </c>
      <c r="C55" s="12"/>
      <c r="D55" s="7"/>
      <c r="E55" s="3"/>
      <c r="F55" s="8">
        <f t="shared" si="12"/>
        <v>0</v>
      </c>
      <c r="G55" s="3"/>
      <c r="H55" s="7">
        <v>0</v>
      </c>
      <c r="I55" s="3"/>
      <c r="J55" s="8">
        <f t="shared" si="13"/>
        <v>0</v>
      </c>
      <c r="K55" s="3"/>
      <c r="L55" s="7">
        <f t="shared" si="14"/>
        <v>0</v>
      </c>
      <c r="M55" s="3"/>
      <c r="N55" s="8">
        <f t="shared" si="15"/>
        <v>0</v>
      </c>
      <c r="O55" s="12"/>
      <c r="P55" s="7"/>
      <c r="Q55" s="3"/>
      <c r="R55" s="8">
        <f t="shared" si="16"/>
        <v>0</v>
      </c>
      <c r="S55" s="3"/>
      <c r="T55" s="7">
        <v>0</v>
      </c>
      <c r="U55" s="3"/>
      <c r="V55" s="8">
        <f t="shared" si="17"/>
        <v>0</v>
      </c>
      <c r="W55" s="3"/>
      <c r="X55" s="7">
        <f t="shared" si="18"/>
        <v>0</v>
      </c>
      <c r="Y55" s="3"/>
      <c r="Z55" s="8">
        <f t="shared" si="19"/>
        <v>0</v>
      </c>
    </row>
    <row r="56" spans="1:26" s="69" customFormat="1" ht="15" customHeight="1" outlineLevel="1" collapsed="1" x14ac:dyDescent="0.3">
      <c r="A56" s="25"/>
      <c r="B56" s="14" t="str">
        <f>CONCATENATE("     ","Advertising/Promo                                 ")</f>
        <v xml:space="preserve">     Advertising/Promo                                 </v>
      </c>
      <c r="C56" s="14"/>
      <c r="D56" s="2">
        <f>SUM(OSRRefD22_2x_0)</f>
        <v>1.98</v>
      </c>
      <c r="E56" s="2"/>
      <c r="F56" s="6">
        <f t="shared" si="12"/>
        <v>4.3354924961821385E-6</v>
      </c>
      <c r="G56" s="2"/>
      <c r="H56" s="2">
        <f>SUM(OSRRefH22_2x_0)</f>
        <v>200</v>
      </c>
      <c r="I56" s="2"/>
      <c r="J56" s="6">
        <f t="shared" si="13"/>
        <v>1.8421295017039699E-3</v>
      </c>
      <c r="K56" s="2"/>
      <c r="L56" s="2">
        <f t="shared" si="14"/>
        <v>-198.02</v>
      </c>
      <c r="M56" s="2"/>
      <c r="N56" s="6">
        <f t="shared" si="15"/>
        <v>-0.99010000000000009</v>
      </c>
      <c r="O56" s="14"/>
      <c r="P56" s="2">
        <f>SUM(OSRRefP22_2x_0)</f>
        <v>178.97</v>
      </c>
      <c r="Q56" s="2"/>
      <c r="R56" s="6">
        <f t="shared" si="16"/>
        <v>1.0224100433263179E-4</v>
      </c>
      <c r="S56" s="2"/>
      <c r="T56" s="2">
        <f>SUM(OSRRefT22_2x_0)</f>
        <v>1800</v>
      </c>
      <c r="U56" s="2"/>
      <c r="V56" s="6">
        <f t="shared" si="17"/>
        <v>1.135171849251701E-3</v>
      </c>
      <c r="W56" s="2"/>
      <c r="X56" s="2">
        <f t="shared" si="18"/>
        <v>-1621.03</v>
      </c>
      <c r="Y56" s="2"/>
      <c r="Z56" s="6">
        <f t="shared" si="19"/>
        <v>-0.90057222222222222</v>
      </c>
    </row>
    <row r="57" spans="1:26" s="70" customFormat="1" ht="15" hidden="1" customHeight="1" outlineLevel="2" x14ac:dyDescent="0.3">
      <c r="A57" s="26"/>
      <c r="B57" s="12" t="str">
        <f>CONCATENATE("          ","6362"," - ","ADVERTISING EXPENSE")</f>
        <v xml:space="preserve">          6362 - ADVERTISING EXPENSE</v>
      </c>
      <c r="C57" s="12"/>
      <c r="D57" s="7">
        <v>1.98</v>
      </c>
      <c r="E57" s="3"/>
      <c r="F57" s="8">
        <f t="shared" si="12"/>
        <v>4.3354924961821385E-6</v>
      </c>
      <c r="G57" s="3"/>
      <c r="H57" s="7">
        <v>200</v>
      </c>
      <c r="I57" s="3"/>
      <c r="J57" s="8">
        <f t="shared" si="13"/>
        <v>1.8421295017039699E-3</v>
      </c>
      <c r="K57" s="3"/>
      <c r="L57" s="7">
        <f t="shared" si="14"/>
        <v>-198.02</v>
      </c>
      <c r="M57" s="3"/>
      <c r="N57" s="8">
        <f t="shared" si="15"/>
        <v>-0.99010000000000009</v>
      </c>
      <c r="O57" s="12"/>
      <c r="P57" s="7">
        <v>178.97</v>
      </c>
      <c r="Q57" s="3"/>
      <c r="R57" s="8">
        <f t="shared" si="16"/>
        <v>1.0224100433263179E-4</v>
      </c>
      <c r="S57" s="3"/>
      <c r="T57" s="7">
        <v>1800</v>
      </c>
      <c r="U57" s="3"/>
      <c r="V57" s="8">
        <f t="shared" si="17"/>
        <v>1.135171849251701E-3</v>
      </c>
      <c r="W57" s="3"/>
      <c r="X57" s="7">
        <f t="shared" si="18"/>
        <v>-1621.03</v>
      </c>
      <c r="Y57" s="3"/>
      <c r="Z57" s="8">
        <f t="shared" si="19"/>
        <v>-0.90057222222222222</v>
      </c>
    </row>
    <row r="58" spans="1:26" s="69" customFormat="1" ht="15" customHeight="1" outlineLevel="1" collapsed="1" x14ac:dyDescent="0.3">
      <c r="A58" s="25"/>
      <c r="B58" s="14" t="str">
        <f>CONCATENATE("     ","Depreciation                                      ")</f>
        <v xml:space="preserve">     Depreciation                                      </v>
      </c>
      <c r="C58" s="14"/>
      <c r="D58" s="2">
        <f>SUM(OSRRefD22_3x_0)</f>
        <v>280.44</v>
      </c>
      <c r="E58" s="2"/>
      <c r="F58" s="6">
        <f t="shared" si="12"/>
        <v>6.140633917319793E-4</v>
      </c>
      <c r="G58" s="2"/>
      <c r="H58" s="2">
        <f>SUM(OSRRefH22_3x_0)</f>
        <v>0</v>
      </c>
      <c r="I58" s="2"/>
      <c r="J58" s="6">
        <f t="shared" si="13"/>
        <v>0</v>
      </c>
      <c r="K58" s="2"/>
      <c r="L58" s="2">
        <f t="shared" si="14"/>
        <v>280.44</v>
      </c>
      <c r="M58" s="2"/>
      <c r="N58" s="6">
        <f t="shared" si="15"/>
        <v>0</v>
      </c>
      <c r="O58" s="14"/>
      <c r="P58" s="2">
        <f>SUM(OSRRefP22_3x_0)</f>
        <v>2523.96</v>
      </c>
      <c r="Q58" s="2"/>
      <c r="R58" s="6">
        <f t="shared" si="16"/>
        <v>1.4418740866926822E-3</v>
      </c>
      <c r="S58" s="2"/>
      <c r="T58" s="2">
        <f>SUM(OSRRefT22_3x_0)</f>
        <v>0</v>
      </c>
      <c r="U58" s="2"/>
      <c r="V58" s="6">
        <f t="shared" si="17"/>
        <v>0</v>
      </c>
      <c r="W58" s="2"/>
      <c r="X58" s="2">
        <f t="shared" si="18"/>
        <v>2523.96</v>
      </c>
      <c r="Y58" s="2"/>
      <c r="Z58" s="6">
        <f t="shared" si="19"/>
        <v>0</v>
      </c>
    </row>
    <row r="59" spans="1:26" s="70" customFormat="1" ht="15" hidden="1" customHeight="1" outlineLevel="2" x14ac:dyDescent="0.3">
      <c r="A59" s="26"/>
      <c r="B59" s="12" t="str">
        <f>CONCATENATE("          ","6322"," - ","EQUIPMENT DEPRECIATION EXPENSE")</f>
        <v xml:space="preserve">          6322 - EQUIPMENT DEPRECIATION EXPENSE</v>
      </c>
      <c r="C59" s="12"/>
      <c r="D59" s="7">
        <v>280.44</v>
      </c>
      <c r="E59" s="3"/>
      <c r="F59" s="8">
        <f t="shared" si="12"/>
        <v>6.140633917319793E-4</v>
      </c>
      <c r="G59" s="3"/>
      <c r="H59" s="7"/>
      <c r="I59" s="3"/>
      <c r="J59" s="8">
        <f t="shared" si="13"/>
        <v>0</v>
      </c>
      <c r="K59" s="3"/>
      <c r="L59" s="7">
        <f t="shared" si="14"/>
        <v>280.44</v>
      </c>
      <c r="M59" s="3"/>
      <c r="N59" s="8">
        <f t="shared" si="15"/>
        <v>0</v>
      </c>
      <c r="O59" s="12"/>
      <c r="P59" s="7">
        <v>2523.96</v>
      </c>
      <c r="Q59" s="3"/>
      <c r="R59" s="8">
        <f t="shared" si="16"/>
        <v>1.4418740866926822E-3</v>
      </c>
      <c r="S59" s="3"/>
      <c r="T59" s="7"/>
      <c r="U59" s="3"/>
      <c r="V59" s="8">
        <f t="shared" si="17"/>
        <v>0</v>
      </c>
      <c r="W59" s="3"/>
      <c r="X59" s="7">
        <f t="shared" si="18"/>
        <v>2523.96</v>
      </c>
      <c r="Y59" s="3"/>
      <c r="Z59" s="8">
        <f t="shared" si="19"/>
        <v>0</v>
      </c>
    </row>
    <row r="60" spans="1:26" s="69" customFormat="1" ht="15" customHeight="1" outlineLevel="1" collapsed="1" x14ac:dyDescent="0.3">
      <c r="A60" s="25"/>
      <c r="B60" s="14" t="str">
        <f>CONCATENATE("     ","Employees' Appreciation                           ")</f>
        <v xml:space="preserve">     Employees' Appreciation                           </v>
      </c>
      <c r="C60" s="14"/>
      <c r="D60" s="2">
        <f>SUM(OSRRefD22_4x_0)</f>
        <v>0</v>
      </c>
      <c r="E60" s="2"/>
      <c r="F60" s="6">
        <f t="shared" si="12"/>
        <v>0</v>
      </c>
      <c r="G60" s="2"/>
      <c r="H60" s="2">
        <f>SUM(OSRRefH22_4x_0)</f>
        <v>20</v>
      </c>
      <c r="I60" s="2"/>
      <c r="J60" s="6">
        <f t="shared" si="13"/>
        <v>1.8421295017039698E-4</v>
      </c>
      <c r="K60" s="2"/>
      <c r="L60" s="2">
        <f t="shared" si="14"/>
        <v>-20</v>
      </c>
      <c r="M60" s="2"/>
      <c r="N60" s="6">
        <f t="shared" si="15"/>
        <v>-1</v>
      </c>
      <c r="O60" s="14"/>
      <c r="P60" s="2">
        <f>SUM(OSRRefP22_4x_0)</f>
        <v>0</v>
      </c>
      <c r="Q60" s="2"/>
      <c r="R60" s="6">
        <f t="shared" si="16"/>
        <v>0</v>
      </c>
      <c r="S60" s="2"/>
      <c r="T60" s="2">
        <f>SUM(OSRRefT22_4x_0)</f>
        <v>180</v>
      </c>
      <c r="U60" s="2"/>
      <c r="V60" s="6">
        <f t="shared" si="17"/>
        <v>1.135171849251701E-4</v>
      </c>
      <c r="W60" s="2"/>
      <c r="X60" s="2">
        <f t="shared" si="18"/>
        <v>-180</v>
      </c>
      <c r="Y60" s="2"/>
      <c r="Z60" s="6">
        <f t="shared" si="19"/>
        <v>-1</v>
      </c>
    </row>
    <row r="61" spans="1:26" s="70" customFormat="1" ht="15" hidden="1" customHeight="1" outlineLevel="2" x14ac:dyDescent="0.3">
      <c r="A61" s="26"/>
      <c r="B61" s="12" t="str">
        <f>CONCATENATE("          ","6277"," - ","EMPLOYEE APPRECIATION")</f>
        <v xml:space="preserve">          6277 - EMPLOYEE APPRECIATION</v>
      </c>
      <c r="C61" s="12"/>
      <c r="D61" s="7"/>
      <c r="E61" s="3"/>
      <c r="F61" s="8">
        <f t="shared" si="12"/>
        <v>0</v>
      </c>
      <c r="G61" s="3"/>
      <c r="H61" s="7">
        <v>20</v>
      </c>
      <c r="I61" s="3"/>
      <c r="J61" s="8">
        <f t="shared" si="13"/>
        <v>1.8421295017039698E-4</v>
      </c>
      <c r="K61" s="3"/>
      <c r="L61" s="7">
        <f t="shared" si="14"/>
        <v>-20</v>
      </c>
      <c r="M61" s="3"/>
      <c r="N61" s="8">
        <f t="shared" si="15"/>
        <v>-1</v>
      </c>
      <c r="O61" s="12"/>
      <c r="P61" s="7"/>
      <c r="Q61" s="3"/>
      <c r="R61" s="8">
        <f t="shared" si="16"/>
        <v>0</v>
      </c>
      <c r="S61" s="3"/>
      <c r="T61" s="7">
        <v>180</v>
      </c>
      <c r="U61" s="3"/>
      <c r="V61" s="8">
        <f t="shared" si="17"/>
        <v>1.135171849251701E-4</v>
      </c>
      <c r="W61" s="3"/>
      <c r="X61" s="7">
        <f t="shared" si="18"/>
        <v>-180</v>
      </c>
      <c r="Y61" s="3"/>
      <c r="Z61" s="8">
        <f t="shared" si="19"/>
        <v>-1</v>
      </c>
    </row>
    <row r="62" spans="1:26" s="69" customFormat="1" ht="15" customHeight="1" outlineLevel="1" collapsed="1" x14ac:dyDescent="0.3">
      <c r="A62" s="25"/>
      <c r="B62" s="14" t="str">
        <f>CONCATENATE("     ","Freight out/Postage                               ")</f>
        <v xml:space="preserve">     Freight out/Postage                               </v>
      </c>
      <c r="C62" s="14"/>
      <c r="D62" s="2">
        <f>SUM(OSRRefD22_5x_0)</f>
        <v>0</v>
      </c>
      <c r="E62" s="2"/>
      <c r="F62" s="6">
        <f t="shared" si="12"/>
        <v>0</v>
      </c>
      <c r="G62" s="2"/>
      <c r="H62" s="2">
        <f>SUM(OSRRefH22_5x_0)</f>
        <v>15</v>
      </c>
      <c r="I62" s="2"/>
      <c r="J62" s="6">
        <f t="shared" si="13"/>
        <v>1.3815971262779773E-4</v>
      </c>
      <c r="K62" s="2"/>
      <c r="L62" s="2">
        <f t="shared" si="14"/>
        <v>-15</v>
      </c>
      <c r="M62" s="2"/>
      <c r="N62" s="6">
        <f t="shared" si="15"/>
        <v>-1</v>
      </c>
      <c r="O62" s="14"/>
      <c r="P62" s="2">
        <f>SUM(OSRRefP22_5x_0)</f>
        <v>122.13</v>
      </c>
      <c r="Q62" s="2"/>
      <c r="R62" s="6">
        <f t="shared" si="16"/>
        <v>6.9769759507986372E-5</v>
      </c>
      <c r="S62" s="2"/>
      <c r="T62" s="2">
        <f>SUM(OSRRefT22_5x_0)</f>
        <v>135</v>
      </c>
      <c r="U62" s="2"/>
      <c r="V62" s="6">
        <f t="shared" si="17"/>
        <v>8.5137888693877583E-5</v>
      </c>
      <c r="W62" s="2"/>
      <c r="X62" s="2">
        <f t="shared" si="18"/>
        <v>-12.870000000000005</v>
      </c>
      <c r="Y62" s="2"/>
      <c r="Z62" s="6">
        <f t="shared" si="19"/>
        <v>-9.5333333333333367E-2</v>
      </c>
    </row>
    <row r="63" spans="1:26" s="70" customFormat="1" ht="15" hidden="1" customHeight="1" outlineLevel="2" x14ac:dyDescent="0.3">
      <c r="A63" s="26"/>
      <c r="B63" s="12" t="str">
        <f>CONCATENATE("          ","6305"," - ","FREIGHT OUT")</f>
        <v xml:space="preserve">          6305 - FREIGHT OUT</v>
      </c>
      <c r="C63" s="12"/>
      <c r="D63" s="7"/>
      <c r="E63" s="3"/>
      <c r="F63" s="8">
        <f t="shared" si="12"/>
        <v>0</v>
      </c>
      <c r="G63" s="3"/>
      <c r="H63" s="7">
        <v>15</v>
      </c>
      <c r="I63" s="3"/>
      <c r="J63" s="8">
        <f t="shared" si="13"/>
        <v>1.3815971262779773E-4</v>
      </c>
      <c r="K63" s="3"/>
      <c r="L63" s="7">
        <f t="shared" si="14"/>
        <v>-15</v>
      </c>
      <c r="M63" s="3"/>
      <c r="N63" s="8">
        <f t="shared" si="15"/>
        <v>-1</v>
      </c>
      <c r="O63" s="12"/>
      <c r="P63" s="7">
        <v>122.13</v>
      </c>
      <c r="Q63" s="3"/>
      <c r="R63" s="8">
        <f t="shared" si="16"/>
        <v>6.9769759507986372E-5</v>
      </c>
      <c r="S63" s="3"/>
      <c r="T63" s="7">
        <v>135</v>
      </c>
      <c r="U63" s="3"/>
      <c r="V63" s="8">
        <f t="shared" si="17"/>
        <v>8.5137888693877583E-5</v>
      </c>
      <c r="W63" s="3"/>
      <c r="X63" s="7">
        <f t="shared" si="18"/>
        <v>-12.870000000000005</v>
      </c>
      <c r="Y63" s="3"/>
      <c r="Z63" s="8">
        <f t="shared" si="19"/>
        <v>-9.5333333333333367E-2</v>
      </c>
    </row>
    <row r="64" spans="1:26" s="69" customFormat="1" ht="15" customHeight="1" outlineLevel="1" collapsed="1" x14ac:dyDescent="0.3">
      <c r="A64" s="25"/>
      <c r="B64" s="14" t="str">
        <f>CONCATENATE("     ","General                                           ")</f>
        <v xml:space="preserve">     General                                           </v>
      </c>
      <c r="C64" s="14"/>
      <c r="D64" s="2">
        <f>SUM(OSRRefD22_6x_0)</f>
        <v>0</v>
      </c>
      <c r="E64" s="2"/>
      <c r="F64" s="6">
        <f t="shared" si="12"/>
        <v>0</v>
      </c>
      <c r="G64" s="2"/>
      <c r="H64" s="2">
        <f>SUM(OSRRefH22_6x_0)</f>
        <v>30</v>
      </c>
      <c r="I64" s="2"/>
      <c r="J64" s="6">
        <f t="shared" si="13"/>
        <v>2.7631942525559546E-4</v>
      </c>
      <c r="K64" s="2"/>
      <c r="L64" s="2">
        <f t="shared" si="14"/>
        <v>-30</v>
      </c>
      <c r="M64" s="2"/>
      <c r="N64" s="6">
        <f t="shared" si="15"/>
        <v>-1</v>
      </c>
      <c r="O64" s="14"/>
      <c r="P64" s="2">
        <f>SUM(OSRRefP22_6x_0)</f>
        <v>0</v>
      </c>
      <c r="Q64" s="2"/>
      <c r="R64" s="6">
        <f t="shared" si="16"/>
        <v>0</v>
      </c>
      <c r="S64" s="2"/>
      <c r="T64" s="2">
        <f>SUM(OSRRefT22_6x_0)</f>
        <v>270</v>
      </c>
      <c r="U64" s="2"/>
      <c r="V64" s="6">
        <f t="shared" si="17"/>
        <v>1.7027577738775517E-4</v>
      </c>
      <c r="W64" s="2"/>
      <c r="X64" s="2">
        <f t="shared" si="18"/>
        <v>-270</v>
      </c>
      <c r="Y64" s="2"/>
      <c r="Z64" s="6">
        <f t="shared" si="19"/>
        <v>-1</v>
      </c>
    </row>
    <row r="65" spans="1:26" s="70" customFormat="1" ht="15" hidden="1" customHeight="1" outlineLevel="2" x14ac:dyDescent="0.3">
      <c r="A65" s="26"/>
      <c r="B65" s="12" t="str">
        <f>CONCATENATE("          ","6279"," - ","GENERAL EXPENSE")</f>
        <v xml:space="preserve">          6279 - GENERAL EXPENSE</v>
      </c>
      <c r="C65" s="12"/>
      <c r="D65" s="7"/>
      <c r="E65" s="3"/>
      <c r="F65" s="8">
        <f t="shared" si="12"/>
        <v>0</v>
      </c>
      <c r="G65" s="3"/>
      <c r="H65" s="7">
        <v>30</v>
      </c>
      <c r="I65" s="3"/>
      <c r="J65" s="8">
        <f t="shared" si="13"/>
        <v>2.7631942525559546E-4</v>
      </c>
      <c r="K65" s="3"/>
      <c r="L65" s="7">
        <f t="shared" si="14"/>
        <v>-30</v>
      </c>
      <c r="M65" s="3"/>
      <c r="N65" s="8">
        <f t="shared" si="15"/>
        <v>-1</v>
      </c>
      <c r="O65" s="12"/>
      <c r="P65" s="7"/>
      <c r="Q65" s="3"/>
      <c r="R65" s="8">
        <f t="shared" si="16"/>
        <v>0</v>
      </c>
      <c r="S65" s="3"/>
      <c r="T65" s="7">
        <v>270</v>
      </c>
      <c r="U65" s="3"/>
      <c r="V65" s="8">
        <f t="shared" si="17"/>
        <v>1.7027577738775517E-4</v>
      </c>
      <c r="W65" s="3"/>
      <c r="X65" s="7">
        <f t="shared" si="18"/>
        <v>-270</v>
      </c>
      <c r="Y65" s="3"/>
      <c r="Z65" s="8">
        <f t="shared" si="19"/>
        <v>-1</v>
      </c>
    </row>
    <row r="66" spans="1:26" s="69" customFormat="1" ht="15" customHeight="1" outlineLevel="1" collapsed="1" x14ac:dyDescent="0.3">
      <c r="A66" s="25"/>
      <c r="B66" s="14" t="str">
        <f>CONCATENATE("     ","Inventory Adjustment                              ")</f>
        <v xml:space="preserve">     Inventory Adjustment                              </v>
      </c>
      <c r="C66" s="14"/>
      <c r="D66" s="2">
        <f>SUM(OSRRefD22_7x_0)</f>
        <v>340</v>
      </c>
      <c r="E66" s="2"/>
      <c r="F66" s="6">
        <f t="shared" si="12"/>
        <v>7.4447850944541773E-4</v>
      </c>
      <c r="G66" s="2"/>
      <c r="H66" s="2">
        <f>SUM(OSRRefH22_7x_0)</f>
        <v>340</v>
      </c>
      <c r="I66" s="2"/>
      <c r="J66" s="6">
        <f t="shared" si="13"/>
        <v>3.1316201528967485E-3</v>
      </c>
      <c r="K66" s="2"/>
      <c r="L66" s="2">
        <f t="shared" si="14"/>
        <v>0</v>
      </c>
      <c r="M66" s="2"/>
      <c r="N66" s="6">
        <f t="shared" si="15"/>
        <v>0</v>
      </c>
      <c r="O66" s="14"/>
      <c r="P66" s="2">
        <f>SUM(OSRRefP22_7x_0)</f>
        <v>7540</v>
      </c>
      <c r="Q66" s="2"/>
      <c r="R66" s="6">
        <f t="shared" si="16"/>
        <v>4.3074100277590869E-3</v>
      </c>
      <c r="S66" s="2"/>
      <c r="T66" s="2">
        <f>SUM(OSRRefT22_7x_0)</f>
        <v>8250</v>
      </c>
      <c r="U66" s="2"/>
      <c r="V66" s="6">
        <f t="shared" si="17"/>
        <v>5.2028709757369626E-3</v>
      </c>
      <c r="W66" s="2"/>
      <c r="X66" s="2">
        <f t="shared" si="18"/>
        <v>-710</v>
      </c>
      <c r="Y66" s="2"/>
      <c r="Z66" s="6">
        <f t="shared" si="19"/>
        <v>-8.606060606060606E-2</v>
      </c>
    </row>
    <row r="67" spans="1:26" s="70" customFormat="1" ht="15" hidden="1" customHeight="1" outlineLevel="2" x14ac:dyDescent="0.3">
      <c r="A67" s="26"/>
      <c r="B67" s="12" t="str">
        <f>CONCATENATE("          ","6408"," - ","INVENTORY ADJUSTMENT")</f>
        <v xml:space="preserve">          6408 - INVENTORY ADJUSTMENT</v>
      </c>
      <c r="C67" s="12"/>
      <c r="D67" s="7">
        <v>340</v>
      </c>
      <c r="E67" s="3"/>
      <c r="F67" s="8">
        <f t="shared" si="12"/>
        <v>7.4447850944541773E-4</v>
      </c>
      <c r="G67" s="3"/>
      <c r="H67" s="7">
        <v>340</v>
      </c>
      <c r="I67" s="3"/>
      <c r="J67" s="8">
        <f t="shared" si="13"/>
        <v>3.1316201528967485E-3</v>
      </c>
      <c r="K67" s="3"/>
      <c r="L67" s="7">
        <f t="shared" si="14"/>
        <v>0</v>
      </c>
      <c r="M67" s="3"/>
      <c r="N67" s="8">
        <f t="shared" si="15"/>
        <v>0</v>
      </c>
      <c r="O67" s="12"/>
      <c r="P67" s="7">
        <v>7540</v>
      </c>
      <c r="Q67" s="3"/>
      <c r="R67" s="8">
        <f t="shared" si="16"/>
        <v>4.3074100277590869E-3</v>
      </c>
      <c r="S67" s="3"/>
      <c r="T67" s="7">
        <v>8250</v>
      </c>
      <c r="U67" s="3"/>
      <c r="V67" s="8">
        <f t="shared" si="17"/>
        <v>5.2028709757369626E-3</v>
      </c>
      <c r="W67" s="3"/>
      <c r="X67" s="7">
        <f t="shared" si="18"/>
        <v>-710</v>
      </c>
      <c r="Y67" s="3"/>
      <c r="Z67" s="8">
        <f t="shared" si="19"/>
        <v>-8.606060606060606E-2</v>
      </c>
    </row>
    <row r="68" spans="1:26" s="69" customFormat="1" ht="15" customHeight="1" outlineLevel="1" collapsed="1" x14ac:dyDescent="0.3">
      <c r="A68" s="25"/>
      <c r="B68" s="14" t="str">
        <f>CONCATENATE("     ","Repair and Maintenance                            ")</f>
        <v xml:space="preserve">     Repair and Maintenance                            </v>
      </c>
      <c r="C68" s="14"/>
      <c r="D68" s="2">
        <f>SUM(OSRRefD22_8x_0)</f>
        <v>1550</v>
      </c>
      <c r="E68" s="2"/>
      <c r="F68" s="6">
        <f t="shared" si="12"/>
        <v>3.3939461460011692E-3</v>
      </c>
      <c r="G68" s="2"/>
      <c r="H68" s="2">
        <f>SUM(OSRRefH22_8x_0)</f>
        <v>0</v>
      </c>
      <c r="I68" s="2"/>
      <c r="J68" s="6">
        <f t="shared" si="13"/>
        <v>0</v>
      </c>
      <c r="K68" s="2"/>
      <c r="L68" s="2">
        <f t="shared" si="14"/>
        <v>1550</v>
      </c>
      <c r="M68" s="2"/>
      <c r="N68" s="6">
        <f t="shared" si="15"/>
        <v>0</v>
      </c>
      <c r="O68" s="14"/>
      <c r="P68" s="2">
        <f>SUM(OSRRefP22_8x_0)</f>
        <v>1550</v>
      </c>
      <c r="Q68" s="2"/>
      <c r="R68" s="6">
        <f t="shared" si="16"/>
        <v>8.8547553621042235E-4</v>
      </c>
      <c r="S68" s="2"/>
      <c r="T68" s="2">
        <f>SUM(OSRRefT22_8x_0)</f>
        <v>0</v>
      </c>
      <c r="U68" s="2"/>
      <c r="V68" s="6">
        <f t="shared" si="17"/>
        <v>0</v>
      </c>
      <c r="W68" s="2"/>
      <c r="X68" s="2">
        <f t="shared" si="18"/>
        <v>1550</v>
      </c>
      <c r="Y68" s="2"/>
      <c r="Z68" s="6">
        <f t="shared" si="19"/>
        <v>0</v>
      </c>
    </row>
    <row r="69" spans="1:26" s="70" customFormat="1" ht="15" hidden="1" customHeight="1" outlineLevel="2" x14ac:dyDescent="0.3">
      <c r="A69" s="26"/>
      <c r="B69" s="12" t="str">
        <f>CONCATENATE("          ","6371"," - ","COMPUTER SOFTWARE MAINTENANCE")</f>
        <v xml:space="preserve">          6371 - COMPUTER SOFTWARE MAINTENANCE</v>
      </c>
      <c r="C69" s="12"/>
      <c r="D69" s="7">
        <v>1550</v>
      </c>
      <c r="E69" s="3"/>
      <c r="F69" s="8">
        <f t="shared" si="12"/>
        <v>3.3939461460011692E-3</v>
      </c>
      <c r="G69" s="3"/>
      <c r="H69" s="7"/>
      <c r="I69" s="3"/>
      <c r="J69" s="8">
        <f t="shared" si="13"/>
        <v>0</v>
      </c>
      <c r="K69" s="3"/>
      <c r="L69" s="7">
        <f t="shared" si="14"/>
        <v>1550</v>
      </c>
      <c r="M69" s="3"/>
      <c r="N69" s="8">
        <f t="shared" si="15"/>
        <v>0</v>
      </c>
      <c r="O69" s="12"/>
      <c r="P69" s="7">
        <v>1550</v>
      </c>
      <c r="Q69" s="3"/>
      <c r="R69" s="8">
        <f t="shared" si="16"/>
        <v>8.8547553621042235E-4</v>
      </c>
      <c r="S69" s="3"/>
      <c r="T69" s="7"/>
      <c r="U69" s="3"/>
      <c r="V69" s="8">
        <f t="shared" si="17"/>
        <v>0</v>
      </c>
      <c r="W69" s="3"/>
      <c r="X69" s="7">
        <f t="shared" si="18"/>
        <v>1550</v>
      </c>
      <c r="Y69" s="3"/>
      <c r="Z69" s="8">
        <f t="shared" si="19"/>
        <v>0</v>
      </c>
    </row>
    <row r="70" spans="1:26" s="69" customFormat="1" ht="15" customHeight="1" outlineLevel="1" collapsed="1" x14ac:dyDescent="0.3">
      <c r="A70" s="25"/>
      <c r="B70" s="14" t="str">
        <f>CONCATENATE("     ","Supplies                                          ")</f>
        <v xml:space="preserve">     Supplies                                          </v>
      </c>
      <c r="C70" s="14"/>
      <c r="D70" s="2">
        <f>SUM(OSRRefD22_9x_0)</f>
        <v>0</v>
      </c>
      <c r="E70" s="2"/>
      <c r="F70" s="6">
        <f t="shared" si="12"/>
        <v>0</v>
      </c>
      <c r="G70" s="2"/>
      <c r="H70" s="2">
        <f>SUM(OSRRefH22_9x_0)</f>
        <v>310</v>
      </c>
      <c r="I70" s="2"/>
      <c r="J70" s="6">
        <f t="shared" si="13"/>
        <v>2.8553007276411533E-3</v>
      </c>
      <c r="K70" s="2"/>
      <c r="L70" s="2">
        <f t="shared" si="14"/>
        <v>-310</v>
      </c>
      <c r="M70" s="2"/>
      <c r="N70" s="6">
        <f t="shared" si="15"/>
        <v>-1</v>
      </c>
      <c r="O70" s="14"/>
      <c r="P70" s="2">
        <f>SUM(OSRRefP22_9x_0)</f>
        <v>3381.75</v>
      </c>
      <c r="Q70" s="2"/>
      <c r="R70" s="6">
        <f t="shared" si="16"/>
        <v>1.9319076739223197E-3</v>
      </c>
      <c r="S70" s="2"/>
      <c r="T70" s="2">
        <f>SUM(OSRRefT22_9x_0)</f>
        <v>2790</v>
      </c>
      <c r="U70" s="2"/>
      <c r="V70" s="6">
        <f t="shared" si="17"/>
        <v>1.7595163663401366E-3</v>
      </c>
      <c r="W70" s="2"/>
      <c r="X70" s="2">
        <f t="shared" si="18"/>
        <v>591.75</v>
      </c>
      <c r="Y70" s="2"/>
      <c r="Z70" s="6">
        <f t="shared" si="19"/>
        <v>0.21209677419354839</v>
      </c>
    </row>
    <row r="71" spans="1:26" s="70" customFormat="1" ht="15" hidden="1" customHeight="1" outlineLevel="2" x14ac:dyDescent="0.3">
      <c r="A71" s="26"/>
      <c r="B71" s="12" t="str">
        <f>CONCATENATE("          ","6241"," - ","OFFICE EXPENSE")</f>
        <v xml:space="preserve">          6241 - OFFICE EXPENSE</v>
      </c>
      <c r="C71" s="12"/>
      <c r="D71" s="7"/>
      <c r="E71" s="3"/>
      <c r="F71" s="8">
        <f t="shared" si="12"/>
        <v>0</v>
      </c>
      <c r="G71" s="3"/>
      <c r="H71" s="7">
        <v>110</v>
      </c>
      <c r="I71" s="3"/>
      <c r="J71" s="8">
        <f t="shared" si="13"/>
        <v>1.0131712259371835E-3</v>
      </c>
      <c r="K71" s="3"/>
      <c r="L71" s="7">
        <f t="shared" si="14"/>
        <v>-110</v>
      </c>
      <c r="M71" s="3"/>
      <c r="N71" s="8">
        <f t="shared" si="15"/>
        <v>-1</v>
      </c>
      <c r="O71" s="12"/>
      <c r="P71" s="7">
        <v>469.75</v>
      </c>
      <c r="Q71" s="3"/>
      <c r="R71" s="8">
        <f t="shared" si="16"/>
        <v>2.6835621492570704E-4</v>
      </c>
      <c r="S71" s="3"/>
      <c r="T71" s="7">
        <v>990</v>
      </c>
      <c r="U71" s="3"/>
      <c r="V71" s="8">
        <f t="shared" si="17"/>
        <v>6.2434451708843553E-4</v>
      </c>
      <c r="W71" s="3"/>
      <c r="X71" s="7">
        <f t="shared" si="18"/>
        <v>-520.25</v>
      </c>
      <c r="Y71" s="3"/>
      <c r="Z71" s="8">
        <f t="shared" si="19"/>
        <v>-0.52550505050505047</v>
      </c>
    </row>
    <row r="72" spans="1:26" s="70" customFormat="1" ht="15" hidden="1" customHeight="1" outlineLevel="2" x14ac:dyDescent="0.3">
      <c r="A72" s="26"/>
      <c r="B72" s="12" t="str">
        <f>CONCATENATE("          ","6247"," - ","STORE SUPPLIES")</f>
        <v xml:space="preserve">          6247 - STORE SUPPLIES</v>
      </c>
      <c r="C72" s="12"/>
      <c r="D72" s="7"/>
      <c r="E72" s="3"/>
      <c r="F72" s="8">
        <f t="shared" si="12"/>
        <v>0</v>
      </c>
      <c r="G72" s="3"/>
      <c r="H72" s="7">
        <v>200</v>
      </c>
      <c r="I72" s="3"/>
      <c r="J72" s="8">
        <f t="shared" si="13"/>
        <v>1.8421295017039699E-3</v>
      </c>
      <c r="K72" s="3"/>
      <c r="L72" s="7">
        <f t="shared" si="14"/>
        <v>-200</v>
      </c>
      <c r="M72" s="3"/>
      <c r="N72" s="8">
        <f t="shared" si="15"/>
        <v>-1</v>
      </c>
      <c r="O72" s="12"/>
      <c r="P72" s="7">
        <v>2912</v>
      </c>
      <c r="Q72" s="3"/>
      <c r="R72" s="8">
        <f t="shared" si="16"/>
        <v>1.6635514589966127E-3</v>
      </c>
      <c r="S72" s="3"/>
      <c r="T72" s="7">
        <v>1800</v>
      </c>
      <c r="U72" s="3"/>
      <c r="V72" s="8">
        <f t="shared" si="17"/>
        <v>1.135171849251701E-3</v>
      </c>
      <c r="W72" s="3"/>
      <c r="X72" s="7">
        <f t="shared" si="18"/>
        <v>1112</v>
      </c>
      <c r="Y72" s="3"/>
      <c r="Z72" s="8">
        <f t="shared" si="19"/>
        <v>0.61777777777777776</v>
      </c>
    </row>
    <row r="73" spans="1:26" s="69" customFormat="1" ht="15" customHeight="1" outlineLevel="1" collapsed="1" x14ac:dyDescent="0.3">
      <c r="A73" s="25"/>
      <c r="B73" s="14" t="str">
        <f>CONCATENATE("     ","Telephone/Data Lines                              ")</f>
        <v xml:space="preserve">     Telephone/Data Lines                              </v>
      </c>
      <c r="C73" s="14"/>
      <c r="D73" s="2">
        <f>SUM(OSRRefD22_10x_0)</f>
        <v>159.41</v>
      </c>
      <c r="E73" s="2"/>
      <c r="F73" s="6">
        <f t="shared" si="12"/>
        <v>3.4905093879615898E-4</v>
      </c>
      <c r="G73" s="2"/>
      <c r="H73" s="2">
        <f>SUM(OSRRefH22_10x_0)</f>
        <v>325</v>
      </c>
      <c r="I73" s="2"/>
      <c r="J73" s="6">
        <f t="shared" si="13"/>
        <v>2.9934604402689509E-3</v>
      </c>
      <c r="K73" s="2"/>
      <c r="L73" s="2">
        <f t="shared" si="14"/>
        <v>-165.59</v>
      </c>
      <c r="M73" s="2"/>
      <c r="N73" s="6">
        <f t="shared" si="15"/>
        <v>-0.50950769230769233</v>
      </c>
      <c r="O73" s="14"/>
      <c r="P73" s="2">
        <f>SUM(OSRRefP22_10x_0)</f>
        <v>1804.74</v>
      </c>
      <c r="Q73" s="2"/>
      <c r="R73" s="6">
        <f t="shared" si="16"/>
        <v>1.0310020124002564E-3</v>
      </c>
      <c r="S73" s="2"/>
      <c r="T73" s="2">
        <f>SUM(OSRRefT22_10x_0)</f>
        <v>2925</v>
      </c>
      <c r="U73" s="2"/>
      <c r="V73" s="6">
        <f t="shared" si="17"/>
        <v>1.8446542550340141E-3</v>
      </c>
      <c r="W73" s="2"/>
      <c r="X73" s="2">
        <f t="shared" si="18"/>
        <v>-1120.26</v>
      </c>
      <c r="Y73" s="2"/>
      <c r="Z73" s="6">
        <f t="shared" si="19"/>
        <v>-0.38299487179487179</v>
      </c>
    </row>
    <row r="74" spans="1:26" s="70" customFormat="1" ht="15" hidden="1" customHeight="1" outlineLevel="2" x14ac:dyDescent="0.3">
      <c r="A74" s="26"/>
      <c r="B74" s="12" t="str">
        <f>CONCATENATE("          ","6309"," - ","TELEPHONE")</f>
        <v xml:space="preserve">          6309 - TELEPHONE</v>
      </c>
      <c r="C74" s="12"/>
      <c r="D74" s="7">
        <v>159.41</v>
      </c>
      <c r="E74" s="3"/>
      <c r="F74" s="8">
        <f t="shared" si="12"/>
        <v>3.4905093879615898E-4</v>
      </c>
      <c r="G74" s="3"/>
      <c r="H74" s="7">
        <v>325</v>
      </c>
      <c r="I74" s="3"/>
      <c r="J74" s="8">
        <f t="shared" si="13"/>
        <v>2.9934604402689509E-3</v>
      </c>
      <c r="K74" s="3"/>
      <c r="L74" s="7">
        <f t="shared" si="14"/>
        <v>-165.59</v>
      </c>
      <c r="M74" s="3"/>
      <c r="N74" s="8">
        <f t="shared" si="15"/>
        <v>-0.50950769230769233</v>
      </c>
      <c r="O74" s="12"/>
      <c r="P74" s="7">
        <v>1804.74</v>
      </c>
      <c r="Q74" s="3"/>
      <c r="R74" s="8">
        <f t="shared" si="16"/>
        <v>1.0310020124002564E-3</v>
      </c>
      <c r="S74" s="3"/>
      <c r="T74" s="7">
        <v>2925</v>
      </c>
      <c r="U74" s="3"/>
      <c r="V74" s="8">
        <f t="shared" si="17"/>
        <v>1.8446542550340141E-3</v>
      </c>
      <c r="W74" s="3"/>
      <c r="X74" s="7">
        <f t="shared" si="18"/>
        <v>-1120.26</v>
      </c>
      <c r="Y74" s="3"/>
      <c r="Z74" s="8">
        <f t="shared" si="19"/>
        <v>-0.38299487179487179</v>
      </c>
    </row>
    <row r="75" spans="1:26" s="65" customFormat="1" ht="15" customHeight="1" x14ac:dyDescent="0.3">
      <c r="A75" s="35"/>
      <c r="B75" s="35"/>
      <c r="C75" s="35"/>
      <c r="D75" s="2"/>
      <c r="E75" s="2"/>
      <c r="F75" s="6"/>
      <c r="G75" s="2"/>
      <c r="H75" s="2"/>
      <c r="I75" s="2"/>
      <c r="J75" s="6"/>
      <c r="K75" s="2"/>
      <c r="L75" s="2"/>
      <c r="M75" s="2"/>
      <c r="N75" s="6"/>
      <c r="O75" s="35"/>
      <c r="P75" s="2"/>
      <c r="Q75" s="2"/>
      <c r="R75" s="6"/>
      <c r="S75" s="2"/>
      <c r="T75" s="2"/>
      <c r="U75" s="2"/>
      <c r="V75" s="6"/>
      <c r="W75" s="2"/>
      <c r="X75" s="2"/>
      <c r="Y75" s="2"/>
      <c r="Z75" s="6"/>
    </row>
    <row r="76" spans="1:26" s="63" customFormat="1" ht="15" customHeight="1" collapsed="1" x14ac:dyDescent="0.3">
      <c r="A76" s="11"/>
      <c r="B76" s="28" t="s">
        <v>291</v>
      </c>
      <c r="C76" s="11"/>
      <c r="D76" s="5">
        <f>SUM(OSRRefD25x_0)</f>
        <v>-1113.07</v>
      </c>
      <c r="E76" s="5"/>
      <c r="F76" s="13">
        <f>IF(D$12=0,0,D76/D$12)</f>
        <v>-2.4372255720835623E-3</v>
      </c>
      <c r="G76" s="5"/>
      <c r="H76" s="5">
        <f>SUM(OSRRefH25x_0)</f>
        <v>818</v>
      </c>
      <c r="I76" s="5"/>
      <c r="J76" s="13">
        <f>IF(H$12=0,0,H76/H$12)</f>
        <v>7.5343096619692367E-3</v>
      </c>
      <c r="K76" s="5"/>
      <c r="L76" s="5">
        <f>+D76-H76</f>
        <v>-1931.07</v>
      </c>
      <c r="M76" s="5"/>
      <c r="N76" s="13">
        <f>IF(H76=0,0,L76/H76)</f>
        <v>-2.360721271393643</v>
      </c>
      <c r="O76" s="11"/>
      <c r="P76" s="5">
        <f>SUM(OSRRefP25x_0)</f>
        <v>3340.9399999999996</v>
      </c>
      <c r="Q76" s="5"/>
      <c r="R76" s="13">
        <f>IF(P$12=0,0,P76/P$12)</f>
        <v>1.9085939599657084E-3</v>
      </c>
      <c r="S76" s="5"/>
      <c r="T76" s="5">
        <f>SUM(OSRRefT25x_0)</f>
        <v>14590</v>
      </c>
      <c r="U76" s="5"/>
      <c r="V76" s="13">
        <f>IF(T$12=0,0,T76/T$12)</f>
        <v>9.2011984892123987E-3</v>
      </c>
      <c r="W76" s="5"/>
      <c r="X76" s="5">
        <f>+P76-T76</f>
        <v>-11249.060000000001</v>
      </c>
      <c r="Y76" s="5"/>
      <c r="Z76" s="13">
        <f>IF(T76=0,0,X76/T76)</f>
        <v>-0.77101165181631259</v>
      </c>
    </row>
    <row r="77" spans="1:26" s="70" customFormat="1" ht="15" hidden="1" customHeight="1" outlineLevel="1" x14ac:dyDescent="0.3">
      <c r="A77" s="42"/>
      <c r="B77" s="12" t="str">
        <f>CONCATENATE("          ","4187"," - ","NON-TAXABLE SALES-COMPUTER REP")</f>
        <v xml:space="preserve">          4187 - NON-TAXABLE SALES-COMPUTER REP</v>
      </c>
      <c r="C77" s="12"/>
      <c r="D77" s="3">
        <f>0</f>
        <v>0</v>
      </c>
      <c r="E77" s="3"/>
      <c r="F77" s="20">
        <f>IF(D$12=0,0,D77/D$12)</f>
        <v>0</v>
      </c>
      <c r="G77" s="3"/>
      <c r="H77" s="3"/>
      <c r="I77" s="3"/>
      <c r="J77" s="20">
        <f>IF(H$12=0,0,H77/H$12)</f>
        <v>0</v>
      </c>
      <c r="K77" s="3"/>
      <c r="L77" s="3">
        <f>+D77-H77</f>
        <v>0</v>
      </c>
      <c r="M77" s="3"/>
      <c r="N77" s="20">
        <f>IF(H77=0,0,L77/H77)</f>
        <v>0</v>
      </c>
      <c r="O77" s="12"/>
      <c r="P77" s="3">
        <f>0</f>
        <v>0</v>
      </c>
      <c r="Q77" s="3"/>
      <c r="R77" s="20">
        <f>IF(P$12=0,0,P77/P$12)</f>
        <v>0</v>
      </c>
      <c r="S77" s="3"/>
      <c r="T77" s="3"/>
      <c r="U77" s="3"/>
      <c r="V77" s="20">
        <f>IF(T$12=0,0,T77/T$12)</f>
        <v>0</v>
      </c>
      <c r="W77" s="3"/>
      <c r="X77" s="3">
        <f>+P77-T77</f>
        <v>0</v>
      </c>
      <c r="Y77" s="3"/>
      <c r="Z77" s="20">
        <f>IF(T77=0,0,X77/T77)</f>
        <v>0</v>
      </c>
    </row>
    <row r="78" spans="1:26" s="70" customFormat="1" ht="15" hidden="1" customHeight="1" outlineLevel="1" x14ac:dyDescent="0.3">
      <c r="A78" s="42"/>
      <c r="B78" s="12" t="str">
        <f>CONCATENATE("          ","9087"," - ","")</f>
        <v xml:space="preserve">          9087 - </v>
      </c>
      <c r="C78" s="12"/>
      <c r="D78" s="3">
        <f>-1475.31</f>
        <v>-1475.31</v>
      </c>
      <c r="E78" s="3"/>
      <c r="F78" s="20">
        <f>IF(D$12=0,0,D78/D$12)</f>
        <v>-3.2304017346174098E-3</v>
      </c>
      <c r="G78" s="3"/>
      <c r="H78" s="3"/>
      <c r="I78" s="3"/>
      <c r="J78" s="20">
        <f>IF(H$12=0,0,H78/H$12)</f>
        <v>0</v>
      </c>
      <c r="K78" s="3"/>
      <c r="L78" s="3">
        <f>+D78-H78</f>
        <v>-1475.31</v>
      </c>
      <c r="M78" s="3"/>
      <c r="N78" s="20">
        <f>IF(H78=0,0,L78/H78)</f>
        <v>0</v>
      </c>
      <c r="O78" s="12"/>
      <c r="P78" s="3">
        <f>--731.78</f>
        <v>731.78</v>
      </c>
      <c r="Q78" s="3"/>
      <c r="R78" s="20">
        <f>IF(P$12=0,0,P78/P$12)</f>
        <v>4.1804728250842763E-4</v>
      </c>
      <c r="S78" s="3"/>
      <c r="T78" s="3"/>
      <c r="U78" s="3"/>
      <c r="V78" s="20">
        <f>IF(T$12=0,0,T78/T$12)</f>
        <v>0</v>
      </c>
      <c r="W78" s="3"/>
      <c r="X78" s="3">
        <f>+P78-T78</f>
        <v>731.78</v>
      </c>
      <c r="Y78" s="3"/>
      <c r="Z78" s="20">
        <f>IF(T78=0,0,X78/T78)</f>
        <v>0</v>
      </c>
    </row>
    <row r="79" spans="1:26" s="70" customFormat="1" ht="15" hidden="1" customHeight="1" outlineLevel="1" x14ac:dyDescent="0.3">
      <c r="A79" s="42"/>
      <c r="B79" s="12" t="str">
        <f>CONCATENATE("          ","9150"," - ","MISC. INCOME")</f>
        <v xml:space="preserve">          9150 - MISC. INCOME</v>
      </c>
      <c r="C79" s="12"/>
      <c r="D79" s="3">
        <f>--362.24</f>
        <v>362.24</v>
      </c>
      <c r="E79" s="3"/>
      <c r="F79" s="20">
        <f>IF(D$12=0,0,D79/D$12)</f>
        <v>7.9317616253384753E-4</v>
      </c>
      <c r="G79" s="3"/>
      <c r="H79" s="3">
        <v>818</v>
      </c>
      <c r="I79" s="3"/>
      <c r="J79" s="20">
        <f>IF(H$12=0,0,H79/H$12)</f>
        <v>7.5343096619692367E-3</v>
      </c>
      <c r="K79" s="3"/>
      <c r="L79" s="3">
        <f>+D79-H79</f>
        <v>-455.76</v>
      </c>
      <c r="M79" s="3"/>
      <c r="N79" s="20">
        <f>IF(H79=0,0,L79/H79)</f>
        <v>-0.55716381418092908</v>
      </c>
      <c r="O79" s="12"/>
      <c r="P79" s="3">
        <f>--2609.16</f>
        <v>2609.16</v>
      </c>
      <c r="Q79" s="3"/>
      <c r="R79" s="20">
        <f>IF(P$12=0,0,P79/P$12)</f>
        <v>1.490546677457281E-3</v>
      </c>
      <c r="S79" s="3"/>
      <c r="T79" s="3">
        <v>14590</v>
      </c>
      <c r="U79" s="3"/>
      <c r="V79" s="20">
        <f>IF(T$12=0,0,T79/T$12)</f>
        <v>9.2011984892123987E-3</v>
      </c>
      <c r="W79" s="3"/>
      <c r="X79" s="3">
        <f>+P79-T79</f>
        <v>-11980.84</v>
      </c>
      <c r="Y79" s="3"/>
      <c r="Z79" s="20">
        <f>IF(T79=0,0,X79/T79)</f>
        <v>-0.82116792323509258</v>
      </c>
    </row>
    <row r="80" spans="1:26" ht="15" customHeight="1" x14ac:dyDescent="0.3">
      <c r="A80" s="10"/>
      <c r="B80" s="11"/>
      <c r="C80" s="11"/>
      <c r="D80" s="4"/>
      <c r="E80" s="4"/>
      <c r="F80" s="9"/>
      <c r="G80" s="4"/>
      <c r="H80" s="4"/>
      <c r="I80" s="4"/>
      <c r="J80" s="9"/>
      <c r="K80" s="4"/>
      <c r="L80" s="4"/>
      <c r="M80" s="4"/>
      <c r="N80" s="9"/>
      <c r="O80" s="11"/>
      <c r="P80" s="4"/>
      <c r="Q80" s="4"/>
      <c r="R80" s="9"/>
      <c r="S80" s="4"/>
      <c r="T80" s="4"/>
      <c r="U80" s="4"/>
      <c r="V80" s="9"/>
      <c r="W80" s="4"/>
      <c r="X80" s="4"/>
      <c r="Y80" s="4"/>
      <c r="Z80" s="9"/>
    </row>
    <row r="81" spans="1:26" s="63" customFormat="1" ht="15" customHeight="1" x14ac:dyDescent="0.3">
      <c r="A81" s="11"/>
      <c r="B81" s="27" t="s">
        <v>292</v>
      </c>
      <c r="C81" s="27"/>
      <c r="D81" s="21">
        <f>+D31-D33+D76</f>
        <v>68009.170000000027</v>
      </c>
      <c r="E81" s="15"/>
      <c r="F81" s="23">
        <f>IF(D$12=0,0,D81/D$12)</f>
        <v>0.14891578091241189</v>
      </c>
      <c r="G81" s="15"/>
      <c r="H81" s="21">
        <f>+H31-H33+H76</f>
        <v>-1918.0134888700013</v>
      </c>
      <c r="I81" s="15"/>
      <c r="J81" s="23">
        <f>IF(H$12=0,0,H81/H$12)</f>
        <v>-1.7666146162567939E-2</v>
      </c>
      <c r="K81" s="16"/>
      <c r="L81" s="21">
        <f>+D81-H81</f>
        <v>69927.183488870025</v>
      </c>
      <c r="M81" s="16"/>
      <c r="N81" s="23">
        <f>IF(H81=0,0,L81/H81)</f>
        <v>-36.458129150107105</v>
      </c>
      <c r="O81" s="28"/>
      <c r="P81" s="21">
        <f>+P31-P33+P76</f>
        <v>144385.54</v>
      </c>
      <c r="Q81" s="15"/>
      <c r="R81" s="23">
        <f>IF(P$12=0,0,P81/P$12)</f>
        <v>8.24837828726009E-2</v>
      </c>
      <c r="S81" s="15"/>
      <c r="T81" s="21">
        <f>+T31-T33+T76</f>
        <v>39015.118365517497</v>
      </c>
      <c r="U81" s="15"/>
      <c r="V81" s="23">
        <f>IF(T$12=0,0,T81/T$12)</f>
        <v>2.4604924479865835E-2</v>
      </c>
      <c r="W81" s="16"/>
      <c r="X81" s="21">
        <f>+P81-T81</f>
        <v>105370.42163448251</v>
      </c>
      <c r="Y81" s="16"/>
      <c r="Z81" s="23">
        <f>IF(T81=0,0,X81/T81)</f>
        <v>2.7007587327381128</v>
      </c>
    </row>
    <row r="82" spans="1:26" ht="15" customHeight="1" x14ac:dyDescent="0.3">
      <c r="A82" s="10"/>
      <c r="B82" s="11"/>
      <c r="C82" s="10"/>
      <c r="D82" s="4"/>
      <c r="E82" s="4"/>
      <c r="F82" s="9"/>
      <c r="G82" s="4"/>
      <c r="H82" s="4"/>
      <c r="I82" s="4"/>
      <c r="J82" s="9"/>
      <c r="K82" s="4"/>
      <c r="L82" s="4"/>
      <c r="M82" s="4"/>
      <c r="N82" s="9"/>
      <c r="P82" s="4"/>
      <c r="Q82" s="4"/>
      <c r="R82" s="9"/>
      <c r="S82" s="4"/>
      <c r="T82" s="4"/>
      <c r="U82" s="4"/>
      <c r="V82" s="9"/>
      <c r="W82" s="4"/>
      <c r="X82" s="4"/>
      <c r="Y82" s="4"/>
      <c r="Z82" s="9"/>
    </row>
    <row r="83" spans="1:26" s="63" customFormat="1" ht="15" customHeight="1" x14ac:dyDescent="0.3">
      <c r="A83" s="49"/>
      <c r="B83" s="11" t="s">
        <v>293</v>
      </c>
      <c r="C83" s="11"/>
      <c r="D83" s="5">
        <v>47421.86</v>
      </c>
      <c r="E83" s="5"/>
      <c r="F83" s="13">
        <f>IF(D$12=0,0,D83/D$12)</f>
        <v>0.10383692837626259</v>
      </c>
      <c r="G83" s="5"/>
      <c r="H83" s="5">
        <v>12533</v>
      </c>
      <c r="I83" s="5"/>
      <c r="J83" s="13">
        <f>IF(H$12=0,0,H83/H$12)</f>
        <v>0.11543704522427926</v>
      </c>
      <c r="K83" s="5"/>
      <c r="L83" s="5">
        <f>+D83-H83</f>
        <v>34888.86</v>
      </c>
      <c r="M83" s="5"/>
      <c r="N83" s="13">
        <f>IF(H83=0,0,L83/H83)</f>
        <v>2.7837596744594273</v>
      </c>
      <c r="O83" s="11"/>
      <c r="P83" s="5">
        <v>208914.52</v>
      </c>
      <c r="Q83" s="5"/>
      <c r="R83" s="13">
        <f>IF(P$12=0,0,P83/P$12)</f>
        <v>0.1193475462058987</v>
      </c>
      <c r="S83" s="5"/>
      <c r="T83" s="5">
        <v>193106</v>
      </c>
      <c r="U83" s="5"/>
      <c r="V83" s="13">
        <f>IF(T$12=0,0,T83/T$12)</f>
        <v>0.12178249728977721</v>
      </c>
      <c r="W83" s="5"/>
      <c r="X83" s="5">
        <f>+P83-T83</f>
        <v>15808.51999999999</v>
      </c>
      <c r="Y83" s="5"/>
      <c r="Z83" s="13">
        <f>IF(T83=0,0,X83/T83)</f>
        <v>8.1864468219527045E-2</v>
      </c>
    </row>
    <row r="84" spans="1:26" ht="15" customHeight="1" x14ac:dyDescent="0.3">
      <c r="A84" s="10"/>
      <c r="B84" s="11"/>
      <c r="C84" s="11"/>
      <c r="D84" s="4"/>
      <c r="E84" s="4"/>
      <c r="F84" s="9"/>
      <c r="G84" s="4"/>
      <c r="H84" s="4"/>
      <c r="I84" s="4"/>
      <c r="J84" s="9"/>
      <c r="K84" s="4"/>
      <c r="L84" s="4"/>
      <c r="M84" s="4"/>
      <c r="N84" s="9"/>
      <c r="O84" s="11"/>
      <c r="P84" s="4"/>
      <c r="Q84" s="4"/>
      <c r="R84" s="9"/>
      <c r="S84" s="4"/>
      <c r="T84" s="4"/>
      <c r="U84" s="4"/>
      <c r="V84" s="9"/>
      <c r="W84" s="4"/>
      <c r="X84" s="4"/>
      <c r="Y84" s="4"/>
      <c r="Z84" s="9"/>
    </row>
    <row r="85" spans="1:26" s="63" customFormat="1" ht="15" customHeight="1" x14ac:dyDescent="0.3">
      <c r="A85" s="11"/>
      <c r="B85" s="27" t="s">
        <v>294</v>
      </c>
      <c r="C85" s="27"/>
      <c r="D85" s="34">
        <f>+D81-D83</f>
        <v>20587.310000000027</v>
      </c>
      <c r="E85" s="15"/>
      <c r="F85" s="29">
        <f>IF(D$12=0,0,D85/D$12)</f>
        <v>4.5078852536149308E-2</v>
      </c>
      <c r="G85" s="15"/>
      <c r="H85" s="34">
        <f>+H81-H83</f>
        <v>-14451.013488870001</v>
      </c>
      <c r="I85" s="15"/>
      <c r="J85" s="29">
        <f>IF(H$12=0,0,H85/H$12)</f>
        <v>-0.1331031913868472</v>
      </c>
      <c r="K85" s="16"/>
      <c r="L85" s="34">
        <f>D85-H85</f>
        <v>35038.323488870024</v>
      </c>
      <c r="M85" s="16"/>
      <c r="N85" s="29">
        <f>IF(H85=0,0,L85/H85)</f>
        <v>-2.424627415638088</v>
      </c>
      <c r="O85" s="28"/>
      <c r="P85" s="34">
        <f>+P81-P83</f>
        <v>-64528.979999999981</v>
      </c>
      <c r="Q85" s="15"/>
      <c r="R85" s="29">
        <f>IF(P$12=0,0,P85/P$12)</f>
        <v>-3.6863763333297807E-2</v>
      </c>
      <c r="S85" s="15"/>
      <c r="T85" s="34">
        <f>+T81-T83</f>
        <v>-154090.8816344825</v>
      </c>
      <c r="U85" s="15"/>
      <c r="V85" s="29">
        <f>IF(T$12=0,0,T85/T$12)</f>
        <v>-9.7177572809911378E-2</v>
      </c>
      <c r="W85" s="16"/>
      <c r="X85" s="34">
        <f>P85-T85</f>
        <v>89561.901634482521</v>
      </c>
      <c r="Y85" s="16"/>
      <c r="Z85" s="29">
        <f>IF(T85=0,0,X85/T85)</f>
        <v>-0.58122778378886464</v>
      </c>
    </row>
    <row r="86" spans="1:26" ht="15" customHeight="1" x14ac:dyDescent="0.3">
      <c r="A86" s="10"/>
      <c r="B86" s="10"/>
      <c r="C86" s="10"/>
      <c r="D86" s="4"/>
      <c r="E86" s="4"/>
      <c r="F86" s="9"/>
      <c r="G86" s="4"/>
      <c r="H86" s="4"/>
      <c r="I86" s="4"/>
      <c r="J86" s="9"/>
      <c r="K86" s="4"/>
      <c r="L86" s="4"/>
      <c r="M86" s="4"/>
      <c r="N86" s="9"/>
      <c r="P86" s="4"/>
      <c r="Q86" s="4"/>
      <c r="R86" s="9"/>
      <c r="S86" s="4"/>
      <c r="T86" s="4"/>
      <c r="U86" s="4"/>
      <c r="V86" s="9"/>
      <c r="W86" s="4"/>
      <c r="X86" s="4"/>
      <c r="Y86" s="4"/>
      <c r="Z86" s="9"/>
    </row>
    <row r="87" spans="1:26" ht="15" customHeight="1" x14ac:dyDescent="0.3">
      <c r="A87" s="10"/>
      <c r="B87" s="10"/>
      <c r="C87" s="10"/>
      <c r="D87" s="4"/>
      <c r="E87" s="4"/>
      <c r="F87" s="9"/>
      <c r="G87" s="4"/>
      <c r="H87" s="4"/>
      <c r="I87" s="4"/>
      <c r="J87" s="9"/>
      <c r="K87" s="4"/>
      <c r="L87" s="4"/>
      <c r="M87" s="4"/>
      <c r="N87" s="9"/>
      <c r="P87" s="4"/>
      <c r="Q87" s="4"/>
      <c r="R87" s="9"/>
      <c r="S87" s="4"/>
      <c r="T87" s="4"/>
      <c r="U87" s="4"/>
      <c r="V87" s="9"/>
      <c r="W87" s="4"/>
      <c r="X87" s="4"/>
      <c r="Y87" s="4"/>
      <c r="Z87" s="9"/>
    </row>
    <row r="88" spans="1:26" s="63" customFormat="1" ht="15" customHeight="1" x14ac:dyDescent="0.3">
      <c r="A88" s="11"/>
      <c r="B88" s="27" t="s">
        <v>297</v>
      </c>
      <c r="C88" s="27"/>
      <c r="D88" s="32">
        <f>SUM(D85:D87)</f>
        <v>20587.310000000027</v>
      </c>
      <c r="E88" s="15"/>
      <c r="F88" s="31">
        <f>IF(D$12=0,0,D88/D$12)</f>
        <v>4.5078852536149308E-2</v>
      </c>
      <c r="G88" s="15"/>
      <c r="H88" s="32">
        <f>SUM(H85:H87)</f>
        <v>-14451.013488870001</v>
      </c>
      <c r="I88" s="15"/>
      <c r="J88" s="31">
        <f>IF(H$12=0,0,H88/H$12)</f>
        <v>-0.1331031913868472</v>
      </c>
      <c r="K88" s="16"/>
      <c r="L88" s="32">
        <f>+D88-H88</f>
        <v>35038.323488870024</v>
      </c>
      <c r="M88" s="16"/>
      <c r="N88" s="31">
        <f>IF(H88=0,0,L88/H88)</f>
        <v>-2.424627415638088</v>
      </c>
      <c r="O88" s="28"/>
      <c r="P88" s="32">
        <f>SUM(P85:P87)</f>
        <v>-64528.979999999981</v>
      </c>
      <c r="Q88" s="15"/>
      <c r="R88" s="31">
        <f>IF(P$12=0,0,P88/P$12)</f>
        <v>-3.6863763333297807E-2</v>
      </c>
      <c r="S88" s="15"/>
      <c r="T88" s="32">
        <f>SUM(T85:T87)</f>
        <v>-154090.8816344825</v>
      </c>
      <c r="U88" s="15"/>
      <c r="V88" s="31">
        <f>IF(T$12=0,0,T88/T$12)</f>
        <v>-9.7177572809911378E-2</v>
      </c>
      <c r="W88" s="16"/>
      <c r="X88" s="32">
        <f>+P88-T88</f>
        <v>89561.901634482521</v>
      </c>
      <c r="Y88" s="16"/>
      <c r="Z88" s="31">
        <f>IF(T88=0,0,X88/T88)</f>
        <v>-0.58122778378886464</v>
      </c>
    </row>
    <row r="89" spans="1:26" ht="15" customHeight="1" x14ac:dyDescent="0.3">
      <c r="A89" s="10"/>
      <c r="C89" s="10"/>
      <c r="D89" s="19"/>
      <c r="E89" s="19"/>
      <c r="G89" s="19"/>
      <c r="H89" s="19"/>
      <c r="I89" s="19"/>
      <c r="J89" s="40"/>
      <c r="K89" s="19"/>
      <c r="L89" s="19"/>
      <c r="M89" s="19"/>
      <c r="P89" s="19"/>
      <c r="Q89" s="19"/>
      <c r="R89" s="40"/>
      <c r="S89" s="19"/>
      <c r="T89" s="19"/>
      <c r="U89" s="19"/>
      <c r="V89" s="40"/>
      <c r="W89" s="19"/>
      <c r="X89" s="19"/>
    </row>
    <row r="90" spans="1:26" ht="15" customHeight="1" x14ac:dyDescent="0.3">
      <c r="A90" s="10"/>
      <c r="B90" s="51">
        <v>44663.047665428239</v>
      </c>
      <c r="D90" s="19"/>
      <c r="E90" s="19"/>
      <c r="G90" s="19"/>
      <c r="H90" s="19"/>
      <c r="I90" s="19"/>
      <c r="J90" s="40"/>
      <c r="K90" s="19"/>
      <c r="L90" s="19"/>
      <c r="M90" s="19"/>
      <c r="P90" s="19"/>
      <c r="Q90" s="19"/>
      <c r="R90" s="40"/>
      <c r="S90" s="19"/>
      <c r="T90" s="19"/>
      <c r="U90" s="19"/>
      <c r="V90" s="40"/>
      <c r="W90" s="19"/>
      <c r="X90" s="19"/>
    </row>
    <row r="91" spans="1:26" ht="15" customHeight="1" x14ac:dyDescent="0.3">
      <c r="A91" s="10"/>
      <c r="B91" s="58" t="s">
        <v>298</v>
      </c>
      <c r="D91" s="19"/>
      <c r="E91" s="19"/>
      <c r="G91" s="19"/>
      <c r="H91" s="19"/>
      <c r="I91" s="19"/>
      <c r="J91" s="40"/>
      <c r="K91" s="19"/>
      <c r="L91" s="19"/>
      <c r="M91" s="19"/>
      <c r="P91" s="19"/>
      <c r="Q91" s="19"/>
      <c r="R91" s="40"/>
      <c r="S91" s="19"/>
      <c r="T91" s="19"/>
      <c r="U91" s="19"/>
      <c r="V91" s="40"/>
      <c r="W91" s="19"/>
      <c r="X91" s="19"/>
    </row>
    <row r="92" spans="1:26" ht="15" customHeight="1" x14ac:dyDescent="0.3">
      <c r="A92" s="10"/>
      <c r="B92" s="50"/>
      <c r="D92" s="19"/>
      <c r="E92" s="19"/>
      <c r="G92" s="19"/>
      <c r="H92" s="19"/>
      <c r="I92" s="19"/>
      <c r="J92" s="40"/>
      <c r="K92" s="19"/>
      <c r="L92" s="19"/>
      <c r="M92" s="19"/>
      <c r="P92" s="19"/>
      <c r="Q92" s="19"/>
      <c r="R92" s="40"/>
      <c r="S92" s="19"/>
      <c r="T92" s="19"/>
      <c r="U92" s="19"/>
      <c r="V92" s="40"/>
      <c r="W92" s="19"/>
      <c r="X92" s="19"/>
    </row>
    <row r="93" spans="1:26" ht="15" customHeight="1" x14ac:dyDescent="0.3">
      <c r="D93" s="19"/>
      <c r="E93" s="19"/>
      <c r="G93" s="19"/>
      <c r="H93" s="19"/>
      <c r="I93" s="19"/>
      <c r="J93" s="40"/>
      <c r="K93" s="19"/>
      <c r="L93" s="19"/>
      <c r="M93" s="19"/>
      <c r="P93" s="19"/>
      <c r="Q93" s="19"/>
      <c r="R93" s="40"/>
      <c r="S93" s="19"/>
      <c r="T93" s="19"/>
      <c r="U93" s="19"/>
      <c r="V93" s="40"/>
      <c r="W93" s="19"/>
      <c r="X93" s="19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29BA97-CACF-C9CF-491E-4E7F2F92EB3B}">
  <sheetPr>
    <tabColor rgb="FFFFFF00"/>
    <outlinePr summaryBelow="0" summaryRight="0"/>
  </sheetPr>
  <dimension ref="A2:Z108"/>
  <sheetViews>
    <sheetView showGridLines="0" defaultGridColor="0" colorId="8"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6" customWidth="1"/>
    <col min="2" max="2" width="33.44140625" style="66" customWidth="1"/>
    <col min="3" max="3" width="1.88671875" style="66" customWidth="1"/>
    <col min="4" max="4" width="15" style="66" customWidth="1"/>
    <col min="5" max="5" width="1.88671875" style="66" customWidth="1" outlineLevel="1"/>
    <col min="6" max="6" width="15" style="67" customWidth="1" outlineLevel="1"/>
    <col min="7" max="7" width="1.88671875" style="66" customWidth="1" outlineLevel="1"/>
    <col min="8" max="8" width="15" style="66" customWidth="1" outlineLevel="1"/>
    <col min="9" max="9" width="1.88671875" style="66" customWidth="1" outlineLevel="1"/>
    <col min="10" max="10" width="15" style="68" customWidth="1" outlineLevel="1"/>
    <col min="11" max="11" width="1.88671875" style="66" customWidth="1" outlineLevel="1"/>
    <col min="12" max="12" width="15" style="66" customWidth="1" outlineLevel="1"/>
    <col min="13" max="13" width="1.88671875" style="66" customWidth="1" outlineLevel="1"/>
    <col min="14" max="14" width="15" style="67" customWidth="1" outlineLevel="1"/>
    <col min="15" max="15" width="1.88671875" style="64" customWidth="1"/>
    <col min="16" max="16" width="15" style="66" customWidth="1"/>
    <col min="17" max="17" width="1.88671875" style="66" customWidth="1" outlineLevel="1"/>
    <col min="18" max="18" width="15" style="68" customWidth="1" outlineLevel="1"/>
    <col min="19" max="19" width="1.88671875" style="66" customWidth="1" outlineLevel="1"/>
    <col min="20" max="20" width="15" style="66" customWidth="1" outlineLevel="1"/>
    <col min="21" max="21" width="1.88671875" style="66" customWidth="1" outlineLevel="1"/>
    <col min="22" max="22" width="15" style="68" customWidth="1" outlineLevel="1"/>
    <col min="23" max="23" width="1.88671875" style="66" customWidth="1" outlineLevel="1"/>
    <col min="24" max="24" width="15" style="66" customWidth="1" outlineLevel="1"/>
    <col min="25" max="25" width="1.88671875" style="66" customWidth="1" outlineLevel="1"/>
    <col min="26" max="26" width="15" style="68" customWidth="1" outlineLevel="1"/>
  </cols>
  <sheetData>
    <row r="2" spans="1:26" ht="15" customHeight="1" x14ac:dyDescent="0.3">
      <c r="D2" s="54" t="s">
        <v>276</v>
      </c>
    </row>
    <row r="3" spans="1:26" ht="15" customHeight="1" x14ac:dyDescent="0.3">
      <c r="D3" s="54" t="s">
        <v>277</v>
      </c>
      <c r="E3" s="18"/>
      <c r="F3" s="44"/>
      <c r="G3" s="18"/>
      <c r="H3" s="18"/>
      <c r="I3" s="18"/>
      <c r="J3" s="38"/>
      <c r="K3" s="18"/>
      <c r="L3" s="18"/>
      <c r="M3" s="18"/>
      <c r="N3" s="44"/>
      <c r="O3" s="53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ht="15" customHeight="1" x14ac:dyDescent="0.3">
      <c r="D4" s="54" t="str">
        <f>CONCATENATE("Period ",RIGHT(202209,2),", ",2022)</f>
        <v>Period 09, 2022</v>
      </c>
      <c r="E4" s="18"/>
      <c r="F4" s="44"/>
      <c r="G4" s="18"/>
      <c r="H4" s="18"/>
      <c r="I4" s="18"/>
      <c r="J4" s="38"/>
      <c r="K4" s="18"/>
      <c r="L4" s="18"/>
      <c r="M4" s="18"/>
      <c r="N4" s="44"/>
      <c r="O4" s="53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ht="15" customHeight="1" x14ac:dyDescent="0.3">
      <c r="A5" s="24"/>
      <c r="D5" s="60">
        <v>44646</v>
      </c>
      <c r="E5" s="18"/>
      <c r="F5" s="44"/>
      <c r="G5" s="18"/>
      <c r="H5" s="18"/>
      <c r="I5" s="18"/>
      <c r="J5" s="38"/>
      <c r="K5" s="18"/>
      <c r="L5" s="18"/>
      <c r="M5" s="18"/>
      <c r="N5" s="44"/>
      <c r="O5" s="53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ht="15" customHeight="1" x14ac:dyDescent="0.3">
      <c r="A6" s="24"/>
      <c r="B6" s="47"/>
      <c r="C6" s="47"/>
      <c r="D6" s="24" t="s">
        <v>304</v>
      </c>
      <c r="E6" s="18"/>
      <c r="F6" s="44"/>
      <c r="G6" s="18"/>
      <c r="H6" s="18"/>
      <c r="I6" s="18"/>
      <c r="J6" s="38"/>
      <c r="K6" s="18"/>
      <c r="L6" s="18"/>
      <c r="M6" s="18"/>
      <c r="N6" s="44"/>
      <c r="O6" s="59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ht="15" customHeight="1" x14ac:dyDescent="0.3">
      <c r="B7" s="52"/>
    </row>
    <row r="8" spans="1:26" ht="15" customHeight="1" x14ac:dyDescent="0.3">
      <c r="B8" s="52"/>
    </row>
    <row r="9" spans="1:26" ht="15" customHeight="1" x14ac:dyDescent="0.3">
      <c r="B9" s="10"/>
      <c r="C9" s="10"/>
      <c r="D9" s="17" t="s">
        <v>279</v>
      </c>
      <c r="E9" s="17"/>
      <c r="F9" s="36"/>
      <c r="G9" s="17"/>
      <c r="H9" s="17"/>
      <c r="I9" s="17"/>
      <c r="J9" s="43"/>
      <c r="K9" s="17"/>
      <c r="L9" s="17"/>
      <c r="M9" s="17"/>
      <c r="N9" s="36"/>
      <c r="P9" s="17" t="s">
        <v>280</v>
      </c>
      <c r="Q9" s="17"/>
      <c r="R9" s="36"/>
      <c r="S9" s="17"/>
      <c r="T9" s="17"/>
      <c r="U9" s="17"/>
      <c r="V9" s="43"/>
      <c r="W9" s="17"/>
      <c r="X9" s="17"/>
      <c r="Y9" s="17"/>
      <c r="Z9" s="36"/>
    </row>
    <row r="10" spans="1:26" ht="15" customHeight="1" x14ac:dyDescent="0.3">
      <c r="A10" s="11"/>
      <c r="B10" s="57"/>
      <c r="C10" s="11"/>
      <c r="D10" s="41" t="s">
        <v>281</v>
      </c>
      <c r="E10" s="33"/>
      <c r="F10" s="37" t="s">
        <v>282</v>
      </c>
      <c r="G10" s="33"/>
      <c r="H10" s="48" t="s">
        <v>283</v>
      </c>
      <c r="I10" s="33"/>
      <c r="J10" s="45" t="s">
        <v>284</v>
      </c>
      <c r="K10" s="11"/>
      <c r="L10" s="41" t="s">
        <v>285</v>
      </c>
      <c r="M10" s="11"/>
      <c r="N10" s="37" t="s">
        <v>286</v>
      </c>
      <c r="O10" s="11"/>
      <c r="P10" s="56" t="s">
        <v>281</v>
      </c>
      <c r="Q10" s="33"/>
      <c r="R10" s="37" t="s">
        <v>282</v>
      </c>
      <c r="S10" s="33"/>
      <c r="T10" s="48" t="s">
        <v>283</v>
      </c>
      <c r="U10" s="33"/>
      <c r="V10" s="45" t="s">
        <v>284</v>
      </c>
      <c r="W10" s="11"/>
      <c r="X10" s="41" t="s">
        <v>285</v>
      </c>
      <c r="Y10" s="11"/>
      <c r="Z10" s="37" t="s">
        <v>286</v>
      </c>
    </row>
    <row r="11" spans="1:26" ht="16.5" customHeight="1" x14ac:dyDescent="0.3">
      <c r="A11" s="10"/>
      <c r="B11" s="55"/>
      <c r="C11" s="10"/>
      <c r="D11" s="10"/>
      <c r="E11" s="10"/>
      <c r="F11" s="9"/>
      <c r="G11" s="10"/>
      <c r="H11" s="10"/>
      <c r="I11" s="10"/>
      <c r="J11" s="46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6"/>
      <c r="W11" s="10"/>
      <c r="X11" s="10"/>
      <c r="Y11" s="10"/>
      <c r="Z11" s="9"/>
    </row>
    <row r="12" spans="1:26" s="63" customFormat="1" ht="15" customHeight="1" collapsed="1" x14ac:dyDescent="0.3">
      <c r="A12" s="11"/>
      <c r="B12" s="28" t="s">
        <v>287</v>
      </c>
      <c r="C12" s="11"/>
      <c r="D12" s="5">
        <f>SUM(OSRRefD13x_0)</f>
        <v>132932.81</v>
      </c>
      <c r="E12" s="5"/>
      <c r="F12" s="13"/>
      <c r="G12" s="5"/>
      <c r="H12" s="5">
        <f>SUM(OSRRefH13x_0)</f>
        <v>92454</v>
      </c>
      <c r="I12" s="5"/>
      <c r="J12" s="13"/>
      <c r="K12" s="5"/>
      <c r="L12" s="5">
        <f t="shared" ref="L12:L18" si="0">+D12-H12</f>
        <v>40478.81</v>
      </c>
      <c r="M12" s="5"/>
      <c r="N12" s="13">
        <f t="shared" ref="N12:N18" si="1">IF(H12=0,0,L12/H12)</f>
        <v>0.43782648668527047</v>
      </c>
      <c r="O12" s="11"/>
      <c r="P12" s="5">
        <f>SUM(OSRRefP13x_0)</f>
        <v>308039.73000000004</v>
      </c>
      <c r="Q12" s="5"/>
      <c r="R12" s="13"/>
      <c r="S12" s="5"/>
      <c r="T12" s="5">
        <f>SUM(OSRRefT13x_0)</f>
        <v>378035</v>
      </c>
      <c r="U12" s="5"/>
      <c r="V12" s="13"/>
      <c r="W12" s="5"/>
      <c r="X12" s="5">
        <f t="shared" ref="X12:X18" si="2">+P12-T12</f>
        <v>-69995.26999999996</v>
      </c>
      <c r="Y12" s="5"/>
      <c r="Z12" s="13">
        <f t="shared" ref="Z12:Z18" si="3">IF(T12=0,0,X12/T12)</f>
        <v>-0.18515552792730822</v>
      </c>
    </row>
    <row r="13" spans="1:26" s="70" customFormat="1" ht="15" hidden="1" customHeight="1" outlineLevel="1" x14ac:dyDescent="0.3">
      <c r="A13" s="42"/>
      <c r="B13" s="12" t="str">
        <f>CONCATENATE("          ","4000"," - ","TAXABLE SALES")</f>
        <v xml:space="preserve">          4000 - TAXABLE SALES</v>
      </c>
      <c r="C13" s="12"/>
      <c r="D13" s="3">
        <f>--19761.47</f>
        <v>19761.47</v>
      </c>
      <c r="E13" s="3"/>
      <c r="F13" s="20"/>
      <c r="G13" s="3"/>
      <c r="H13" s="3">
        <v>18014</v>
      </c>
      <c r="I13" s="3"/>
      <c r="J13" s="20"/>
      <c r="K13" s="3"/>
      <c r="L13" s="3">
        <f t="shared" si="0"/>
        <v>1747.4700000000012</v>
      </c>
      <c r="M13" s="3"/>
      <c r="N13" s="20">
        <f t="shared" si="1"/>
        <v>9.7006217386477245E-2</v>
      </c>
      <c r="O13" s="12"/>
      <c r="P13" s="3">
        <f>--48230.67</f>
        <v>48230.67</v>
      </c>
      <c r="Q13" s="3"/>
      <c r="R13" s="20"/>
      <c r="S13" s="3"/>
      <c r="T13" s="3">
        <v>73845</v>
      </c>
      <c r="U13" s="3"/>
      <c r="V13" s="20"/>
      <c r="W13" s="3"/>
      <c r="X13" s="3">
        <f t="shared" si="2"/>
        <v>-25614.33</v>
      </c>
      <c r="Y13" s="3"/>
      <c r="Z13" s="20">
        <f t="shared" si="3"/>
        <v>-0.34686613853341458</v>
      </c>
    </row>
    <row r="14" spans="1:26" s="70" customFormat="1" ht="15" hidden="1" customHeight="1" outlineLevel="1" x14ac:dyDescent="0.3">
      <c r="A14" s="42"/>
      <c r="B14" s="12" t="str">
        <f>CONCATENATE("          ","4051"," - ","TAXABLE SALES-FOOD")</f>
        <v xml:space="preserve">          4051 - TAXABLE SALES-FOOD</v>
      </c>
      <c r="C14" s="12"/>
      <c r="D14" s="3">
        <f>0</f>
        <v>0</v>
      </c>
      <c r="E14" s="3"/>
      <c r="F14" s="20"/>
      <c r="G14" s="3"/>
      <c r="H14" s="3"/>
      <c r="I14" s="3"/>
      <c r="J14" s="20"/>
      <c r="K14" s="3"/>
      <c r="L14" s="3">
        <f t="shared" si="0"/>
        <v>0</v>
      </c>
      <c r="M14" s="3"/>
      <c r="N14" s="20">
        <f t="shared" si="1"/>
        <v>0</v>
      </c>
      <c r="O14" s="12"/>
      <c r="P14" s="3">
        <f>--25.17</f>
        <v>25.17</v>
      </c>
      <c r="Q14" s="3"/>
      <c r="R14" s="20"/>
      <c r="S14" s="3"/>
      <c r="T14" s="3"/>
      <c r="U14" s="3"/>
      <c r="V14" s="20"/>
      <c r="W14" s="3"/>
      <c r="X14" s="3">
        <f t="shared" si="2"/>
        <v>25.17</v>
      </c>
      <c r="Y14" s="3"/>
      <c r="Z14" s="20">
        <f t="shared" si="3"/>
        <v>0</v>
      </c>
    </row>
    <row r="15" spans="1:26" s="70" customFormat="1" ht="15" hidden="1" customHeight="1" outlineLevel="1" x14ac:dyDescent="0.3">
      <c r="A15" s="42"/>
      <c r="B15" s="12" t="str">
        <f>CONCATENATE("          ","4053"," - ","TAXABLE SALES-FOOD")</f>
        <v xml:space="preserve">          4053 - TAXABLE SALES-FOOD</v>
      </c>
      <c r="C15" s="12"/>
      <c r="D15" s="3">
        <f>--412.69</f>
        <v>412.69</v>
      </c>
      <c r="E15" s="3"/>
      <c r="F15" s="20"/>
      <c r="G15" s="3"/>
      <c r="H15" s="3"/>
      <c r="I15" s="3"/>
      <c r="J15" s="20"/>
      <c r="K15" s="3"/>
      <c r="L15" s="3">
        <f t="shared" si="0"/>
        <v>412.69</v>
      </c>
      <c r="M15" s="3"/>
      <c r="N15" s="20">
        <f t="shared" si="1"/>
        <v>0</v>
      </c>
      <c r="O15" s="12"/>
      <c r="P15" s="3">
        <f>--1111.41</f>
        <v>1111.4100000000001</v>
      </c>
      <c r="Q15" s="3"/>
      <c r="R15" s="20"/>
      <c r="S15" s="3"/>
      <c r="T15" s="3"/>
      <c r="U15" s="3"/>
      <c r="V15" s="20"/>
      <c r="W15" s="3"/>
      <c r="X15" s="3">
        <f t="shared" si="2"/>
        <v>1111.4100000000001</v>
      </c>
      <c r="Y15" s="3"/>
      <c r="Z15" s="20">
        <f t="shared" si="3"/>
        <v>0</v>
      </c>
    </row>
    <row r="16" spans="1:26" s="70" customFormat="1" ht="15" hidden="1" customHeight="1" outlineLevel="1" x14ac:dyDescent="0.3">
      <c r="A16" s="42"/>
      <c r="B16" s="12" t="str">
        <f>CONCATENATE("          ","4100"," - ","NON-TAXABLE SALES")</f>
        <v xml:space="preserve">          4100 - NON-TAXABLE SALES</v>
      </c>
      <c r="C16" s="12"/>
      <c r="D16" s="3">
        <f>--112758.65</f>
        <v>112758.65</v>
      </c>
      <c r="E16" s="3"/>
      <c r="F16" s="20"/>
      <c r="G16" s="3"/>
      <c r="H16" s="3">
        <v>74440</v>
      </c>
      <c r="I16" s="3"/>
      <c r="J16" s="20"/>
      <c r="K16" s="3"/>
      <c r="L16" s="3">
        <f t="shared" si="0"/>
        <v>38318.649999999994</v>
      </c>
      <c r="M16" s="3"/>
      <c r="N16" s="20">
        <f t="shared" si="1"/>
        <v>0.51475886620096711</v>
      </c>
      <c r="O16" s="12"/>
      <c r="P16" s="3">
        <f>--258466.16</f>
        <v>258466.16</v>
      </c>
      <c r="Q16" s="3"/>
      <c r="R16" s="20"/>
      <c r="S16" s="3"/>
      <c r="T16" s="3">
        <v>304190</v>
      </c>
      <c r="U16" s="3"/>
      <c r="V16" s="20"/>
      <c r="W16" s="3"/>
      <c r="X16" s="3">
        <f t="shared" si="2"/>
        <v>-45723.839999999997</v>
      </c>
      <c r="Y16" s="3"/>
      <c r="Z16" s="20">
        <f t="shared" si="3"/>
        <v>-0.15031342253197014</v>
      </c>
    </row>
    <row r="17" spans="1:26" s="70" customFormat="1" ht="15" hidden="1" customHeight="1" outlineLevel="1" x14ac:dyDescent="0.3">
      <c r="A17" s="42"/>
      <c r="B17" s="12" t="str">
        <f>CONCATENATE("          ","4151"," - ","NON-TAXABLE SALES-FOOD")</f>
        <v xml:space="preserve">          4151 - NON-TAXABLE SALES-FOOD</v>
      </c>
      <c r="C17" s="12"/>
      <c r="D17" s="3">
        <f>0</f>
        <v>0</v>
      </c>
      <c r="E17" s="3"/>
      <c r="F17" s="20"/>
      <c r="G17" s="3"/>
      <c r="H17" s="3"/>
      <c r="I17" s="3"/>
      <c r="J17" s="20"/>
      <c r="K17" s="3"/>
      <c r="L17" s="3">
        <f t="shared" si="0"/>
        <v>0</v>
      </c>
      <c r="M17" s="3"/>
      <c r="N17" s="20">
        <f t="shared" si="1"/>
        <v>0</v>
      </c>
      <c r="O17" s="12"/>
      <c r="P17" s="3">
        <f>--206.32</f>
        <v>206.32</v>
      </c>
      <c r="Q17" s="3"/>
      <c r="R17" s="20"/>
      <c r="S17" s="3"/>
      <c r="T17" s="3"/>
      <c r="U17" s="3"/>
      <c r="V17" s="20"/>
      <c r="W17" s="3"/>
      <c r="X17" s="3">
        <f t="shared" si="2"/>
        <v>206.32</v>
      </c>
      <c r="Y17" s="3"/>
      <c r="Z17" s="20">
        <f t="shared" si="3"/>
        <v>0</v>
      </c>
    </row>
    <row r="18" spans="1:26" s="70" customFormat="1" ht="15" hidden="1" customHeight="1" outlineLevel="1" x14ac:dyDescent="0.3">
      <c r="A18" s="42"/>
      <c r="B18" s="12" t="str">
        <f>CONCATENATE("          ","4153"," - ","NON-TAXABLE SALES-FOOD")</f>
        <v xml:space="preserve">          4153 - NON-TAXABLE SALES-FOOD</v>
      </c>
      <c r="C18" s="12"/>
      <c r="D18" s="3">
        <f>0</f>
        <v>0</v>
      </c>
      <c r="E18" s="3"/>
      <c r="F18" s="20"/>
      <c r="G18" s="3"/>
      <c r="H18" s="3"/>
      <c r="I18" s="3"/>
      <c r="J18" s="20"/>
      <c r="K18" s="3"/>
      <c r="L18" s="3">
        <f t="shared" si="0"/>
        <v>0</v>
      </c>
      <c r="M18" s="3"/>
      <c r="N18" s="20">
        <f t="shared" si="1"/>
        <v>0</v>
      </c>
      <c r="O18" s="12"/>
      <c r="P18" s="3">
        <f>0</f>
        <v>0</v>
      </c>
      <c r="Q18" s="3"/>
      <c r="R18" s="20"/>
      <c r="S18" s="3"/>
      <c r="T18" s="3"/>
      <c r="U18" s="3"/>
      <c r="V18" s="20"/>
      <c r="W18" s="3"/>
      <c r="X18" s="3">
        <f t="shared" si="2"/>
        <v>0</v>
      </c>
      <c r="Y18" s="3"/>
      <c r="Z18" s="20">
        <f t="shared" si="3"/>
        <v>0</v>
      </c>
    </row>
    <row r="19" spans="1:26" ht="15" customHeight="1" x14ac:dyDescent="0.3">
      <c r="A19" s="10"/>
      <c r="B19" s="11"/>
      <c r="C19" s="10"/>
      <c r="D19" s="4"/>
      <c r="E19" s="4"/>
      <c r="F19" s="9"/>
      <c r="G19" s="4"/>
      <c r="H19" s="4"/>
      <c r="I19" s="4"/>
      <c r="J19" s="9"/>
      <c r="K19" s="4"/>
      <c r="L19" s="4"/>
      <c r="M19" s="4"/>
      <c r="N19" s="9"/>
      <c r="P19" s="4"/>
      <c r="Q19" s="4"/>
      <c r="R19" s="9"/>
      <c r="S19" s="4"/>
      <c r="T19" s="4"/>
      <c r="U19" s="4"/>
      <c r="V19" s="9"/>
      <c r="W19" s="4"/>
      <c r="X19" s="4"/>
      <c r="Y19" s="4"/>
      <c r="Z19" s="9"/>
    </row>
    <row r="20" spans="1:26" s="63" customFormat="1" ht="15" customHeight="1" collapsed="1" x14ac:dyDescent="0.3">
      <c r="A20" s="11"/>
      <c r="B20" s="28" t="s">
        <v>288</v>
      </c>
      <c r="C20" s="11"/>
      <c r="D20" s="5">
        <f>SUM(OSRRefD16x_0)</f>
        <v>42306.34</v>
      </c>
      <c r="E20" s="5"/>
      <c r="F20" s="13">
        <f>IF(D$12=0,0,D20/D$12)</f>
        <v>0.31825355982469639</v>
      </c>
      <c r="G20" s="5"/>
      <c r="H20" s="5">
        <f>SUM(OSRRefH16x_0)</f>
        <v>45304</v>
      </c>
      <c r="I20" s="5"/>
      <c r="J20" s="13">
        <f>IF(H$12=0,0,H20/H$12)</f>
        <v>0.49001665693209595</v>
      </c>
      <c r="K20" s="5"/>
      <c r="L20" s="5">
        <f>+D20-H20</f>
        <v>-2997.6600000000035</v>
      </c>
      <c r="M20" s="5"/>
      <c r="N20" s="13">
        <f>IF(H20=0,0,L20/H20)</f>
        <v>-6.6167667314144529E-2</v>
      </c>
      <c r="O20" s="11"/>
      <c r="P20" s="5">
        <f>SUM(OSRRefP16x_0)</f>
        <v>140391.13</v>
      </c>
      <c r="Q20" s="5"/>
      <c r="R20" s="13">
        <f>IF(P$12=0,0,P20/P$12)</f>
        <v>0.45575656750510718</v>
      </c>
      <c r="S20" s="5"/>
      <c r="T20" s="5">
        <f>SUM(OSRRefT16x_0)</f>
        <v>185409</v>
      </c>
      <c r="U20" s="5"/>
      <c r="V20" s="13">
        <f>IF(T$12=0,0,T20/T$12)</f>
        <v>0.49045458753819093</v>
      </c>
      <c r="W20" s="5"/>
      <c r="X20" s="5">
        <f>+P20-T20</f>
        <v>-45017.869999999995</v>
      </c>
      <c r="Y20" s="5"/>
      <c r="Z20" s="13">
        <f>IF(T20=0,0,X20/T20)</f>
        <v>-0.24280304623831633</v>
      </c>
    </row>
    <row r="21" spans="1:26" s="70" customFormat="1" ht="15" hidden="1" customHeight="1" outlineLevel="1" x14ac:dyDescent="0.3">
      <c r="A21" s="42"/>
      <c r="B21" s="12" t="str">
        <f>CONCATENATE("          ","5000"," - ","PURCHASES @ COST")</f>
        <v xml:space="preserve">          5000 - PURCHASES @ COST</v>
      </c>
      <c r="C21" s="12"/>
      <c r="D21" s="3">
        <v>4647</v>
      </c>
      <c r="E21" s="3"/>
      <c r="F21" s="20">
        <f>IF(D$12=0,0,D21/D$12)</f>
        <v>3.4957509737438032E-2</v>
      </c>
      <c r="G21" s="3"/>
      <c r="H21" s="3">
        <v>45304</v>
      </c>
      <c r="I21" s="3"/>
      <c r="J21" s="20">
        <f>IF(H$12=0,0,H21/H$12)</f>
        <v>0.49001665693209595</v>
      </c>
      <c r="K21" s="3"/>
      <c r="L21" s="3">
        <f>+D21-H21</f>
        <v>-40657</v>
      </c>
      <c r="M21" s="3"/>
      <c r="N21" s="20">
        <f>IF(H21=0,0,L21/H21)</f>
        <v>-0.89742627582553414</v>
      </c>
      <c r="O21" s="12"/>
      <c r="P21" s="3">
        <v>-5566</v>
      </c>
      <c r="Q21" s="3"/>
      <c r="R21" s="20">
        <f>IF(P$12=0,0,P21/P$12)</f>
        <v>-1.806909777514738E-2</v>
      </c>
      <c r="S21" s="3"/>
      <c r="T21" s="3">
        <v>185409</v>
      </c>
      <c r="U21" s="3"/>
      <c r="V21" s="20">
        <f>IF(T$12=0,0,T21/T$12)</f>
        <v>0.49045458753819093</v>
      </c>
      <c r="W21" s="3"/>
      <c r="X21" s="3">
        <f>+P21-T21</f>
        <v>-190975</v>
      </c>
      <c r="Y21" s="3"/>
      <c r="Z21" s="20">
        <f>IF(T21=0,0,X21/T21)</f>
        <v>-1.0300201176857651</v>
      </c>
    </row>
    <row r="22" spans="1:26" s="70" customFormat="1" ht="15" hidden="1" customHeight="1" outlineLevel="1" x14ac:dyDescent="0.3">
      <c r="A22" s="42"/>
      <c r="B22" s="12" t="str">
        <f>CONCATENATE("          ","5053"," - ","PURCHASES @ COST-FOOD")</f>
        <v xml:space="preserve">          5053 - PURCHASES @ COST-FOOD</v>
      </c>
      <c r="C22" s="12"/>
      <c r="D22" s="3">
        <v>-14878.27</v>
      </c>
      <c r="E22" s="3"/>
      <c r="F22" s="20">
        <f>IF(D$12=0,0,D22/D$12)</f>
        <v>-0.11192323400069555</v>
      </c>
      <c r="G22" s="3"/>
      <c r="H22" s="3"/>
      <c r="I22" s="3"/>
      <c r="J22" s="20">
        <f>IF(H$12=0,0,H22/H$12)</f>
        <v>0</v>
      </c>
      <c r="K22" s="3"/>
      <c r="L22" s="3">
        <f>+D22-H22</f>
        <v>-14878.27</v>
      </c>
      <c r="M22" s="3"/>
      <c r="N22" s="20">
        <f>IF(H22=0,0,L22/H22)</f>
        <v>0</v>
      </c>
      <c r="O22" s="12"/>
      <c r="P22" s="3">
        <v>27059.34</v>
      </c>
      <c r="Q22" s="3"/>
      <c r="R22" s="20">
        <f>IF(P$12=0,0,P22/P$12)</f>
        <v>8.784366873714633E-2</v>
      </c>
      <c r="S22" s="3"/>
      <c r="T22" s="3"/>
      <c r="U22" s="3"/>
      <c r="V22" s="20">
        <f>IF(T$12=0,0,T22/T$12)</f>
        <v>0</v>
      </c>
      <c r="W22" s="3"/>
      <c r="X22" s="3">
        <f>+P22-T22</f>
        <v>27059.34</v>
      </c>
      <c r="Y22" s="3"/>
      <c r="Z22" s="20">
        <f>IF(T22=0,0,X22/T22)</f>
        <v>0</v>
      </c>
    </row>
    <row r="23" spans="1:26" s="70" customFormat="1" ht="15" hidden="1" customHeight="1" outlineLevel="1" x14ac:dyDescent="0.3">
      <c r="A23" s="42"/>
      <c r="B23" s="12" t="str">
        <f>CONCATENATE("          ","5059"," - ","PURCHASES @ COST-FOOD")</f>
        <v xml:space="preserve">          5059 - PURCHASES @ COST-FOOD</v>
      </c>
      <c r="C23" s="12"/>
      <c r="D23" s="3">
        <v>52537.61</v>
      </c>
      <c r="E23" s="3"/>
      <c r="F23" s="20">
        <f>IF(D$12=0,0,D23/D$12)</f>
        <v>0.39521928408795393</v>
      </c>
      <c r="G23" s="3"/>
      <c r="H23" s="3"/>
      <c r="I23" s="3"/>
      <c r="J23" s="20">
        <f>IF(H$12=0,0,H23/H$12)</f>
        <v>0</v>
      </c>
      <c r="K23" s="3"/>
      <c r="L23" s="3">
        <f>+D23-H23</f>
        <v>52537.61</v>
      </c>
      <c r="M23" s="3"/>
      <c r="N23" s="20">
        <f>IF(H23=0,0,L23/H23)</f>
        <v>0</v>
      </c>
      <c r="O23" s="12"/>
      <c r="P23" s="3">
        <v>118897.79</v>
      </c>
      <c r="Q23" s="3"/>
      <c r="R23" s="20">
        <f>IF(P$12=0,0,P23/P$12)</f>
        <v>0.38598199654310816</v>
      </c>
      <c r="S23" s="3"/>
      <c r="T23" s="3"/>
      <c r="U23" s="3"/>
      <c r="V23" s="20">
        <f>IF(T$12=0,0,T23/T$12)</f>
        <v>0</v>
      </c>
      <c r="W23" s="3"/>
      <c r="X23" s="3">
        <f>+P23-T23</f>
        <v>118897.79</v>
      </c>
      <c r="Y23" s="3"/>
      <c r="Z23" s="20">
        <f>IF(T23=0,0,X23/T23)</f>
        <v>0</v>
      </c>
    </row>
    <row r="24" spans="1:26" ht="15" customHeight="1" x14ac:dyDescent="0.3">
      <c r="A24" s="10"/>
      <c r="B24" s="11"/>
      <c r="C24" s="11"/>
      <c r="D24" s="4"/>
      <c r="E24" s="4"/>
      <c r="F24" s="9"/>
      <c r="G24" s="4"/>
      <c r="H24" s="4"/>
      <c r="I24" s="4"/>
      <c r="J24" s="9"/>
      <c r="K24" s="4"/>
      <c r="L24" s="4"/>
      <c r="M24" s="4"/>
      <c r="N24" s="9"/>
      <c r="O24" s="11"/>
      <c r="P24" s="4"/>
      <c r="Q24" s="4"/>
      <c r="R24" s="9"/>
      <c r="S24" s="4"/>
      <c r="T24" s="4"/>
      <c r="U24" s="4"/>
      <c r="V24" s="9"/>
      <c r="W24" s="4"/>
      <c r="X24" s="4"/>
      <c r="Y24" s="4"/>
      <c r="Z24" s="9"/>
    </row>
    <row r="25" spans="1:26" s="63" customFormat="1" ht="15" customHeight="1" x14ac:dyDescent="0.3">
      <c r="A25" s="11"/>
      <c r="B25" s="27" t="s">
        <v>289</v>
      </c>
      <c r="C25" s="27"/>
      <c r="D25" s="21">
        <f>D12-D20</f>
        <v>90626.47</v>
      </c>
      <c r="E25" s="15"/>
      <c r="F25" s="23">
        <f>IF(D$12=0,0,D25/D$12)</f>
        <v>0.68174644017530361</v>
      </c>
      <c r="G25" s="15"/>
      <c r="H25" s="21">
        <f>H12-H20</f>
        <v>47150</v>
      </c>
      <c r="I25" s="15"/>
      <c r="J25" s="23">
        <f>IF(H$12=0,0,H25/H$12)</f>
        <v>0.50998334306790405</v>
      </c>
      <c r="K25" s="16"/>
      <c r="L25" s="21">
        <f>+D25-H25</f>
        <v>43476.47</v>
      </c>
      <c r="M25" s="16"/>
      <c r="N25" s="23">
        <f>IF(H25=0,0,L25/H25)</f>
        <v>0.92208844114528099</v>
      </c>
      <c r="O25" s="28"/>
      <c r="P25" s="21">
        <f>P12-P20</f>
        <v>167648.60000000003</v>
      </c>
      <c r="Q25" s="15"/>
      <c r="R25" s="23">
        <f>IF(P$12=0,0,P25/P$12)</f>
        <v>0.54424343249489282</v>
      </c>
      <c r="S25" s="15"/>
      <c r="T25" s="21">
        <f>T12-T20</f>
        <v>192626</v>
      </c>
      <c r="U25" s="15"/>
      <c r="V25" s="23">
        <f>IF(T$12=0,0,T25/T$12)</f>
        <v>0.50954541246180907</v>
      </c>
      <c r="W25" s="16"/>
      <c r="X25" s="21">
        <f>+P25-T25</f>
        <v>-24977.399999999965</v>
      </c>
      <c r="Y25" s="16"/>
      <c r="Z25" s="23">
        <f>IF(T25=0,0,X25/T25)</f>
        <v>-0.12966785376844228</v>
      </c>
    </row>
    <row r="26" spans="1:26" ht="15" customHeight="1" x14ac:dyDescent="0.3">
      <c r="A26" s="10"/>
      <c r="B26" s="11"/>
      <c r="C26" s="10"/>
      <c r="D26" s="2"/>
      <c r="E26" s="2"/>
      <c r="F26" s="6"/>
      <c r="G26" s="2"/>
      <c r="H26" s="2"/>
      <c r="I26" s="2"/>
      <c r="J26" s="6"/>
      <c r="K26" s="2"/>
      <c r="L26" s="2"/>
      <c r="M26" s="2"/>
      <c r="N26" s="6"/>
      <c r="O26" s="35"/>
      <c r="P26" s="2"/>
      <c r="Q26" s="2"/>
      <c r="R26" s="6"/>
      <c r="S26" s="2"/>
      <c r="T26" s="2"/>
      <c r="U26" s="2"/>
      <c r="V26" s="6"/>
      <c r="W26" s="2"/>
      <c r="X26" s="2"/>
      <c r="Y26" s="2"/>
      <c r="Z26" s="6"/>
    </row>
    <row r="27" spans="1:26" s="63" customFormat="1" ht="15" customHeight="1" x14ac:dyDescent="0.3">
      <c r="A27" s="11"/>
      <c r="B27" s="28" t="s">
        <v>290</v>
      </c>
      <c r="C27" s="11"/>
      <c r="D27" s="22" cm="1">
        <f t="array" ref="D27">SUM(OSRRefD22x_0)</f>
        <v>61126.029999999992</v>
      </c>
      <c r="E27" s="22"/>
      <c r="F27" s="30">
        <f t="shared" ref="F27:F58" si="4">IF(D$12=0,0,D27/D$12)</f>
        <v>0.45982650934709041</v>
      </c>
      <c r="G27" s="22"/>
      <c r="H27" s="22" cm="1">
        <f t="array" ref="H27">SUM(OSRRefH22x_0)</f>
        <v>41099.277689057693</v>
      </c>
      <c r="I27" s="22"/>
      <c r="J27" s="30">
        <f t="shared" ref="J27:J58" si="5">IF(H$12=0,0,H27/H$12)</f>
        <v>0.44453758289590167</v>
      </c>
      <c r="K27" s="5"/>
      <c r="L27" s="22">
        <f t="shared" ref="L27:L58" si="6">+D27-H27</f>
        <v>20026.752310942298</v>
      </c>
      <c r="M27" s="5"/>
      <c r="N27" s="30">
        <f t="shared" ref="N27:N58" si="7">IF(H27=0,0,L27/H27)</f>
        <v>0.48727747632105556</v>
      </c>
      <c r="O27" s="11"/>
      <c r="P27" s="22" cm="1">
        <f t="array" ref="P27">SUM(OSRRefP22x_0)</f>
        <v>264757.29000000004</v>
      </c>
      <c r="Q27" s="22"/>
      <c r="R27" s="30">
        <f t="shared" ref="R27:R58" si="8">IF(P$12=0,0,P27/P$12)</f>
        <v>0.85949072218703737</v>
      </c>
      <c r="S27" s="22"/>
      <c r="T27" s="22" cm="1">
        <f t="array" ref="T27">SUM(OSRRefT22x_0)</f>
        <v>328822.98875600001</v>
      </c>
      <c r="U27" s="22"/>
      <c r="V27" s="30">
        <f t="shared" ref="V27:V58" si="9">IF(T$12=0,0,T27/T$12)</f>
        <v>0.8698215476238973</v>
      </c>
      <c r="W27" s="5"/>
      <c r="X27" s="22">
        <f t="shared" ref="X27:X58" si="10">+P27-T27</f>
        <v>-64065.698755999969</v>
      </c>
      <c r="Y27" s="5"/>
      <c r="Z27" s="30">
        <f t="shared" ref="Z27:Z58" si="11">IF(T27=0,0,X27/T27)</f>
        <v>-0.19483339348739792</v>
      </c>
    </row>
    <row r="28" spans="1:26" s="69" customFormat="1" ht="15" customHeight="1" outlineLevel="1" collapsed="1" x14ac:dyDescent="0.3">
      <c r="A28" s="25"/>
      <c r="B28" s="14" t="str">
        <f>CONCATENATE("     ","*Benefits                                         ")</f>
        <v xml:space="preserve">     *Benefits                                         </v>
      </c>
      <c r="C28" s="14"/>
      <c r="D28" s="2">
        <f>SUM(OSRRefD22_0x_0)</f>
        <v>7218.6</v>
      </c>
      <c r="E28" s="2"/>
      <c r="F28" s="6">
        <f t="shared" si="4"/>
        <v>5.4302621000789801E-2</v>
      </c>
      <c r="G28" s="2"/>
      <c r="H28" s="2">
        <f>SUM(OSRRefH22_0x_0)</f>
        <v>4572.5439082884614</v>
      </c>
      <c r="I28" s="2"/>
      <c r="J28" s="6">
        <f t="shared" si="5"/>
        <v>4.9457502198806555E-2</v>
      </c>
      <c r="K28" s="2"/>
      <c r="L28" s="2">
        <f t="shared" si="6"/>
        <v>2646.056091711539</v>
      </c>
      <c r="M28" s="2"/>
      <c r="N28" s="6">
        <f t="shared" si="7"/>
        <v>0.57868358287716881</v>
      </c>
      <c r="O28" s="14"/>
      <c r="P28" s="2">
        <f>SUM(OSRRefP22_0x_0)</f>
        <v>22876.93</v>
      </c>
      <c r="Q28" s="2"/>
      <c r="R28" s="6">
        <f t="shared" si="8"/>
        <v>7.4266166899964486E-2</v>
      </c>
      <c r="S28" s="2"/>
      <c r="T28" s="2">
        <f>SUM(OSRRefT22_0x_0)</f>
        <v>40150.174356000003</v>
      </c>
      <c r="U28" s="2"/>
      <c r="V28" s="6">
        <f t="shared" si="9"/>
        <v>0.10620755844300132</v>
      </c>
      <c r="W28" s="2"/>
      <c r="X28" s="2">
        <f t="shared" si="10"/>
        <v>-17273.244356000003</v>
      </c>
      <c r="Y28" s="2"/>
      <c r="Z28" s="6">
        <f t="shared" si="11"/>
        <v>-0.4302159239171201</v>
      </c>
    </row>
    <row r="29" spans="1:26" s="70" customFormat="1" ht="15" hidden="1" customHeight="1" outlineLevel="2" x14ac:dyDescent="0.3">
      <c r="A29" s="26"/>
      <c r="B29" s="12" t="str">
        <f>CONCATENATE("          ","6111"," - ","F.I.C.A.")</f>
        <v xml:space="preserve">          6111 - F.I.C.A.</v>
      </c>
      <c r="C29" s="12"/>
      <c r="D29" s="7">
        <v>1318.39</v>
      </c>
      <c r="E29" s="3"/>
      <c r="F29" s="8">
        <f t="shared" si="4"/>
        <v>9.917717078274357E-3</v>
      </c>
      <c r="G29" s="3"/>
      <c r="H29" s="7">
        <v>623.72347367307702</v>
      </c>
      <c r="I29" s="3"/>
      <c r="J29" s="8">
        <f t="shared" si="5"/>
        <v>6.7463113945646159E-3</v>
      </c>
      <c r="K29" s="3"/>
      <c r="L29" s="7">
        <f t="shared" si="6"/>
        <v>694.66652632692308</v>
      </c>
      <c r="M29" s="3"/>
      <c r="N29" s="8">
        <f t="shared" si="7"/>
        <v>1.1137411940520145</v>
      </c>
      <c r="O29" s="12"/>
      <c r="P29" s="7">
        <v>4469.57</v>
      </c>
      <c r="Q29" s="3"/>
      <c r="R29" s="8">
        <f t="shared" si="8"/>
        <v>1.4509719249526673E-2</v>
      </c>
      <c r="S29" s="3"/>
      <c r="T29" s="7">
        <v>5525.8639560000001</v>
      </c>
      <c r="U29" s="3"/>
      <c r="V29" s="8">
        <f t="shared" si="9"/>
        <v>1.4617334257410028E-2</v>
      </c>
      <c r="W29" s="3"/>
      <c r="X29" s="7">
        <f t="shared" si="10"/>
        <v>-1056.2939560000004</v>
      </c>
      <c r="Y29" s="3"/>
      <c r="Z29" s="8">
        <f t="shared" si="11"/>
        <v>-0.19115453518414496</v>
      </c>
    </row>
    <row r="30" spans="1:26" s="70" customFormat="1" ht="15" hidden="1" customHeight="1" outlineLevel="2" x14ac:dyDescent="0.3">
      <c r="A30" s="26"/>
      <c r="B30" s="12" t="str">
        <f>CONCATENATE("          ","6112"," - ","COMPENSATION INSURANCE")</f>
        <v xml:space="preserve">          6112 - COMPENSATION INSURANCE</v>
      </c>
      <c r="C30" s="12"/>
      <c r="D30" s="7">
        <v>507.04</v>
      </c>
      <c r="E30" s="3"/>
      <c r="F30" s="8">
        <f t="shared" si="4"/>
        <v>3.814257744194229E-3</v>
      </c>
      <c r="G30" s="3"/>
      <c r="H30" s="7">
        <v>676.78378388461601</v>
      </c>
      <c r="I30" s="3"/>
      <c r="J30" s="8">
        <f t="shared" si="5"/>
        <v>7.3202217739050338E-3</v>
      </c>
      <c r="K30" s="3"/>
      <c r="L30" s="7">
        <f t="shared" si="6"/>
        <v>-169.74378388461599</v>
      </c>
      <c r="M30" s="3"/>
      <c r="N30" s="8">
        <f t="shared" si="7"/>
        <v>-0.25080947257677705</v>
      </c>
      <c r="O30" s="12"/>
      <c r="P30" s="7">
        <v>1513.68</v>
      </c>
      <c r="Q30" s="3"/>
      <c r="R30" s="8">
        <f t="shared" si="8"/>
        <v>4.9139115918586211E-3</v>
      </c>
      <c r="S30" s="3"/>
      <c r="T30" s="7">
        <v>5302.4950079999999</v>
      </c>
      <c r="U30" s="3"/>
      <c r="V30" s="8">
        <f t="shared" si="9"/>
        <v>1.402646582459296E-2</v>
      </c>
      <c r="W30" s="3"/>
      <c r="X30" s="7">
        <f t="shared" si="10"/>
        <v>-3788.8150079999996</v>
      </c>
      <c r="Y30" s="3"/>
      <c r="Z30" s="8">
        <f t="shared" si="11"/>
        <v>-0.71453438471582242</v>
      </c>
    </row>
    <row r="31" spans="1:26" s="70" customFormat="1" ht="15" hidden="1" customHeight="1" outlineLevel="2" x14ac:dyDescent="0.3">
      <c r="A31" s="26"/>
      <c r="B31" s="12" t="str">
        <f>CONCATENATE("          ","6113"," - ","GROUP INSURANCE")</f>
        <v xml:space="preserve">          6113 - GROUP INSURANCE</v>
      </c>
      <c r="C31" s="12"/>
      <c r="D31" s="7">
        <v>3036.65</v>
      </c>
      <c r="E31" s="3"/>
      <c r="F31" s="8">
        <f t="shared" si="4"/>
        <v>2.2843495146156922E-2</v>
      </c>
      <c r="G31" s="3"/>
      <c r="H31" s="7">
        <v>1977</v>
      </c>
      <c r="I31" s="3"/>
      <c r="J31" s="8">
        <f t="shared" si="5"/>
        <v>2.1383606982932051E-2</v>
      </c>
      <c r="K31" s="3"/>
      <c r="L31" s="7">
        <f t="shared" si="6"/>
        <v>1059.6500000000001</v>
      </c>
      <c r="M31" s="3"/>
      <c r="N31" s="8">
        <f t="shared" si="7"/>
        <v>0.53598887202832579</v>
      </c>
      <c r="O31" s="12"/>
      <c r="P31" s="7">
        <v>9143.7900000000009</v>
      </c>
      <c r="Q31" s="3"/>
      <c r="R31" s="8">
        <f t="shared" si="8"/>
        <v>2.9683800852571839E-2</v>
      </c>
      <c r="S31" s="3"/>
      <c r="T31" s="7">
        <v>17793</v>
      </c>
      <c r="U31" s="3"/>
      <c r="V31" s="8">
        <f t="shared" si="9"/>
        <v>4.7067070509344375E-2</v>
      </c>
      <c r="W31" s="3"/>
      <c r="X31" s="7">
        <f t="shared" si="10"/>
        <v>-8649.2099999999991</v>
      </c>
      <c r="Y31" s="3"/>
      <c r="Z31" s="8">
        <f t="shared" si="11"/>
        <v>-0.4861018378013825</v>
      </c>
    </row>
    <row r="32" spans="1:26" s="70" customFormat="1" ht="15" hidden="1" customHeight="1" outlineLevel="2" x14ac:dyDescent="0.3">
      <c r="A32" s="26"/>
      <c r="B32" s="12" t="str">
        <f>CONCATENATE("          ","6114"," - ","STATE UNEMPLOYMENT INSURANCE")</f>
        <v xml:space="preserve">          6114 - STATE UNEMPLOYMENT INSURANCE</v>
      </c>
      <c r="C32" s="12"/>
      <c r="D32" s="7">
        <v>89.08</v>
      </c>
      <c r="E32" s="3"/>
      <c r="F32" s="8">
        <f t="shared" si="4"/>
        <v>6.7011296910070588E-4</v>
      </c>
      <c r="G32" s="3"/>
      <c r="H32" s="7">
        <v>37.499893038461501</v>
      </c>
      <c r="I32" s="3"/>
      <c r="J32" s="8">
        <f t="shared" si="5"/>
        <v>4.0560595581004067E-4</v>
      </c>
      <c r="K32" s="3"/>
      <c r="L32" s="7">
        <f t="shared" si="6"/>
        <v>51.580106961538498</v>
      </c>
      <c r="M32" s="3"/>
      <c r="N32" s="8">
        <f t="shared" si="7"/>
        <v>1.3754734422478412</v>
      </c>
      <c r="O32" s="12"/>
      <c r="P32" s="7">
        <v>243.49</v>
      </c>
      <c r="Q32" s="3"/>
      <c r="R32" s="8">
        <f t="shared" si="8"/>
        <v>7.9044998513665751E-4</v>
      </c>
      <c r="S32" s="3"/>
      <c r="T32" s="7">
        <v>293.805792</v>
      </c>
      <c r="U32" s="3"/>
      <c r="V32" s="8">
        <f t="shared" si="9"/>
        <v>7.7719203777428013E-4</v>
      </c>
      <c r="W32" s="3"/>
      <c r="X32" s="7">
        <f t="shared" si="10"/>
        <v>-50.315791999999988</v>
      </c>
      <c r="Y32" s="3"/>
      <c r="Z32" s="8">
        <f t="shared" si="11"/>
        <v>-0.17125527600218307</v>
      </c>
    </row>
    <row r="33" spans="1:26" s="70" customFormat="1" ht="15" hidden="1" customHeight="1" outlineLevel="2" x14ac:dyDescent="0.3">
      <c r="A33" s="26"/>
      <c r="B33" s="12" t="str">
        <f>CONCATENATE("          ","6115"," - ","P.E.R.S.")</f>
        <v xml:space="preserve">          6115 - P.E.R.S.</v>
      </c>
      <c r="C33" s="12"/>
      <c r="D33" s="7">
        <v>548.17999999999995</v>
      </c>
      <c r="E33" s="3"/>
      <c r="F33" s="8">
        <f t="shared" si="4"/>
        <v>4.1237373978628752E-3</v>
      </c>
      <c r="G33" s="3"/>
      <c r="H33" s="7">
        <v>397.928615384615</v>
      </c>
      <c r="I33" s="3"/>
      <c r="J33" s="8">
        <f t="shared" si="5"/>
        <v>4.3040713801957191E-3</v>
      </c>
      <c r="K33" s="3"/>
      <c r="L33" s="7">
        <f t="shared" si="6"/>
        <v>150.25138461538495</v>
      </c>
      <c r="M33" s="3"/>
      <c r="N33" s="8">
        <f t="shared" si="7"/>
        <v>0.37758376454068421</v>
      </c>
      <c r="O33" s="12"/>
      <c r="P33" s="7">
        <v>1644.54</v>
      </c>
      <c r="Q33" s="3"/>
      <c r="R33" s="8">
        <f t="shared" si="8"/>
        <v>5.338726923309535E-3</v>
      </c>
      <c r="S33" s="3"/>
      <c r="T33" s="7">
        <v>3879.8040000000001</v>
      </c>
      <c r="U33" s="3"/>
      <c r="V33" s="8">
        <f t="shared" si="9"/>
        <v>1.026308146071131E-2</v>
      </c>
      <c r="W33" s="3"/>
      <c r="X33" s="7">
        <f t="shared" si="10"/>
        <v>-2235.2640000000001</v>
      </c>
      <c r="Y33" s="3"/>
      <c r="Z33" s="8">
        <f t="shared" si="11"/>
        <v>-0.57612807244902065</v>
      </c>
    </row>
    <row r="34" spans="1:26" s="70" customFormat="1" ht="15" hidden="1" customHeight="1" outlineLevel="2" x14ac:dyDescent="0.3">
      <c r="A34" s="26"/>
      <c r="B34" s="12" t="str">
        <f>CONCATENATE("          ","6116"," - ","EDUCATIONAL BENEFITS")</f>
        <v xml:space="preserve">          6116 - EDUCATIONAL BENEFITS</v>
      </c>
      <c r="C34" s="12"/>
      <c r="D34" s="7"/>
      <c r="E34" s="3"/>
      <c r="F34" s="8">
        <f t="shared" si="4"/>
        <v>0</v>
      </c>
      <c r="G34" s="3"/>
      <c r="H34" s="7">
        <v>0</v>
      </c>
      <c r="I34" s="3"/>
      <c r="J34" s="8">
        <f t="shared" si="5"/>
        <v>0</v>
      </c>
      <c r="K34" s="3"/>
      <c r="L34" s="7">
        <f t="shared" si="6"/>
        <v>0</v>
      </c>
      <c r="M34" s="3"/>
      <c r="N34" s="8">
        <f t="shared" si="7"/>
        <v>0</v>
      </c>
      <c r="O34" s="12"/>
      <c r="P34" s="7"/>
      <c r="Q34" s="3"/>
      <c r="R34" s="8">
        <f t="shared" si="8"/>
        <v>0</v>
      </c>
      <c r="S34" s="3"/>
      <c r="T34" s="7">
        <v>0</v>
      </c>
      <c r="U34" s="3"/>
      <c r="V34" s="8">
        <f t="shared" si="9"/>
        <v>0</v>
      </c>
      <c r="W34" s="3"/>
      <c r="X34" s="7">
        <f t="shared" si="10"/>
        <v>0</v>
      </c>
      <c r="Y34" s="3"/>
      <c r="Z34" s="8">
        <f t="shared" si="11"/>
        <v>0</v>
      </c>
    </row>
    <row r="35" spans="1:26" s="70" customFormat="1" ht="15" hidden="1" customHeight="1" outlineLevel="2" x14ac:dyDescent="0.3">
      <c r="A35" s="26"/>
      <c r="B35" s="12" t="str">
        <f>CONCATENATE("          ","6117"," - ","RETIREMENT STAFF HOURLY")</f>
        <v xml:space="preserve">          6117 - RETIREMENT STAFF HOURLY</v>
      </c>
      <c r="C35" s="12"/>
      <c r="D35" s="7">
        <v>294.60000000000002</v>
      </c>
      <c r="E35" s="3"/>
      <c r="F35" s="8">
        <f t="shared" si="4"/>
        <v>2.216157169926672E-3</v>
      </c>
      <c r="G35" s="3"/>
      <c r="H35" s="7"/>
      <c r="I35" s="3"/>
      <c r="J35" s="8">
        <f t="shared" si="5"/>
        <v>0</v>
      </c>
      <c r="K35" s="3"/>
      <c r="L35" s="7">
        <f t="shared" si="6"/>
        <v>294.60000000000002</v>
      </c>
      <c r="M35" s="3"/>
      <c r="N35" s="8">
        <f t="shared" si="7"/>
        <v>0</v>
      </c>
      <c r="O35" s="12"/>
      <c r="P35" s="7">
        <v>757.03</v>
      </c>
      <c r="Q35" s="3"/>
      <c r="R35" s="8">
        <f t="shared" si="8"/>
        <v>2.4575725994825403E-3</v>
      </c>
      <c r="S35" s="3"/>
      <c r="T35" s="7"/>
      <c r="U35" s="3"/>
      <c r="V35" s="8">
        <f t="shared" si="9"/>
        <v>0</v>
      </c>
      <c r="W35" s="3"/>
      <c r="X35" s="7">
        <f t="shared" si="10"/>
        <v>757.03</v>
      </c>
      <c r="Y35" s="3"/>
      <c r="Z35" s="8">
        <f t="shared" si="11"/>
        <v>0</v>
      </c>
    </row>
    <row r="36" spans="1:26" s="70" customFormat="1" ht="15" hidden="1" customHeight="1" outlineLevel="2" x14ac:dyDescent="0.3">
      <c r="A36" s="26"/>
      <c r="B36" s="12" t="str">
        <f>CONCATENATE("          ","6118"," - ","VACATION")</f>
        <v xml:space="preserve">          6118 - VACATION</v>
      </c>
      <c r="C36" s="12"/>
      <c r="D36" s="7">
        <v>531.67999999999995</v>
      </c>
      <c r="E36" s="3"/>
      <c r="F36" s="8">
        <f t="shared" si="4"/>
        <v>3.9996145421134178E-3</v>
      </c>
      <c r="G36" s="3"/>
      <c r="H36" s="7">
        <v>231.35384615384601</v>
      </c>
      <c r="I36" s="3"/>
      <c r="J36" s="8">
        <f t="shared" si="5"/>
        <v>2.5023670815091398E-3</v>
      </c>
      <c r="K36" s="3"/>
      <c r="L36" s="7">
        <f t="shared" si="6"/>
        <v>300.32615384615394</v>
      </c>
      <c r="M36" s="3"/>
      <c r="N36" s="8">
        <f t="shared" si="7"/>
        <v>1.2981247506317342</v>
      </c>
      <c r="O36" s="12"/>
      <c r="P36" s="7">
        <v>1839.9</v>
      </c>
      <c r="Q36" s="3"/>
      <c r="R36" s="8">
        <f t="shared" si="8"/>
        <v>5.9729308294095692E-3</v>
      </c>
      <c r="S36" s="3"/>
      <c r="T36" s="7">
        <v>2255.6999999999998</v>
      </c>
      <c r="U36" s="3"/>
      <c r="V36" s="8">
        <f t="shared" si="9"/>
        <v>5.9669078259949474E-3</v>
      </c>
      <c r="W36" s="3"/>
      <c r="X36" s="7">
        <f t="shared" si="10"/>
        <v>-415.79999999999973</v>
      </c>
      <c r="Y36" s="3"/>
      <c r="Z36" s="8">
        <f t="shared" si="11"/>
        <v>-0.18433302300837867</v>
      </c>
    </row>
    <row r="37" spans="1:26" s="70" customFormat="1" ht="15" hidden="1" customHeight="1" outlineLevel="2" x14ac:dyDescent="0.3">
      <c r="A37" s="26"/>
      <c r="B37" s="12" t="str">
        <f>CONCATENATE("          ","6119"," - ","SICK LEAVE")</f>
        <v xml:space="preserve">          6119 - SICK LEAVE</v>
      </c>
      <c r="C37" s="12"/>
      <c r="D37" s="7">
        <v>427.98</v>
      </c>
      <c r="E37" s="3"/>
      <c r="F37" s="8">
        <f t="shared" si="4"/>
        <v>3.219521200221375E-3</v>
      </c>
      <c r="G37" s="3"/>
      <c r="H37" s="7">
        <v>628.25429615384598</v>
      </c>
      <c r="I37" s="3"/>
      <c r="J37" s="8">
        <f t="shared" si="5"/>
        <v>6.7953176298899557E-3</v>
      </c>
      <c r="K37" s="3"/>
      <c r="L37" s="7">
        <f t="shared" si="6"/>
        <v>-200.27429615384597</v>
      </c>
      <c r="M37" s="3"/>
      <c r="N37" s="8">
        <f t="shared" si="7"/>
        <v>-0.3187790316435864</v>
      </c>
      <c r="O37" s="12"/>
      <c r="P37" s="7">
        <v>1577.31</v>
      </c>
      <c r="Q37" s="3"/>
      <c r="R37" s="8">
        <f t="shared" si="8"/>
        <v>5.1204758555008466E-3</v>
      </c>
      <c r="S37" s="3"/>
      <c r="T37" s="7">
        <v>5099.5056000000004</v>
      </c>
      <c r="U37" s="3"/>
      <c r="V37" s="8">
        <f t="shared" si="9"/>
        <v>1.3489506527173411E-2</v>
      </c>
      <c r="W37" s="3"/>
      <c r="X37" s="7">
        <f t="shared" si="10"/>
        <v>-3522.1956000000005</v>
      </c>
      <c r="Y37" s="3"/>
      <c r="Z37" s="8">
        <f t="shared" si="11"/>
        <v>-0.69069354488011547</v>
      </c>
    </row>
    <row r="38" spans="1:26" s="70" customFormat="1" ht="15" hidden="1" customHeight="1" outlineLevel="2" x14ac:dyDescent="0.3">
      <c r="A38" s="26"/>
      <c r="B38" s="12" t="str">
        <f>CONCATENATE("          ","6156"," - ","EMPLOYEE MEALS")</f>
        <v xml:space="preserve">          6156 - EMPLOYEE MEALS</v>
      </c>
      <c r="C38" s="12"/>
      <c r="D38" s="7">
        <v>465</v>
      </c>
      <c r="E38" s="3"/>
      <c r="F38" s="8">
        <f t="shared" si="4"/>
        <v>3.4980077529392483E-3</v>
      </c>
      <c r="G38" s="3"/>
      <c r="H38" s="7"/>
      <c r="I38" s="3"/>
      <c r="J38" s="8">
        <f t="shared" si="5"/>
        <v>0</v>
      </c>
      <c r="K38" s="3"/>
      <c r="L38" s="7">
        <f t="shared" si="6"/>
        <v>465</v>
      </c>
      <c r="M38" s="3"/>
      <c r="N38" s="8">
        <f t="shared" si="7"/>
        <v>0</v>
      </c>
      <c r="O38" s="12"/>
      <c r="P38" s="7">
        <v>1687.62</v>
      </c>
      <c r="Q38" s="3"/>
      <c r="R38" s="8">
        <f t="shared" si="8"/>
        <v>5.4785790131682026E-3</v>
      </c>
      <c r="S38" s="3"/>
      <c r="T38" s="7"/>
      <c r="U38" s="3"/>
      <c r="V38" s="8">
        <f t="shared" si="9"/>
        <v>0</v>
      </c>
      <c r="W38" s="3"/>
      <c r="X38" s="7">
        <f t="shared" si="10"/>
        <v>1687.62</v>
      </c>
      <c r="Y38" s="3"/>
      <c r="Z38" s="8">
        <f t="shared" si="11"/>
        <v>0</v>
      </c>
    </row>
    <row r="39" spans="1:26" s="69" customFormat="1" ht="15" customHeight="1" outlineLevel="1" collapsed="1" x14ac:dyDescent="0.3">
      <c r="A39" s="25"/>
      <c r="B39" s="14" t="str">
        <f>CONCATENATE("     ","*Payroll                                          ")</f>
        <v xml:space="preserve">     *Payroll                                          </v>
      </c>
      <c r="C39" s="14"/>
      <c r="D39" s="2">
        <f>SUM(OSRRefD22_1x_0)</f>
        <v>33405.89</v>
      </c>
      <c r="E39" s="2"/>
      <c r="F39" s="6">
        <f t="shared" si="4"/>
        <v>0.25129905852437784</v>
      </c>
      <c r="G39" s="2"/>
      <c r="H39" s="2">
        <f>SUM(OSRRefH22_1x_0)</f>
        <v>16997.483780769231</v>
      </c>
      <c r="I39" s="2"/>
      <c r="J39" s="6">
        <f t="shared" si="5"/>
        <v>0.18384800853147762</v>
      </c>
      <c r="K39" s="2"/>
      <c r="L39" s="2">
        <f t="shared" si="6"/>
        <v>16408.406219230768</v>
      </c>
      <c r="M39" s="2"/>
      <c r="N39" s="6">
        <f t="shared" si="7"/>
        <v>0.96534324908696556</v>
      </c>
      <c r="O39" s="14"/>
      <c r="P39" s="2">
        <f>SUM(OSRRefP22_1x_0)</f>
        <v>99443.73000000001</v>
      </c>
      <c r="Q39" s="2"/>
      <c r="R39" s="6">
        <f t="shared" si="8"/>
        <v>0.32282761058127146</v>
      </c>
      <c r="S39" s="2"/>
      <c r="T39" s="2">
        <f>SUM(OSRRefT22_1x_0)</f>
        <v>132552.3144</v>
      </c>
      <c r="U39" s="2"/>
      <c r="V39" s="6">
        <f t="shared" si="9"/>
        <v>0.35063503220601266</v>
      </c>
      <c r="W39" s="2"/>
      <c r="X39" s="2">
        <f t="shared" si="10"/>
        <v>-33108.584399999992</v>
      </c>
      <c r="Y39" s="2"/>
      <c r="Z39" s="6">
        <f t="shared" si="11"/>
        <v>-0.24977749011676248</v>
      </c>
    </row>
    <row r="40" spans="1:26" s="70" customFormat="1" ht="15" hidden="1" customHeight="1" outlineLevel="2" x14ac:dyDescent="0.3">
      <c r="A40" s="26"/>
      <c r="B40" s="12" t="str">
        <f>CONCATENATE("          ","6001"," - ","ADMINISTRATIVE SALARIES")</f>
        <v xml:space="preserve">          6001 - ADMINISTRATIVE SALARIES</v>
      </c>
      <c r="C40" s="12"/>
      <c r="D40" s="7"/>
      <c r="E40" s="3"/>
      <c r="F40" s="8">
        <f t="shared" si="4"/>
        <v>0</v>
      </c>
      <c r="G40" s="3"/>
      <c r="H40" s="7">
        <v>0</v>
      </c>
      <c r="I40" s="3"/>
      <c r="J40" s="8">
        <f t="shared" si="5"/>
        <v>0</v>
      </c>
      <c r="K40" s="3"/>
      <c r="L40" s="7">
        <f t="shared" si="6"/>
        <v>0</v>
      </c>
      <c r="M40" s="3"/>
      <c r="N40" s="8">
        <f t="shared" si="7"/>
        <v>0</v>
      </c>
      <c r="O40" s="12"/>
      <c r="P40" s="7"/>
      <c r="Q40" s="3"/>
      <c r="R40" s="8">
        <f t="shared" si="8"/>
        <v>0</v>
      </c>
      <c r="S40" s="3"/>
      <c r="T40" s="7">
        <v>0</v>
      </c>
      <c r="U40" s="3"/>
      <c r="V40" s="8">
        <f t="shared" si="9"/>
        <v>0</v>
      </c>
      <c r="W40" s="3"/>
      <c r="X40" s="7">
        <f t="shared" si="10"/>
        <v>0</v>
      </c>
      <c r="Y40" s="3"/>
      <c r="Z40" s="8">
        <f t="shared" si="11"/>
        <v>0</v>
      </c>
    </row>
    <row r="41" spans="1:26" s="70" customFormat="1" ht="15" hidden="1" customHeight="1" outlineLevel="2" x14ac:dyDescent="0.3">
      <c r="A41" s="26"/>
      <c r="B41" s="12" t="str">
        <f>CONCATENATE("          ","6002"," - ","STAFF SALARIES")</f>
        <v xml:space="preserve">          6002 - STAFF SALARIES</v>
      </c>
      <c r="C41" s="12"/>
      <c r="D41" s="7">
        <v>4534.6099999999997</v>
      </c>
      <c r="E41" s="3"/>
      <c r="F41" s="8">
        <f t="shared" si="4"/>
        <v>3.4112045024851274E-2</v>
      </c>
      <c r="G41" s="3"/>
      <c r="H41" s="7">
        <v>4164.3692307692299</v>
      </c>
      <c r="I41" s="3"/>
      <c r="J41" s="8">
        <f t="shared" si="5"/>
        <v>4.5042607467164535E-2</v>
      </c>
      <c r="K41" s="3"/>
      <c r="L41" s="7">
        <f t="shared" si="6"/>
        <v>370.24076923076973</v>
      </c>
      <c r="M41" s="3"/>
      <c r="N41" s="8">
        <f t="shared" si="7"/>
        <v>8.8906806460670146E-2</v>
      </c>
      <c r="O41" s="12"/>
      <c r="P41" s="7">
        <v>15619.61</v>
      </c>
      <c r="Q41" s="3"/>
      <c r="R41" s="8">
        <f t="shared" si="8"/>
        <v>5.0706478674033377E-2</v>
      </c>
      <c r="S41" s="3"/>
      <c r="T41" s="7">
        <v>40602.6</v>
      </c>
      <c r="U41" s="3"/>
      <c r="V41" s="8">
        <f t="shared" si="9"/>
        <v>0.10740434086790905</v>
      </c>
      <c r="W41" s="3"/>
      <c r="X41" s="7">
        <f t="shared" si="10"/>
        <v>-24982.989999999998</v>
      </c>
      <c r="Y41" s="3"/>
      <c r="Z41" s="8">
        <f t="shared" si="11"/>
        <v>-0.61530517750094815</v>
      </c>
    </row>
    <row r="42" spans="1:26" s="70" customFormat="1" ht="15" hidden="1" customHeight="1" outlineLevel="2" x14ac:dyDescent="0.3">
      <c r="A42" s="26"/>
      <c r="B42" s="12" t="str">
        <f>CONCATENATE("          ","6003"," - ","STAFF HOURLY-9 MONTH")</f>
        <v xml:space="preserve">          6003 - STAFF HOURLY-9 MONTH</v>
      </c>
      <c r="C42" s="12"/>
      <c r="D42" s="7"/>
      <c r="E42" s="3"/>
      <c r="F42" s="8">
        <f t="shared" si="4"/>
        <v>0</v>
      </c>
      <c r="G42" s="3"/>
      <c r="H42" s="7">
        <v>0</v>
      </c>
      <c r="I42" s="3"/>
      <c r="J42" s="8">
        <f t="shared" si="5"/>
        <v>0</v>
      </c>
      <c r="K42" s="3"/>
      <c r="L42" s="7">
        <f t="shared" si="6"/>
        <v>0</v>
      </c>
      <c r="M42" s="3"/>
      <c r="N42" s="8">
        <f t="shared" si="7"/>
        <v>0</v>
      </c>
      <c r="O42" s="12"/>
      <c r="P42" s="7"/>
      <c r="Q42" s="3"/>
      <c r="R42" s="8">
        <f t="shared" si="8"/>
        <v>0</v>
      </c>
      <c r="S42" s="3"/>
      <c r="T42" s="7">
        <v>0</v>
      </c>
      <c r="U42" s="3"/>
      <c r="V42" s="8">
        <f t="shared" si="9"/>
        <v>0</v>
      </c>
      <c r="W42" s="3"/>
      <c r="X42" s="7">
        <f t="shared" si="10"/>
        <v>0</v>
      </c>
      <c r="Y42" s="3"/>
      <c r="Z42" s="8">
        <f t="shared" si="11"/>
        <v>0</v>
      </c>
    </row>
    <row r="43" spans="1:26" s="70" customFormat="1" ht="15" hidden="1" customHeight="1" outlineLevel="2" x14ac:dyDescent="0.3">
      <c r="A43" s="26"/>
      <c r="B43" s="12" t="str">
        <f>CONCATENATE("          ","6004"," - ","STAFF HOURLY")</f>
        <v xml:space="preserve">          6004 - STAFF HOURLY</v>
      </c>
      <c r="C43" s="12"/>
      <c r="D43" s="7">
        <v>4230.8900000000003</v>
      </c>
      <c r="E43" s="3"/>
      <c r="F43" s="8">
        <f t="shared" si="4"/>
        <v>3.1827281767383087E-2</v>
      </c>
      <c r="G43" s="3"/>
      <c r="H43" s="7">
        <v>3417.28575</v>
      </c>
      <c r="I43" s="3"/>
      <c r="J43" s="8">
        <f t="shared" si="5"/>
        <v>3.6962010837822051E-2</v>
      </c>
      <c r="K43" s="3"/>
      <c r="L43" s="7">
        <f t="shared" si="6"/>
        <v>813.60425000000032</v>
      </c>
      <c r="M43" s="3"/>
      <c r="N43" s="8">
        <f t="shared" si="7"/>
        <v>0.2380849333422001</v>
      </c>
      <c r="O43" s="12"/>
      <c r="P43" s="7">
        <v>18392.22</v>
      </c>
      <c r="Q43" s="3"/>
      <c r="R43" s="8">
        <f t="shared" si="8"/>
        <v>5.9707298146248859E-2</v>
      </c>
      <c r="S43" s="3"/>
      <c r="T43" s="7">
        <v>26278.464</v>
      </c>
      <c r="U43" s="3"/>
      <c r="V43" s="8">
        <f t="shared" si="9"/>
        <v>6.9513309614189167E-2</v>
      </c>
      <c r="W43" s="3"/>
      <c r="X43" s="7">
        <f t="shared" si="10"/>
        <v>-7886.2439999999988</v>
      </c>
      <c r="Y43" s="3"/>
      <c r="Z43" s="8">
        <f t="shared" si="11"/>
        <v>-0.30010292839033509</v>
      </c>
    </row>
    <row r="44" spans="1:26" s="70" customFormat="1" ht="15" hidden="1" customHeight="1" outlineLevel="2" x14ac:dyDescent="0.3">
      <c r="A44" s="26"/>
      <c r="B44" s="12" t="str">
        <f>CONCATENATE("          ","6005"," - ","TEMPORARY WAGES-HOURLY")</f>
        <v xml:space="preserve">          6005 - TEMPORARY WAGES-HOURLY</v>
      </c>
      <c r="C44" s="12"/>
      <c r="D44" s="7">
        <v>2910.34</v>
      </c>
      <c r="E44" s="3"/>
      <c r="F44" s="8">
        <f t="shared" si="4"/>
        <v>2.1893315878901531E-2</v>
      </c>
      <c r="G44" s="3"/>
      <c r="H44" s="7">
        <v>0</v>
      </c>
      <c r="I44" s="3"/>
      <c r="J44" s="8">
        <f t="shared" si="5"/>
        <v>0</v>
      </c>
      <c r="K44" s="3"/>
      <c r="L44" s="7">
        <f t="shared" si="6"/>
        <v>2910.34</v>
      </c>
      <c r="M44" s="3"/>
      <c r="N44" s="8">
        <f t="shared" si="7"/>
        <v>0</v>
      </c>
      <c r="O44" s="12"/>
      <c r="P44" s="7">
        <v>21207.67</v>
      </c>
      <c r="Q44" s="3"/>
      <c r="R44" s="8">
        <f t="shared" si="8"/>
        <v>6.884719058804524E-2</v>
      </c>
      <c r="S44" s="3"/>
      <c r="T44" s="7">
        <v>0</v>
      </c>
      <c r="U44" s="3"/>
      <c r="V44" s="8">
        <f t="shared" si="9"/>
        <v>0</v>
      </c>
      <c r="W44" s="3"/>
      <c r="X44" s="7">
        <f t="shared" si="10"/>
        <v>21207.67</v>
      </c>
      <c r="Y44" s="3"/>
      <c r="Z44" s="8">
        <f t="shared" si="11"/>
        <v>0</v>
      </c>
    </row>
    <row r="45" spans="1:26" s="70" customFormat="1" ht="15" hidden="1" customHeight="1" outlineLevel="2" x14ac:dyDescent="0.3">
      <c r="A45" s="26"/>
      <c r="B45" s="12" t="str">
        <f>CONCATENATE("          ","6006"," - ","TEMPORARY PART TIME")</f>
        <v xml:space="preserve">          6006 - TEMPORARY PART TIME</v>
      </c>
      <c r="C45" s="12"/>
      <c r="D45" s="7">
        <v>1702.24</v>
      </c>
      <c r="E45" s="3"/>
      <c r="F45" s="8">
        <f t="shared" si="4"/>
        <v>1.2805266058845818E-2</v>
      </c>
      <c r="G45" s="3"/>
      <c r="H45" s="7">
        <v>0</v>
      </c>
      <c r="I45" s="3"/>
      <c r="J45" s="8">
        <f t="shared" si="5"/>
        <v>0</v>
      </c>
      <c r="K45" s="3"/>
      <c r="L45" s="7">
        <f t="shared" si="6"/>
        <v>1702.24</v>
      </c>
      <c r="M45" s="3"/>
      <c r="N45" s="8">
        <f t="shared" si="7"/>
        <v>0</v>
      </c>
      <c r="O45" s="12"/>
      <c r="P45" s="7">
        <v>2343.2399999999998</v>
      </c>
      <c r="Q45" s="3"/>
      <c r="R45" s="8">
        <f t="shared" si="8"/>
        <v>7.6069408319504742E-3</v>
      </c>
      <c r="S45" s="3"/>
      <c r="T45" s="7">
        <v>0</v>
      </c>
      <c r="U45" s="3"/>
      <c r="V45" s="8">
        <f t="shared" si="9"/>
        <v>0</v>
      </c>
      <c r="W45" s="3"/>
      <c r="X45" s="7">
        <f t="shared" si="10"/>
        <v>2343.2399999999998</v>
      </c>
      <c r="Y45" s="3"/>
      <c r="Z45" s="8">
        <f t="shared" si="11"/>
        <v>0</v>
      </c>
    </row>
    <row r="46" spans="1:26" s="70" customFormat="1" ht="15" hidden="1" customHeight="1" outlineLevel="2" x14ac:dyDescent="0.3">
      <c r="A46" s="26"/>
      <c r="B46" s="12" t="str">
        <f>CONCATENATE("          ","6007"," - ","STUDENT HOURLY")</f>
        <v xml:space="preserve">          6007 - STUDENT HOURLY</v>
      </c>
      <c r="C46" s="12"/>
      <c r="D46" s="7">
        <v>17283.04</v>
      </c>
      <c r="E46" s="3"/>
      <c r="F46" s="8">
        <f t="shared" si="4"/>
        <v>0.13001335035346054</v>
      </c>
      <c r="G46" s="3"/>
      <c r="H46" s="7">
        <v>0</v>
      </c>
      <c r="I46" s="3"/>
      <c r="J46" s="8">
        <f t="shared" si="5"/>
        <v>0</v>
      </c>
      <c r="K46" s="3"/>
      <c r="L46" s="7">
        <f t="shared" si="6"/>
        <v>17283.04</v>
      </c>
      <c r="M46" s="3"/>
      <c r="N46" s="8">
        <f t="shared" si="7"/>
        <v>0</v>
      </c>
      <c r="O46" s="12"/>
      <c r="P46" s="7">
        <v>37991.42</v>
      </c>
      <c r="Q46" s="3"/>
      <c r="R46" s="8">
        <f t="shared" si="8"/>
        <v>0.12333285709606352</v>
      </c>
      <c r="S46" s="3"/>
      <c r="T46" s="7">
        <v>0</v>
      </c>
      <c r="U46" s="3"/>
      <c r="V46" s="8">
        <f t="shared" si="9"/>
        <v>0</v>
      </c>
      <c r="W46" s="3"/>
      <c r="X46" s="7">
        <f t="shared" si="10"/>
        <v>37991.42</v>
      </c>
      <c r="Y46" s="3"/>
      <c r="Z46" s="8">
        <f t="shared" si="11"/>
        <v>0</v>
      </c>
    </row>
    <row r="47" spans="1:26" s="70" customFormat="1" ht="15" hidden="1" customHeight="1" outlineLevel="2" x14ac:dyDescent="0.3">
      <c r="A47" s="26"/>
      <c r="B47" s="12" t="str">
        <f>CONCATENATE("          ","6008"," - ","STUDENT HOURLY-FICA EXEMPT")</f>
        <v xml:space="preserve">          6008 - STUDENT HOURLY-FICA EXEMPT</v>
      </c>
      <c r="C47" s="12"/>
      <c r="D47" s="7">
        <v>2744.77</v>
      </c>
      <c r="E47" s="3"/>
      <c r="F47" s="8">
        <f t="shared" si="4"/>
        <v>2.0647799440935612E-2</v>
      </c>
      <c r="G47" s="3"/>
      <c r="H47" s="7">
        <v>9415.8287999999993</v>
      </c>
      <c r="I47" s="3"/>
      <c r="J47" s="8">
        <f t="shared" si="5"/>
        <v>0.101843390226491</v>
      </c>
      <c r="K47" s="3"/>
      <c r="L47" s="7">
        <f t="shared" si="6"/>
        <v>-6671.0587999999989</v>
      </c>
      <c r="M47" s="3"/>
      <c r="N47" s="8">
        <f t="shared" si="7"/>
        <v>-0.70849406267879456</v>
      </c>
      <c r="O47" s="12"/>
      <c r="P47" s="7">
        <v>3889.57</v>
      </c>
      <c r="Q47" s="3"/>
      <c r="R47" s="8">
        <f t="shared" si="8"/>
        <v>1.262684524492993E-2</v>
      </c>
      <c r="S47" s="3"/>
      <c r="T47" s="7">
        <v>65671.250400000004</v>
      </c>
      <c r="U47" s="3"/>
      <c r="V47" s="8">
        <f t="shared" si="9"/>
        <v>0.17371738172391446</v>
      </c>
      <c r="W47" s="3"/>
      <c r="X47" s="7">
        <f t="shared" si="10"/>
        <v>-61781.680400000005</v>
      </c>
      <c r="Y47" s="3"/>
      <c r="Z47" s="8">
        <f t="shared" si="11"/>
        <v>-0.94077210383068932</v>
      </c>
    </row>
    <row r="48" spans="1:26" s="70" customFormat="1" ht="15" hidden="1" customHeight="1" outlineLevel="2" x14ac:dyDescent="0.3">
      <c r="A48" s="26"/>
      <c r="B48" s="12" t="str">
        <f>CONCATENATE("          ","6009"," - ","TEMPORARY-SEASONAL")</f>
        <v xml:space="preserve">          6009 - TEMPORARY-SEASONAL</v>
      </c>
      <c r="C48" s="12"/>
      <c r="D48" s="7"/>
      <c r="E48" s="3"/>
      <c r="F48" s="8">
        <f t="shared" si="4"/>
        <v>0</v>
      </c>
      <c r="G48" s="3"/>
      <c r="H48" s="7">
        <v>0</v>
      </c>
      <c r="I48" s="3"/>
      <c r="J48" s="8">
        <f t="shared" si="5"/>
        <v>0</v>
      </c>
      <c r="K48" s="3"/>
      <c r="L48" s="7">
        <f t="shared" si="6"/>
        <v>0</v>
      </c>
      <c r="M48" s="3"/>
      <c r="N48" s="8">
        <f t="shared" si="7"/>
        <v>0</v>
      </c>
      <c r="O48" s="12"/>
      <c r="P48" s="7"/>
      <c r="Q48" s="3"/>
      <c r="R48" s="8">
        <f t="shared" si="8"/>
        <v>0</v>
      </c>
      <c r="S48" s="3"/>
      <c r="T48" s="7">
        <v>0</v>
      </c>
      <c r="U48" s="3"/>
      <c r="V48" s="8">
        <f t="shared" si="9"/>
        <v>0</v>
      </c>
      <c r="W48" s="3"/>
      <c r="X48" s="7">
        <f t="shared" si="10"/>
        <v>0</v>
      </c>
      <c r="Y48" s="3"/>
      <c r="Z48" s="8">
        <f t="shared" si="11"/>
        <v>0</v>
      </c>
    </row>
    <row r="49" spans="1:26" s="70" customFormat="1" ht="15" hidden="1" customHeight="1" outlineLevel="2" x14ac:dyDescent="0.3">
      <c r="A49" s="26"/>
      <c r="B49" s="12" t="str">
        <f>CONCATENATE("          ","6010"," - ","GRATUITY")</f>
        <v xml:space="preserve">          6010 - GRATUITY</v>
      </c>
      <c r="C49" s="12"/>
      <c r="D49" s="7"/>
      <c r="E49" s="3"/>
      <c r="F49" s="8">
        <f t="shared" si="4"/>
        <v>0</v>
      </c>
      <c r="G49" s="3"/>
      <c r="H49" s="7">
        <v>0</v>
      </c>
      <c r="I49" s="3"/>
      <c r="J49" s="8">
        <f t="shared" si="5"/>
        <v>0</v>
      </c>
      <c r="K49" s="3"/>
      <c r="L49" s="7">
        <f t="shared" si="6"/>
        <v>0</v>
      </c>
      <c r="M49" s="3"/>
      <c r="N49" s="8">
        <f t="shared" si="7"/>
        <v>0</v>
      </c>
      <c r="O49" s="12"/>
      <c r="P49" s="7"/>
      <c r="Q49" s="3"/>
      <c r="R49" s="8">
        <f t="shared" si="8"/>
        <v>0</v>
      </c>
      <c r="S49" s="3"/>
      <c r="T49" s="7">
        <v>0</v>
      </c>
      <c r="U49" s="3"/>
      <c r="V49" s="8">
        <f t="shared" si="9"/>
        <v>0</v>
      </c>
      <c r="W49" s="3"/>
      <c r="X49" s="7">
        <f t="shared" si="10"/>
        <v>0</v>
      </c>
      <c r="Y49" s="3"/>
      <c r="Z49" s="8">
        <f t="shared" si="11"/>
        <v>0</v>
      </c>
    </row>
    <row r="50" spans="1:26" s="69" customFormat="1" ht="15" customHeight="1" outlineLevel="1" collapsed="1" x14ac:dyDescent="0.3">
      <c r="A50" s="25"/>
      <c r="B50" s="14" t="str">
        <f>CONCATENATE("     ","Advertising/Promo                                 ")</f>
        <v xml:space="preserve">     Advertising/Promo                                 </v>
      </c>
      <c r="C50" s="14"/>
      <c r="D50" s="2">
        <f>SUM(OSRRefD22_2x_0)</f>
        <v>8.81</v>
      </c>
      <c r="E50" s="2"/>
      <c r="F50" s="6">
        <f t="shared" si="4"/>
        <v>6.6274082372891991E-5</v>
      </c>
      <c r="G50" s="2"/>
      <c r="H50" s="2">
        <f>SUM(OSRRefH22_2x_0)</f>
        <v>0</v>
      </c>
      <c r="I50" s="2"/>
      <c r="J50" s="6">
        <f t="shared" si="5"/>
        <v>0</v>
      </c>
      <c r="K50" s="2"/>
      <c r="L50" s="2">
        <f t="shared" si="6"/>
        <v>8.81</v>
      </c>
      <c r="M50" s="2"/>
      <c r="N50" s="6">
        <f t="shared" si="7"/>
        <v>0</v>
      </c>
      <c r="O50" s="14"/>
      <c r="P50" s="2">
        <f>SUM(OSRRefP22_2x_0)</f>
        <v>625.16999999999996</v>
      </c>
      <c r="Q50" s="2"/>
      <c r="R50" s="6">
        <f t="shared" si="8"/>
        <v>2.0295109335409425E-3</v>
      </c>
      <c r="S50" s="2"/>
      <c r="T50" s="2">
        <f>SUM(OSRRefT22_2x_0)</f>
        <v>0</v>
      </c>
      <c r="U50" s="2"/>
      <c r="V50" s="6">
        <f t="shared" si="9"/>
        <v>0</v>
      </c>
      <c r="W50" s="2"/>
      <c r="X50" s="2">
        <f t="shared" si="10"/>
        <v>625.16999999999996</v>
      </c>
      <c r="Y50" s="2"/>
      <c r="Z50" s="6">
        <f t="shared" si="11"/>
        <v>0</v>
      </c>
    </row>
    <row r="51" spans="1:26" s="70" customFormat="1" ht="15" hidden="1" customHeight="1" outlineLevel="2" x14ac:dyDescent="0.3">
      <c r="A51" s="26"/>
      <c r="B51" s="12" t="str">
        <f>CONCATENATE("          ","6362"," - ","ADVERTISING EXPENSE")</f>
        <v xml:space="preserve">          6362 - ADVERTISING EXPENSE</v>
      </c>
      <c r="C51" s="12"/>
      <c r="D51" s="7">
        <v>8.81</v>
      </c>
      <c r="E51" s="3"/>
      <c r="F51" s="8">
        <f t="shared" si="4"/>
        <v>6.6274082372891991E-5</v>
      </c>
      <c r="G51" s="3"/>
      <c r="H51" s="7">
        <v>0</v>
      </c>
      <c r="I51" s="3"/>
      <c r="J51" s="8">
        <f t="shared" si="5"/>
        <v>0</v>
      </c>
      <c r="K51" s="3"/>
      <c r="L51" s="7">
        <f t="shared" si="6"/>
        <v>8.81</v>
      </c>
      <c r="M51" s="3"/>
      <c r="N51" s="8">
        <f t="shared" si="7"/>
        <v>0</v>
      </c>
      <c r="O51" s="12"/>
      <c r="P51" s="7">
        <v>625.16999999999996</v>
      </c>
      <c r="Q51" s="3"/>
      <c r="R51" s="8">
        <f t="shared" si="8"/>
        <v>2.0295109335409425E-3</v>
      </c>
      <c r="S51" s="3"/>
      <c r="T51" s="7">
        <v>0</v>
      </c>
      <c r="U51" s="3"/>
      <c r="V51" s="8">
        <f t="shared" si="9"/>
        <v>0</v>
      </c>
      <c r="W51" s="3"/>
      <c r="X51" s="7">
        <f t="shared" si="10"/>
        <v>625.16999999999996</v>
      </c>
      <c r="Y51" s="3"/>
      <c r="Z51" s="8">
        <f t="shared" si="11"/>
        <v>0</v>
      </c>
    </row>
    <row r="52" spans="1:26" s="69" customFormat="1" ht="15" customHeight="1" outlineLevel="1" collapsed="1" x14ac:dyDescent="0.3">
      <c r="A52" s="25"/>
      <c r="B52" s="14" t="str">
        <f>CONCATENATE("     ","Bad Debts/Over/Short                              ")</f>
        <v xml:space="preserve">     Bad Debts/Over/Short                              </v>
      </c>
      <c r="C52" s="14"/>
      <c r="D52" s="2">
        <f>SUM(OSRRefD22_3x_0)</f>
        <v>-0.75</v>
      </c>
      <c r="E52" s="2"/>
      <c r="F52" s="6">
        <f t="shared" si="4"/>
        <v>-5.6419479886116901E-6</v>
      </c>
      <c r="G52" s="2"/>
      <c r="H52" s="2">
        <f>SUM(OSRRefH22_3x_0)</f>
        <v>0</v>
      </c>
      <c r="I52" s="2"/>
      <c r="J52" s="6">
        <f t="shared" si="5"/>
        <v>0</v>
      </c>
      <c r="K52" s="2"/>
      <c r="L52" s="2">
        <f t="shared" si="6"/>
        <v>-0.75</v>
      </c>
      <c r="M52" s="2"/>
      <c r="N52" s="6">
        <f t="shared" si="7"/>
        <v>0</v>
      </c>
      <c r="O52" s="14"/>
      <c r="P52" s="2">
        <f>SUM(OSRRefP22_3x_0)</f>
        <v>8.36</v>
      </c>
      <c r="Q52" s="2"/>
      <c r="R52" s="6">
        <f t="shared" si="8"/>
        <v>2.7139356342118592E-5</v>
      </c>
      <c r="S52" s="2"/>
      <c r="T52" s="2">
        <f>SUM(OSRRefT22_3x_0)</f>
        <v>0</v>
      </c>
      <c r="U52" s="2"/>
      <c r="V52" s="6">
        <f t="shared" si="9"/>
        <v>0</v>
      </c>
      <c r="W52" s="2"/>
      <c r="X52" s="2">
        <f t="shared" si="10"/>
        <v>8.36</v>
      </c>
      <c r="Y52" s="2"/>
      <c r="Z52" s="6">
        <f t="shared" si="11"/>
        <v>0</v>
      </c>
    </row>
    <row r="53" spans="1:26" s="70" customFormat="1" ht="15" hidden="1" customHeight="1" outlineLevel="2" x14ac:dyDescent="0.3">
      <c r="A53" s="26"/>
      <c r="B53" s="12" t="str">
        <f>CONCATENATE("          ","6272"," - ","CASH (OVER/SHORT)")</f>
        <v xml:space="preserve">          6272 - CASH (OVER/SHORT)</v>
      </c>
      <c r="C53" s="12"/>
      <c r="D53" s="7">
        <v>-0.75</v>
      </c>
      <c r="E53" s="3"/>
      <c r="F53" s="8">
        <f t="shared" si="4"/>
        <v>-5.6419479886116901E-6</v>
      </c>
      <c r="G53" s="3"/>
      <c r="H53" s="7">
        <v>0</v>
      </c>
      <c r="I53" s="3"/>
      <c r="J53" s="8">
        <f t="shared" si="5"/>
        <v>0</v>
      </c>
      <c r="K53" s="3"/>
      <c r="L53" s="7">
        <f t="shared" si="6"/>
        <v>-0.75</v>
      </c>
      <c r="M53" s="3"/>
      <c r="N53" s="8">
        <f t="shared" si="7"/>
        <v>0</v>
      </c>
      <c r="O53" s="12"/>
      <c r="P53" s="7">
        <v>8.36</v>
      </c>
      <c r="Q53" s="3"/>
      <c r="R53" s="8">
        <f t="shared" si="8"/>
        <v>2.7139356342118592E-5</v>
      </c>
      <c r="S53" s="3"/>
      <c r="T53" s="7">
        <v>0</v>
      </c>
      <c r="U53" s="3"/>
      <c r="V53" s="8">
        <f t="shared" si="9"/>
        <v>0</v>
      </c>
      <c r="W53" s="3"/>
      <c r="X53" s="7">
        <f t="shared" si="10"/>
        <v>8.36</v>
      </c>
      <c r="Y53" s="3"/>
      <c r="Z53" s="8">
        <f t="shared" si="11"/>
        <v>0</v>
      </c>
    </row>
    <row r="54" spans="1:26" s="69" customFormat="1" ht="15" customHeight="1" outlineLevel="1" collapsed="1" x14ac:dyDescent="0.3">
      <c r="A54" s="25"/>
      <c r="B54" s="14" t="str">
        <f>CONCATENATE("     ","Bank/card Fees                                    ")</f>
        <v xml:space="preserve">     Bank/card Fees                                    </v>
      </c>
      <c r="C54" s="14"/>
      <c r="D54" s="2">
        <f>SUM(OSRRefD22_4x_0)</f>
        <v>5878.33</v>
      </c>
      <c r="E54" s="2"/>
      <c r="F54" s="6">
        <f t="shared" si="4"/>
        <v>4.4220309493194346E-2</v>
      </c>
      <c r="G54" s="2"/>
      <c r="H54" s="2">
        <f>SUM(OSRRefH22_4x_0)</f>
        <v>4175.25</v>
      </c>
      <c r="I54" s="2"/>
      <c r="J54" s="6">
        <f t="shared" si="5"/>
        <v>4.5160295930949446E-2</v>
      </c>
      <c r="K54" s="2"/>
      <c r="L54" s="2">
        <f t="shared" si="6"/>
        <v>1703.08</v>
      </c>
      <c r="M54" s="2"/>
      <c r="N54" s="6">
        <f t="shared" si="7"/>
        <v>0.40789892820789175</v>
      </c>
      <c r="O54" s="14"/>
      <c r="P54" s="2">
        <f>SUM(OSRRefP22_4x_0)</f>
        <v>13958.63</v>
      </c>
      <c r="Q54" s="2"/>
      <c r="R54" s="6">
        <f t="shared" si="8"/>
        <v>4.5314382011696991E-2</v>
      </c>
      <c r="S54" s="2"/>
      <c r="T54" s="2">
        <f>SUM(OSRRefT22_4x_0)</f>
        <v>16945.5</v>
      </c>
      <c r="U54" s="2"/>
      <c r="V54" s="6">
        <f t="shared" si="9"/>
        <v>4.4825214596532069E-2</v>
      </c>
      <c r="W54" s="2"/>
      <c r="X54" s="2">
        <f t="shared" si="10"/>
        <v>-2986.8700000000008</v>
      </c>
      <c r="Y54" s="2"/>
      <c r="Z54" s="6">
        <f t="shared" si="11"/>
        <v>-0.17626331474432744</v>
      </c>
    </row>
    <row r="55" spans="1:26" s="70" customFormat="1" ht="15" hidden="1" customHeight="1" outlineLevel="2" x14ac:dyDescent="0.3">
      <c r="A55" s="26"/>
      <c r="B55" s="12" t="str">
        <f>CONCATENATE("          ","6381"," - ","BANK/CREDIT CARD FEES")</f>
        <v xml:space="preserve">          6381 - BANK/CREDIT CARD FEES</v>
      </c>
      <c r="C55" s="12"/>
      <c r="D55" s="7">
        <v>5878.33</v>
      </c>
      <c r="E55" s="3"/>
      <c r="F55" s="8">
        <f t="shared" si="4"/>
        <v>4.4220309493194346E-2</v>
      </c>
      <c r="G55" s="3"/>
      <c r="H55" s="7">
        <v>4175.25</v>
      </c>
      <c r="I55" s="3"/>
      <c r="J55" s="8">
        <f t="shared" si="5"/>
        <v>4.5160295930949446E-2</v>
      </c>
      <c r="K55" s="3"/>
      <c r="L55" s="7">
        <f t="shared" si="6"/>
        <v>1703.08</v>
      </c>
      <c r="M55" s="3"/>
      <c r="N55" s="8">
        <f t="shared" si="7"/>
        <v>0.40789892820789175</v>
      </c>
      <c r="O55" s="12"/>
      <c r="P55" s="7">
        <v>13958.63</v>
      </c>
      <c r="Q55" s="3"/>
      <c r="R55" s="8">
        <f t="shared" si="8"/>
        <v>4.5314382011696991E-2</v>
      </c>
      <c r="S55" s="3"/>
      <c r="T55" s="7">
        <v>16945.5</v>
      </c>
      <c r="U55" s="3"/>
      <c r="V55" s="8">
        <f t="shared" si="9"/>
        <v>4.4825214596532069E-2</v>
      </c>
      <c r="W55" s="3"/>
      <c r="X55" s="7">
        <f t="shared" si="10"/>
        <v>-2986.8700000000008</v>
      </c>
      <c r="Y55" s="3"/>
      <c r="Z55" s="8">
        <f t="shared" si="11"/>
        <v>-0.17626331474432744</v>
      </c>
    </row>
    <row r="56" spans="1:26" s="69" customFormat="1" ht="15" customHeight="1" outlineLevel="1" collapsed="1" x14ac:dyDescent="0.3">
      <c r="A56" s="25"/>
      <c r="B56" s="14" t="str">
        <f>CONCATENATE("     ","Depreciation                                      ")</f>
        <v xml:space="preserve">     Depreciation                                      </v>
      </c>
      <c r="C56" s="14"/>
      <c r="D56" s="2">
        <f>SUM(OSRRefD22_5x_0)</f>
        <v>6324.75</v>
      </c>
      <c r="E56" s="2"/>
      <c r="F56" s="6">
        <f t="shared" si="4"/>
        <v>4.7578547387962383E-2</v>
      </c>
      <c r="G56" s="2"/>
      <c r="H56" s="2">
        <f>SUM(OSRRefH22_5x_0)</f>
        <v>6324</v>
      </c>
      <c r="I56" s="2"/>
      <c r="J56" s="6">
        <f t="shared" si="5"/>
        <v>6.8401583490168089E-2</v>
      </c>
      <c r="K56" s="2"/>
      <c r="L56" s="2">
        <f t="shared" si="6"/>
        <v>0.75</v>
      </c>
      <c r="M56" s="2"/>
      <c r="N56" s="6">
        <f t="shared" si="7"/>
        <v>1.1859582542694497E-4</v>
      </c>
      <c r="O56" s="14"/>
      <c r="P56" s="2">
        <f>SUM(OSRRefP22_5x_0)</f>
        <v>59355.11</v>
      </c>
      <c r="Q56" s="2"/>
      <c r="R56" s="6">
        <f t="shared" si="8"/>
        <v>0.19268654079134531</v>
      </c>
      <c r="S56" s="2"/>
      <c r="T56" s="2">
        <f>SUM(OSRRefT22_5x_0)</f>
        <v>59346</v>
      </c>
      <c r="U56" s="2"/>
      <c r="V56" s="6">
        <f t="shared" si="9"/>
        <v>0.15698546430886029</v>
      </c>
      <c r="W56" s="2"/>
      <c r="X56" s="2">
        <f t="shared" si="10"/>
        <v>9.1100000000005821</v>
      </c>
      <c r="Y56" s="2"/>
      <c r="Z56" s="6">
        <f t="shared" si="11"/>
        <v>1.5350655478044994E-4</v>
      </c>
    </row>
    <row r="57" spans="1:26" s="70" customFormat="1" ht="15" hidden="1" customHeight="1" outlineLevel="2" x14ac:dyDescent="0.3">
      <c r="A57" s="26"/>
      <c r="B57" s="12" t="str">
        <f>CONCATENATE("          ","6321"," - ","BUILDING DEPRECIATION")</f>
        <v xml:space="preserve">          6321 - BUILDING DEPRECIATION</v>
      </c>
      <c r="C57" s="12"/>
      <c r="D57" s="7">
        <v>5080.51</v>
      </c>
      <c r="E57" s="3"/>
      <c r="F57" s="8">
        <f t="shared" si="4"/>
        <v>3.8218630900828776E-2</v>
      </c>
      <c r="G57" s="3"/>
      <c r="H57" s="7"/>
      <c r="I57" s="3"/>
      <c r="J57" s="8">
        <f t="shared" si="5"/>
        <v>0</v>
      </c>
      <c r="K57" s="3"/>
      <c r="L57" s="7">
        <f t="shared" si="6"/>
        <v>5080.51</v>
      </c>
      <c r="M57" s="3"/>
      <c r="N57" s="8">
        <f t="shared" si="7"/>
        <v>0</v>
      </c>
      <c r="O57" s="12"/>
      <c r="P57" s="7">
        <v>45724.59</v>
      </c>
      <c r="Q57" s="3"/>
      <c r="R57" s="8">
        <f t="shared" si="8"/>
        <v>0.14843731358938664</v>
      </c>
      <c r="S57" s="3"/>
      <c r="T57" s="7"/>
      <c r="U57" s="3"/>
      <c r="V57" s="8">
        <f t="shared" si="9"/>
        <v>0</v>
      </c>
      <c r="W57" s="3"/>
      <c r="X57" s="7">
        <f t="shared" si="10"/>
        <v>45724.59</v>
      </c>
      <c r="Y57" s="3"/>
      <c r="Z57" s="8">
        <f t="shared" si="11"/>
        <v>0</v>
      </c>
    </row>
    <row r="58" spans="1:26" s="70" customFormat="1" ht="15" hidden="1" customHeight="1" outlineLevel="2" x14ac:dyDescent="0.3">
      <c r="A58" s="26"/>
      <c r="B58" s="12" t="str">
        <f>CONCATENATE("          ","6322"," - ","EQUIPMENT DEPRECIATION EXPENSE")</f>
        <v xml:space="preserve">          6322 - EQUIPMENT DEPRECIATION EXPENSE</v>
      </c>
      <c r="C58" s="12"/>
      <c r="D58" s="7">
        <v>1244.24</v>
      </c>
      <c r="E58" s="3"/>
      <c r="F58" s="8">
        <f t="shared" si="4"/>
        <v>9.3599164871336123E-3</v>
      </c>
      <c r="G58" s="3"/>
      <c r="H58" s="7">
        <v>6324</v>
      </c>
      <c r="I58" s="3"/>
      <c r="J58" s="8">
        <f t="shared" si="5"/>
        <v>6.8401583490168089E-2</v>
      </c>
      <c r="K58" s="3"/>
      <c r="L58" s="7">
        <f t="shared" si="6"/>
        <v>-5079.76</v>
      </c>
      <c r="M58" s="3"/>
      <c r="N58" s="8">
        <f t="shared" si="7"/>
        <v>-0.80325110689437074</v>
      </c>
      <c r="O58" s="12"/>
      <c r="P58" s="7">
        <v>13630.52</v>
      </c>
      <c r="Q58" s="3"/>
      <c r="R58" s="8">
        <f t="shared" si="8"/>
        <v>4.4249227201958653E-2</v>
      </c>
      <c r="S58" s="3"/>
      <c r="T58" s="7">
        <v>59346</v>
      </c>
      <c r="U58" s="3"/>
      <c r="V58" s="8">
        <f t="shared" si="9"/>
        <v>0.15698546430886029</v>
      </c>
      <c r="W58" s="3"/>
      <c r="X58" s="7">
        <f t="shared" si="10"/>
        <v>-45715.479999999996</v>
      </c>
      <c r="Y58" s="3"/>
      <c r="Z58" s="8">
        <f t="shared" si="11"/>
        <v>-0.77032116739123102</v>
      </c>
    </row>
    <row r="59" spans="1:26" s="69" customFormat="1" ht="15" customHeight="1" outlineLevel="1" collapsed="1" x14ac:dyDescent="0.3">
      <c r="A59" s="25"/>
      <c r="B59" s="14" t="str">
        <f>CONCATENATE("     ","Employees' Appreciation                           ")</f>
        <v xml:space="preserve">     Employees' Appreciation                           </v>
      </c>
      <c r="C59" s="14"/>
      <c r="D59" s="2">
        <f>SUM(OSRRefD22_6x_0)</f>
        <v>0</v>
      </c>
      <c r="E59" s="2"/>
      <c r="F59" s="6">
        <f t="shared" ref="F59:F92" si="12">IF(D$12=0,0,D59/D$12)</f>
        <v>0</v>
      </c>
      <c r="G59" s="2"/>
      <c r="H59" s="2">
        <f>SUM(OSRRefH22_6x_0)</f>
        <v>0</v>
      </c>
      <c r="I59" s="2"/>
      <c r="J59" s="6">
        <f t="shared" ref="J59:J92" si="13">IF(H$12=0,0,H59/H$12)</f>
        <v>0</v>
      </c>
      <c r="K59" s="2"/>
      <c r="L59" s="2">
        <f t="shared" ref="L59:L92" si="14">+D59-H59</f>
        <v>0</v>
      </c>
      <c r="M59" s="2"/>
      <c r="N59" s="6">
        <f t="shared" ref="N59:N92" si="15">IF(H59=0,0,L59/H59)</f>
        <v>0</v>
      </c>
      <c r="O59" s="14"/>
      <c r="P59" s="2">
        <f>SUM(OSRRefP22_6x_0)</f>
        <v>0</v>
      </c>
      <c r="Q59" s="2"/>
      <c r="R59" s="6">
        <f t="shared" ref="R59:R92" si="16">IF(P$12=0,0,P59/P$12)</f>
        <v>0</v>
      </c>
      <c r="S59" s="2"/>
      <c r="T59" s="2">
        <f>SUM(OSRRefT22_6x_0)</f>
        <v>50</v>
      </c>
      <c r="U59" s="2"/>
      <c r="V59" s="6">
        <f t="shared" ref="V59:V92" si="17">IF(T$12=0,0,T59/T$12)</f>
        <v>1.3226288571164047E-4</v>
      </c>
      <c r="W59" s="2"/>
      <c r="X59" s="2">
        <f t="shared" ref="X59:X92" si="18">+P59-T59</f>
        <v>-50</v>
      </c>
      <c r="Y59" s="2"/>
      <c r="Z59" s="6">
        <f t="shared" ref="Z59:Z92" si="19">IF(T59=0,0,X59/T59)</f>
        <v>-1</v>
      </c>
    </row>
    <row r="60" spans="1:26" s="70" customFormat="1" ht="15" hidden="1" customHeight="1" outlineLevel="2" x14ac:dyDescent="0.3">
      <c r="A60" s="26"/>
      <c r="B60" s="12" t="str">
        <f>CONCATENATE("          ","6277"," - ","EMPLOYEE APPRECIATION")</f>
        <v xml:space="preserve">          6277 - EMPLOYEE APPRECIATION</v>
      </c>
      <c r="C60" s="12"/>
      <c r="D60" s="7"/>
      <c r="E60" s="3"/>
      <c r="F60" s="8">
        <f t="shared" si="12"/>
        <v>0</v>
      </c>
      <c r="G60" s="3"/>
      <c r="H60" s="7"/>
      <c r="I60" s="3"/>
      <c r="J60" s="8">
        <f t="shared" si="13"/>
        <v>0</v>
      </c>
      <c r="K60" s="3"/>
      <c r="L60" s="7">
        <f t="shared" si="14"/>
        <v>0</v>
      </c>
      <c r="M60" s="3"/>
      <c r="N60" s="8">
        <f t="shared" si="15"/>
        <v>0</v>
      </c>
      <c r="O60" s="12"/>
      <c r="P60" s="7"/>
      <c r="Q60" s="3"/>
      <c r="R60" s="8">
        <f t="shared" si="16"/>
        <v>0</v>
      </c>
      <c r="S60" s="3"/>
      <c r="T60" s="7">
        <v>50</v>
      </c>
      <c r="U60" s="3"/>
      <c r="V60" s="8">
        <f t="shared" si="17"/>
        <v>1.3226288571164047E-4</v>
      </c>
      <c r="W60" s="3"/>
      <c r="X60" s="7">
        <f t="shared" si="18"/>
        <v>-50</v>
      </c>
      <c r="Y60" s="3"/>
      <c r="Z60" s="8">
        <f t="shared" si="19"/>
        <v>-1</v>
      </c>
    </row>
    <row r="61" spans="1:26" s="69" customFormat="1" ht="15" customHeight="1" outlineLevel="1" collapsed="1" x14ac:dyDescent="0.3">
      <c r="A61" s="25"/>
      <c r="B61" s="14" t="str">
        <f>CONCATENATE("     ","Equipment Rental                                  ")</f>
        <v xml:space="preserve">     Equipment Rental                                  </v>
      </c>
      <c r="C61" s="14"/>
      <c r="D61" s="2">
        <f>SUM(OSRRefD22_7x_0)</f>
        <v>0</v>
      </c>
      <c r="E61" s="2"/>
      <c r="F61" s="6">
        <f t="shared" si="12"/>
        <v>0</v>
      </c>
      <c r="G61" s="2"/>
      <c r="H61" s="2">
        <f>SUM(OSRRefH22_7x_0)</f>
        <v>176</v>
      </c>
      <c r="I61" s="2"/>
      <c r="J61" s="6">
        <f t="shared" si="13"/>
        <v>1.9036493823955697E-3</v>
      </c>
      <c r="K61" s="2"/>
      <c r="L61" s="2">
        <f t="shared" si="14"/>
        <v>-176</v>
      </c>
      <c r="M61" s="2"/>
      <c r="N61" s="6">
        <f t="shared" si="15"/>
        <v>-1</v>
      </c>
      <c r="O61" s="14"/>
      <c r="P61" s="2">
        <f>SUM(OSRRefP22_7x_0)</f>
        <v>30</v>
      </c>
      <c r="Q61" s="2"/>
      <c r="R61" s="6">
        <f t="shared" si="16"/>
        <v>9.7390034720521272E-5</v>
      </c>
      <c r="S61" s="2"/>
      <c r="T61" s="2">
        <f>SUM(OSRRefT22_7x_0)</f>
        <v>1584</v>
      </c>
      <c r="U61" s="2"/>
      <c r="V61" s="6">
        <f t="shared" si="17"/>
        <v>4.1900882193447696E-3</v>
      </c>
      <c r="W61" s="2"/>
      <c r="X61" s="2">
        <f t="shared" si="18"/>
        <v>-1554</v>
      </c>
      <c r="Y61" s="2"/>
      <c r="Z61" s="6">
        <f t="shared" si="19"/>
        <v>-0.98106060606060608</v>
      </c>
    </row>
    <row r="62" spans="1:26" s="70" customFormat="1" ht="15" hidden="1" customHeight="1" outlineLevel="2" x14ac:dyDescent="0.3">
      <c r="A62" s="26"/>
      <c r="B62" s="12" t="str">
        <f>CONCATENATE("          ","6351"," - ","EQUIPMENT RENTAL")</f>
        <v xml:space="preserve">          6351 - EQUIPMENT RENTAL</v>
      </c>
      <c r="C62" s="12"/>
      <c r="D62" s="7"/>
      <c r="E62" s="3"/>
      <c r="F62" s="8">
        <f t="shared" si="12"/>
        <v>0</v>
      </c>
      <c r="G62" s="3"/>
      <c r="H62" s="7">
        <v>176</v>
      </c>
      <c r="I62" s="3"/>
      <c r="J62" s="8">
        <f t="shared" si="13"/>
        <v>1.9036493823955697E-3</v>
      </c>
      <c r="K62" s="3"/>
      <c r="L62" s="7">
        <f t="shared" si="14"/>
        <v>-176</v>
      </c>
      <c r="M62" s="3"/>
      <c r="N62" s="8">
        <f t="shared" si="15"/>
        <v>-1</v>
      </c>
      <c r="O62" s="12"/>
      <c r="P62" s="7">
        <v>30</v>
      </c>
      <c r="Q62" s="3"/>
      <c r="R62" s="8">
        <f t="shared" si="16"/>
        <v>9.7390034720521272E-5</v>
      </c>
      <c r="S62" s="3"/>
      <c r="T62" s="7">
        <v>1584</v>
      </c>
      <c r="U62" s="3"/>
      <c r="V62" s="8">
        <f t="shared" si="17"/>
        <v>4.1900882193447696E-3</v>
      </c>
      <c r="W62" s="3"/>
      <c r="X62" s="7">
        <f t="shared" si="18"/>
        <v>-1554</v>
      </c>
      <c r="Y62" s="3"/>
      <c r="Z62" s="8">
        <f t="shared" si="19"/>
        <v>-0.98106060606060608</v>
      </c>
    </row>
    <row r="63" spans="1:26" s="69" customFormat="1" ht="15" customHeight="1" outlineLevel="1" collapsed="1" x14ac:dyDescent="0.3">
      <c r="A63" s="25"/>
      <c r="B63" s="14" t="str">
        <f>CONCATENATE("     ","General                                           ")</f>
        <v xml:space="preserve">     General                                           </v>
      </c>
      <c r="C63" s="14"/>
      <c r="D63" s="2">
        <f>SUM(OSRRefD22_8x_0)</f>
        <v>0</v>
      </c>
      <c r="E63" s="2"/>
      <c r="F63" s="6">
        <f t="shared" si="12"/>
        <v>0</v>
      </c>
      <c r="G63" s="2"/>
      <c r="H63" s="2">
        <f>SUM(OSRRefH22_8x_0)</f>
        <v>0</v>
      </c>
      <c r="I63" s="2"/>
      <c r="J63" s="6">
        <f t="shared" si="13"/>
        <v>0</v>
      </c>
      <c r="K63" s="2"/>
      <c r="L63" s="2">
        <f t="shared" si="14"/>
        <v>0</v>
      </c>
      <c r="M63" s="2"/>
      <c r="N63" s="6">
        <f t="shared" si="15"/>
        <v>0</v>
      </c>
      <c r="O63" s="14"/>
      <c r="P63" s="2">
        <f>SUM(OSRRefP22_8x_0)</f>
        <v>3761.91</v>
      </c>
      <c r="Q63" s="2"/>
      <c r="R63" s="6">
        <f t="shared" si="16"/>
        <v>1.2212418183849204E-2</v>
      </c>
      <c r="S63" s="2"/>
      <c r="T63" s="2">
        <f>SUM(OSRRefT22_8x_0)</f>
        <v>1210</v>
      </c>
      <c r="U63" s="2"/>
      <c r="V63" s="6">
        <f t="shared" si="17"/>
        <v>3.200761834221699E-3</v>
      </c>
      <c r="W63" s="2"/>
      <c r="X63" s="2">
        <f t="shared" si="18"/>
        <v>2551.91</v>
      </c>
      <c r="Y63" s="2"/>
      <c r="Z63" s="6">
        <f t="shared" si="19"/>
        <v>2.1090165289256197</v>
      </c>
    </row>
    <row r="64" spans="1:26" s="70" customFormat="1" ht="15" hidden="1" customHeight="1" outlineLevel="2" x14ac:dyDescent="0.3">
      <c r="A64" s="26"/>
      <c r="B64" s="12" t="str">
        <f>CONCATENATE("          ","6279"," - ","GENERAL EXPENSE")</f>
        <v xml:space="preserve">          6279 - GENERAL EXPENSE</v>
      </c>
      <c r="C64" s="12"/>
      <c r="D64" s="7"/>
      <c r="E64" s="3"/>
      <c r="F64" s="8">
        <f t="shared" si="12"/>
        <v>0</v>
      </c>
      <c r="G64" s="3"/>
      <c r="H64" s="7"/>
      <c r="I64" s="3"/>
      <c r="J64" s="8">
        <f t="shared" si="13"/>
        <v>0</v>
      </c>
      <c r="K64" s="3"/>
      <c r="L64" s="7">
        <f t="shared" si="14"/>
        <v>0</v>
      </c>
      <c r="M64" s="3"/>
      <c r="N64" s="8">
        <f t="shared" si="15"/>
        <v>0</v>
      </c>
      <c r="O64" s="12"/>
      <c r="P64" s="7">
        <v>3761.91</v>
      </c>
      <c r="Q64" s="3"/>
      <c r="R64" s="8">
        <f t="shared" si="16"/>
        <v>1.2212418183849204E-2</v>
      </c>
      <c r="S64" s="3"/>
      <c r="T64" s="7">
        <v>1210</v>
      </c>
      <c r="U64" s="3"/>
      <c r="V64" s="8">
        <f t="shared" si="17"/>
        <v>3.200761834221699E-3</v>
      </c>
      <c r="W64" s="3"/>
      <c r="X64" s="7">
        <f t="shared" si="18"/>
        <v>2551.91</v>
      </c>
      <c r="Y64" s="3"/>
      <c r="Z64" s="8">
        <f t="shared" si="19"/>
        <v>2.1090165289256197</v>
      </c>
    </row>
    <row r="65" spans="1:26" s="69" customFormat="1" ht="15" customHeight="1" outlineLevel="1" collapsed="1" x14ac:dyDescent="0.3">
      <c r="A65" s="25"/>
      <c r="B65" s="14" t="str">
        <f>CONCATENATE("     ","Insurance                                         ")</f>
        <v xml:space="preserve">     Insurance                                         </v>
      </c>
      <c r="C65" s="14"/>
      <c r="D65" s="2">
        <f>SUM(OSRRefD22_9x_0)</f>
        <v>331.01</v>
      </c>
      <c r="E65" s="2"/>
      <c r="F65" s="6">
        <f t="shared" si="12"/>
        <v>2.4900549382804739E-3</v>
      </c>
      <c r="G65" s="2"/>
      <c r="H65" s="2">
        <f>SUM(OSRRefH22_9x_0)</f>
        <v>330</v>
      </c>
      <c r="I65" s="2"/>
      <c r="J65" s="6">
        <f t="shared" si="13"/>
        <v>3.5693425919916932E-3</v>
      </c>
      <c r="K65" s="2"/>
      <c r="L65" s="2">
        <f t="shared" si="14"/>
        <v>1.0099999999999909</v>
      </c>
      <c r="M65" s="2"/>
      <c r="N65" s="6">
        <f t="shared" si="15"/>
        <v>3.0606060606060332E-3</v>
      </c>
      <c r="O65" s="14"/>
      <c r="P65" s="2">
        <f>SUM(OSRRefP22_9x_0)</f>
        <v>2979.09</v>
      </c>
      <c r="Q65" s="2"/>
      <c r="R65" s="6">
        <f t="shared" si="16"/>
        <v>9.6711226178519231E-3</v>
      </c>
      <c r="S65" s="2"/>
      <c r="T65" s="2">
        <f>SUM(OSRRefT22_9x_0)</f>
        <v>2970</v>
      </c>
      <c r="U65" s="2"/>
      <c r="V65" s="6">
        <f t="shared" si="17"/>
        <v>7.8564154112714425E-3</v>
      </c>
      <c r="W65" s="2"/>
      <c r="X65" s="2">
        <f t="shared" si="18"/>
        <v>9.0900000000001455</v>
      </c>
      <c r="Y65" s="2"/>
      <c r="Z65" s="6">
        <f t="shared" si="19"/>
        <v>3.0606060606061095E-3</v>
      </c>
    </row>
    <row r="66" spans="1:26" s="70" customFormat="1" ht="15" hidden="1" customHeight="1" outlineLevel="2" x14ac:dyDescent="0.3">
      <c r="A66" s="26"/>
      <c r="B66" s="12" t="str">
        <f>CONCATENATE("          ","6314"," - ","LIABILITY INSURANCE")</f>
        <v xml:space="preserve">          6314 - LIABILITY INSURANCE</v>
      </c>
      <c r="C66" s="12"/>
      <c r="D66" s="7">
        <v>331.01</v>
      </c>
      <c r="E66" s="3"/>
      <c r="F66" s="8">
        <f t="shared" si="12"/>
        <v>2.4900549382804739E-3</v>
      </c>
      <c r="G66" s="3"/>
      <c r="H66" s="7">
        <v>330</v>
      </c>
      <c r="I66" s="3"/>
      <c r="J66" s="8">
        <f t="shared" si="13"/>
        <v>3.5693425919916932E-3</v>
      </c>
      <c r="K66" s="3"/>
      <c r="L66" s="7">
        <f t="shared" si="14"/>
        <v>1.0099999999999909</v>
      </c>
      <c r="M66" s="3"/>
      <c r="N66" s="8">
        <f t="shared" si="15"/>
        <v>3.0606060606060332E-3</v>
      </c>
      <c r="O66" s="12"/>
      <c r="P66" s="7">
        <v>2979.09</v>
      </c>
      <c r="Q66" s="3"/>
      <c r="R66" s="8">
        <f t="shared" si="16"/>
        <v>9.6711226178519231E-3</v>
      </c>
      <c r="S66" s="3"/>
      <c r="T66" s="7">
        <v>2970</v>
      </c>
      <c r="U66" s="3"/>
      <c r="V66" s="8">
        <f t="shared" si="17"/>
        <v>7.8564154112714425E-3</v>
      </c>
      <c r="W66" s="3"/>
      <c r="X66" s="7">
        <f t="shared" si="18"/>
        <v>9.0900000000001455</v>
      </c>
      <c r="Y66" s="3"/>
      <c r="Z66" s="8">
        <f t="shared" si="19"/>
        <v>3.0606060606061095E-3</v>
      </c>
    </row>
    <row r="67" spans="1:26" s="69" customFormat="1" ht="15" customHeight="1" outlineLevel="1" collapsed="1" x14ac:dyDescent="0.3">
      <c r="A67" s="25"/>
      <c r="B67" s="14" t="str">
        <f>CONCATENATE("     ","Interest                                          ")</f>
        <v xml:space="preserve">     Interest                                          </v>
      </c>
      <c r="C67" s="14"/>
      <c r="D67" s="2">
        <f>SUM(OSRRefD22_10x_0)</f>
        <v>3905</v>
      </c>
      <c r="E67" s="2"/>
      <c r="F67" s="6">
        <f t="shared" si="12"/>
        <v>2.9375742527371535E-2</v>
      </c>
      <c r="G67" s="2"/>
      <c r="H67" s="2">
        <f>SUM(OSRRefH22_10x_0)</f>
        <v>3905</v>
      </c>
      <c r="I67" s="2"/>
      <c r="J67" s="6">
        <f t="shared" si="13"/>
        <v>4.22372206719017E-2</v>
      </c>
      <c r="K67" s="2"/>
      <c r="L67" s="2">
        <f t="shared" si="14"/>
        <v>0</v>
      </c>
      <c r="M67" s="2"/>
      <c r="N67" s="6">
        <f t="shared" si="15"/>
        <v>0</v>
      </c>
      <c r="O67" s="14"/>
      <c r="P67" s="2">
        <f>SUM(OSRRefP22_10x_0)</f>
        <v>34869</v>
      </c>
      <c r="Q67" s="2"/>
      <c r="R67" s="6">
        <f t="shared" si="16"/>
        <v>0.11319643735566187</v>
      </c>
      <c r="S67" s="2"/>
      <c r="T67" s="2">
        <f>SUM(OSRRefT22_10x_0)</f>
        <v>35145</v>
      </c>
      <c r="U67" s="2"/>
      <c r="V67" s="6">
        <f t="shared" si="17"/>
        <v>9.296758236671207E-2</v>
      </c>
      <c r="W67" s="2"/>
      <c r="X67" s="2">
        <f t="shared" si="18"/>
        <v>-276</v>
      </c>
      <c r="Y67" s="2"/>
      <c r="Z67" s="6">
        <f t="shared" si="19"/>
        <v>-7.8531796841655992E-3</v>
      </c>
    </row>
    <row r="68" spans="1:26" s="70" customFormat="1" ht="15" hidden="1" customHeight="1" outlineLevel="2" x14ac:dyDescent="0.3">
      <c r="A68" s="26"/>
      <c r="B68" s="12" t="str">
        <f>CONCATENATE("          ","6401"," - ","INTEREST EXPENSE")</f>
        <v xml:space="preserve">          6401 - INTEREST EXPENSE</v>
      </c>
      <c r="C68" s="12"/>
      <c r="D68" s="7">
        <v>3905</v>
      </c>
      <c r="E68" s="3"/>
      <c r="F68" s="8">
        <f t="shared" si="12"/>
        <v>2.9375742527371535E-2</v>
      </c>
      <c r="G68" s="3"/>
      <c r="H68" s="7">
        <v>3905</v>
      </c>
      <c r="I68" s="3"/>
      <c r="J68" s="8">
        <f t="shared" si="13"/>
        <v>4.22372206719017E-2</v>
      </c>
      <c r="K68" s="3"/>
      <c r="L68" s="7">
        <f t="shared" si="14"/>
        <v>0</v>
      </c>
      <c r="M68" s="3"/>
      <c r="N68" s="8">
        <f t="shared" si="15"/>
        <v>0</v>
      </c>
      <c r="O68" s="12"/>
      <c r="P68" s="7">
        <v>34869</v>
      </c>
      <c r="Q68" s="3"/>
      <c r="R68" s="8">
        <f t="shared" si="16"/>
        <v>0.11319643735566187</v>
      </c>
      <c r="S68" s="3"/>
      <c r="T68" s="7">
        <v>35145</v>
      </c>
      <c r="U68" s="3"/>
      <c r="V68" s="8">
        <f t="shared" si="17"/>
        <v>9.296758236671207E-2</v>
      </c>
      <c r="W68" s="3"/>
      <c r="X68" s="7">
        <f t="shared" si="18"/>
        <v>-276</v>
      </c>
      <c r="Y68" s="3"/>
      <c r="Z68" s="8">
        <f t="shared" si="19"/>
        <v>-7.8531796841655992E-3</v>
      </c>
    </row>
    <row r="69" spans="1:26" s="69" customFormat="1" ht="15" customHeight="1" outlineLevel="1" collapsed="1" x14ac:dyDescent="0.3">
      <c r="A69" s="25"/>
      <c r="B69" s="14" t="str">
        <f>CONCATENATE("     ","Repair and Maintenance                            ")</f>
        <v xml:space="preserve">     Repair and Maintenance                            </v>
      </c>
      <c r="C69" s="14"/>
      <c r="D69" s="2">
        <f>SUM(OSRRefD22_11x_0)</f>
        <v>607.80999999999995</v>
      </c>
      <c r="E69" s="2"/>
      <c r="F69" s="6">
        <f t="shared" si="12"/>
        <v>4.5723098759440951E-3</v>
      </c>
      <c r="G69" s="2"/>
      <c r="H69" s="2">
        <f>SUM(OSRRefH22_11x_0)</f>
        <v>353</v>
      </c>
      <c r="I69" s="2"/>
      <c r="J69" s="6">
        <f t="shared" si="13"/>
        <v>3.8181149544638414E-3</v>
      </c>
      <c r="K69" s="2"/>
      <c r="L69" s="2">
        <f t="shared" si="14"/>
        <v>254.80999999999995</v>
      </c>
      <c r="M69" s="2"/>
      <c r="N69" s="6">
        <f t="shared" si="15"/>
        <v>0.72184135977337094</v>
      </c>
      <c r="O69" s="14"/>
      <c r="P69" s="2">
        <f>SUM(OSRRefP22_11x_0)</f>
        <v>6650.5199999999995</v>
      </c>
      <c r="Q69" s="2"/>
      <c r="R69" s="6">
        <f t="shared" si="16"/>
        <v>2.1589812456984034E-2</v>
      </c>
      <c r="S69" s="2"/>
      <c r="T69" s="2">
        <f>SUM(OSRRefT22_11x_0)</f>
        <v>7312</v>
      </c>
      <c r="U69" s="2"/>
      <c r="V69" s="6">
        <f t="shared" si="17"/>
        <v>1.9342124406470301E-2</v>
      </c>
      <c r="W69" s="2"/>
      <c r="X69" s="2">
        <f t="shared" si="18"/>
        <v>-661.48000000000047</v>
      </c>
      <c r="Y69" s="2"/>
      <c r="Z69" s="6">
        <f t="shared" si="19"/>
        <v>-9.0464989059081027E-2</v>
      </c>
    </row>
    <row r="70" spans="1:26" s="70" customFormat="1" ht="15" hidden="1" customHeight="1" outlineLevel="2" x14ac:dyDescent="0.3">
      <c r="A70" s="26"/>
      <c r="B70" s="12" t="str">
        <f>CONCATENATE("          ","6371"," - ","COMPUTER SOFTWARE MAINTENANCE")</f>
        <v xml:space="preserve">          6371 - COMPUTER SOFTWARE MAINTENANCE</v>
      </c>
      <c r="C70" s="12"/>
      <c r="D70" s="7"/>
      <c r="E70" s="3"/>
      <c r="F70" s="8">
        <f t="shared" si="12"/>
        <v>0</v>
      </c>
      <c r="G70" s="3"/>
      <c r="H70" s="7"/>
      <c r="I70" s="3"/>
      <c r="J70" s="8">
        <f t="shared" si="13"/>
        <v>0</v>
      </c>
      <c r="K70" s="3"/>
      <c r="L70" s="7">
        <f t="shared" si="14"/>
        <v>0</v>
      </c>
      <c r="M70" s="3"/>
      <c r="N70" s="8">
        <f t="shared" si="15"/>
        <v>0</v>
      </c>
      <c r="O70" s="12"/>
      <c r="P70" s="7"/>
      <c r="Q70" s="3"/>
      <c r="R70" s="8">
        <f t="shared" si="16"/>
        <v>0</v>
      </c>
      <c r="S70" s="3"/>
      <c r="T70" s="7">
        <v>2623</v>
      </c>
      <c r="U70" s="3"/>
      <c r="V70" s="8">
        <f t="shared" si="17"/>
        <v>6.938510984432658E-3</v>
      </c>
      <c r="W70" s="3"/>
      <c r="X70" s="7">
        <f t="shared" si="18"/>
        <v>-2623</v>
      </c>
      <c r="Y70" s="3"/>
      <c r="Z70" s="8">
        <f t="shared" si="19"/>
        <v>-1</v>
      </c>
    </row>
    <row r="71" spans="1:26" s="70" customFormat="1" ht="15" hidden="1" customHeight="1" outlineLevel="2" x14ac:dyDescent="0.3">
      <c r="A71" s="26"/>
      <c r="B71" s="12" t="str">
        <f>CONCATENATE("          ","6373"," - ","MAINTENANCE CONTRACTS")</f>
        <v xml:space="preserve">          6373 - MAINTENANCE CONTRACTS</v>
      </c>
      <c r="C71" s="12"/>
      <c r="D71" s="7">
        <v>212.2</v>
      </c>
      <c r="E71" s="3"/>
      <c r="F71" s="8">
        <f t="shared" si="12"/>
        <v>1.5962951509112008E-3</v>
      </c>
      <c r="G71" s="3"/>
      <c r="H71" s="7">
        <v>138</v>
      </c>
      <c r="I71" s="3"/>
      <c r="J71" s="8">
        <f t="shared" si="13"/>
        <v>1.4926341748328898E-3</v>
      </c>
      <c r="K71" s="3"/>
      <c r="L71" s="7">
        <f t="shared" si="14"/>
        <v>74.199999999999989</v>
      </c>
      <c r="M71" s="3"/>
      <c r="N71" s="8">
        <f t="shared" si="15"/>
        <v>0.53768115942028982</v>
      </c>
      <c r="O71" s="12"/>
      <c r="P71" s="7">
        <v>1029.2</v>
      </c>
      <c r="Q71" s="3"/>
      <c r="R71" s="8">
        <f t="shared" si="16"/>
        <v>3.3411274578120163E-3</v>
      </c>
      <c r="S71" s="3"/>
      <c r="T71" s="7">
        <v>1124</v>
      </c>
      <c r="U71" s="3"/>
      <c r="V71" s="8">
        <f t="shared" si="17"/>
        <v>2.9732696707976776E-3</v>
      </c>
      <c r="W71" s="3"/>
      <c r="X71" s="7">
        <f t="shared" si="18"/>
        <v>-94.799999999999955</v>
      </c>
      <c r="Y71" s="3"/>
      <c r="Z71" s="8">
        <f t="shared" si="19"/>
        <v>-8.434163701067611E-2</v>
      </c>
    </row>
    <row r="72" spans="1:26" s="70" customFormat="1" ht="15" hidden="1" customHeight="1" outlineLevel="2" x14ac:dyDescent="0.3">
      <c r="A72" s="26"/>
      <c r="B72" s="12" t="str">
        <f>CONCATENATE("          ","6375"," - ","OUTSIDE REPAIRS &amp; MAINTENANCE")</f>
        <v xml:space="preserve">          6375 - OUTSIDE REPAIRS &amp; MAINTENANCE</v>
      </c>
      <c r="C72" s="12"/>
      <c r="D72" s="7">
        <v>395.61</v>
      </c>
      <c r="E72" s="3"/>
      <c r="F72" s="8">
        <f t="shared" si="12"/>
        <v>2.9760147250328947E-3</v>
      </c>
      <c r="G72" s="3"/>
      <c r="H72" s="7">
        <v>215</v>
      </c>
      <c r="I72" s="3"/>
      <c r="J72" s="8">
        <f t="shared" si="13"/>
        <v>2.3254807796309518E-3</v>
      </c>
      <c r="K72" s="3"/>
      <c r="L72" s="7">
        <f t="shared" si="14"/>
        <v>180.61</v>
      </c>
      <c r="M72" s="3"/>
      <c r="N72" s="8">
        <f t="shared" si="15"/>
        <v>0.840046511627907</v>
      </c>
      <c r="O72" s="12"/>
      <c r="P72" s="7">
        <v>5621.32</v>
      </c>
      <c r="Q72" s="3"/>
      <c r="R72" s="8">
        <f t="shared" si="16"/>
        <v>1.8248684999172021E-2</v>
      </c>
      <c r="S72" s="3"/>
      <c r="T72" s="7">
        <v>3565</v>
      </c>
      <c r="U72" s="3"/>
      <c r="V72" s="8">
        <f t="shared" si="17"/>
        <v>9.4303437512399651E-3</v>
      </c>
      <c r="W72" s="3"/>
      <c r="X72" s="7">
        <f t="shared" si="18"/>
        <v>2056.3199999999997</v>
      </c>
      <c r="Y72" s="3"/>
      <c r="Z72" s="8">
        <f t="shared" si="19"/>
        <v>0.57680785413744728</v>
      </c>
    </row>
    <row r="73" spans="1:26" s="69" customFormat="1" ht="15" customHeight="1" outlineLevel="1" collapsed="1" x14ac:dyDescent="0.3">
      <c r="A73" s="25"/>
      <c r="B73" s="14" t="str">
        <f>CONCATENATE("     ","Royalty &amp; Commissions                             ")</f>
        <v xml:space="preserve">     Royalty &amp; Commissions                             </v>
      </c>
      <c r="C73" s="14"/>
      <c r="D73" s="2">
        <f>SUM(OSRRefD22_12x_0)</f>
        <v>0</v>
      </c>
      <c r="E73" s="2"/>
      <c r="F73" s="6">
        <f t="shared" si="12"/>
        <v>0</v>
      </c>
      <c r="G73" s="2"/>
      <c r="H73" s="2">
        <f>SUM(OSRRefH22_12x_0)</f>
        <v>2496</v>
      </c>
      <c r="I73" s="2"/>
      <c r="J73" s="6">
        <f t="shared" si="13"/>
        <v>2.6997209423064442E-2</v>
      </c>
      <c r="K73" s="2"/>
      <c r="L73" s="2">
        <f t="shared" si="14"/>
        <v>-2496</v>
      </c>
      <c r="M73" s="2"/>
      <c r="N73" s="6">
        <f t="shared" si="15"/>
        <v>-1</v>
      </c>
      <c r="O73" s="14"/>
      <c r="P73" s="2">
        <f>SUM(OSRRefP22_12x_0)</f>
        <v>0</v>
      </c>
      <c r="Q73" s="2"/>
      <c r="R73" s="6">
        <f t="shared" si="16"/>
        <v>0</v>
      </c>
      <c r="S73" s="2"/>
      <c r="T73" s="2">
        <f>SUM(OSRRefT22_12x_0)</f>
        <v>10361</v>
      </c>
      <c r="U73" s="2"/>
      <c r="V73" s="6">
        <f t="shared" si="17"/>
        <v>2.7407515177166136E-2</v>
      </c>
      <c r="W73" s="2"/>
      <c r="X73" s="2">
        <f t="shared" si="18"/>
        <v>-10361</v>
      </c>
      <c r="Y73" s="2"/>
      <c r="Z73" s="6">
        <f t="shared" si="19"/>
        <v>-1</v>
      </c>
    </row>
    <row r="74" spans="1:26" s="70" customFormat="1" ht="15" hidden="1" customHeight="1" outlineLevel="2" x14ac:dyDescent="0.3">
      <c r="A74" s="26"/>
      <c r="B74" s="12" t="str">
        <f>CONCATENATE("          ","6259"," - ","ROYALTY &amp; COMMISSIONS")</f>
        <v xml:space="preserve">          6259 - ROYALTY &amp; COMMISSIONS</v>
      </c>
      <c r="C74" s="12"/>
      <c r="D74" s="7"/>
      <c r="E74" s="3"/>
      <c r="F74" s="8">
        <f t="shared" si="12"/>
        <v>0</v>
      </c>
      <c r="G74" s="3"/>
      <c r="H74" s="7">
        <v>2496</v>
      </c>
      <c r="I74" s="3"/>
      <c r="J74" s="8">
        <f t="shared" si="13"/>
        <v>2.6997209423064442E-2</v>
      </c>
      <c r="K74" s="3"/>
      <c r="L74" s="7">
        <f t="shared" si="14"/>
        <v>-2496</v>
      </c>
      <c r="M74" s="3"/>
      <c r="N74" s="8">
        <f t="shared" si="15"/>
        <v>-1</v>
      </c>
      <c r="O74" s="12"/>
      <c r="P74" s="7"/>
      <c r="Q74" s="3"/>
      <c r="R74" s="8">
        <f t="shared" si="16"/>
        <v>0</v>
      </c>
      <c r="S74" s="3"/>
      <c r="T74" s="7">
        <v>10361</v>
      </c>
      <c r="U74" s="3"/>
      <c r="V74" s="8">
        <f t="shared" si="17"/>
        <v>2.7407515177166136E-2</v>
      </c>
      <c r="W74" s="3"/>
      <c r="X74" s="7">
        <f t="shared" si="18"/>
        <v>-10361</v>
      </c>
      <c r="Y74" s="3"/>
      <c r="Z74" s="8">
        <f t="shared" si="19"/>
        <v>-1</v>
      </c>
    </row>
    <row r="75" spans="1:26" s="69" customFormat="1" ht="15" customHeight="1" outlineLevel="1" collapsed="1" x14ac:dyDescent="0.3">
      <c r="A75" s="25"/>
      <c r="B75" s="14" t="str">
        <f>CONCATENATE("     ","Services                                          ")</f>
        <v xml:space="preserve">     Services                                          </v>
      </c>
      <c r="C75" s="14"/>
      <c r="D75" s="2">
        <f>SUM(OSRRefD22_13x_0)</f>
        <v>830.62</v>
      </c>
      <c r="E75" s="2"/>
      <c r="F75" s="6">
        <f t="shared" si="12"/>
        <v>6.2484197844008566E-3</v>
      </c>
      <c r="G75" s="2"/>
      <c r="H75" s="2">
        <f>SUM(OSRRefH22_13x_0)</f>
        <v>292</v>
      </c>
      <c r="I75" s="2"/>
      <c r="J75" s="6">
        <f t="shared" si="13"/>
        <v>3.1583273844290132E-3</v>
      </c>
      <c r="K75" s="2"/>
      <c r="L75" s="2">
        <f t="shared" si="14"/>
        <v>538.62</v>
      </c>
      <c r="M75" s="2"/>
      <c r="N75" s="6">
        <f t="shared" si="15"/>
        <v>1.8445890410958905</v>
      </c>
      <c r="O75" s="14"/>
      <c r="P75" s="2">
        <f>SUM(OSRRefP22_13x_0)</f>
        <v>11503.02</v>
      </c>
      <c r="Q75" s="2"/>
      <c r="R75" s="6">
        <f t="shared" si="16"/>
        <v>3.7342650573028352E-2</v>
      </c>
      <c r="S75" s="2"/>
      <c r="T75" s="2">
        <f>SUM(OSRRefT22_13x_0)</f>
        <v>2345</v>
      </c>
      <c r="U75" s="2"/>
      <c r="V75" s="6">
        <f t="shared" si="17"/>
        <v>6.2031293398759372E-3</v>
      </c>
      <c r="W75" s="2"/>
      <c r="X75" s="2">
        <f t="shared" si="18"/>
        <v>9158.02</v>
      </c>
      <c r="Y75" s="2"/>
      <c r="Z75" s="6">
        <f t="shared" si="19"/>
        <v>3.9053390191897654</v>
      </c>
    </row>
    <row r="76" spans="1:26" s="70" customFormat="1" ht="15" hidden="1" customHeight="1" outlineLevel="2" x14ac:dyDescent="0.3">
      <c r="A76" s="26"/>
      <c r="B76" s="12" t="str">
        <f>CONCATENATE("          ","6282"," - ","JANITORIAL/EXTERMINATOR EXPENS")</f>
        <v xml:space="preserve">          6282 - JANITORIAL/EXTERMINATOR EXPENS</v>
      </c>
      <c r="C76" s="12"/>
      <c r="D76" s="7">
        <v>578.25</v>
      </c>
      <c r="E76" s="3"/>
      <c r="F76" s="8">
        <f t="shared" si="12"/>
        <v>4.3499418992196132E-3</v>
      </c>
      <c r="G76" s="3"/>
      <c r="H76" s="7">
        <v>258</v>
      </c>
      <c r="I76" s="3"/>
      <c r="J76" s="8">
        <f t="shared" si="13"/>
        <v>2.7905769355571421E-3</v>
      </c>
      <c r="K76" s="3"/>
      <c r="L76" s="7">
        <f t="shared" si="14"/>
        <v>320.25</v>
      </c>
      <c r="M76" s="3"/>
      <c r="N76" s="8">
        <f t="shared" si="15"/>
        <v>1.2412790697674418</v>
      </c>
      <c r="O76" s="12"/>
      <c r="P76" s="7">
        <v>2971.85</v>
      </c>
      <c r="Q76" s="3"/>
      <c r="R76" s="8">
        <f t="shared" si="16"/>
        <v>9.6476191561393702E-3</v>
      </c>
      <c r="S76" s="3"/>
      <c r="T76" s="7">
        <v>2064</v>
      </c>
      <c r="U76" s="3"/>
      <c r="V76" s="8">
        <f t="shared" si="17"/>
        <v>5.4598119221765176E-3</v>
      </c>
      <c r="W76" s="3"/>
      <c r="X76" s="7">
        <f t="shared" si="18"/>
        <v>907.84999999999991</v>
      </c>
      <c r="Y76" s="3"/>
      <c r="Z76" s="8">
        <f t="shared" si="19"/>
        <v>0.43984980620155034</v>
      </c>
    </row>
    <row r="77" spans="1:26" s="70" customFormat="1" ht="15" hidden="1" customHeight="1" outlineLevel="2" x14ac:dyDescent="0.3">
      <c r="A77" s="26"/>
      <c r="B77" s="12" t="str">
        <f>CONCATENATE("          ","6285"," - ","JANITORIAL SERVICES")</f>
        <v xml:space="preserve">          6285 - JANITORIAL SERVICES</v>
      </c>
      <c r="C77" s="12"/>
      <c r="D77" s="7">
        <v>57.08</v>
      </c>
      <c r="E77" s="3"/>
      <c r="F77" s="8">
        <f t="shared" si="12"/>
        <v>4.2938985491994036E-4</v>
      </c>
      <c r="G77" s="3"/>
      <c r="H77" s="7"/>
      <c r="I77" s="3"/>
      <c r="J77" s="8">
        <f t="shared" si="13"/>
        <v>0</v>
      </c>
      <c r="K77" s="3"/>
      <c r="L77" s="7">
        <f t="shared" si="14"/>
        <v>57.08</v>
      </c>
      <c r="M77" s="3"/>
      <c r="N77" s="8">
        <f t="shared" si="15"/>
        <v>0</v>
      </c>
      <c r="O77" s="12"/>
      <c r="P77" s="7">
        <v>7738.84</v>
      </c>
      <c r="Q77" s="3"/>
      <c r="R77" s="8">
        <f t="shared" si="16"/>
        <v>2.5122863209885292E-2</v>
      </c>
      <c r="S77" s="3"/>
      <c r="T77" s="7"/>
      <c r="U77" s="3"/>
      <c r="V77" s="8">
        <f t="shared" si="17"/>
        <v>0</v>
      </c>
      <c r="W77" s="3"/>
      <c r="X77" s="7">
        <f t="shared" si="18"/>
        <v>7738.84</v>
      </c>
      <c r="Y77" s="3"/>
      <c r="Z77" s="8">
        <f t="shared" si="19"/>
        <v>0</v>
      </c>
    </row>
    <row r="78" spans="1:26" s="70" customFormat="1" ht="15" hidden="1" customHeight="1" outlineLevel="2" x14ac:dyDescent="0.3">
      <c r="A78" s="26"/>
      <c r="B78" s="12" t="str">
        <f>CONCATENATE("          ","6286"," - ","LAUNDRY EXPENSE")</f>
        <v xml:space="preserve">          6286 - LAUNDRY EXPENSE</v>
      </c>
      <c r="C78" s="12"/>
      <c r="D78" s="7">
        <v>195.29</v>
      </c>
      <c r="E78" s="3"/>
      <c r="F78" s="8">
        <f t="shared" si="12"/>
        <v>1.4690880302613027E-3</v>
      </c>
      <c r="G78" s="3"/>
      <c r="H78" s="7">
        <v>34</v>
      </c>
      <c r="I78" s="3"/>
      <c r="J78" s="8">
        <f t="shared" si="13"/>
        <v>3.6775044887187144E-4</v>
      </c>
      <c r="K78" s="3"/>
      <c r="L78" s="7">
        <f t="shared" si="14"/>
        <v>161.29</v>
      </c>
      <c r="M78" s="3"/>
      <c r="N78" s="8">
        <f t="shared" si="15"/>
        <v>4.7438235294117641</v>
      </c>
      <c r="O78" s="12"/>
      <c r="P78" s="7">
        <v>792.33</v>
      </c>
      <c r="Q78" s="3"/>
      <c r="R78" s="8">
        <f t="shared" si="16"/>
        <v>2.5721682070036873E-3</v>
      </c>
      <c r="S78" s="3"/>
      <c r="T78" s="7">
        <v>281</v>
      </c>
      <c r="U78" s="3"/>
      <c r="V78" s="8">
        <f t="shared" si="17"/>
        <v>7.4331741769941939E-4</v>
      </c>
      <c r="W78" s="3"/>
      <c r="X78" s="7">
        <f t="shared" si="18"/>
        <v>511.33000000000004</v>
      </c>
      <c r="Y78" s="3"/>
      <c r="Z78" s="8">
        <f t="shared" si="19"/>
        <v>1.8196797153024913</v>
      </c>
    </row>
    <row r="79" spans="1:26" s="69" customFormat="1" ht="15" customHeight="1" outlineLevel="1" collapsed="1" x14ac:dyDescent="0.3">
      <c r="A79" s="25"/>
      <c r="B79" s="14" t="str">
        <f>CONCATENATE("     ","Supplies                                          ")</f>
        <v xml:space="preserve">     Supplies                                          </v>
      </c>
      <c r="C79" s="14"/>
      <c r="D79" s="2">
        <f>SUM(OSRRefD22_14x_0)</f>
        <v>2262.46</v>
      </c>
      <c r="E79" s="2"/>
      <c r="F79" s="6">
        <f t="shared" si="12"/>
        <v>1.7019575528419206E-2</v>
      </c>
      <c r="G79" s="2"/>
      <c r="H79" s="2">
        <f>SUM(OSRRefH22_14x_0)</f>
        <v>1300</v>
      </c>
      <c r="I79" s="2"/>
      <c r="J79" s="6">
        <f t="shared" si="13"/>
        <v>1.4061046574512731E-2</v>
      </c>
      <c r="K79" s="2"/>
      <c r="L79" s="2">
        <f t="shared" si="14"/>
        <v>962.46</v>
      </c>
      <c r="M79" s="2"/>
      <c r="N79" s="6">
        <f t="shared" si="15"/>
        <v>0.74035384615384614</v>
      </c>
      <c r="O79" s="14"/>
      <c r="P79" s="2">
        <f>SUM(OSRRefP22_14x_0)</f>
        <v>6232.82</v>
      </c>
      <c r="Q79" s="2"/>
      <c r="R79" s="6">
        <f t="shared" si="16"/>
        <v>2.023381854022531E-2</v>
      </c>
      <c r="S79" s="2"/>
      <c r="T79" s="2">
        <f>SUM(OSRRefT22_14x_0)</f>
        <v>17100</v>
      </c>
      <c r="U79" s="2"/>
      <c r="V79" s="6">
        <f t="shared" si="17"/>
        <v>4.5233906913381035E-2</v>
      </c>
      <c r="W79" s="2"/>
      <c r="X79" s="2">
        <f t="shared" si="18"/>
        <v>-10867.18</v>
      </c>
      <c r="Y79" s="2"/>
      <c r="Z79" s="6">
        <f t="shared" si="19"/>
        <v>-0.63550760233918135</v>
      </c>
    </row>
    <row r="80" spans="1:26" s="70" customFormat="1" ht="15" hidden="1" customHeight="1" outlineLevel="2" x14ac:dyDescent="0.3">
      <c r="A80" s="26"/>
      <c r="B80" s="12" t="str">
        <f>CONCATENATE("          ","6234"," - ","EXPENDABLE SUPPLIES &amp; EQUIPMEN")</f>
        <v xml:space="preserve">          6234 - EXPENDABLE SUPPLIES &amp; EQUIPMEN</v>
      </c>
      <c r="C80" s="12"/>
      <c r="D80" s="7"/>
      <c r="E80" s="3"/>
      <c r="F80" s="8">
        <f t="shared" si="12"/>
        <v>0</v>
      </c>
      <c r="G80" s="3"/>
      <c r="H80" s="7">
        <v>50</v>
      </c>
      <c r="I80" s="3"/>
      <c r="J80" s="8">
        <f t="shared" si="13"/>
        <v>5.4080948363510501E-4</v>
      </c>
      <c r="K80" s="3"/>
      <c r="L80" s="7">
        <f t="shared" si="14"/>
        <v>-50</v>
      </c>
      <c r="M80" s="3"/>
      <c r="N80" s="8">
        <f t="shared" si="15"/>
        <v>-1</v>
      </c>
      <c r="O80" s="12"/>
      <c r="P80" s="7">
        <v>1194.8900000000001</v>
      </c>
      <c r="Q80" s="3"/>
      <c r="R80" s="8">
        <f t="shared" si="16"/>
        <v>3.8790126195734553E-3</v>
      </c>
      <c r="S80" s="3"/>
      <c r="T80" s="7">
        <v>700</v>
      </c>
      <c r="U80" s="3"/>
      <c r="V80" s="8">
        <f t="shared" si="17"/>
        <v>1.8516803999629665E-3</v>
      </c>
      <c r="W80" s="3"/>
      <c r="X80" s="7">
        <f t="shared" si="18"/>
        <v>494.8900000000001</v>
      </c>
      <c r="Y80" s="3"/>
      <c r="Z80" s="8">
        <f t="shared" si="19"/>
        <v>0.70698571428571444</v>
      </c>
    </row>
    <row r="81" spans="1:26" s="70" customFormat="1" ht="15" hidden="1" customHeight="1" outlineLevel="2" x14ac:dyDescent="0.3">
      <c r="A81" s="26"/>
      <c r="B81" s="12" t="str">
        <f>CONCATENATE("          ","6235"," - ","COVID-19 EXPENSES")</f>
        <v xml:space="preserve">          6235 - COVID-19 EXPENSES</v>
      </c>
      <c r="C81" s="12"/>
      <c r="D81" s="7">
        <v>71.45</v>
      </c>
      <c r="E81" s="3"/>
      <c r="F81" s="8">
        <f t="shared" si="12"/>
        <v>5.3748957838174044E-4</v>
      </c>
      <c r="G81" s="3"/>
      <c r="H81" s="7"/>
      <c r="I81" s="3"/>
      <c r="J81" s="8">
        <f t="shared" si="13"/>
        <v>0</v>
      </c>
      <c r="K81" s="3"/>
      <c r="L81" s="7">
        <f t="shared" si="14"/>
        <v>71.45</v>
      </c>
      <c r="M81" s="3"/>
      <c r="N81" s="8">
        <f t="shared" si="15"/>
        <v>0</v>
      </c>
      <c r="O81" s="12"/>
      <c r="P81" s="7">
        <v>71.45</v>
      </c>
      <c r="Q81" s="3"/>
      <c r="R81" s="8">
        <f t="shared" si="16"/>
        <v>2.3195059935937482E-4</v>
      </c>
      <c r="S81" s="3"/>
      <c r="T81" s="7"/>
      <c r="U81" s="3"/>
      <c r="V81" s="8">
        <f t="shared" si="17"/>
        <v>0</v>
      </c>
      <c r="W81" s="3"/>
      <c r="X81" s="7">
        <f t="shared" si="18"/>
        <v>71.45</v>
      </c>
      <c r="Y81" s="3"/>
      <c r="Z81" s="8">
        <f t="shared" si="19"/>
        <v>0</v>
      </c>
    </row>
    <row r="82" spans="1:26" s="70" customFormat="1" ht="15" hidden="1" customHeight="1" outlineLevel="2" x14ac:dyDescent="0.3">
      <c r="A82" s="26"/>
      <c r="B82" s="12" t="str">
        <f>CONCATENATE("          ","6237"," - ","JANITORIAL SUPPLIES")</f>
        <v xml:space="preserve">          6237 - JANITORIAL SUPPLIES</v>
      </c>
      <c r="C82" s="12"/>
      <c r="D82" s="7">
        <v>201.78</v>
      </c>
      <c r="E82" s="3"/>
      <c r="F82" s="8">
        <f t="shared" si="12"/>
        <v>1.5179096868560892E-3</v>
      </c>
      <c r="G82" s="3"/>
      <c r="H82" s="7">
        <v>0</v>
      </c>
      <c r="I82" s="3"/>
      <c r="J82" s="8">
        <f t="shared" si="13"/>
        <v>0</v>
      </c>
      <c r="K82" s="3"/>
      <c r="L82" s="7">
        <f t="shared" si="14"/>
        <v>201.78</v>
      </c>
      <c r="M82" s="3"/>
      <c r="N82" s="8">
        <f t="shared" si="15"/>
        <v>0</v>
      </c>
      <c r="O82" s="12"/>
      <c r="P82" s="7">
        <v>888.69</v>
      </c>
      <c r="Q82" s="3"/>
      <c r="R82" s="8">
        <f t="shared" si="16"/>
        <v>2.8849849985260016E-3</v>
      </c>
      <c r="S82" s="3"/>
      <c r="T82" s="7">
        <v>200</v>
      </c>
      <c r="U82" s="3"/>
      <c r="V82" s="8">
        <f t="shared" si="17"/>
        <v>5.2905154284656186E-4</v>
      </c>
      <c r="W82" s="3"/>
      <c r="X82" s="7">
        <f t="shared" si="18"/>
        <v>688.69</v>
      </c>
      <c r="Y82" s="3"/>
      <c r="Z82" s="8">
        <f t="shared" si="19"/>
        <v>3.4434500000000003</v>
      </c>
    </row>
    <row r="83" spans="1:26" s="70" customFormat="1" ht="15" hidden="1" customHeight="1" outlineLevel="2" x14ac:dyDescent="0.3">
      <c r="A83" s="26"/>
      <c r="B83" s="12" t="str">
        <f>CONCATENATE("          ","6241"," - ","OFFICE EXPENSE")</f>
        <v xml:space="preserve">          6241 - OFFICE EXPENSE</v>
      </c>
      <c r="C83" s="12"/>
      <c r="D83" s="7">
        <v>17.63</v>
      </c>
      <c r="E83" s="3"/>
      <c r="F83" s="8">
        <f t="shared" si="12"/>
        <v>1.3262339071896546E-4</v>
      </c>
      <c r="G83" s="3"/>
      <c r="H83" s="7"/>
      <c r="I83" s="3"/>
      <c r="J83" s="8">
        <f t="shared" si="13"/>
        <v>0</v>
      </c>
      <c r="K83" s="3"/>
      <c r="L83" s="7">
        <f t="shared" si="14"/>
        <v>17.63</v>
      </c>
      <c r="M83" s="3"/>
      <c r="N83" s="8">
        <f t="shared" si="15"/>
        <v>0</v>
      </c>
      <c r="O83" s="12"/>
      <c r="P83" s="7">
        <v>476.56</v>
      </c>
      <c r="Q83" s="3"/>
      <c r="R83" s="8">
        <f t="shared" si="16"/>
        <v>1.5470731648803871E-3</v>
      </c>
      <c r="S83" s="3"/>
      <c r="T83" s="7"/>
      <c r="U83" s="3"/>
      <c r="V83" s="8">
        <f t="shared" si="17"/>
        <v>0</v>
      </c>
      <c r="W83" s="3"/>
      <c r="X83" s="7">
        <f t="shared" si="18"/>
        <v>476.56</v>
      </c>
      <c r="Y83" s="3"/>
      <c r="Z83" s="8">
        <f t="shared" si="19"/>
        <v>0</v>
      </c>
    </row>
    <row r="84" spans="1:26" s="70" customFormat="1" ht="15" hidden="1" customHeight="1" outlineLevel="2" x14ac:dyDescent="0.3">
      <c r="A84" s="26"/>
      <c r="B84" s="12" t="str">
        <f>CONCATENATE("          ","6243"," - ","PAPER SUPPLIES")</f>
        <v xml:space="preserve">          6243 - PAPER SUPPLIES</v>
      </c>
      <c r="C84" s="12"/>
      <c r="D84" s="7"/>
      <c r="E84" s="3"/>
      <c r="F84" s="8">
        <f t="shared" si="12"/>
        <v>0</v>
      </c>
      <c r="G84" s="3"/>
      <c r="H84" s="7">
        <v>200</v>
      </c>
      <c r="I84" s="3"/>
      <c r="J84" s="8">
        <f t="shared" si="13"/>
        <v>2.16323793454042E-3</v>
      </c>
      <c r="K84" s="3"/>
      <c r="L84" s="7">
        <f t="shared" si="14"/>
        <v>-200</v>
      </c>
      <c r="M84" s="3"/>
      <c r="N84" s="8">
        <f t="shared" si="15"/>
        <v>-1</v>
      </c>
      <c r="O84" s="12"/>
      <c r="P84" s="7">
        <v>44.38</v>
      </c>
      <c r="Q84" s="3"/>
      <c r="R84" s="8">
        <f t="shared" si="16"/>
        <v>1.4407232469655781E-4</v>
      </c>
      <c r="S84" s="3"/>
      <c r="T84" s="7">
        <v>1600</v>
      </c>
      <c r="U84" s="3"/>
      <c r="V84" s="8">
        <f t="shared" si="17"/>
        <v>4.2324123427724949E-3</v>
      </c>
      <c r="W84" s="3"/>
      <c r="X84" s="7">
        <f t="shared" si="18"/>
        <v>-1555.62</v>
      </c>
      <c r="Y84" s="3"/>
      <c r="Z84" s="8">
        <f t="shared" si="19"/>
        <v>-0.97226249999999992</v>
      </c>
    </row>
    <row r="85" spans="1:26" s="70" customFormat="1" ht="15" hidden="1" customHeight="1" outlineLevel="2" x14ac:dyDescent="0.3">
      <c r="A85" s="26"/>
      <c r="B85" s="12" t="str">
        <f>CONCATENATE("          ","6247"," - ","STORE SUPPLIES")</f>
        <v xml:space="preserve">          6247 - STORE SUPPLIES</v>
      </c>
      <c r="C85" s="12"/>
      <c r="D85" s="7">
        <v>1971.6</v>
      </c>
      <c r="E85" s="3"/>
      <c r="F85" s="8">
        <f t="shared" si="12"/>
        <v>1.4831552872462411E-2</v>
      </c>
      <c r="G85" s="3"/>
      <c r="H85" s="7">
        <v>1050</v>
      </c>
      <c r="I85" s="3"/>
      <c r="J85" s="8">
        <f t="shared" si="13"/>
        <v>1.1356999156337205E-2</v>
      </c>
      <c r="K85" s="3"/>
      <c r="L85" s="7">
        <f t="shared" si="14"/>
        <v>921.59999999999991</v>
      </c>
      <c r="M85" s="3"/>
      <c r="N85" s="8">
        <f t="shared" si="15"/>
        <v>0.87771428571428567</v>
      </c>
      <c r="O85" s="12"/>
      <c r="P85" s="7">
        <v>3556.85</v>
      </c>
      <c r="Q85" s="3"/>
      <c r="R85" s="8">
        <f t="shared" si="16"/>
        <v>1.1546724833189536E-2</v>
      </c>
      <c r="S85" s="3"/>
      <c r="T85" s="7">
        <v>14600</v>
      </c>
      <c r="U85" s="3"/>
      <c r="V85" s="8">
        <f t="shared" si="17"/>
        <v>3.862076262779901E-2</v>
      </c>
      <c r="W85" s="3"/>
      <c r="X85" s="7">
        <f t="shared" si="18"/>
        <v>-11043.15</v>
      </c>
      <c r="Y85" s="3"/>
      <c r="Z85" s="8">
        <f t="shared" si="19"/>
        <v>-0.75638013698630135</v>
      </c>
    </row>
    <row r="86" spans="1:26" s="69" customFormat="1" ht="15" customHeight="1" outlineLevel="1" collapsed="1" x14ac:dyDescent="0.3">
      <c r="A86" s="25"/>
      <c r="B86" s="14" t="str">
        <f>CONCATENATE("     ","Telephone/Data Lines                              ")</f>
        <v xml:space="preserve">     Telephone/Data Lines                              </v>
      </c>
      <c r="C86" s="14"/>
      <c r="D86" s="2">
        <f>SUM(OSRRefD22_15x_0)</f>
        <v>253.5</v>
      </c>
      <c r="E86" s="2"/>
      <c r="F86" s="6">
        <f t="shared" si="12"/>
        <v>1.9069784201507514E-3</v>
      </c>
      <c r="G86" s="2"/>
      <c r="H86" s="2">
        <f>SUM(OSRRefH22_15x_0)</f>
        <v>178</v>
      </c>
      <c r="I86" s="2"/>
      <c r="J86" s="6">
        <f t="shared" si="13"/>
        <v>1.9252817617409739E-3</v>
      </c>
      <c r="K86" s="2"/>
      <c r="L86" s="2">
        <f t="shared" si="14"/>
        <v>75.5</v>
      </c>
      <c r="M86" s="2"/>
      <c r="N86" s="6">
        <f t="shared" si="15"/>
        <v>0.4241573033707865</v>
      </c>
      <c r="O86" s="14"/>
      <c r="P86" s="2">
        <f>SUM(OSRRefP22_15x_0)</f>
        <v>1243</v>
      </c>
      <c r="Q86" s="2"/>
      <c r="R86" s="6">
        <f t="shared" si="16"/>
        <v>4.0351937719202641E-3</v>
      </c>
      <c r="S86" s="2"/>
      <c r="T86" s="2">
        <f>SUM(OSRRefT22_15x_0)</f>
        <v>1602</v>
      </c>
      <c r="U86" s="2"/>
      <c r="V86" s="6">
        <f t="shared" si="17"/>
        <v>4.2377028582009603E-3</v>
      </c>
      <c r="W86" s="2"/>
      <c r="X86" s="2">
        <f t="shared" si="18"/>
        <v>-359</v>
      </c>
      <c r="Y86" s="2"/>
      <c r="Z86" s="6">
        <f t="shared" si="19"/>
        <v>-0.22409488139825218</v>
      </c>
    </row>
    <row r="87" spans="1:26" s="70" customFormat="1" ht="15" hidden="1" customHeight="1" outlineLevel="2" x14ac:dyDescent="0.3">
      <c r="A87" s="26"/>
      <c r="B87" s="12" t="str">
        <f>CONCATENATE("          ","6303"," - ","DATA PHONE LINES")</f>
        <v xml:space="preserve">          6303 - DATA PHONE LINES</v>
      </c>
      <c r="C87" s="12"/>
      <c r="D87" s="7"/>
      <c r="E87" s="3"/>
      <c r="F87" s="8">
        <f t="shared" si="12"/>
        <v>0</v>
      </c>
      <c r="G87" s="3"/>
      <c r="H87" s="7">
        <v>50</v>
      </c>
      <c r="I87" s="3"/>
      <c r="J87" s="8">
        <f t="shared" si="13"/>
        <v>5.4080948363510501E-4</v>
      </c>
      <c r="K87" s="3"/>
      <c r="L87" s="7">
        <f t="shared" si="14"/>
        <v>-50</v>
      </c>
      <c r="M87" s="3"/>
      <c r="N87" s="8">
        <f t="shared" si="15"/>
        <v>-1</v>
      </c>
      <c r="O87" s="12"/>
      <c r="P87" s="7"/>
      <c r="Q87" s="3"/>
      <c r="R87" s="8">
        <f t="shared" si="16"/>
        <v>0</v>
      </c>
      <c r="S87" s="3"/>
      <c r="T87" s="7">
        <v>450</v>
      </c>
      <c r="U87" s="3"/>
      <c r="V87" s="8">
        <f t="shared" si="17"/>
        <v>1.190365971404764E-3</v>
      </c>
      <c r="W87" s="3"/>
      <c r="X87" s="7">
        <f t="shared" si="18"/>
        <v>-450</v>
      </c>
      <c r="Y87" s="3"/>
      <c r="Z87" s="8">
        <f t="shared" si="19"/>
        <v>-1</v>
      </c>
    </row>
    <row r="88" spans="1:26" s="70" customFormat="1" ht="15" hidden="1" customHeight="1" outlineLevel="2" x14ac:dyDescent="0.3">
      <c r="A88" s="26"/>
      <c r="B88" s="12" t="str">
        <f>CONCATENATE("          ","6309"," - ","TELEPHONE")</f>
        <v xml:space="preserve">          6309 - TELEPHONE</v>
      </c>
      <c r="C88" s="12"/>
      <c r="D88" s="7">
        <v>253.5</v>
      </c>
      <c r="E88" s="3"/>
      <c r="F88" s="8">
        <f t="shared" si="12"/>
        <v>1.9069784201507514E-3</v>
      </c>
      <c r="G88" s="3"/>
      <c r="H88" s="7">
        <v>128</v>
      </c>
      <c r="I88" s="3"/>
      <c r="J88" s="8">
        <f t="shared" si="13"/>
        <v>1.3844722781058689E-3</v>
      </c>
      <c r="K88" s="3"/>
      <c r="L88" s="7">
        <f t="shared" si="14"/>
        <v>125.5</v>
      </c>
      <c r="M88" s="3"/>
      <c r="N88" s="8">
        <f t="shared" si="15"/>
        <v>0.98046875</v>
      </c>
      <c r="O88" s="12"/>
      <c r="P88" s="7">
        <v>1243</v>
      </c>
      <c r="Q88" s="3"/>
      <c r="R88" s="8">
        <f t="shared" si="16"/>
        <v>4.0351937719202641E-3</v>
      </c>
      <c r="S88" s="3"/>
      <c r="T88" s="7">
        <v>1152</v>
      </c>
      <c r="U88" s="3"/>
      <c r="V88" s="8">
        <f t="shared" si="17"/>
        <v>3.0473368867961963E-3</v>
      </c>
      <c r="W88" s="3"/>
      <c r="X88" s="7">
        <f t="shared" si="18"/>
        <v>91</v>
      </c>
      <c r="Y88" s="3"/>
      <c r="Z88" s="8">
        <f t="shared" si="19"/>
        <v>7.8993055555555552E-2</v>
      </c>
    </row>
    <row r="89" spans="1:26" s="69" customFormat="1" ht="15" customHeight="1" outlineLevel="1" collapsed="1" x14ac:dyDescent="0.3">
      <c r="A89" s="25"/>
      <c r="B89" s="14" t="str">
        <f>CONCATENATE("     ","Training                                          ")</f>
        <v xml:space="preserve">     Training                                          </v>
      </c>
      <c r="C89" s="14"/>
      <c r="D89" s="2">
        <f>SUM(OSRRefD22_16x_0)</f>
        <v>0</v>
      </c>
      <c r="E89" s="2"/>
      <c r="F89" s="6">
        <f t="shared" si="12"/>
        <v>0</v>
      </c>
      <c r="G89" s="2"/>
      <c r="H89" s="2">
        <f>SUM(OSRRefH22_16x_0)</f>
        <v>0</v>
      </c>
      <c r="I89" s="2"/>
      <c r="J89" s="6">
        <f t="shared" si="13"/>
        <v>0</v>
      </c>
      <c r="K89" s="2"/>
      <c r="L89" s="2">
        <f t="shared" si="14"/>
        <v>0</v>
      </c>
      <c r="M89" s="2"/>
      <c r="N89" s="6">
        <f t="shared" si="15"/>
        <v>0</v>
      </c>
      <c r="O89" s="14"/>
      <c r="P89" s="2">
        <f>SUM(OSRRefP22_16x_0)</f>
        <v>320</v>
      </c>
      <c r="Q89" s="2"/>
      <c r="R89" s="6">
        <f t="shared" si="16"/>
        <v>1.0388270370188936E-3</v>
      </c>
      <c r="S89" s="2"/>
      <c r="T89" s="2">
        <f>SUM(OSRRefT22_16x_0)</f>
        <v>150</v>
      </c>
      <c r="U89" s="2"/>
      <c r="V89" s="6">
        <f t="shared" si="17"/>
        <v>3.9678865713492137E-4</v>
      </c>
      <c r="W89" s="2"/>
      <c r="X89" s="2">
        <f t="shared" si="18"/>
        <v>170</v>
      </c>
      <c r="Y89" s="2"/>
      <c r="Z89" s="6">
        <f t="shared" si="19"/>
        <v>1.1333333333333333</v>
      </c>
    </row>
    <row r="90" spans="1:26" s="70" customFormat="1" ht="15" hidden="1" customHeight="1" outlineLevel="2" x14ac:dyDescent="0.3">
      <c r="A90" s="26"/>
      <c r="B90" s="12" t="str">
        <f>CONCATENATE("          ","6376"," - ","TRAINING")</f>
        <v xml:space="preserve">          6376 - TRAINING</v>
      </c>
      <c r="C90" s="12"/>
      <c r="D90" s="7"/>
      <c r="E90" s="3"/>
      <c r="F90" s="8">
        <f t="shared" si="12"/>
        <v>0</v>
      </c>
      <c r="G90" s="3"/>
      <c r="H90" s="7">
        <v>0</v>
      </c>
      <c r="I90" s="3"/>
      <c r="J90" s="8">
        <f t="shared" si="13"/>
        <v>0</v>
      </c>
      <c r="K90" s="3"/>
      <c r="L90" s="7">
        <f t="shared" si="14"/>
        <v>0</v>
      </c>
      <c r="M90" s="3"/>
      <c r="N90" s="8">
        <f t="shared" si="15"/>
        <v>0</v>
      </c>
      <c r="O90" s="12"/>
      <c r="P90" s="7">
        <v>320</v>
      </c>
      <c r="Q90" s="3"/>
      <c r="R90" s="8">
        <f t="shared" si="16"/>
        <v>1.0388270370188936E-3</v>
      </c>
      <c r="S90" s="3"/>
      <c r="T90" s="7">
        <v>150</v>
      </c>
      <c r="U90" s="3"/>
      <c r="V90" s="8">
        <f t="shared" si="17"/>
        <v>3.9678865713492137E-4</v>
      </c>
      <c r="W90" s="3"/>
      <c r="X90" s="7">
        <f t="shared" si="18"/>
        <v>170</v>
      </c>
      <c r="Y90" s="3"/>
      <c r="Z90" s="8">
        <f t="shared" si="19"/>
        <v>1.1333333333333333</v>
      </c>
    </row>
    <row r="91" spans="1:26" s="69" customFormat="1" ht="15" customHeight="1" outlineLevel="1" collapsed="1" x14ac:dyDescent="0.3">
      <c r="A91" s="25"/>
      <c r="B91" s="14" t="str">
        <f>CONCATENATE("     ","Utilities                                         ")</f>
        <v xml:space="preserve">     Utilities                                         </v>
      </c>
      <c r="C91" s="14"/>
      <c r="D91" s="2">
        <f>SUM(OSRRefD22_17x_0)</f>
        <v>100</v>
      </c>
      <c r="E91" s="2"/>
      <c r="F91" s="6">
        <f t="shared" si="12"/>
        <v>7.5225973181489202E-4</v>
      </c>
      <c r="G91" s="2"/>
      <c r="H91" s="2">
        <f>SUM(OSRRefH22_17x_0)</f>
        <v>0</v>
      </c>
      <c r="I91" s="2"/>
      <c r="J91" s="6">
        <f t="shared" si="13"/>
        <v>0</v>
      </c>
      <c r="K91" s="2"/>
      <c r="L91" s="2">
        <f t="shared" si="14"/>
        <v>100</v>
      </c>
      <c r="M91" s="2"/>
      <c r="N91" s="6">
        <f t="shared" si="15"/>
        <v>0</v>
      </c>
      <c r="O91" s="14"/>
      <c r="P91" s="2">
        <f>SUM(OSRRefP22_17x_0)</f>
        <v>900</v>
      </c>
      <c r="Q91" s="2"/>
      <c r="R91" s="6">
        <f t="shared" si="16"/>
        <v>2.9217010416156381E-3</v>
      </c>
      <c r="S91" s="2"/>
      <c r="T91" s="2">
        <f>SUM(OSRRefT22_17x_0)</f>
        <v>0</v>
      </c>
      <c r="U91" s="2"/>
      <c r="V91" s="6">
        <f t="shared" si="17"/>
        <v>0</v>
      </c>
      <c r="W91" s="2"/>
      <c r="X91" s="2">
        <f t="shared" si="18"/>
        <v>900</v>
      </c>
      <c r="Y91" s="2"/>
      <c r="Z91" s="6">
        <f t="shared" si="19"/>
        <v>0</v>
      </c>
    </row>
    <row r="92" spans="1:26" s="70" customFormat="1" ht="15" hidden="1" customHeight="1" outlineLevel="2" x14ac:dyDescent="0.3">
      <c r="A92" s="26"/>
      <c r="B92" s="12" t="str">
        <f>CONCATENATE("          ","6274"," - ","UTILITIES")</f>
        <v xml:space="preserve">          6274 - UTILITIES</v>
      </c>
      <c r="C92" s="12"/>
      <c r="D92" s="7">
        <v>100</v>
      </c>
      <c r="E92" s="3"/>
      <c r="F92" s="8">
        <f t="shared" si="12"/>
        <v>7.5225973181489202E-4</v>
      </c>
      <c r="G92" s="3"/>
      <c r="H92" s="7">
        <v>0</v>
      </c>
      <c r="I92" s="3"/>
      <c r="J92" s="8">
        <f t="shared" si="13"/>
        <v>0</v>
      </c>
      <c r="K92" s="3"/>
      <c r="L92" s="7">
        <f t="shared" si="14"/>
        <v>100</v>
      </c>
      <c r="M92" s="3"/>
      <c r="N92" s="8">
        <f t="shared" si="15"/>
        <v>0</v>
      </c>
      <c r="O92" s="12"/>
      <c r="P92" s="7">
        <v>900</v>
      </c>
      <c r="Q92" s="3"/>
      <c r="R92" s="8">
        <f t="shared" si="16"/>
        <v>2.9217010416156381E-3</v>
      </c>
      <c r="S92" s="3"/>
      <c r="T92" s="7">
        <v>0</v>
      </c>
      <c r="U92" s="3"/>
      <c r="V92" s="8">
        <f t="shared" si="17"/>
        <v>0</v>
      </c>
      <c r="W92" s="3"/>
      <c r="X92" s="7">
        <f t="shared" si="18"/>
        <v>900</v>
      </c>
      <c r="Y92" s="3"/>
      <c r="Z92" s="8">
        <f t="shared" si="19"/>
        <v>0</v>
      </c>
    </row>
    <row r="93" spans="1:26" s="65" customFormat="1" ht="15" customHeight="1" x14ac:dyDescent="0.3">
      <c r="A93" s="35"/>
      <c r="B93" s="35"/>
      <c r="C93" s="35"/>
      <c r="D93" s="2"/>
      <c r="E93" s="2"/>
      <c r="F93" s="6"/>
      <c r="G93" s="2"/>
      <c r="H93" s="2"/>
      <c r="I93" s="2"/>
      <c r="J93" s="6"/>
      <c r="K93" s="2"/>
      <c r="L93" s="2"/>
      <c r="M93" s="2"/>
      <c r="N93" s="6"/>
      <c r="O93" s="35"/>
      <c r="P93" s="2"/>
      <c r="Q93" s="2"/>
      <c r="R93" s="6"/>
      <c r="S93" s="2"/>
      <c r="T93" s="2"/>
      <c r="U93" s="2"/>
      <c r="V93" s="6"/>
      <c r="W93" s="2"/>
      <c r="X93" s="2"/>
      <c r="Y93" s="2"/>
      <c r="Z93" s="6"/>
    </row>
    <row r="94" spans="1:26" s="63" customFormat="1" ht="15" customHeight="1" x14ac:dyDescent="0.3">
      <c r="A94" s="11"/>
      <c r="B94" s="28" t="s">
        <v>291</v>
      </c>
      <c r="C94" s="11"/>
      <c r="D94" s="5">
        <f>SUM(0)</f>
        <v>0</v>
      </c>
      <c r="E94" s="5"/>
      <c r="F94" s="13">
        <f>IF(D$12=0,0,D94/D$12)</f>
        <v>0</v>
      </c>
      <c r="G94" s="5"/>
      <c r="H94" s="5">
        <f>SUM(0)</f>
        <v>0</v>
      </c>
      <c r="I94" s="5"/>
      <c r="J94" s="13">
        <f>IF(H$12=0,0,H94/H$12)</f>
        <v>0</v>
      </c>
      <c r="K94" s="5"/>
      <c r="L94" s="5">
        <f>+D94-H94</f>
        <v>0</v>
      </c>
      <c r="M94" s="5"/>
      <c r="N94" s="13">
        <f>IF(H94=0,0,L94/H94)</f>
        <v>0</v>
      </c>
      <c r="O94" s="11"/>
      <c r="P94" s="5">
        <f>SUM(0)</f>
        <v>0</v>
      </c>
      <c r="Q94" s="5"/>
      <c r="R94" s="13">
        <f>IF(P$12=0,0,P94/P$12)</f>
        <v>0</v>
      </c>
      <c r="S94" s="5"/>
      <c r="T94" s="5">
        <f>SUM(0)</f>
        <v>0</v>
      </c>
      <c r="U94" s="5"/>
      <c r="V94" s="13">
        <f>IF(T$12=0,0,T94/T$12)</f>
        <v>0</v>
      </c>
      <c r="W94" s="5"/>
      <c r="X94" s="5">
        <f>+P94-T94</f>
        <v>0</v>
      </c>
      <c r="Y94" s="5"/>
      <c r="Z94" s="13">
        <f>IF(T94=0,0,X94/T94)</f>
        <v>0</v>
      </c>
    </row>
    <row r="95" spans="1:26" ht="15" customHeight="1" x14ac:dyDescent="0.3">
      <c r="A95" s="10"/>
      <c r="B95" s="11"/>
      <c r="C95" s="11"/>
      <c r="D95" s="4"/>
      <c r="E95" s="4"/>
      <c r="F95" s="9"/>
      <c r="G95" s="4"/>
      <c r="H95" s="4"/>
      <c r="I95" s="4"/>
      <c r="J95" s="9"/>
      <c r="K95" s="4"/>
      <c r="L95" s="4"/>
      <c r="M95" s="4"/>
      <c r="N95" s="9"/>
      <c r="O95" s="11"/>
      <c r="P95" s="4"/>
      <c r="Q95" s="4"/>
      <c r="R95" s="9"/>
      <c r="S95" s="4"/>
      <c r="T95" s="4"/>
      <c r="U95" s="4"/>
      <c r="V95" s="9"/>
      <c r="W95" s="4"/>
      <c r="X95" s="4"/>
      <c r="Y95" s="4"/>
      <c r="Z95" s="9"/>
    </row>
    <row r="96" spans="1:26" s="63" customFormat="1" ht="15" customHeight="1" x14ac:dyDescent="0.3">
      <c r="A96" s="11"/>
      <c r="B96" s="27" t="s">
        <v>292</v>
      </c>
      <c r="C96" s="27"/>
      <c r="D96" s="21">
        <f>+D25-D27+D94</f>
        <v>29500.44000000001</v>
      </c>
      <c r="E96" s="15"/>
      <c r="F96" s="23">
        <f>IF(D$12=0,0,D96/D$12)</f>
        <v>0.22191993082821321</v>
      </c>
      <c r="G96" s="15"/>
      <c r="H96" s="21">
        <f>+H25-H27+H94</f>
        <v>6050.7223109423066</v>
      </c>
      <c r="I96" s="15"/>
      <c r="J96" s="23">
        <f>IF(H$12=0,0,H96/H$12)</f>
        <v>6.5445760172002362E-2</v>
      </c>
      <c r="K96" s="16"/>
      <c r="L96" s="21">
        <f>+D96-H96</f>
        <v>23449.717689057703</v>
      </c>
      <c r="M96" s="16"/>
      <c r="N96" s="23">
        <f>IF(H96=0,0,L96/H96)</f>
        <v>3.8755236951876859</v>
      </c>
      <c r="O96" s="28"/>
      <c r="P96" s="21">
        <f>+P25-P27+P94</f>
        <v>-97108.69</v>
      </c>
      <c r="Q96" s="15"/>
      <c r="R96" s="23">
        <f>IF(P$12=0,0,P96/P$12)</f>
        <v>-0.31524728969214455</v>
      </c>
      <c r="S96" s="15"/>
      <c r="T96" s="21">
        <f>+T25-T27+T94</f>
        <v>-136196.98875600001</v>
      </c>
      <c r="U96" s="15"/>
      <c r="V96" s="23">
        <f>IF(T$12=0,0,T96/T$12)</f>
        <v>-0.36027613516208817</v>
      </c>
      <c r="W96" s="16"/>
      <c r="X96" s="21">
        <f>+P96-T96</f>
        <v>39088.298756000004</v>
      </c>
      <c r="Y96" s="16"/>
      <c r="Z96" s="23">
        <f>IF(T96=0,0,X96/T96)</f>
        <v>-0.28699825974880822</v>
      </c>
    </row>
    <row r="97" spans="1:26" ht="15" customHeight="1" x14ac:dyDescent="0.3">
      <c r="A97" s="10"/>
      <c r="B97" s="11"/>
      <c r="C97" s="10"/>
      <c r="D97" s="4"/>
      <c r="E97" s="4"/>
      <c r="F97" s="9"/>
      <c r="G97" s="4"/>
      <c r="H97" s="4"/>
      <c r="I97" s="4"/>
      <c r="J97" s="9"/>
      <c r="K97" s="4"/>
      <c r="L97" s="4"/>
      <c r="M97" s="4"/>
      <c r="N97" s="9"/>
      <c r="P97" s="4"/>
      <c r="Q97" s="4"/>
      <c r="R97" s="9"/>
      <c r="S97" s="4"/>
      <c r="T97" s="4"/>
      <c r="U97" s="4"/>
      <c r="V97" s="9"/>
      <c r="W97" s="4"/>
      <c r="X97" s="4"/>
      <c r="Y97" s="4"/>
      <c r="Z97" s="9"/>
    </row>
    <row r="98" spans="1:26" s="63" customFormat="1" ht="15" customHeight="1" x14ac:dyDescent="0.3">
      <c r="A98" s="49"/>
      <c r="B98" s="11" t="s">
        <v>293</v>
      </c>
      <c r="C98" s="11"/>
      <c r="D98" s="5">
        <v>14906.45</v>
      </c>
      <c r="E98" s="5"/>
      <c r="F98" s="13">
        <f>IF(D$12=0,0,D98/D$12)</f>
        <v>0.11213522079312098</v>
      </c>
      <c r="G98" s="5"/>
      <c r="H98" s="5">
        <v>11126</v>
      </c>
      <c r="I98" s="5"/>
      <c r="J98" s="13">
        <f>IF(H$12=0,0,H98/H$12)</f>
        <v>0.12034092629848357</v>
      </c>
      <c r="K98" s="5"/>
      <c r="L98" s="5">
        <f>+D98-H98</f>
        <v>3780.4500000000007</v>
      </c>
      <c r="M98" s="5"/>
      <c r="N98" s="13">
        <f>IF(H98=0,0,L98/H98)</f>
        <v>0.33978518784828338</v>
      </c>
      <c r="O98" s="11"/>
      <c r="P98" s="5">
        <v>36763.78</v>
      </c>
      <c r="Q98" s="5"/>
      <c r="R98" s="13">
        <f>IF(P$12=0,0,P98/P$12)</f>
        <v>0.11934752702192017</v>
      </c>
      <c r="S98" s="5"/>
      <c r="T98" s="5">
        <v>46037</v>
      </c>
      <c r="U98" s="5"/>
      <c r="V98" s="13">
        <f>IF(T$12=0,0,T98/T$12)</f>
        <v>0.12177972939013583</v>
      </c>
      <c r="W98" s="5"/>
      <c r="X98" s="5">
        <f>+P98-T98</f>
        <v>-9273.2200000000012</v>
      </c>
      <c r="Y98" s="5"/>
      <c r="Z98" s="13">
        <f>IF(T98=0,0,X98/T98)</f>
        <v>-0.20142971957338665</v>
      </c>
    </row>
    <row r="99" spans="1:26" ht="15" customHeight="1" x14ac:dyDescent="0.3">
      <c r="A99" s="10"/>
      <c r="B99" s="11"/>
      <c r="C99" s="11"/>
      <c r="D99" s="4"/>
      <c r="E99" s="4"/>
      <c r="F99" s="9"/>
      <c r="G99" s="4"/>
      <c r="H99" s="4"/>
      <c r="I99" s="4"/>
      <c r="J99" s="9"/>
      <c r="K99" s="4"/>
      <c r="L99" s="4"/>
      <c r="M99" s="4"/>
      <c r="N99" s="9"/>
      <c r="O99" s="11"/>
      <c r="P99" s="4"/>
      <c r="Q99" s="4"/>
      <c r="R99" s="9"/>
      <c r="S99" s="4"/>
      <c r="T99" s="4"/>
      <c r="U99" s="4"/>
      <c r="V99" s="9"/>
      <c r="W99" s="4"/>
      <c r="X99" s="4"/>
      <c r="Y99" s="4"/>
      <c r="Z99" s="9"/>
    </row>
    <row r="100" spans="1:26" s="63" customFormat="1" ht="15" customHeight="1" x14ac:dyDescent="0.3">
      <c r="A100" s="11"/>
      <c r="B100" s="27" t="s">
        <v>294</v>
      </c>
      <c r="C100" s="27"/>
      <c r="D100" s="34">
        <f>+D96-D98</f>
        <v>14593.990000000009</v>
      </c>
      <c r="E100" s="15"/>
      <c r="F100" s="29">
        <f>IF(D$12=0,0,D100/D$12)</f>
        <v>0.10978471003509223</v>
      </c>
      <c r="G100" s="15"/>
      <c r="H100" s="34">
        <f>+H96-H98</f>
        <v>-5075.2776890576934</v>
      </c>
      <c r="I100" s="15"/>
      <c r="J100" s="29">
        <f>IF(H$12=0,0,H100/H$12)</f>
        <v>-5.4895166126481203E-2</v>
      </c>
      <c r="K100" s="16"/>
      <c r="L100" s="34">
        <f>D100-H100</f>
        <v>19669.267689057702</v>
      </c>
      <c r="M100" s="16"/>
      <c r="N100" s="29">
        <f>IF(H100=0,0,L100/H100)</f>
        <v>-3.8755057149808128</v>
      </c>
      <c r="O100" s="28"/>
      <c r="P100" s="34">
        <f>+P96-P98</f>
        <v>-133872.47</v>
      </c>
      <c r="Q100" s="15"/>
      <c r="R100" s="29">
        <f>IF(P$12=0,0,P100/P$12)</f>
        <v>-0.43459481671406475</v>
      </c>
      <c r="S100" s="15"/>
      <c r="T100" s="34">
        <f>+T96-T98</f>
        <v>-182233.98875600001</v>
      </c>
      <c r="U100" s="15"/>
      <c r="V100" s="29">
        <f>IF(T$12=0,0,T100/T$12)</f>
        <v>-0.48205586455222399</v>
      </c>
      <c r="W100" s="16"/>
      <c r="X100" s="34">
        <f>P100-T100</f>
        <v>48361.518756000005</v>
      </c>
      <c r="Y100" s="16"/>
      <c r="Z100" s="29">
        <f>IF(T100=0,0,X100/T100)</f>
        <v>-0.26538144221138171</v>
      </c>
    </row>
    <row r="101" spans="1:26" ht="15" customHeight="1" x14ac:dyDescent="0.3">
      <c r="A101" s="10"/>
      <c r="B101" s="10"/>
      <c r="C101" s="10"/>
      <c r="D101" s="4"/>
      <c r="E101" s="4"/>
      <c r="F101" s="9"/>
      <c r="G101" s="4"/>
      <c r="H101" s="4"/>
      <c r="I101" s="4"/>
      <c r="J101" s="9"/>
      <c r="K101" s="4"/>
      <c r="L101" s="4"/>
      <c r="M101" s="4"/>
      <c r="N101" s="9"/>
      <c r="P101" s="4"/>
      <c r="Q101" s="4"/>
      <c r="R101" s="9"/>
      <c r="S101" s="4"/>
      <c r="T101" s="4"/>
      <c r="U101" s="4"/>
      <c r="V101" s="9"/>
      <c r="W101" s="4"/>
      <c r="X101" s="4"/>
      <c r="Y101" s="4"/>
      <c r="Z101" s="9"/>
    </row>
    <row r="102" spans="1:26" ht="15" customHeight="1" x14ac:dyDescent="0.3">
      <c r="A102" s="10"/>
      <c r="B102" s="10"/>
      <c r="C102" s="10"/>
      <c r="D102" s="4"/>
      <c r="E102" s="4"/>
      <c r="F102" s="9"/>
      <c r="G102" s="4"/>
      <c r="H102" s="4"/>
      <c r="I102" s="4"/>
      <c r="J102" s="9"/>
      <c r="K102" s="4"/>
      <c r="L102" s="4"/>
      <c r="M102" s="4"/>
      <c r="N102" s="9"/>
      <c r="P102" s="4"/>
      <c r="Q102" s="4"/>
      <c r="R102" s="9"/>
      <c r="S102" s="4"/>
      <c r="T102" s="4"/>
      <c r="U102" s="4"/>
      <c r="V102" s="9"/>
      <c r="W102" s="4"/>
      <c r="X102" s="4"/>
      <c r="Y102" s="4"/>
      <c r="Z102" s="9"/>
    </row>
    <row r="103" spans="1:26" s="63" customFormat="1" ht="15" customHeight="1" x14ac:dyDescent="0.3">
      <c r="A103" s="11"/>
      <c r="B103" s="27" t="s">
        <v>297</v>
      </c>
      <c r="C103" s="27"/>
      <c r="D103" s="32">
        <f>SUM(D100:D102)</f>
        <v>14593.990000000009</v>
      </c>
      <c r="E103" s="15"/>
      <c r="F103" s="31">
        <f>IF(D$12=0,0,D103/D$12)</f>
        <v>0.10978471003509223</v>
      </c>
      <c r="G103" s="15"/>
      <c r="H103" s="32">
        <f>SUM(H100:H102)</f>
        <v>-5075.2776890576934</v>
      </c>
      <c r="I103" s="15"/>
      <c r="J103" s="31">
        <f>IF(H$12=0,0,H103/H$12)</f>
        <v>-5.4895166126481203E-2</v>
      </c>
      <c r="K103" s="16"/>
      <c r="L103" s="32">
        <f>+D103-H103</f>
        <v>19669.267689057702</v>
      </c>
      <c r="M103" s="16"/>
      <c r="N103" s="31">
        <f>IF(H103=0,0,L103/H103)</f>
        <v>-3.8755057149808128</v>
      </c>
      <c r="O103" s="28"/>
      <c r="P103" s="32">
        <f>SUM(P100:P102)</f>
        <v>-133872.47</v>
      </c>
      <c r="Q103" s="15"/>
      <c r="R103" s="31">
        <f>IF(P$12=0,0,P103/P$12)</f>
        <v>-0.43459481671406475</v>
      </c>
      <c r="S103" s="15"/>
      <c r="T103" s="32">
        <f>SUM(T100:T102)</f>
        <v>-182233.98875600001</v>
      </c>
      <c r="U103" s="15"/>
      <c r="V103" s="31">
        <f>IF(T$12=0,0,T103/T$12)</f>
        <v>-0.48205586455222399</v>
      </c>
      <c r="W103" s="16"/>
      <c r="X103" s="32">
        <f>+P103-T103</f>
        <v>48361.518756000005</v>
      </c>
      <c r="Y103" s="16"/>
      <c r="Z103" s="31">
        <f>IF(T103=0,0,X103/T103)</f>
        <v>-0.26538144221138171</v>
      </c>
    </row>
    <row r="104" spans="1:26" ht="15" customHeight="1" x14ac:dyDescent="0.3">
      <c r="A104" s="10"/>
      <c r="C104" s="10"/>
      <c r="D104" s="19"/>
      <c r="E104" s="19"/>
      <c r="G104" s="19"/>
      <c r="H104" s="19"/>
      <c r="I104" s="19"/>
      <c r="J104" s="40"/>
      <c r="K104" s="19"/>
      <c r="L104" s="19"/>
      <c r="M104" s="19"/>
      <c r="P104" s="19"/>
      <c r="Q104" s="19"/>
      <c r="R104" s="40"/>
      <c r="S104" s="19"/>
      <c r="T104" s="19"/>
      <c r="U104" s="19"/>
      <c r="V104" s="40"/>
      <c r="W104" s="19"/>
      <c r="X104" s="19"/>
    </row>
    <row r="105" spans="1:26" ht="15" customHeight="1" x14ac:dyDescent="0.3">
      <c r="A105" s="10"/>
      <c r="B105" s="51">
        <v>44663.047624803243</v>
      </c>
      <c r="D105" s="19"/>
      <c r="E105" s="19"/>
      <c r="G105" s="19"/>
      <c r="H105" s="19"/>
      <c r="I105" s="19"/>
      <c r="J105" s="40"/>
      <c r="K105" s="19"/>
      <c r="L105" s="19"/>
      <c r="M105" s="19"/>
      <c r="P105" s="19"/>
      <c r="Q105" s="19"/>
      <c r="R105" s="40"/>
      <c r="S105" s="19"/>
      <c r="T105" s="19"/>
      <c r="U105" s="19"/>
      <c r="V105" s="40"/>
      <c r="W105" s="19"/>
      <c r="X105" s="19"/>
    </row>
    <row r="106" spans="1:26" ht="15" customHeight="1" x14ac:dyDescent="0.3">
      <c r="A106" s="10"/>
      <c r="B106" s="58" t="s">
        <v>298</v>
      </c>
      <c r="D106" s="19"/>
      <c r="E106" s="19"/>
      <c r="G106" s="19"/>
      <c r="H106" s="19"/>
      <c r="I106" s="19"/>
      <c r="J106" s="40"/>
      <c r="K106" s="19"/>
      <c r="L106" s="19"/>
      <c r="M106" s="19"/>
      <c r="P106" s="19"/>
      <c r="Q106" s="19"/>
      <c r="R106" s="40"/>
      <c r="S106" s="19"/>
      <c r="T106" s="19"/>
      <c r="U106" s="19"/>
      <c r="V106" s="40"/>
      <c r="W106" s="19"/>
      <c r="X106" s="19"/>
    </row>
    <row r="107" spans="1:26" ht="15" customHeight="1" x14ac:dyDescent="0.3">
      <c r="A107" s="10"/>
      <c r="B107" s="50"/>
      <c r="D107" s="19"/>
      <c r="E107" s="19"/>
      <c r="G107" s="19"/>
      <c r="H107" s="19"/>
      <c r="I107" s="19"/>
      <c r="J107" s="40"/>
      <c r="K107" s="19"/>
      <c r="L107" s="19"/>
      <c r="M107" s="19"/>
      <c r="P107" s="19"/>
      <c r="Q107" s="19"/>
      <c r="R107" s="40"/>
      <c r="S107" s="19"/>
      <c r="T107" s="19"/>
      <c r="U107" s="19"/>
      <c r="V107" s="40"/>
      <c r="W107" s="19"/>
      <c r="X107" s="19"/>
    </row>
    <row r="108" spans="1:26" ht="15" customHeight="1" x14ac:dyDescent="0.3">
      <c r="D108" s="19"/>
      <c r="E108" s="19"/>
      <c r="G108" s="19"/>
      <c r="H108" s="19"/>
      <c r="I108" s="19"/>
      <c r="J108" s="40"/>
      <c r="K108" s="19"/>
      <c r="L108" s="19"/>
      <c r="M108" s="19"/>
      <c r="P108" s="19"/>
      <c r="Q108" s="19"/>
      <c r="R108" s="40"/>
      <c r="S108" s="19"/>
      <c r="T108" s="19"/>
      <c r="U108" s="19"/>
      <c r="V108" s="40"/>
      <c r="W108" s="19"/>
      <c r="X108" s="19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0EE44F-3198-F5CC-79E7-FAFD6C1C7262}">
  <sheetPr>
    <tabColor rgb="FF92D050"/>
    <outlinePr summaryBelow="0" summaryRight="0"/>
  </sheetPr>
  <dimension ref="A2:Z71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6" customWidth="1"/>
    <col min="2" max="2" width="33.44140625" style="66" customWidth="1"/>
    <col min="3" max="3" width="1.88671875" style="66" customWidth="1"/>
    <col min="4" max="4" width="15" style="66" customWidth="1"/>
    <col min="5" max="5" width="1.88671875" style="66" customWidth="1" outlineLevel="1"/>
    <col min="6" max="6" width="15" style="67" customWidth="1" outlineLevel="1"/>
    <col min="7" max="7" width="1.88671875" style="66" customWidth="1" outlineLevel="1"/>
    <col min="8" max="8" width="15" style="66" customWidth="1" outlineLevel="1"/>
    <col min="9" max="9" width="1.88671875" style="66" customWidth="1" outlineLevel="1"/>
    <col min="10" max="10" width="15" style="68" customWidth="1" outlineLevel="1"/>
    <col min="11" max="11" width="1.88671875" style="66" customWidth="1" outlineLevel="1"/>
    <col min="12" max="12" width="15" style="66" customWidth="1" outlineLevel="1"/>
    <col min="13" max="13" width="1.88671875" style="66" customWidth="1" outlineLevel="1"/>
    <col min="14" max="14" width="15" style="67" customWidth="1" outlineLevel="1"/>
    <col min="15" max="15" width="1.88671875" style="64" customWidth="1"/>
    <col min="16" max="16" width="15" style="66" customWidth="1"/>
    <col min="17" max="17" width="1.88671875" style="66" customWidth="1" outlineLevel="1"/>
    <col min="18" max="18" width="15" style="68" customWidth="1" outlineLevel="1"/>
    <col min="19" max="19" width="1.88671875" style="66" customWidth="1" outlineLevel="1"/>
    <col min="20" max="20" width="15" style="66" customWidth="1" outlineLevel="1"/>
    <col min="21" max="21" width="1.88671875" style="66" customWidth="1" outlineLevel="1"/>
    <col min="22" max="22" width="15" style="68" customWidth="1" outlineLevel="1"/>
    <col min="23" max="23" width="1.88671875" style="66" customWidth="1" outlineLevel="1"/>
    <col min="24" max="24" width="15" style="66" customWidth="1" outlineLevel="1"/>
    <col min="25" max="25" width="1.88671875" style="66" customWidth="1" outlineLevel="1"/>
    <col min="26" max="26" width="15" style="68" customWidth="1" outlineLevel="1"/>
  </cols>
  <sheetData>
    <row r="2" spans="1:26" ht="15" customHeight="1" x14ac:dyDescent="0.3">
      <c r="D2" s="54" t="s">
        <v>276</v>
      </c>
    </row>
    <row r="3" spans="1:26" ht="15" customHeight="1" x14ac:dyDescent="0.3">
      <c r="D3" s="54" t="s">
        <v>277</v>
      </c>
      <c r="E3" s="18"/>
      <c r="F3" s="44"/>
      <c r="G3" s="18"/>
      <c r="H3" s="18"/>
      <c r="I3" s="18"/>
      <c r="J3" s="38"/>
      <c r="K3" s="18"/>
      <c r="L3" s="18"/>
      <c r="M3" s="18"/>
      <c r="N3" s="44"/>
      <c r="O3" s="53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ht="15" customHeight="1" x14ac:dyDescent="0.3">
      <c r="D4" s="54" t="str">
        <f>CONCATENATE("Period ",RIGHT(202209,2),", ",2022)</f>
        <v>Period 09, 2022</v>
      </c>
      <c r="E4" s="18"/>
      <c r="F4" s="44"/>
      <c r="G4" s="18"/>
      <c r="H4" s="18"/>
      <c r="I4" s="18"/>
      <c r="J4" s="38"/>
      <c r="K4" s="18"/>
      <c r="L4" s="18"/>
      <c r="M4" s="18"/>
      <c r="N4" s="44"/>
      <c r="O4" s="53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ht="15" customHeight="1" x14ac:dyDescent="0.3">
      <c r="A5" s="24"/>
      <c r="D5" s="60">
        <v>44646</v>
      </c>
      <c r="E5" s="18"/>
      <c r="F5" s="44"/>
      <c r="G5" s="18"/>
      <c r="H5" s="18"/>
      <c r="I5" s="18"/>
      <c r="J5" s="38"/>
      <c r="K5" s="18"/>
      <c r="L5" s="18"/>
      <c r="M5" s="18"/>
      <c r="N5" s="44"/>
      <c r="O5" s="53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ht="15" customHeight="1" x14ac:dyDescent="0.3">
      <c r="A6" s="24"/>
      <c r="B6" s="47"/>
      <c r="C6" s="47"/>
      <c r="D6" s="24" t="str">
        <f>CONCATENATE("Department ","309"," - ","Carts")</f>
        <v>Department 309 - Carts</v>
      </c>
      <c r="E6" s="18"/>
      <c r="F6" s="44"/>
      <c r="G6" s="18"/>
      <c r="H6" s="18"/>
      <c r="I6" s="18"/>
      <c r="J6" s="38"/>
      <c r="K6" s="18"/>
      <c r="L6" s="18"/>
      <c r="M6" s="18"/>
      <c r="N6" s="44"/>
      <c r="O6" s="59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ht="15" customHeight="1" x14ac:dyDescent="0.3">
      <c r="B7" s="52"/>
    </row>
    <row r="8" spans="1:26" ht="15" customHeight="1" x14ac:dyDescent="0.3">
      <c r="B8" s="52"/>
    </row>
    <row r="9" spans="1:26" ht="15" customHeight="1" x14ac:dyDescent="0.3">
      <c r="B9" s="10"/>
      <c r="C9" s="10"/>
      <c r="D9" s="17" t="s">
        <v>279</v>
      </c>
      <c r="E9" s="17"/>
      <c r="F9" s="36"/>
      <c r="G9" s="17"/>
      <c r="H9" s="17"/>
      <c r="I9" s="17"/>
      <c r="J9" s="43"/>
      <c r="K9" s="17"/>
      <c r="L9" s="17"/>
      <c r="M9" s="17"/>
      <c r="N9" s="36"/>
      <c r="P9" s="17" t="s">
        <v>280</v>
      </c>
      <c r="Q9" s="17"/>
      <c r="R9" s="36"/>
      <c r="S9" s="17"/>
      <c r="T9" s="17"/>
      <c r="U9" s="17"/>
      <c r="V9" s="43"/>
      <c r="W9" s="17"/>
      <c r="X9" s="17"/>
      <c r="Y9" s="17"/>
      <c r="Z9" s="36"/>
    </row>
    <row r="10" spans="1:26" ht="15" customHeight="1" x14ac:dyDescent="0.3">
      <c r="A10" s="11"/>
      <c r="B10" s="57"/>
      <c r="C10" s="11"/>
      <c r="D10" s="41" t="s">
        <v>281</v>
      </c>
      <c r="E10" s="33"/>
      <c r="F10" s="37" t="s">
        <v>282</v>
      </c>
      <c r="G10" s="33"/>
      <c r="H10" s="48" t="s">
        <v>283</v>
      </c>
      <c r="I10" s="33"/>
      <c r="J10" s="45" t="s">
        <v>284</v>
      </c>
      <c r="K10" s="11"/>
      <c r="L10" s="41" t="s">
        <v>285</v>
      </c>
      <c r="M10" s="11"/>
      <c r="N10" s="37" t="s">
        <v>286</v>
      </c>
      <c r="O10" s="11"/>
      <c r="P10" s="56" t="s">
        <v>281</v>
      </c>
      <c r="Q10" s="33"/>
      <c r="R10" s="37" t="s">
        <v>282</v>
      </c>
      <c r="S10" s="33"/>
      <c r="T10" s="48" t="s">
        <v>283</v>
      </c>
      <c r="U10" s="33"/>
      <c r="V10" s="45" t="s">
        <v>284</v>
      </c>
      <c r="W10" s="11"/>
      <c r="X10" s="41" t="s">
        <v>285</v>
      </c>
      <c r="Y10" s="11"/>
      <c r="Z10" s="37" t="s">
        <v>286</v>
      </c>
    </row>
    <row r="11" spans="1:26" ht="16.5" customHeight="1" x14ac:dyDescent="0.3">
      <c r="A11" s="10"/>
      <c r="B11" s="55"/>
      <c r="C11" s="10"/>
      <c r="D11" s="10"/>
      <c r="E11" s="10"/>
      <c r="F11" s="9"/>
      <c r="G11" s="10"/>
      <c r="H11" s="10"/>
      <c r="I11" s="10"/>
      <c r="J11" s="46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6"/>
      <c r="W11" s="10"/>
      <c r="X11" s="10"/>
      <c r="Y11" s="10"/>
      <c r="Z11" s="9"/>
    </row>
    <row r="12" spans="1:26" s="63" customFormat="1" ht="15" customHeight="1" collapsed="1" x14ac:dyDescent="0.3">
      <c r="A12" s="11"/>
      <c r="B12" s="28" t="s">
        <v>287</v>
      </c>
      <c r="C12" s="11"/>
      <c r="D12" s="5">
        <f>SUM(OSRRefD13x_0)</f>
        <v>30822.959999999999</v>
      </c>
      <c r="E12" s="5"/>
      <c r="F12" s="13"/>
      <c r="G12" s="5"/>
      <c r="H12" s="5">
        <f>SUM(OSRRefH13x_0)</f>
        <v>0</v>
      </c>
      <c r="I12" s="5"/>
      <c r="J12" s="13"/>
      <c r="K12" s="5"/>
      <c r="L12" s="5">
        <f>+D12-H12</f>
        <v>30822.959999999999</v>
      </c>
      <c r="M12" s="5"/>
      <c r="N12" s="13">
        <f>IF(H12=0,0,L12/H12)</f>
        <v>0</v>
      </c>
      <c r="O12" s="11"/>
      <c r="P12" s="5">
        <f>SUM(OSRRefP13x_0)</f>
        <v>52876.57</v>
      </c>
      <c r="Q12" s="5"/>
      <c r="R12" s="13"/>
      <c r="S12" s="5"/>
      <c r="T12" s="5">
        <f>SUM(OSRRefT13x_0)</f>
        <v>0</v>
      </c>
      <c r="U12" s="5"/>
      <c r="V12" s="13"/>
      <c r="W12" s="5"/>
      <c r="X12" s="5">
        <f>+P12-T12</f>
        <v>52876.57</v>
      </c>
      <c r="Y12" s="5"/>
      <c r="Z12" s="13">
        <f>IF(T12=0,0,X12/T12)</f>
        <v>0</v>
      </c>
    </row>
    <row r="13" spans="1:26" s="70" customFormat="1" ht="15" hidden="1" customHeight="1" outlineLevel="1" x14ac:dyDescent="0.3">
      <c r="A13" s="42"/>
      <c r="B13" s="12" t="str">
        <f>CONCATENATE("          ","4000"," - ","TAXABLE SALES")</f>
        <v xml:space="preserve">          4000 - TAXABLE SALES</v>
      </c>
      <c r="C13" s="12"/>
      <c r="D13" s="3">
        <f>--5091.71</f>
        <v>5091.71</v>
      </c>
      <c r="E13" s="3"/>
      <c r="F13" s="20"/>
      <c r="G13" s="3"/>
      <c r="H13" s="3"/>
      <c r="I13" s="3"/>
      <c r="J13" s="20"/>
      <c r="K13" s="3"/>
      <c r="L13" s="3">
        <f>+D13-H13</f>
        <v>5091.71</v>
      </c>
      <c r="M13" s="3"/>
      <c r="N13" s="20">
        <f>IF(H13=0,0,L13/H13)</f>
        <v>0</v>
      </c>
      <c r="O13" s="12"/>
      <c r="P13" s="3">
        <f>--8811.81</f>
        <v>8811.81</v>
      </c>
      <c r="Q13" s="3"/>
      <c r="R13" s="20"/>
      <c r="S13" s="3"/>
      <c r="T13" s="3"/>
      <c r="U13" s="3"/>
      <c r="V13" s="20"/>
      <c r="W13" s="3"/>
      <c r="X13" s="3">
        <f>+P13-T13</f>
        <v>8811.81</v>
      </c>
      <c r="Y13" s="3"/>
      <c r="Z13" s="20">
        <f>IF(T13=0,0,X13/T13)</f>
        <v>0</v>
      </c>
    </row>
    <row r="14" spans="1:26" s="70" customFormat="1" ht="15" hidden="1" customHeight="1" outlineLevel="1" x14ac:dyDescent="0.3">
      <c r="A14" s="42"/>
      <c r="B14" s="12" t="str">
        <f>CONCATENATE("          ","4051"," - ","TAXABLE SALES-FOOD")</f>
        <v xml:space="preserve">          4051 - TAXABLE SALES-FOOD</v>
      </c>
      <c r="C14" s="12"/>
      <c r="D14" s="3">
        <f>0</f>
        <v>0</v>
      </c>
      <c r="E14" s="3"/>
      <c r="F14" s="20"/>
      <c r="G14" s="3"/>
      <c r="H14" s="3"/>
      <c r="I14" s="3"/>
      <c r="J14" s="20"/>
      <c r="K14" s="3"/>
      <c r="L14" s="3">
        <f>+D14-H14</f>
        <v>0</v>
      </c>
      <c r="M14" s="3"/>
      <c r="N14" s="20">
        <f>IF(H14=0,0,L14/H14)</f>
        <v>0</v>
      </c>
      <c r="O14" s="12"/>
      <c r="P14" s="3">
        <f>--25.17</f>
        <v>25.17</v>
      </c>
      <c r="Q14" s="3"/>
      <c r="R14" s="20"/>
      <c r="S14" s="3"/>
      <c r="T14" s="3"/>
      <c r="U14" s="3"/>
      <c r="V14" s="20"/>
      <c r="W14" s="3"/>
      <c r="X14" s="3">
        <f>+P14-T14</f>
        <v>25.17</v>
      </c>
      <c r="Y14" s="3"/>
      <c r="Z14" s="20">
        <f>IF(T14=0,0,X14/T14)</f>
        <v>0</v>
      </c>
    </row>
    <row r="15" spans="1:26" s="70" customFormat="1" ht="15" hidden="1" customHeight="1" outlineLevel="1" x14ac:dyDescent="0.3">
      <c r="A15" s="42"/>
      <c r="B15" s="12" t="str">
        <f>CONCATENATE("          ","4100"," - ","NON-TAXABLE SALES")</f>
        <v xml:space="preserve">          4100 - NON-TAXABLE SALES</v>
      </c>
      <c r="C15" s="12"/>
      <c r="D15" s="3">
        <f>--25731.25</f>
        <v>25731.25</v>
      </c>
      <c r="E15" s="3"/>
      <c r="F15" s="20"/>
      <c r="G15" s="3"/>
      <c r="H15" s="3"/>
      <c r="I15" s="3"/>
      <c r="J15" s="20"/>
      <c r="K15" s="3"/>
      <c r="L15" s="3">
        <f>+D15-H15</f>
        <v>25731.25</v>
      </c>
      <c r="M15" s="3"/>
      <c r="N15" s="20">
        <f>IF(H15=0,0,L15/H15)</f>
        <v>0</v>
      </c>
      <c r="O15" s="12"/>
      <c r="P15" s="3">
        <f>--43833.27</f>
        <v>43833.27</v>
      </c>
      <c r="Q15" s="3"/>
      <c r="R15" s="20"/>
      <c r="S15" s="3"/>
      <c r="T15" s="3"/>
      <c r="U15" s="3"/>
      <c r="V15" s="20"/>
      <c r="W15" s="3"/>
      <c r="X15" s="3">
        <f>+P15-T15</f>
        <v>43833.27</v>
      </c>
      <c r="Y15" s="3"/>
      <c r="Z15" s="20">
        <f>IF(T15=0,0,X15/T15)</f>
        <v>0</v>
      </c>
    </row>
    <row r="16" spans="1:26" s="70" customFormat="1" ht="15" hidden="1" customHeight="1" outlineLevel="1" x14ac:dyDescent="0.3">
      <c r="A16" s="42"/>
      <c r="B16" s="12" t="str">
        <f>CONCATENATE("          ","4151"," - ","NON-TAXABLE SALES-FOOD")</f>
        <v xml:space="preserve">          4151 - NON-TAXABLE SALES-FOOD</v>
      </c>
      <c r="C16" s="12"/>
      <c r="D16" s="3">
        <f>0</f>
        <v>0</v>
      </c>
      <c r="E16" s="3"/>
      <c r="F16" s="20"/>
      <c r="G16" s="3"/>
      <c r="H16" s="3"/>
      <c r="I16" s="3"/>
      <c r="J16" s="20"/>
      <c r="K16" s="3"/>
      <c r="L16" s="3">
        <f>+D16-H16</f>
        <v>0</v>
      </c>
      <c r="M16" s="3"/>
      <c r="N16" s="20">
        <f>IF(H16=0,0,L16/H16)</f>
        <v>0</v>
      </c>
      <c r="O16" s="12"/>
      <c r="P16" s="3">
        <f>--206.32</f>
        <v>206.32</v>
      </c>
      <c r="Q16" s="3"/>
      <c r="R16" s="20"/>
      <c r="S16" s="3"/>
      <c r="T16" s="3"/>
      <c r="U16" s="3"/>
      <c r="V16" s="20"/>
      <c r="W16" s="3"/>
      <c r="X16" s="3">
        <f>+P16-T16</f>
        <v>206.32</v>
      </c>
      <c r="Y16" s="3"/>
      <c r="Z16" s="20">
        <f>IF(T16=0,0,X16/T16)</f>
        <v>0</v>
      </c>
    </row>
    <row r="17" spans="1:26" ht="15" customHeight="1" x14ac:dyDescent="0.3">
      <c r="A17" s="10"/>
      <c r="B17" s="11"/>
      <c r="C17" s="10"/>
      <c r="D17" s="4"/>
      <c r="E17" s="4"/>
      <c r="F17" s="9"/>
      <c r="G17" s="4"/>
      <c r="H17" s="4"/>
      <c r="I17" s="4"/>
      <c r="J17" s="9"/>
      <c r="K17" s="4"/>
      <c r="L17" s="4"/>
      <c r="M17" s="4"/>
      <c r="N17" s="9"/>
      <c r="P17" s="4"/>
      <c r="Q17" s="4"/>
      <c r="R17" s="9"/>
      <c r="S17" s="4"/>
      <c r="T17" s="4"/>
      <c r="U17" s="4"/>
      <c r="V17" s="9"/>
      <c r="W17" s="4"/>
      <c r="X17" s="4"/>
      <c r="Y17" s="4"/>
      <c r="Z17" s="9"/>
    </row>
    <row r="18" spans="1:26" s="63" customFormat="1" ht="15" customHeight="1" collapsed="1" x14ac:dyDescent="0.3">
      <c r="A18" s="11"/>
      <c r="B18" s="28" t="s">
        <v>288</v>
      </c>
      <c r="C18" s="11"/>
      <c r="D18" s="5">
        <f>SUM(OSRRefD16x_0)</f>
        <v>11465.89</v>
      </c>
      <c r="E18" s="5"/>
      <c r="F18" s="13">
        <f>IF(D$12=0,0,D18/D$12)</f>
        <v>0.37199185282659419</v>
      </c>
      <c r="G18" s="5"/>
      <c r="H18" s="5">
        <f>SUM(OSRRefH16x_0)</f>
        <v>0</v>
      </c>
      <c r="I18" s="5"/>
      <c r="J18" s="13">
        <f>IF(H$12=0,0,H18/H$12)</f>
        <v>0</v>
      </c>
      <c r="K18" s="5"/>
      <c r="L18" s="5">
        <f>+D18-H18</f>
        <v>11465.89</v>
      </c>
      <c r="M18" s="5"/>
      <c r="N18" s="13">
        <f>IF(H18=0,0,L18/H18)</f>
        <v>0</v>
      </c>
      <c r="O18" s="11"/>
      <c r="P18" s="5">
        <f>SUM(OSRRefP16x_0)</f>
        <v>25506</v>
      </c>
      <c r="Q18" s="5"/>
      <c r="R18" s="13">
        <f>IF(P$12=0,0,P18/P$12)</f>
        <v>0.48236865590941319</v>
      </c>
      <c r="S18" s="5"/>
      <c r="T18" s="5">
        <f>SUM(OSRRefT16x_0)</f>
        <v>0</v>
      </c>
      <c r="U18" s="5"/>
      <c r="V18" s="13">
        <f>IF(T$12=0,0,T18/T$12)</f>
        <v>0</v>
      </c>
      <c r="W18" s="5"/>
      <c r="X18" s="5">
        <f>+P18-T18</f>
        <v>25506</v>
      </c>
      <c r="Y18" s="5"/>
      <c r="Z18" s="13">
        <f>IF(T18=0,0,X18/T18)</f>
        <v>0</v>
      </c>
    </row>
    <row r="19" spans="1:26" s="70" customFormat="1" ht="15" hidden="1" customHeight="1" outlineLevel="1" x14ac:dyDescent="0.3">
      <c r="A19" s="42"/>
      <c r="B19" s="12" t="str">
        <f>CONCATENATE("          ","5000"," - ","PURCHASES @ COST")</f>
        <v xml:space="preserve">          5000 - PURCHASES @ COST</v>
      </c>
      <c r="C19" s="12"/>
      <c r="D19" s="3"/>
      <c r="E19" s="3"/>
      <c r="F19" s="20">
        <f>IF(D$12=0,0,D19/D$12)</f>
        <v>0</v>
      </c>
      <c r="G19" s="3"/>
      <c r="H19" s="3"/>
      <c r="I19" s="3"/>
      <c r="J19" s="20">
        <f>IF(H$12=0,0,H19/H$12)</f>
        <v>0</v>
      </c>
      <c r="K19" s="3"/>
      <c r="L19" s="3">
        <f>+D19-H19</f>
        <v>0</v>
      </c>
      <c r="M19" s="3"/>
      <c r="N19" s="20">
        <f>IF(H19=0,0,L19/H19)</f>
        <v>0</v>
      </c>
      <c r="O19" s="12"/>
      <c r="P19" s="3">
        <v>0</v>
      </c>
      <c r="Q19" s="3"/>
      <c r="R19" s="20">
        <f>IF(P$12=0,0,P19/P$12)</f>
        <v>0</v>
      </c>
      <c r="S19" s="3"/>
      <c r="T19" s="3"/>
      <c r="U19" s="3"/>
      <c r="V19" s="20">
        <f>IF(T$12=0,0,T19/T$12)</f>
        <v>0</v>
      </c>
      <c r="W19" s="3"/>
      <c r="X19" s="3">
        <f>+P19-T19</f>
        <v>0</v>
      </c>
      <c r="Y19" s="3"/>
      <c r="Z19" s="20">
        <f>IF(T19=0,0,X19/T19)</f>
        <v>0</v>
      </c>
    </row>
    <row r="20" spans="1:26" s="70" customFormat="1" ht="15" hidden="1" customHeight="1" outlineLevel="1" x14ac:dyDescent="0.3">
      <c r="A20" s="42"/>
      <c r="B20" s="12" t="str">
        <f>CONCATENATE("          ","5059"," - ","PURCHASES @ COST-FOOD")</f>
        <v xml:space="preserve">          5059 - PURCHASES @ COST-FOOD</v>
      </c>
      <c r="C20" s="12"/>
      <c r="D20" s="3">
        <v>11465.89</v>
      </c>
      <c r="E20" s="3"/>
      <c r="F20" s="20">
        <f>IF(D$12=0,0,D20/D$12)</f>
        <v>0.37199185282659419</v>
      </c>
      <c r="G20" s="3"/>
      <c r="H20" s="3"/>
      <c r="I20" s="3"/>
      <c r="J20" s="20">
        <f>IF(H$12=0,0,H20/H$12)</f>
        <v>0</v>
      </c>
      <c r="K20" s="3"/>
      <c r="L20" s="3">
        <f>+D20-H20</f>
        <v>11465.89</v>
      </c>
      <c r="M20" s="3"/>
      <c r="N20" s="20">
        <f>IF(H20=0,0,L20/H20)</f>
        <v>0</v>
      </c>
      <c r="O20" s="12"/>
      <c r="P20" s="3">
        <v>25506</v>
      </c>
      <c r="Q20" s="3"/>
      <c r="R20" s="20">
        <f>IF(P$12=0,0,P20/P$12)</f>
        <v>0.48236865590941319</v>
      </c>
      <c r="S20" s="3"/>
      <c r="T20" s="3"/>
      <c r="U20" s="3"/>
      <c r="V20" s="20">
        <f>IF(T$12=0,0,T20/T$12)</f>
        <v>0</v>
      </c>
      <c r="W20" s="3"/>
      <c r="X20" s="3">
        <f>+P20-T20</f>
        <v>25506</v>
      </c>
      <c r="Y20" s="3"/>
      <c r="Z20" s="20">
        <f>IF(T20=0,0,X20/T20)</f>
        <v>0</v>
      </c>
    </row>
    <row r="21" spans="1:26" ht="15" customHeight="1" x14ac:dyDescent="0.3">
      <c r="A21" s="10"/>
      <c r="B21" s="11"/>
      <c r="C21" s="11"/>
      <c r="D21" s="4"/>
      <c r="E21" s="4"/>
      <c r="F21" s="9"/>
      <c r="G21" s="4"/>
      <c r="H21" s="4"/>
      <c r="I21" s="4"/>
      <c r="J21" s="9"/>
      <c r="K21" s="4"/>
      <c r="L21" s="4"/>
      <c r="M21" s="4"/>
      <c r="N21" s="9"/>
      <c r="O21" s="11"/>
      <c r="P21" s="4"/>
      <c r="Q21" s="4"/>
      <c r="R21" s="9"/>
      <c r="S21" s="4"/>
      <c r="T21" s="4"/>
      <c r="U21" s="4"/>
      <c r="V21" s="9"/>
      <c r="W21" s="4"/>
      <c r="X21" s="4"/>
      <c r="Y21" s="4"/>
      <c r="Z21" s="9"/>
    </row>
    <row r="22" spans="1:26" s="63" customFormat="1" ht="15" customHeight="1" x14ac:dyDescent="0.3">
      <c r="A22" s="11"/>
      <c r="B22" s="27" t="s">
        <v>289</v>
      </c>
      <c r="C22" s="27"/>
      <c r="D22" s="21">
        <f>D12-D18</f>
        <v>19357.07</v>
      </c>
      <c r="E22" s="15"/>
      <c r="F22" s="23">
        <f>IF(D$12=0,0,D22/D$12)</f>
        <v>0.62800814717340581</v>
      </c>
      <c r="G22" s="15"/>
      <c r="H22" s="21">
        <f>H12-H18</f>
        <v>0</v>
      </c>
      <c r="I22" s="15"/>
      <c r="J22" s="23">
        <f>IF(H$12=0,0,H22/H$12)</f>
        <v>0</v>
      </c>
      <c r="K22" s="16"/>
      <c r="L22" s="21">
        <f>+D22-H22</f>
        <v>19357.07</v>
      </c>
      <c r="M22" s="16"/>
      <c r="N22" s="23">
        <f>IF(H22=0,0,L22/H22)</f>
        <v>0</v>
      </c>
      <c r="O22" s="28"/>
      <c r="P22" s="21">
        <f>P12-P18</f>
        <v>27370.57</v>
      </c>
      <c r="Q22" s="15"/>
      <c r="R22" s="23">
        <f>IF(P$12=0,0,P22/P$12)</f>
        <v>0.51763134409058686</v>
      </c>
      <c r="S22" s="15"/>
      <c r="T22" s="21">
        <f>T12-T18</f>
        <v>0</v>
      </c>
      <c r="U22" s="15"/>
      <c r="V22" s="23">
        <f>IF(T$12=0,0,T22/T$12)</f>
        <v>0</v>
      </c>
      <c r="W22" s="16"/>
      <c r="X22" s="21">
        <f>+P22-T22</f>
        <v>27370.57</v>
      </c>
      <c r="Y22" s="16"/>
      <c r="Z22" s="23">
        <f>IF(T22=0,0,X22/T22)</f>
        <v>0</v>
      </c>
    </row>
    <row r="23" spans="1:26" ht="15" customHeight="1" x14ac:dyDescent="0.3">
      <c r="A23" s="10"/>
      <c r="B23" s="11"/>
      <c r="C23" s="10"/>
      <c r="D23" s="2"/>
      <c r="E23" s="2"/>
      <c r="F23" s="6"/>
      <c r="G23" s="2"/>
      <c r="H23" s="2"/>
      <c r="I23" s="2"/>
      <c r="J23" s="6"/>
      <c r="K23" s="2"/>
      <c r="L23" s="2"/>
      <c r="M23" s="2"/>
      <c r="N23" s="6"/>
      <c r="O23" s="35"/>
      <c r="P23" s="2"/>
      <c r="Q23" s="2"/>
      <c r="R23" s="6"/>
      <c r="S23" s="2"/>
      <c r="T23" s="2"/>
      <c r="U23" s="2"/>
      <c r="V23" s="6"/>
      <c r="W23" s="2"/>
      <c r="X23" s="2"/>
      <c r="Y23" s="2"/>
      <c r="Z23" s="6"/>
    </row>
    <row r="24" spans="1:26" s="63" customFormat="1" ht="15" customHeight="1" x14ac:dyDescent="0.3">
      <c r="A24" s="11"/>
      <c r="B24" s="28" t="s">
        <v>290</v>
      </c>
      <c r="C24" s="11"/>
      <c r="D24" s="22" cm="1">
        <f t="array" ref="D24">SUM(OSRRefD22x_0)</f>
        <v>9940.2800000000007</v>
      </c>
      <c r="E24" s="22"/>
      <c r="F24" s="30">
        <f t="shared" ref="F24:F55" si="0">IF(D$12=0,0,D24/D$12)</f>
        <v>0.32249595755891064</v>
      </c>
      <c r="G24" s="22"/>
      <c r="H24" s="22" cm="1">
        <f t="array" ref="H24">SUM(OSRRefH22x_0)</f>
        <v>588</v>
      </c>
      <c r="I24" s="22"/>
      <c r="J24" s="30">
        <f t="shared" ref="J24:J55" si="1">IF(H$12=0,0,H24/H$12)</f>
        <v>0</v>
      </c>
      <c r="K24" s="5"/>
      <c r="L24" s="22">
        <f t="shared" ref="L24:L55" si="2">+D24-H24</f>
        <v>9352.2800000000007</v>
      </c>
      <c r="M24" s="5"/>
      <c r="N24" s="30">
        <f t="shared" ref="N24:N55" si="3">IF(H24=0,0,L24/H24)</f>
        <v>15.905238095238097</v>
      </c>
      <c r="O24" s="11"/>
      <c r="P24" s="22" cm="1">
        <f t="array" ref="P24">SUM(OSRRefP22x_0)</f>
        <v>23534.6</v>
      </c>
      <c r="Q24" s="22"/>
      <c r="R24" s="30">
        <f t="shared" ref="R24:R55" si="4">IF(P$12=0,0,P24/P$12)</f>
        <v>0.44508560218637477</v>
      </c>
      <c r="S24" s="22"/>
      <c r="T24" s="22" cm="1">
        <f t="array" ref="T24">SUM(OSRRefT22x_0)</f>
        <v>5292</v>
      </c>
      <c r="U24" s="22"/>
      <c r="V24" s="30">
        <f t="shared" ref="V24:V55" si="5">IF(T$12=0,0,T24/T$12)</f>
        <v>0</v>
      </c>
      <c r="W24" s="5"/>
      <c r="X24" s="22">
        <f t="shared" ref="X24:X55" si="6">+P24-T24</f>
        <v>18242.599999999999</v>
      </c>
      <c r="Y24" s="5"/>
      <c r="Z24" s="30">
        <f t="shared" ref="Z24:Z55" si="7">IF(T24=0,0,X24/T24)</f>
        <v>3.4472033257747539</v>
      </c>
    </row>
    <row r="25" spans="1:26" s="69" customFormat="1" ht="15" customHeight="1" outlineLevel="1" collapsed="1" x14ac:dyDescent="0.3">
      <c r="A25" s="25"/>
      <c r="B25" s="14" t="str">
        <f>CONCATENATE("     ","*Benefits                                         ")</f>
        <v xml:space="preserve">     *Benefits                                         </v>
      </c>
      <c r="C25" s="14"/>
      <c r="D25" s="2">
        <f>SUM(OSRRefD22_0x_0)</f>
        <v>110.84</v>
      </c>
      <c r="E25" s="2"/>
      <c r="F25" s="6">
        <f t="shared" si="0"/>
        <v>3.596020628778028E-3</v>
      </c>
      <c r="G25" s="2"/>
      <c r="H25" s="2">
        <f>SUM(OSRRefH22_0x_0)</f>
        <v>0</v>
      </c>
      <c r="I25" s="2"/>
      <c r="J25" s="6">
        <f t="shared" si="1"/>
        <v>0</v>
      </c>
      <c r="K25" s="2"/>
      <c r="L25" s="2">
        <f t="shared" si="2"/>
        <v>110.84</v>
      </c>
      <c r="M25" s="2"/>
      <c r="N25" s="6">
        <f t="shared" si="3"/>
        <v>0</v>
      </c>
      <c r="O25" s="14"/>
      <c r="P25" s="2">
        <f>SUM(OSRRefP22_0x_0)</f>
        <v>145.63</v>
      </c>
      <c r="Q25" s="2"/>
      <c r="R25" s="6">
        <f t="shared" si="4"/>
        <v>2.7541499004190323E-3</v>
      </c>
      <c r="S25" s="2"/>
      <c r="T25" s="2">
        <f>SUM(OSRRefT22_0x_0)</f>
        <v>0</v>
      </c>
      <c r="U25" s="2"/>
      <c r="V25" s="6">
        <f t="shared" si="5"/>
        <v>0</v>
      </c>
      <c r="W25" s="2"/>
      <c r="X25" s="2">
        <f t="shared" si="6"/>
        <v>145.63</v>
      </c>
      <c r="Y25" s="2"/>
      <c r="Z25" s="6">
        <f t="shared" si="7"/>
        <v>0</v>
      </c>
    </row>
    <row r="26" spans="1:26" s="70" customFormat="1" ht="15" hidden="1" customHeight="1" outlineLevel="2" x14ac:dyDescent="0.3">
      <c r="A26" s="26"/>
      <c r="B26" s="12" t="str">
        <f>CONCATENATE("          ","6112"," - ","COMPENSATION INSURANCE")</f>
        <v xml:space="preserve">          6112 - COMPENSATION INSURANCE</v>
      </c>
      <c r="C26" s="12"/>
      <c r="D26" s="7">
        <v>94.28</v>
      </c>
      <c r="E26" s="3"/>
      <c r="F26" s="8">
        <f t="shared" si="0"/>
        <v>3.0587587953914874E-3</v>
      </c>
      <c r="G26" s="3"/>
      <c r="H26" s="7"/>
      <c r="I26" s="3"/>
      <c r="J26" s="8">
        <f t="shared" si="1"/>
        <v>0</v>
      </c>
      <c r="K26" s="3"/>
      <c r="L26" s="7">
        <f t="shared" si="2"/>
        <v>94.28</v>
      </c>
      <c r="M26" s="3"/>
      <c r="N26" s="8">
        <f t="shared" si="3"/>
        <v>0</v>
      </c>
      <c r="O26" s="12"/>
      <c r="P26" s="7">
        <v>123.87</v>
      </c>
      <c r="Q26" s="3"/>
      <c r="R26" s="8">
        <f t="shared" si="4"/>
        <v>2.3426254766525136E-3</v>
      </c>
      <c r="S26" s="3"/>
      <c r="T26" s="7"/>
      <c r="U26" s="3"/>
      <c r="V26" s="8">
        <f t="shared" si="5"/>
        <v>0</v>
      </c>
      <c r="W26" s="3"/>
      <c r="X26" s="7">
        <f t="shared" si="6"/>
        <v>123.87</v>
      </c>
      <c r="Y26" s="3"/>
      <c r="Z26" s="8">
        <f t="shared" si="7"/>
        <v>0</v>
      </c>
    </row>
    <row r="27" spans="1:26" s="70" customFormat="1" ht="15" hidden="1" customHeight="1" outlineLevel="2" x14ac:dyDescent="0.3">
      <c r="A27" s="26"/>
      <c r="B27" s="12" t="str">
        <f>CONCATENATE("          ","6114"," - ","STATE UNEMPLOYMENT INSURANCE")</f>
        <v xml:space="preserve">          6114 - STATE UNEMPLOYMENT INSURANCE</v>
      </c>
      <c r="C27" s="12"/>
      <c r="D27" s="7">
        <v>16.559999999999999</v>
      </c>
      <c r="E27" s="3"/>
      <c r="F27" s="8">
        <f t="shared" si="0"/>
        <v>5.3726183338654037E-4</v>
      </c>
      <c r="G27" s="3"/>
      <c r="H27" s="7"/>
      <c r="I27" s="3"/>
      <c r="J27" s="8">
        <f t="shared" si="1"/>
        <v>0</v>
      </c>
      <c r="K27" s="3"/>
      <c r="L27" s="7">
        <f t="shared" si="2"/>
        <v>16.559999999999999</v>
      </c>
      <c r="M27" s="3"/>
      <c r="N27" s="8">
        <f t="shared" si="3"/>
        <v>0</v>
      </c>
      <c r="O27" s="12"/>
      <c r="P27" s="7">
        <v>21.76</v>
      </c>
      <c r="Q27" s="3"/>
      <c r="R27" s="8">
        <f t="shared" si="4"/>
        <v>4.1152442376651892E-4</v>
      </c>
      <c r="S27" s="3"/>
      <c r="T27" s="7"/>
      <c r="U27" s="3"/>
      <c r="V27" s="8">
        <f t="shared" si="5"/>
        <v>0</v>
      </c>
      <c r="W27" s="3"/>
      <c r="X27" s="7">
        <f t="shared" si="6"/>
        <v>21.76</v>
      </c>
      <c r="Y27" s="3"/>
      <c r="Z27" s="8">
        <f t="shared" si="7"/>
        <v>0</v>
      </c>
    </row>
    <row r="28" spans="1:26" s="69" customFormat="1" ht="15" customHeight="1" outlineLevel="1" collapsed="1" x14ac:dyDescent="0.3">
      <c r="A28" s="25"/>
      <c r="B28" s="14" t="str">
        <f>CONCATENATE("     ","*Payroll                                          ")</f>
        <v xml:space="preserve">     *Payroll                                          </v>
      </c>
      <c r="C28" s="14"/>
      <c r="D28" s="2">
        <f>SUM(OSRRefD22_1x_0)</f>
        <v>6574.83</v>
      </c>
      <c r="E28" s="2"/>
      <c r="F28" s="6">
        <f t="shared" si="0"/>
        <v>0.21330949396164417</v>
      </c>
      <c r="G28" s="2"/>
      <c r="H28" s="2">
        <f>SUM(OSRRefH22_1x_0)</f>
        <v>0</v>
      </c>
      <c r="I28" s="2"/>
      <c r="J28" s="6">
        <f t="shared" si="1"/>
        <v>0</v>
      </c>
      <c r="K28" s="2"/>
      <c r="L28" s="2">
        <f t="shared" si="2"/>
        <v>6574.83</v>
      </c>
      <c r="M28" s="2"/>
      <c r="N28" s="6">
        <f t="shared" si="3"/>
        <v>0</v>
      </c>
      <c r="O28" s="14"/>
      <c r="P28" s="2">
        <f>SUM(OSRRefP22_1x_0)</f>
        <v>9736.08</v>
      </c>
      <c r="Q28" s="2"/>
      <c r="R28" s="6">
        <f t="shared" si="4"/>
        <v>0.18412843344415117</v>
      </c>
      <c r="S28" s="2"/>
      <c r="T28" s="2">
        <f>SUM(OSRRefT22_1x_0)</f>
        <v>0</v>
      </c>
      <c r="U28" s="2"/>
      <c r="V28" s="6">
        <f t="shared" si="5"/>
        <v>0</v>
      </c>
      <c r="W28" s="2"/>
      <c r="X28" s="2">
        <f t="shared" si="6"/>
        <v>9736.08</v>
      </c>
      <c r="Y28" s="2"/>
      <c r="Z28" s="6">
        <f t="shared" si="7"/>
        <v>0</v>
      </c>
    </row>
    <row r="29" spans="1:26" s="70" customFormat="1" ht="15" hidden="1" customHeight="1" outlineLevel="2" x14ac:dyDescent="0.3">
      <c r="A29" s="26"/>
      <c r="B29" s="12" t="str">
        <f>CONCATENATE("          ","6007"," - ","STUDENT HOURLY")</f>
        <v xml:space="preserve">          6007 - STUDENT HOURLY</v>
      </c>
      <c r="C29" s="12"/>
      <c r="D29" s="7">
        <v>4361.16</v>
      </c>
      <c r="E29" s="3"/>
      <c r="F29" s="8">
        <f t="shared" si="0"/>
        <v>0.14149062906352927</v>
      </c>
      <c r="G29" s="3"/>
      <c r="H29" s="7"/>
      <c r="I29" s="3"/>
      <c r="J29" s="8">
        <f t="shared" si="1"/>
        <v>0</v>
      </c>
      <c r="K29" s="3"/>
      <c r="L29" s="7">
        <f t="shared" si="2"/>
        <v>4361.16</v>
      </c>
      <c r="M29" s="3"/>
      <c r="N29" s="8">
        <f t="shared" si="3"/>
        <v>0</v>
      </c>
      <c r="O29" s="12"/>
      <c r="P29" s="7">
        <v>6798.86</v>
      </c>
      <c r="Q29" s="3"/>
      <c r="R29" s="8">
        <f t="shared" si="4"/>
        <v>0.12857982278351263</v>
      </c>
      <c r="S29" s="3"/>
      <c r="T29" s="7"/>
      <c r="U29" s="3"/>
      <c r="V29" s="8">
        <f t="shared" si="5"/>
        <v>0</v>
      </c>
      <c r="W29" s="3"/>
      <c r="X29" s="7">
        <f t="shared" si="6"/>
        <v>6798.86</v>
      </c>
      <c r="Y29" s="3"/>
      <c r="Z29" s="8">
        <f t="shared" si="7"/>
        <v>0</v>
      </c>
    </row>
    <row r="30" spans="1:26" s="70" customFormat="1" ht="15" hidden="1" customHeight="1" outlineLevel="2" x14ac:dyDescent="0.3">
      <c r="A30" s="26"/>
      <c r="B30" s="12" t="str">
        <f>CONCATENATE("          ","6008"," - ","STUDENT HOURLY-FICA EXEMPT")</f>
        <v xml:space="preserve">          6008 - STUDENT HOURLY-FICA EXEMPT</v>
      </c>
      <c r="C30" s="12"/>
      <c r="D30" s="7">
        <v>2213.67</v>
      </c>
      <c r="E30" s="3"/>
      <c r="F30" s="8">
        <f t="shared" si="0"/>
        <v>7.1818864898114912E-2</v>
      </c>
      <c r="G30" s="3"/>
      <c r="H30" s="7"/>
      <c r="I30" s="3"/>
      <c r="J30" s="8">
        <f t="shared" si="1"/>
        <v>0</v>
      </c>
      <c r="K30" s="3"/>
      <c r="L30" s="7">
        <f t="shared" si="2"/>
        <v>2213.67</v>
      </c>
      <c r="M30" s="3"/>
      <c r="N30" s="8">
        <f t="shared" si="3"/>
        <v>0</v>
      </c>
      <c r="O30" s="12"/>
      <c r="P30" s="7">
        <v>2937.22</v>
      </c>
      <c r="Q30" s="3"/>
      <c r="R30" s="8">
        <f t="shared" si="4"/>
        <v>5.5548610660638535E-2</v>
      </c>
      <c r="S30" s="3"/>
      <c r="T30" s="7"/>
      <c r="U30" s="3"/>
      <c r="V30" s="8">
        <f t="shared" si="5"/>
        <v>0</v>
      </c>
      <c r="W30" s="3"/>
      <c r="X30" s="7">
        <f t="shared" si="6"/>
        <v>2937.22</v>
      </c>
      <c r="Y30" s="3"/>
      <c r="Z30" s="8">
        <f t="shared" si="7"/>
        <v>0</v>
      </c>
    </row>
    <row r="31" spans="1:26" s="69" customFormat="1" ht="15" customHeight="1" outlineLevel="1" collapsed="1" x14ac:dyDescent="0.3">
      <c r="A31" s="25"/>
      <c r="B31" s="14" t="str">
        <f>CONCATENATE("     ","Advertising/Promo                                 ")</f>
        <v xml:space="preserve">     Advertising/Promo                                 </v>
      </c>
      <c r="C31" s="14"/>
      <c r="D31" s="2">
        <f>SUM(OSRRefD22_2x_0)</f>
        <v>6.62</v>
      </c>
      <c r="E31" s="2"/>
      <c r="F31" s="6">
        <f t="shared" si="0"/>
        <v>2.1477495996490928E-4</v>
      </c>
      <c r="G31" s="2"/>
      <c r="H31" s="2">
        <f>SUM(OSRRefH22_2x_0)</f>
        <v>0</v>
      </c>
      <c r="I31" s="2"/>
      <c r="J31" s="6">
        <f t="shared" si="1"/>
        <v>0</v>
      </c>
      <c r="K31" s="2"/>
      <c r="L31" s="2">
        <f t="shared" si="2"/>
        <v>6.62</v>
      </c>
      <c r="M31" s="2"/>
      <c r="N31" s="6">
        <f t="shared" si="3"/>
        <v>0</v>
      </c>
      <c r="O31" s="14"/>
      <c r="P31" s="2">
        <f>SUM(OSRRefP22_2x_0)</f>
        <v>46.31</v>
      </c>
      <c r="Q31" s="2"/>
      <c r="R31" s="6">
        <f t="shared" si="4"/>
        <v>8.75813238264131E-4</v>
      </c>
      <c r="S31" s="2"/>
      <c r="T31" s="2">
        <f>SUM(OSRRefT22_2x_0)</f>
        <v>0</v>
      </c>
      <c r="U31" s="2"/>
      <c r="V31" s="6">
        <f t="shared" si="5"/>
        <v>0</v>
      </c>
      <c r="W31" s="2"/>
      <c r="X31" s="2">
        <f t="shared" si="6"/>
        <v>46.31</v>
      </c>
      <c r="Y31" s="2"/>
      <c r="Z31" s="6">
        <f t="shared" si="7"/>
        <v>0</v>
      </c>
    </row>
    <row r="32" spans="1:26" s="70" customFormat="1" ht="15" hidden="1" customHeight="1" outlineLevel="2" x14ac:dyDescent="0.3">
      <c r="A32" s="26"/>
      <c r="B32" s="12" t="str">
        <f>CONCATENATE("          ","6362"," - ","ADVERTISING EXPENSE")</f>
        <v xml:space="preserve">          6362 - ADVERTISING EXPENSE</v>
      </c>
      <c r="C32" s="12"/>
      <c r="D32" s="7">
        <v>6.62</v>
      </c>
      <c r="E32" s="3"/>
      <c r="F32" s="8">
        <f t="shared" si="0"/>
        <v>2.1477495996490928E-4</v>
      </c>
      <c r="G32" s="3"/>
      <c r="H32" s="7"/>
      <c r="I32" s="3"/>
      <c r="J32" s="8">
        <f t="shared" si="1"/>
        <v>0</v>
      </c>
      <c r="K32" s="3"/>
      <c r="L32" s="7">
        <f t="shared" si="2"/>
        <v>6.62</v>
      </c>
      <c r="M32" s="3"/>
      <c r="N32" s="8">
        <f t="shared" si="3"/>
        <v>0</v>
      </c>
      <c r="O32" s="12"/>
      <c r="P32" s="7">
        <v>46.31</v>
      </c>
      <c r="Q32" s="3"/>
      <c r="R32" s="8">
        <f t="shared" si="4"/>
        <v>8.75813238264131E-4</v>
      </c>
      <c r="S32" s="3"/>
      <c r="T32" s="7"/>
      <c r="U32" s="3"/>
      <c r="V32" s="8">
        <f t="shared" si="5"/>
        <v>0</v>
      </c>
      <c r="W32" s="3"/>
      <c r="X32" s="7">
        <f t="shared" si="6"/>
        <v>46.31</v>
      </c>
      <c r="Y32" s="3"/>
      <c r="Z32" s="8">
        <f t="shared" si="7"/>
        <v>0</v>
      </c>
    </row>
    <row r="33" spans="1:26" s="69" customFormat="1" ht="15" customHeight="1" outlineLevel="1" collapsed="1" x14ac:dyDescent="0.3">
      <c r="A33" s="25"/>
      <c r="B33" s="14" t="str">
        <f>CONCATENATE("     ","Bad Debts/Over/Short                              ")</f>
        <v xml:space="preserve">     Bad Debts/Over/Short                              </v>
      </c>
      <c r="C33" s="14"/>
      <c r="D33" s="2">
        <f>SUM(OSRRefD22_3x_0)</f>
        <v>2.13</v>
      </c>
      <c r="E33" s="2"/>
      <c r="F33" s="6">
        <f t="shared" si="0"/>
        <v>6.9104330018920958E-5</v>
      </c>
      <c r="G33" s="2"/>
      <c r="H33" s="2">
        <f>SUM(OSRRefH22_3x_0)</f>
        <v>0</v>
      </c>
      <c r="I33" s="2"/>
      <c r="J33" s="6">
        <f t="shared" si="1"/>
        <v>0</v>
      </c>
      <c r="K33" s="2"/>
      <c r="L33" s="2">
        <f t="shared" si="2"/>
        <v>2.13</v>
      </c>
      <c r="M33" s="2"/>
      <c r="N33" s="6">
        <f t="shared" si="3"/>
        <v>0</v>
      </c>
      <c r="O33" s="14"/>
      <c r="P33" s="2">
        <f>SUM(OSRRefP22_3x_0)</f>
        <v>-2.98</v>
      </c>
      <c r="Q33" s="2"/>
      <c r="R33" s="6">
        <f t="shared" si="4"/>
        <v>-5.6357664651848637E-5</v>
      </c>
      <c r="S33" s="2"/>
      <c r="T33" s="2">
        <f>SUM(OSRRefT22_3x_0)</f>
        <v>0</v>
      </c>
      <c r="U33" s="2"/>
      <c r="V33" s="6">
        <f t="shared" si="5"/>
        <v>0</v>
      </c>
      <c r="W33" s="2"/>
      <c r="X33" s="2">
        <f t="shared" si="6"/>
        <v>-2.98</v>
      </c>
      <c r="Y33" s="2"/>
      <c r="Z33" s="6">
        <f t="shared" si="7"/>
        <v>0</v>
      </c>
    </row>
    <row r="34" spans="1:26" s="70" customFormat="1" ht="15" hidden="1" customHeight="1" outlineLevel="2" x14ac:dyDescent="0.3">
      <c r="A34" s="26"/>
      <c r="B34" s="12" t="str">
        <f>CONCATENATE("          ","6272"," - ","CASH (OVER/SHORT)")</f>
        <v xml:space="preserve">          6272 - CASH (OVER/SHORT)</v>
      </c>
      <c r="C34" s="12"/>
      <c r="D34" s="7">
        <v>2.13</v>
      </c>
      <c r="E34" s="3"/>
      <c r="F34" s="8">
        <f t="shared" si="0"/>
        <v>6.9104330018920958E-5</v>
      </c>
      <c r="G34" s="3"/>
      <c r="H34" s="7"/>
      <c r="I34" s="3"/>
      <c r="J34" s="8">
        <f t="shared" si="1"/>
        <v>0</v>
      </c>
      <c r="K34" s="3"/>
      <c r="L34" s="7">
        <f t="shared" si="2"/>
        <v>2.13</v>
      </c>
      <c r="M34" s="3"/>
      <c r="N34" s="8">
        <f t="shared" si="3"/>
        <v>0</v>
      </c>
      <c r="O34" s="12"/>
      <c r="P34" s="7">
        <v>-2.98</v>
      </c>
      <c r="Q34" s="3"/>
      <c r="R34" s="8">
        <f t="shared" si="4"/>
        <v>-5.6357664651848637E-5</v>
      </c>
      <c r="S34" s="3"/>
      <c r="T34" s="7"/>
      <c r="U34" s="3"/>
      <c r="V34" s="8">
        <f t="shared" si="5"/>
        <v>0</v>
      </c>
      <c r="W34" s="3"/>
      <c r="X34" s="7">
        <f t="shared" si="6"/>
        <v>-2.98</v>
      </c>
      <c r="Y34" s="3"/>
      <c r="Z34" s="8">
        <f t="shared" si="7"/>
        <v>0</v>
      </c>
    </row>
    <row r="35" spans="1:26" s="69" customFormat="1" ht="15" customHeight="1" outlineLevel="1" collapsed="1" x14ac:dyDescent="0.3">
      <c r="A35" s="25"/>
      <c r="B35" s="14" t="str">
        <f>CONCATENATE("     ","Bank/card Fees                                    ")</f>
        <v xml:space="preserve">     Bank/card Fees                                    </v>
      </c>
      <c r="C35" s="14"/>
      <c r="D35" s="2">
        <f>SUM(OSRRefD22_4x_0)</f>
        <v>1602.07</v>
      </c>
      <c r="E35" s="2"/>
      <c r="F35" s="6">
        <f t="shared" si="0"/>
        <v>5.1976513611930848E-2</v>
      </c>
      <c r="G35" s="2"/>
      <c r="H35" s="2">
        <f>SUM(OSRRefH22_4x_0)</f>
        <v>0</v>
      </c>
      <c r="I35" s="2"/>
      <c r="J35" s="6">
        <f t="shared" si="1"/>
        <v>0</v>
      </c>
      <c r="K35" s="2"/>
      <c r="L35" s="2">
        <f t="shared" si="2"/>
        <v>1602.07</v>
      </c>
      <c r="M35" s="2"/>
      <c r="N35" s="6">
        <f t="shared" si="3"/>
        <v>0</v>
      </c>
      <c r="O35" s="14"/>
      <c r="P35" s="2">
        <f>SUM(OSRRefP22_4x_0)</f>
        <v>2756.87</v>
      </c>
      <c r="Q35" s="2"/>
      <c r="R35" s="6">
        <f t="shared" si="4"/>
        <v>5.2137837231121455E-2</v>
      </c>
      <c r="S35" s="2"/>
      <c r="T35" s="2">
        <f>SUM(OSRRefT22_4x_0)</f>
        <v>0</v>
      </c>
      <c r="U35" s="2"/>
      <c r="V35" s="6">
        <f t="shared" si="5"/>
        <v>0</v>
      </c>
      <c r="W35" s="2"/>
      <c r="X35" s="2">
        <f t="shared" si="6"/>
        <v>2756.87</v>
      </c>
      <c r="Y35" s="2"/>
      <c r="Z35" s="6">
        <f t="shared" si="7"/>
        <v>0</v>
      </c>
    </row>
    <row r="36" spans="1:26" s="70" customFormat="1" ht="15" hidden="1" customHeight="1" outlineLevel="2" x14ac:dyDescent="0.3">
      <c r="A36" s="26"/>
      <c r="B36" s="12" t="str">
        <f>CONCATENATE("          ","6381"," - ","BANK/CREDIT CARD FEES")</f>
        <v xml:space="preserve">          6381 - BANK/CREDIT CARD FEES</v>
      </c>
      <c r="C36" s="12"/>
      <c r="D36" s="7">
        <v>1602.07</v>
      </c>
      <c r="E36" s="3"/>
      <c r="F36" s="8">
        <f t="shared" si="0"/>
        <v>5.1976513611930848E-2</v>
      </c>
      <c r="G36" s="3"/>
      <c r="H36" s="7"/>
      <c r="I36" s="3"/>
      <c r="J36" s="8">
        <f t="shared" si="1"/>
        <v>0</v>
      </c>
      <c r="K36" s="3"/>
      <c r="L36" s="7">
        <f t="shared" si="2"/>
        <v>1602.07</v>
      </c>
      <c r="M36" s="3"/>
      <c r="N36" s="8">
        <f t="shared" si="3"/>
        <v>0</v>
      </c>
      <c r="O36" s="12"/>
      <c r="P36" s="7">
        <v>2756.87</v>
      </c>
      <c r="Q36" s="3"/>
      <c r="R36" s="8">
        <f t="shared" si="4"/>
        <v>5.2137837231121455E-2</v>
      </c>
      <c r="S36" s="3"/>
      <c r="T36" s="7"/>
      <c r="U36" s="3"/>
      <c r="V36" s="8">
        <f t="shared" si="5"/>
        <v>0</v>
      </c>
      <c r="W36" s="3"/>
      <c r="X36" s="7">
        <f t="shared" si="6"/>
        <v>2756.87</v>
      </c>
      <c r="Y36" s="3"/>
      <c r="Z36" s="8">
        <f t="shared" si="7"/>
        <v>0</v>
      </c>
    </row>
    <row r="37" spans="1:26" s="69" customFormat="1" ht="15" customHeight="1" outlineLevel="1" collapsed="1" x14ac:dyDescent="0.3">
      <c r="A37" s="25"/>
      <c r="B37" s="14" t="str">
        <f>CONCATENATE("     ","Depreciation                                      ")</f>
        <v xml:space="preserve">     Depreciation                                      </v>
      </c>
      <c r="C37" s="14"/>
      <c r="D37" s="2">
        <f>SUM(OSRRefD22_5x_0)</f>
        <v>588.94000000000005</v>
      </c>
      <c r="E37" s="2"/>
      <c r="F37" s="6">
        <f t="shared" si="0"/>
        <v>1.9107185033494515E-2</v>
      </c>
      <c r="G37" s="2"/>
      <c r="H37" s="2">
        <f>SUM(OSRRefH22_5x_0)</f>
        <v>588</v>
      </c>
      <c r="I37" s="2"/>
      <c r="J37" s="6">
        <f t="shared" si="1"/>
        <v>0</v>
      </c>
      <c r="K37" s="2"/>
      <c r="L37" s="2">
        <f t="shared" si="2"/>
        <v>0.94000000000005457</v>
      </c>
      <c r="M37" s="2"/>
      <c r="N37" s="6">
        <f t="shared" si="3"/>
        <v>1.5986394557824057E-3</v>
      </c>
      <c r="O37" s="14"/>
      <c r="P37" s="2">
        <f>SUM(OSRRefP22_5x_0)</f>
        <v>5300.46</v>
      </c>
      <c r="Q37" s="2"/>
      <c r="R37" s="6">
        <f t="shared" si="4"/>
        <v>0.10024212992635491</v>
      </c>
      <c r="S37" s="2"/>
      <c r="T37" s="2">
        <f>SUM(OSRRefT22_5x_0)</f>
        <v>5292</v>
      </c>
      <c r="U37" s="2"/>
      <c r="V37" s="6">
        <f t="shared" si="5"/>
        <v>0</v>
      </c>
      <c r="W37" s="2"/>
      <c r="X37" s="2">
        <f t="shared" si="6"/>
        <v>8.4600000000000364</v>
      </c>
      <c r="Y37" s="2"/>
      <c r="Z37" s="6">
        <f t="shared" si="7"/>
        <v>1.5986394557823199E-3</v>
      </c>
    </row>
    <row r="38" spans="1:26" s="70" customFormat="1" ht="15" hidden="1" customHeight="1" outlineLevel="2" x14ac:dyDescent="0.3">
      <c r="A38" s="26"/>
      <c r="B38" s="12" t="str">
        <f>CONCATENATE("          ","6322"," - ","EQUIPMENT DEPRECIATION EXPENSE")</f>
        <v xml:space="preserve">          6322 - EQUIPMENT DEPRECIATION EXPENSE</v>
      </c>
      <c r="C38" s="12"/>
      <c r="D38" s="7">
        <v>588.94000000000005</v>
      </c>
      <c r="E38" s="3"/>
      <c r="F38" s="8">
        <f t="shared" si="0"/>
        <v>1.9107185033494515E-2</v>
      </c>
      <c r="G38" s="3"/>
      <c r="H38" s="7">
        <v>588</v>
      </c>
      <c r="I38" s="3"/>
      <c r="J38" s="8">
        <f t="shared" si="1"/>
        <v>0</v>
      </c>
      <c r="K38" s="3"/>
      <c r="L38" s="7">
        <f t="shared" si="2"/>
        <v>0.94000000000005457</v>
      </c>
      <c r="M38" s="3"/>
      <c r="N38" s="8">
        <f t="shared" si="3"/>
        <v>1.5986394557824057E-3</v>
      </c>
      <c r="O38" s="12"/>
      <c r="P38" s="7">
        <v>5300.46</v>
      </c>
      <c r="Q38" s="3"/>
      <c r="R38" s="8">
        <f t="shared" si="4"/>
        <v>0.10024212992635491</v>
      </c>
      <c r="S38" s="3"/>
      <c r="T38" s="7">
        <v>5292</v>
      </c>
      <c r="U38" s="3"/>
      <c r="V38" s="8">
        <f t="shared" si="5"/>
        <v>0</v>
      </c>
      <c r="W38" s="3"/>
      <c r="X38" s="7">
        <f t="shared" si="6"/>
        <v>8.4600000000000364</v>
      </c>
      <c r="Y38" s="3"/>
      <c r="Z38" s="8">
        <f t="shared" si="7"/>
        <v>1.5986394557823199E-3</v>
      </c>
    </row>
    <row r="39" spans="1:26" s="69" customFormat="1" ht="15" customHeight="1" outlineLevel="1" collapsed="1" x14ac:dyDescent="0.3">
      <c r="A39" s="25"/>
      <c r="B39" s="14" t="str">
        <f>CONCATENATE("     ","Equipment Rental                                  ")</f>
        <v xml:space="preserve">     Equipment Rental                                  </v>
      </c>
      <c r="C39" s="14"/>
      <c r="D39" s="2">
        <f>SUM(OSRRefD22_6x_0)</f>
        <v>0</v>
      </c>
      <c r="E39" s="2"/>
      <c r="F39" s="6">
        <f t="shared" si="0"/>
        <v>0</v>
      </c>
      <c r="G39" s="2"/>
      <c r="H39" s="2">
        <f>SUM(OSRRefH22_6x_0)</f>
        <v>0</v>
      </c>
      <c r="I39" s="2"/>
      <c r="J39" s="6">
        <f t="shared" si="1"/>
        <v>0</v>
      </c>
      <c r="K39" s="2"/>
      <c r="L39" s="2">
        <f t="shared" si="2"/>
        <v>0</v>
      </c>
      <c r="M39" s="2"/>
      <c r="N39" s="6">
        <f t="shared" si="3"/>
        <v>0</v>
      </c>
      <c r="O39" s="14"/>
      <c r="P39" s="2">
        <f>SUM(OSRRefP22_6x_0)</f>
        <v>30</v>
      </c>
      <c r="Q39" s="2"/>
      <c r="R39" s="6">
        <f t="shared" si="4"/>
        <v>5.6735904011928151E-4</v>
      </c>
      <c r="S39" s="2"/>
      <c r="T39" s="2">
        <f>SUM(OSRRefT22_6x_0)</f>
        <v>0</v>
      </c>
      <c r="U39" s="2"/>
      <c r="V39" s="6">
        <f t="shared" si="5"/>
        <v>0</v>
      </c>
      <c r="W39" s="2"/>
      <c r="X39" s="2">
        <f t="shared" si="6"/>
        <v>30</v>
      </c>
      <c r="Y39" s="2"/>
      <c r="Z39" s="6">
        <f t="shared" si="7"/>
        <v>0</v>
      </c>
    </row>
    <row r="40" spans="1:26" s="70" customFormat="1" ht="15" hidden="1" customHeight="1" outlineLevel="2" x14ac:dyDescent="0.3">
      <c r="A40" s="26"/>
      <c r="B40" s="12" t="str">
        <f>CONCATENATE("          ","6351"," - ","EQUIPMENT RENTAL")</f>
        <v xml:space="preserve">          6351 - EQUIPMENT RENTAL</v>
      </c>
      <c r="C40" s="12"/>
      <c r="D40" s="7"/>
      <c r="E40" s="3"/>
      <c r="F40" s="8">
        <f t="shared" si="0"/>
        <v>0</v>
      </c>
      <c r="G40" s="3"/>
      <c r="H40" s="7"/>
      <c r="I40" s="3"/>
      <c r="J40" s="8">
        <f t="shared" si="1"/>
        <v>0</v>
      </c>
      <c r="K40" s="3"/>
      <c r="L40" s="7">
        <f t="shared" si="2"/>
        <v>0</v>
      </c>
      <c r="M40" s="3"/>
      <c r="N40" s="8">
        <f t="shared" si="3"/>
        <v>0</v>
      </c>
      <c r="O40" s="12"/>
      <c r="P40" s="7">
        <v>30</v>
      </c>
      <c r="Q40" s="3"/>
      <c r="R40" s="8">
        <f t="shared" si="4"/>
        <v>5.6735904011928151E-4</v>
      </c>
      <c r="S40" s="3"/>
      <c r="T40" s="7"/>
      <c r="U40" s="3"/>
      <c r="V40" s="8">
        <f t="shared" si="5"/>
        <v>0</v>
      </c>
      <c r="W40" s="3"/>
      <c r="X40" s="7">
        <f t="shared" si="6"/>
        <v>30</v>
      </c>
      <c r="Y40" s="3"/>
      <c r="Z40" s="8">
        <f t="shared" si="7"/>
        <v>0</v>
      </c>
    </row>
    <row r="41" spans="1:26" s="69" customFormat="1" ht="15" customHeight="1" outlineLevel="1" collapsed="1" x14ac:dyDescent="0.3">
      <c r="A41" s="25"/>
      <c r="B41" s="14" t="str">
        <f>CONCATENATE("     ","General                                           ")</f>
        <v xml:space="preserve">     General                                           </v>
      </c>
      <c r="C41" s="14"/>
      <c r="D41" s="2">
        <f>SUM(OSRRefD22_7x_0)</f>
        <v>0</v>
      </c>
      <c r="E41" s="2"/>
      <c r="F41" s="6">
        <f t="shared" si="0"/>
        <v>0</v>
      </c>
      <c r="G41" s="2"/>
      <c r="H41" s="2">
        <f>SUM(OSRRefH22_7x_0)</f>
        <v>0</v>
      </c>
      <c r="I41" s="2"/>
      <c r="J41" s="6">
        <f t="shared" si="1"/>
        <v>0</v>
      </c>
      <c r="K41" s="2"/>
      <c r="L41" s="2">
        <f t="shared" si="2"/>
        <v>0</v>
      </c>
      <c r="M41" s="2"/>
      <c r="N41" s="6">
        <f t="shared" si="3"/>
        <v>0</v>
      </c>
      <c r="O41" s="14"/>
      <c r="P41" s="2">
        <f>SUM(OSRRefP22_7x_0)</f>
        <v>846.65</v>
      </c>
      <c r="Q41" s="2"/>
      <c r="R41" s="6">
        <f t="shared" si="4"/>
        <v>1.6011817710566326E-2</v>
      </c>
      <c r="S41" s="2"/>
      <c r="T41" s="2">
        <f>SUM(OSRRefT22_7x_0)</f>
        <v>0</v>
      </c>
      <c r="U41" s="2"/>
      <c r="V41" s="6">
        <f t="shared" si="5"/>
        <v>0</v>
      </c>
      <c r="W41" s="2"/>
      <c r="X41" s="2">
        <f t="shared" si="6"/>
        <v>846.65</v>
      </c>
      <c r="Y41" s="2"/>
      <c r="Z41" s="6">
        <f t="shared" si="7"/>
        <v>0</v>
      </c>
    </row>
    <row r="42" spans="1:26" s="70" customFormat="1" ht="15" hidden="1" customHeight="1" outlineLevel="2" x14ac:dyDescent="0.3">
      <c r="A42" s="26"/>
      <c r="B42" s="12" t="str">
        <f>CONCATENATE("          ","6279"," - ","GENERAL EXPENSE")</f>
        <v xml:space="preserve">          6279 - GENERAL EXPENSE</v>
      </c>
      <c r="C42" s="12"/>
      <c r="D42" s="7"/>
      <c r="E42" s="3"/>
      <c r="F42" s="8">
        <f t="shared" si="0"/>
        <v>0</v>
      </c>
      <c r="G42" s="3"/>
      <c r="H42" s="7"/>
      <c r="I42" s="3"/>
      <c r="J42" s="8">
        <f t="shared" si="1"/>
        <v>0</v>
      </c>
      <c r="K42" s="3"/>
      <c r="L42" s="7">
        <f t="shared" si="2"/>
        <v>0</v>
      </c>
      <c r="M42" s="3"/>
      <c r="N42" s="8">
        <f t="shared" si="3"/>
        <v>0</v>
      </c>
      <c r="O42" s="12"/>
      <c r="P42" s="7">
        <v>846.65</v>
      </c>
      <c r="Q42" s="3"/>
      <c r="R42" s="8">
        <f t="shared" si="4"/>
        <v>1.6011817710566326E-2</v>
      </c>
      <c r="S42" s="3"/>
      <c r="T42" s="7"/>
      <c r="U42" s="3"/>
      <c r="V42" s="8">
        <f t="shared" si="5"/>
        <v>0</v>
      </c>
      <c r="W42" s="3"/>
      <c r="X42" s="7">
        <f t="shared" si="6"/>
        <v>846.65</v>
      </c>
      <c r="Y42" s="3"/>
      <c r="Z42" s="8">
        <f t="shared" si="7"/>
        <v>0</v>
      </c>
    </row>
    <row r="43" spans="1:26" s="69" customFormat="1" ht="15" customHeight="1" outlineLevel="1" collapsed="1" x14ac:dyDescent="0.3">
      <c r="A43" s="25"/>
      <c r="B43" s="14" t="str">
        <f>CONCATENATE("     ","Repair and Maintenance                            ")</f>
        <v xml:space="preserve">     Repair and Maintenance                            </v>
      </c>
      <c r="C43" s="14"/>
      <c r="D43" s="2">
        <f>SUM(OSRRefD22_8x_0)</f>
        <v>428.55</v>
      </c>
      <c r="E43" s="2"/>
      <c r="F43" s="6">
        <f t="shared" si="0"/>
        <v>1.3903596539722337E-2</v>
      </c>
      <c r="G43" s="2"/>
      <c r="H43" s="2">
        <f>SUM(OSRRefH22_8x_0)</f>
        <v>0</v>
      </c>
      <c r="I43" s="2"/>
      <c r="J43" s="6">
        <f t="shared" si="1"/>
        <v>0</v>
      </c>
      <c r="K43" s="2"/>
      <c r="L43" s="2">
        <f t="shared" si="2"/>
        <v>428.55</v>
      </c>
      <c r="M43" s="2"/>
      <c r="N43" s="6">
        <f t="shared" si="3"/>
        <v>0</v>
      </c>
      <c r="O43" s="14"/>
      <c r="P43" s="2">
        <f>SUM(OSRRefP22_8x_0)</f>
        <v>2020.17</v>
      </c>
      <c r="Q43" s="2"/>
      <c r="R43" s="6">
        <f t="shared" si="4"/>
        <v>3.8205390402592306E-2</v>
      </c>
      <c r="S43" s="2"/>
      <c r="T43" s="2">
        <f>SUM(OSRRefT22_8x_0)</f>
        <v>0</v>
      </c>
      <c r="U43" s="2"/>
      <c r="V43" s="6">
        <f t="shared" si="5"/>
        <v>0</v>
      </c>
      <c r="W43" s="2"/>
      <c r="X43" s="2">
        <f t="shared" si="6"/>
        <v>2020.17</v>
      </c>
      <c r="Y43" s="2"/>
      <c r="Z43" s="6">
        <f t="shared" si="7"/>
        <v>0</v>
      </c>
    </row>
    <row r="44" spans="1:26" s="70" customFormat="1" ht="15" hidden="1" customHeight="1" outlineLevel="2" x14ac:dyDescent="0.3">
      <c r="A44" s="26"/>
      <c r="B44" s="12" t="str">
        <f>CONCATENATE("          ","6373"," - ","MAINTENANCE CONTRACTS")</f>
        <v xml:space="preserve">          6373 - MAINTENANCE CONTRACTS</v>
      </c>
      <c r="C44" s="12"/>
      <c r="D44" s="7">
        <v>49.93</v>
      </c>
      <c r="E44" s="3"/>
      <c r="F44" s="8">
        <f t="shared" si="0"/>
        <v>1.6198963370163022E-3</v>
      </c>
      <c r="G44" s="3"/>
      <c r="H44" s="7"/>
      <c r="I44" s="3"/>
      <c r="J44" s="8">
        <f t="shared" si="1"/>
        <v>0</v>
      </c>
      <c r="K44" s="3"/>
      <c r="L44" s="7">
        <f t="shared" si="2"/>
        <v>49.93</v>
      </c>
      <c r="M44" s="3"/>
      <c r="N44" s="8">
        <f t="shared" si="3"/>
        <v>0</v>
      </c>
      <c r="O44" s="12"/>
      <c r="P44" s="7">
        <v>147.76</v>
      </c>
      <c r="Q44" s="3"/>
      <c r="R44" s="8">
        <f t="shared" si="4"/>
        <v>2.7944323922675014E-3</v>
      </c>
      <c r="S44" s="3"/>
      <c r="T44" s="7"/>
      <c r="U44" s="3"/>
      <c r="V44" s="8">
        <f t="shared" si="5"/>
        <v>0</v>
      </c>
      <c r="W44" s="3"/>
      <c r="X44" s="7">
        <f t="shared" si="6"/>
        <v>147.76</v>
      </c>
      <c r="Y44" s="3"/>
      <c r="Z44" s="8">
        <f t="shared" si="7"/>
        <v>0</v>
      </c>
    </row>
    <row r="45" spans="1:26" s="70" customFormat="1" ht="15" hidden="1" customHeight="1" outlineLevel="2" x14ac:dyDescent="0.3">
      <c r="A45" s="26"/>
      <c r="B45" s="12" t="str">
        <f>CONCATENATE("          ","6375"," - ","OUTSIDE REPAIRS &amp; MAINTENANCE")</f>
        <v xml:space="preserve">          6375 - OUTSIDE REPAIRS &amp; MAINTENANCE</v>
      </c>
      <c r="C45" s="12"/>
      <c r="D45" s="7">
        <v>378.62</v>
      </c>
      <c r="E45" s="3"/>
      <c r="F45" s="8">
        <f t="shared" si="0"/>
        <v>1.2283700202706036E-2</v>
      </c>
      <c r="G45" s="3"/>
      <c r="H45" s="7"/>
      <c r="I45" s="3"/>
      <c r="J45" s="8">
        <f t="shared" si="1"/>
        <v>0</v>
      </c>
      <c r="K45" s="3"/>
      <c r="L45" s="7">
        <f t="shared" si="2"/>
        <v>378.62</v>
      </c>
      <c r="M45" s="3"/>
      <c r="N45" s="8">
        <f t="shared" si="3"/>
        <v>0</v>
      </c>
      <c r="O45" s="12"/>
      <c r="P45" s="7">
        <v>1872.41</v>
      </c>
      <c r="Q45" s="3"/>
      <c r="R45" s="8">
        <f t="shared" si="4"/>
        <v>3.5410958010324803E-2</v>
      </c>
      <c r="S45" s="3"/>
      <c r="T45" s="7"/>
      <c r="U45" s="3"/>
      <c r="V45" s="8">
        <f t="shared" si="5"/>
        <v>0</v>
      </c>
      <c r="W45" s="3"/>
      <c r="X45" s="7">
        <f t="shared" si="6"/>
        <v>1872.41</v>
      </c>
      <c r="Y45" s="3"/>
      <c r="Z45" s="8">
        <f t="shared" si="7"/>
        <v>0</v>
      </c>
    </row>
    <row r="46" spans="1:26" s="69" customFormat="1" ht="15" customHeight="1" outlineLevel="1" collapsed="1" x14ac:dyDescent="0.3">
      <c r="A46" s="25"/>
      <c r="B46" s="14" t="str">
        <f>CONCATENATE("     ","Services                                          ")</f>
        <v xml:space="preserve">     Services                                          </v>
      </c>
      <c r="C46" s="14"/>
      <c r="D46" s="2">
        <f>SUM(OSRRefD22_9x_0)</f>
        <v>409.85</v>
      </c>
      <c r="E46" s="2"/>
      <c r="F46" s="6">
        <f t="shared" si="0"/>
        <v>1.3296905942842609E-2</v>
      </c>
      <c r="G46" s="2"/>
      <c r="H46" s="2">
        <f>SUM(OSRRefH22_9x_0)</f>
        <v>0</v>
      </c>
      <c r="I46" s="2"/>
      <c r="J46" s="6">
        <f t="shared" si="1"/>
        <v>0</v>
      </c>
      <c r="K46" s="2"/>
      <c r="L46" s="2">
        <f t="shared" si="2"/>
        <v>409.85</v>
      </c>
      <c r="M46" s="2"/>
      <c r="N46" s="6">
        <f t="shared" si="3"/>
        <v>0</v>
      </c>
      <c r="O46" s="14"/>
      <c r="P46" s="2">
        <f>SUM(OSRRefP22_9x_0)</f>
        <v>1870.49</v>
      </c>
      <c r="Q46" s="2"/>
      <c r="R46" s="6">
        <f t="shared" si="4"/>
        <v>3.5374647031757168E-2</v>
      </c>
      <c r="S46" s="2"/>
      <c r="T46" s="2">
        <f>SUM(OSRRefT22_9x_0)</f>
        <v>0</v>
      </c>
      <c r="U46" s="2"/>
      <c r="V46" s="6">
        <f t="shared" si="5"/>
        <v>0</v>
      </c>
      <c r="W46" s="2"/>
      <c r="X46" s="2">
        <f t="shared" si="6"/>
        <v>1870.49</v>
      </c>
      <c r="Y46" s="2"/>
      <c r="Z46" s="6">
        <f t="shared" si="7"/>
        <v>0</v>
      </c>
    </row>
    <row r="47" spans="1:26" s="70" customFormat="1" ht="15" hidden="1" customHeight="1" outlineLevel="2" x14ac:dyDescent="0.3">
      <c r="A47" s="26"/>
      <c r="B47" s="12" t="str">
        <f>CONCATENATE("          ","6282"," - ","JANITORIAL/EXTERMINATOR EXPENS")</f>
        <v xml:space="preserve">          6282 - JANITORIAL/EXTERMINATOR EXPENS</v>
      </c>
      <c r="C47" s="12"/>
      <c r="D47" s="7">
        <v>409.85</v>
      </c>
      <c r="E47" s="3"/>
      <c r="F47" s="8">
        <f t="shared" si="0"/>
        <v>1.3296905942842609E-2</v>
      </c>
      <c r="G47" s="3"/>
      <c r="H47" s="7"/>
      <c r="I47" s="3"/>
      <c r="J47" s="8">
        <f t="shared" si="1"/>
        <v>0</v>
      </c>
      <c r="K47" s="3"/>
      <c r="L47" s="7">
        <f t="shared" si="2"/>
        <v>409.85</v>
      </c>
      <c r="M47" s="3"/>
      <c r="N47" s="8">
        <f t="shared" si="3"/>
        <v>0</v>
      </c>
      <c r="O47" s="12"/>
      <c r="P47" s="7">
        <v>1624.65</v>
      </c>
      <c r="Q47" s="3"/>
      <c r="R47" s="8">
        <f t="shared" si="4"/>
        <v>3.0725328817659697E-2</v>
      </c>
      <c r="S47" s="3"/>
      <c r="T47" s="7"/>
      <c r="U47" s="3"/>
      <c r="V47" s="8">
        <f t="shared" si="5"/>
        <v>0</v>
      </c>
      <c r="W47" s="3"/>
      <c r="X47" s="7">
        <f t="shared" si="6"/>
        <v>1624.65</v>
      </c>
      <c r="Y47" s="3"/>
      <c r="Z47" s="8">
        <f t="shared" si="7"/>
        <v>0</v>
      </c>
    </row>
    <row r="48" spans="1:26" s="70" customFormat="1" ht="15" hidden="1" customHeight="1" outlineLevel="2" x14ac:dyDescent="0.3">
      <c r="A48" s="26"/>
      <c r="B48" s="12" t="str">
        <f>CONCATENATE("          ","6285"," - ","JANITORIAL SERVICES")</f>
        <v xml:space="preserve">          6285 - JANITORIAL SERVICES</v>
      </c>
      <c r="C48" s="12"/>
      <c r="D48" s="7"/>
      <c r="E48" s="3"/>
      <c r="F48" s="8">
        <f t="shared" si="0"/>
        <v>0</v>
      </c>
      <c r="G48" s="3"/>
      <c r="H48" s="7"/>
      <c r="I48" s="3"/>
      <c r="J48" s="8">
        <f t="shared" si="1"/>
        <v>0</v>
      </c>
      <c r="K48" s="3"/>
      <c r="L48" s="7">
        <f t="shared" si="2"/>
        <v>0</v>
      </c>
      <c r="M48" s="3"/>
      <c r="N48" s="8">
        <f t="shared" si="3"/>
        <v>0</v>
      </c>
      <c r="O48" s="12"/>
      <c r="P48" s="7">
        <v>245.84</v>
      </c>
      <c r="Q48" s="3"/>
      <c r="R48" s="8">
        <f t="shared" si="4"/>
        <v>4.6493182140974728E-3</v>
      </c>
      <c r="S48" s="3"/>
      <c r="T48" s="7"/>
      <c r="U48" s="3"/>
      <c r="V48" s="8">
        <f t="shared" si="5"/>
        <v>0</v>
      </c>
      <c r="W48" s="3"/>
      <c r="X48" s="7">
        <f t="shared" si="6"/>
        <v>245.84</v>
      </c>
      <c r="Y48" s="3"/>
      <c r="Z48" s="8">
        <f t="shared" si="7"/>
        <v>0</v>
      </c>
    </row>
    <row r="49" spans="1:26" s="69" customFormat="1" ht="15" customHeight="1" outlineLevel="1" collapsed="1" x14ac:dyDescent="0.3">
      <c r="A49" s="25"/>
      <c r="B49" s="14" t="str">
        <f>CONCATENATE("     ","Supplies                                          ")</f>
        <v xml:space="preserve">     Supplies                                          </v>
      </c>
      <c r="C49" s="14"/>
      <c r="D49" s="2">
        <f>SUM(OSRRefD22_10x_0)</f>
        <v>186.45</v>
      </c>
      <c r="E49" s="2"/>
      <c r="F49" s="6">
        <f t="shared" si="0"/>
        <v>6.0490621277125879E-3</v>
      </c>
      <c r="G49" s="2"/>
      <c r="H49" s="2">
        <f>SUM(OSRRefH22_10x_0)</f>
        <v>0</v>
      </c>
      <c r="I49" s="2"/>
      <c r="J49" s="6">
        <f t="shared" si="1"/>
        <v>0</v>
      </c>
      <c r="K49" s="2"/>
      <c r="L49" s="2">
        <f t="shared" si="2"/>
        <v>186.45</v>
      </c>
      <c r="M49" s="2"/>
      <c r="N49" s="6">
        <f t="shared" si="3"/>
        <v>0</v>
      </c>
      <c r="O49" s="14"/>
      <c r="P49" s="2">
        <f>SUM(OSRRefP22_10x_0)</f>
        <v>394.91999999999996</v>
      </c>
      <c r="Q49" s="2"/>
      <c r="R49" s="6">
        <f t="shared" si="4"/>
        <v>7.4687144041302219E-3</v>
      </c>
      <c r="S49" s="2"/>
      <c r="T49" s="2">
        <f>SUM(OSRRefT22_10x_0)</f>
        <v>0</v>
      </c>
      <c r="U49" s="2"/>
      <c r="V49" s="6">
        <f t="shared" si="5"/>
        <v>0</v>
      </c>
      <c r="W49" s="2"/>
      <c r="X49" s="2">
        <f t="shared" si="6"/>
        <v>394.91999999999996</v>
      </c>
      <c r="Y49" s="2"/>
      <c r="Z49" s="6">
        <f t="shared" si="7"/>
        <v>0</v>
      </c>
    </row>
    <row r="50" spans="1:26" s="70" customFormat="1" ht="15" hidden="1" customHeight="1" outlineLevel="2" x14ac:dyDescent="0.3">
      <c r="A50" s="26"/>
      <c r="B50" s="12" t="str">
        <f>CONCATENATE("          ","6241"," - ","OFFICE EXPENSE")</f>
        <v xml:space="preserve">          6241 - OFFICE EXPENSE</v>
      </c>
      <c r="C50" s="12"/>
      <c r="D50" s="7">
        <v>17.63</v>
      </c>
      <c r="E50" s="3"/>
      <c r="F50" s="8">
        <f t="shared" si="0"/>
        <v>5.7197621513313448E-4</v>
      </c>
      <c r="G50" s="3"/>
      <c r="H50" s="7"/>
      <c r="I50" s="3"/>
      <c r="J50" s="8">
        <f t="shared" si="1"/>
        <v>0</v>
      </c>
      <c r="K50" s="3"/>
      <c r="L50" s="7">
        <f t="shared" si="2"/>
        <v>17.63</v>
      </c>
      <c r="M50" s="3"/>
      <c r="N50" s="8">
        <f t="shared" si="3"/>
        <v>0</v>
      </c>
      <c r="O50" s="12"/>
      <c r="P50" s="7">
        <v>28.64</v>
      </c>
      <c r="Q50" s="3"/>
      <c r="R50" s="8">
        <f t="shared" si="4"/>
        <v>5.4163876363387412E-4</v>
      </c>
      <c r="S50" s="3"/>
      <c r="T50" s="7"/>
      <c r="U50" s="3"/>
      <c r="V50" s="8">
        <f t="shared" si="5"/>
        <v>0</v>
      </c>
      <c r="W50" s="3"/>
      <c r="X50" s="7">
        <f t="shared" si="6"/>
        <v>28.64</v>
      </c>
      <c r="Y50" s="3"/>
      <c r="Z50" s="8">
        <f t="shared" si="7"/>
        <v>0</v>
      </c>
    </row>
    <row r="51" spans="1:26" s="70" customFormat="1" ht="15" hidden="1" customHeight="1" outlineLevel="2" x14ac:dyDescent="0.3">
      <c r="A51" s="26"/>
      <c r="B51" s="12" t="str">
        <f>CONCATENATE("          ","6247"," - ","STORE SUPPLIES")</f>
        <v xml:space="preserve">          6247 - STORE SUPPLIES</v>
      </c>
      <c r="C51" s="12"/>
      <c r="D51" s="7">
        <v>168.82</v>
      </c>
      <c r="E51" s="3"/>
      <c r="F51" s="8">
        <f t="shared" si="0"/>
        <v>5.4770859125794534E-3</v>
      </c>
      <c r="G51" s="3"/>
      <c r="H51" s="7"/>
      <c r="I51" s="3"/>
      <c r="J51" s="8">
        <f t="shared" si="1"/>
        <v>0</v>
      </c>
      <c r="K51" s="3"/>
      <c r="L51" s="7">
        <f t="shared" si="2"/>
        <v>168.82</v>
      </c>
      <c r="M51" s="3"/>
      <c r="N51" s="8">
        <f t="shared" si="3"/>
        <v>0</v>
      </c>
      <c r="O51" s="12"/>
      <c r="P51" s="7">
        <v>366.28</v>
      </c>
      <c r="Q51" s="3"/>
      <c r="R51" s="8">
        <f t="shared" si="4"/>
        <v>6.9270756404963482E-3</v>
      </c>
      <c r="S51" s="3"/>
      <c r="T51" s="7"/>
      <c r="U51" s="3"/>
      <c r="V51" s="8">
        <f t="shared" si="5"/>
        <v>0</v>
      </c>
      <c r="W51" s="3"/>
      <c r="X51" s="7">
        <f t="shared" si="6"/>
        <v>366.28</v>
      </c>
      <c r="Y51" s="3"/>
      <c r="Z51" s="8">
        <f t="shared" si="7"/>
        <v>0</v>
      </c>
    </row>
    <row r="52" spans="1:26" s="69" customFormat="1" ht="15" customHeight="1" outlineLevel="1" collapsed="1" x14ac:dyDescent="0.3">
      <c r="A52" s="25"/>
      <c r="B52" s="14" t="str">
        <f>CONCATENATE("     ","Telephone/Data Lines                              ")</f>
        <v xml:space="preserve">     Telephone/Data Lines                              </v>
      </c>
      <c r="C52" s="14"/>
      <c r="D52" s="2">
        <f>SUM(OSRRefD22_11x_0)</f>
        <v>30</v>
      </c>
      <c r="E52" s="2"/>
      <c r="F52" s="6">
        <f t="shared" si="0"/>
        <v>9.7330042280170366E-4</v>
      </c>
      <c r="G52" s="2"/>
      <c r="H52" s="2">
        <f>SUM(OSRRefH22_11x_0)</f>
        <v>0</v>
      </c>
      <c r="I52" s="2"/>
      <c r="J52" s="6">
        <f t="shared" si="1"/>
        <v>0</v>
      </c>
      <c r="K52" s="2"/>
      <c r="L52" s="2">
        <f t="shared" si="2"/>
        <v>30</v>
      </c>
      <c r="M52" s="2"/>
      <c r="N52" s="6">
        <f t="shared" si="3"/>
        <v>0</v>
      </c>
      <c r="O52" s="14"/>
      <c r="P52" s="2">
        <f>SUM(OSRRefP22_11x_0)</f>
        <v>270</v>
      </c>
      <c r="Q52" s="2"/>
      <c r="R52" s="6">
        <f t="shared" si="4"/>
        <v>5.1062313610735341E-3</v>
      </c>
      <c r="S52" s="2"/>
      <c r="T52" s="2">
        <f>SUM(OSRRefT22_11x_0)</f>
        <v>0</v>
      </c>
      <c r="U52" s="2"/>
      <c r="V52" s="6">
        <f t="shared" si="5"/>
        <v>0</v>
      </c>
      <c r="W52" s="2"/>
      <c r="X52" s="2">
        <f t="shared" si="6"/>
        <v>270</v>
      </c>
      <c r="Y52" s="2"/>
      <c r="Z52" s="6">
        <f t="shared" si="7"/>
        <v>0</v>
      </c>
    </row>
    <row r="53" spans="1:26" s="70" customFormat="1" ht="15" hidden="1" customHeight="1" outlineLevel="2" x14ac:dyDescent="0.3">
      <c r="A53" s="26"/>
      <c r="B53" s="12" t="str">
        <f>CONCATENATE("          ","6309"," - ","TELEPHONE")</f>
        <v xml:space="preserve">          6309 - TELEPHONE</v>
      </c>
      <c r="C53" s="12"/>
      <c r="D53" s="7">
        <v>30</v>
      </c>
      <c r="E53" s="3"/>
      <c r="F53" s="8">
        <f t="shared" si="0"/>
        <v>9.7330042280170366E-4</v>
      </c>
      <c r="G53" s="3"/>
      <c r="H53" s="7"/>
      <c r="I53" s="3"/>
      <c r="J53" s="8">
        <f t="shared" si="1"/>
        <v>0</v>
      </c>
      <c r="K53" s="3"/>
      <c r="L53" s="7">
        <f t="shared" si="2"/>
        <v>30</v>
      </c>
      <c r="M53" s="3"/>
      <c r="N53" s="8">
        <f t="shared" si="3"/>
        <v>0</v>
      </c>
      <c r="O53" s="12"/>
      <c r="P53" s="7">
        <v>270</v>
      </c>
      <c r="Q53" s="3"/>
      <c r="R53" s="8">
        <f t="shared" si="4"/>
        <v>5.1062313610735341E-3</v>
      </c>
      <c r="S53" s="3"/>
      <c r="T53" s="7"/>
      <c r="U53" s="3"/>
      <c r="V53" s="8">
        <f t="shared" si="5"/>
        <v>0</v>
      </c>
      <c r="W53" s="3"/>
      <c r="X53" s="7">
        <f t="shared" si="6"/>
        <v>270</v>
      </c>
      <c r="Y53" s="3"/>
      <c r="Z53" s="8">
        <f t="shared" si="7"/>
        <v>0</v>
      </c>
    </row>
    <row r="54" spans="1:26" s="69" customFormat="1" ht="15" customHeight="1" outlineLevel="1" collapsed="1" x14ac:dyDescent="0.3">
      <c r="A54" s="25"/>
      <c r="B54" s="14" t="str">
        <f>CONCATENATE("     ","Training                                          ")</f>
        <v xml:space="preserve">     Training                                          </v>
      </c>
      <c r="C54" s="14"/>
      <c r="D54" s="2">
        <f>SUM(OSRRefD22_12x_0)</f>
        <v>0</v>
      </c>
      <c r="E54" s="2"/>
      <c r="F54" s="6">
        <f t="shared" si="0"/>
        <v>0</v>
      </c>
      <c r="G54" s="2"/>
      <c r="H54" s="2">
        <f>SUM(OSRRefH22_12x_0)</f>
        <v>0</v>
      </c>
      <c r="I54" s="2"/>
      <c r="J54" s="6">
        <f t="shared" si="1"/>
        <v>0</v>
      </c>
      <c r="K54" s="2"/>
      <c r="L54" s="2">
        <f t="shared" si="2"/>
        <v>0</v>
      </c>
      <c r="M54" s="2"/>
      <c r="N54" s="6">
        <f t="shared" si="3"/>
        <v>0</v>
      </c>
      <c r="O54" s="14"/>
      <c r="P54" s="2">
        <f>SUM(OSRRefP22_12x_0)</f>
        <v>120</v>
      </c>
      <c r="Q54" s="2"/>
      <c r="R54" s="6">
        <f t="shared" si="4"/>
        <v>2.2694361604771261E-3</v>
      </c>
      <c r="S54" s="2"/>
      <c r="T54" s="2">
        <f>SUM(OSRRefT22_12x_0)</f>
        <v>0</v>
      </c>
      <c r="U54" s="2"/>
      <c r="V54" s="6">
        <f t="shared" si="5"/>
        <v>0</v>
      </c>
      <c r="W54" s="2"/>
      <c r="X54" s="2">
        <f t="shared" si="6"/>
        <v>120</v>
      </c>
      <c r="Y54" s="2"/>
      <c r="Z54" s="6">
        <f t="shared" si="7"/>
        <v>0</v>
      </c>
    </row>
    <row r="55" spans="1:26" s="70" customFormat="1" ht="15" hidden="1" customHeight="1" outlineLevel="2" x14ac:dyDescent="0.3">
      <c r="A55" s="26"/>
      <c r="B55" s="12" t="str">
        <f>CONCATENATE("          ","6376"," - ","TRAINING")</f>
        <v xml:space="preserve">          6376 - TRAINING</v>
      </c>
      <c r="C55" s="12"/>
      <c r="D55" s="7"/>
      <c r="E55" s="3"/>
      <c r="F55" s="8">
        <f t="shared" si="0"/>
        <v>0</v>
      </c>
      <c r="G55" s="3"/>
      <c r="H55" s="7"/>
      <c r="I55" s="3"/>
      <c r="J55" s="8">
        <f t="shared" si="1"/>
        <v>0</v>
      </c>
      <c r="K55" s="3"/>
      <c r="L55" s="7">
        <f t="shared" si="2"/>
        <v>0</v>
      </c>
      <c r="M55" s="3"/>
      <c r="N55" s="8">
        <f t="shared" si="3"/>
        <v>0</v>
      </c>
      <c r="O55" s="12"/>
      <c r="P55" s="7">
        <v>120</v>
      </c>
      <c r="Q55" s="3"/>
      <c r="R55" s="8">
        <f t="shared" si="4"/>
        <v>2.2694361604771261E-3</v>
      </c>
      <c r="S55" s="3"/>
      <c r="T55" s="7"/>
      <c r="U55" s="3"/>
      <c r="V55" s="8">
        <f t="shared" si="5"/>
        <v>0</v>
      </c>
      <c r="W55" s="3"/>
      <c r="X55" s="7">
        <f t="shared" si="6"/>
        <v>120</v>
      </c>
      <c r="Y55" s="3"/>
      <c r="Z55" s="8">
        <f t="shared" si="7"/>
        <v>0</v>
      </c>
    </row>
    <row r="56" spans="1:26" s="65" customFormat="1" ht="15" customHeight="1" x14ac:dyDescent="0.3">
      <c r="A56" s="35"/>
      <c r="B56" s="35"/>
      <c r="C56" s="35"/>
      <c r="D56" s="2"/>
      <c r="E56" s="2"/>
      <c r="F56" s="6"/>
      <c r="G56" s="2"/>
      <c r="H56" s="2"/>
      <c r="I56" s="2"/>
      <c r="J56" s="6"/>
      <c r="K56" s="2"/>
      <c r="L56" s="2"/>
      <c r="M56" s="2"/>
      <c r="N56" s="6"/>
      <c r="O56" s="35"/>
      <c r="P56" s="2"/>
      <c r="Q56" s="2"/>
      <c r="R56" s="6"/>
      <c r="S56" s="2"/>
      <c r="T56" s="2"/>
      <c r="U56" s="2"/>
      <c r="V56" s="6"/>
      <c r="W56" s="2"/>
      <c r="X56" s="2"/>
      <c r="Y56" s="2"/>
      <c r="Z56" s="6"/>
    </row>
    <row r="57" spans="1:26" s="63" customFormat="1" ht="15" customHeight="1" x14ac:dyDescent="0.3">
      <c r="A57" s="11"/>
      <c r="B57" s="28" t="s">
        <v>291</v>
      </c>
      <c r="C57" s="11"/>
      <c r="D57" s="5">
        <f>SUM(0)</f>
        <v>0</v>
      </c>
      <c r="E57" s="5"/>
      <c r="F57" s="13">
        <f>IF(D$12=0,0,D57/D$12)</f>
        <v>0</v>
      </c>
      <c r="G57" s="5"/>
      <c r="H57" s="5">
        <f>SUM(0)</f>
        <v>0</v>
      </c>
      <c r="I57" s="5"/>
      <c r="J57" s="13">
        <f>IF(H$12=0,0,H57/H$12)</f>
        <v>0</v>
      </c>
      <c r="K57" s="5"/>
      <c r="L57" s="5">
        <f>+D57-H57</f>
        <v>0</v>
      </c>
      <c r="M57" s="5"/>
      <c r="N57" s="13">
        <f>IF(H57=0,0,L57/H57)</f>
        <v>0</v>
      </c>
      <c r="O57" s="11"/>
      <c r="P57" s="5">
        <f>SUM(0)</f>
        <v>0</v>
      </c>
      <c r="Q57" s="5"/>
      <c r="R57" s="13">
        <f>IF(P$12=0,0,P57/P$12)</f>
        <v>0</v>
      </c>
      <c r="S57" s="5"/>
      <c r="T57" s="5">
        <f>SUM(0)</f>
        <v>0</v>
      </c>
      <c r="U57" s="5"/>
      <c r="V57" s="13">
        <f>IF(T$12=0,0,T57/T$12)</f>
        <v>0</v>
      </c>
      <c r="W57" s="5"/>
      <c r="X57" s="5">
        <f>+P57-T57</f>
        <v>0</v>
      </c>
      <c r="Y57" s="5"/>
      <c r="Z57" s="13">
        <f>IF(T57=0,0,X57/T57)</f>
        <v>0</v>
      </c>
    </row>
    <row r="58" spans="1:26" ht="15" customHeight="1" x14ac:dyDescent="0.3">
      <c r="A58" s="10"/>
      <c r="B58" s="11"/>
      <c r="C58" s="11"/>
      <c r="D58" s="4"/>
      <c r="E58" s="4"/>
      <c r="F58" s="9"/>
      <c r="G58" s="4"/>
      <c r="H58" s="4"/>
      <c r="I58" s="4"/>
      <c r="J58" s="9"/>
      <c r="K58" s="4"/>
      <c r="L58" s="4"/>
      <c r="M58" s="4"/>
      <c r="N58" s="9"/>
      <c r="O58" s="11"/>
      <c r="P58" s="4"/>
      <c r="Q58" s="4"/>
      <c r="R58" s="9"/>
      <c r="S58" s="4"/>
      <c r="T58" s="4"/>
      <c r="U58" s="4"/>
      <c r="V58" s="9"/>
      <c r="W58" s="4"/>
      <c r="X58" s="4"/>
      <c r="Y58" s="4"/>
      <c r="Z58" s="9"/>
    </row>
    <row r="59" spans="1:26" s="63" customFormat="1" ht="15" customHeight="1" x14ac:dyDescent="0.3">
      <c r="A59" s="11"/>
      <c r="B59" s="27" t="s">
        <v>292</v>
      </c>
      <c r="C59" s="27"/>
      <c r="D59" s="21">
        <f>+D22-D24+D57</f>
        <v>9416.7899999999991</v>
      </c>
      <c r="E59" s="15"/>
      <c r="F59" s="23">
        <f>IF(D$12=0,0,D59/D$12)</f>
        <v>0.30551218961449517</v>
      </c>
      <c r="G59" s="15"/>
      <c r="H59" s="21">
        <f>+H22-H24+H57</f>
        <v>-588</v>
      </c>
      <c r="I59" s="15"/>
      <c r="J59" s="23">
        <f>IF(H$12=0,0,H59/H$12)</f>
        <v>0</v>
      </c>
      <c r="K59" s="16"/>
      <c r="L59" s="21">
        <f>+D59-H59</f>
        <v>10004.789999999999</v>
      </c>
      <c r="M59" s="16"/>
      <c r="N59" s="23">
        <f>IF(H59=0,0,L59/H59)</f>
        <v>-17.014948979591836</v>
      </c>
      <c r="O59" s="28"/>
      <c r="P59" s="21">
        <f>+P22-P24+P57</f>
        <v>3835.9700000000012</v>
      </c>
      <c r="Q59" s="15"/>
      <c r="R59" s="23">
        <f>IF(P$12=0,0,P59/P$12)</f>
        <v>7.2545741904212036E-2</v>
      </c>
      <c r="S59" s="15"/>
      <c r="T59" s="21">
        <f>+T22-T24+T57</f>
        <v>-5292</v>
      </c>
      <c r="U59" s="15"/>
      <c r="V59" s="23">
        <f>IF(T$12=0,0,T59/T$12)</f>
        <v>0</v>
      </c>
      <c r="W59" s="16"/>
      <c r="X59" s="21">
        <f>+P59-T59</f>
        <v>9127.9700000000012</v>
      </c>
      <c r="Y59" s="16"/>
      <c r="Z59" s="23">
        <f>IF(T59=0,0,X59/T59)</f>
        <v>-1.7248620559334846</v>
      </c>
    </row>
    <row r="60" spans="1:26" ht="15" customHeight="1" x14ac:dyDescent="0.3">
      <c r="A60" s="10"/>
      <c r="B60" s="11"/>
      <c r="C60" s="10"/>
      <c r="D60" s="4"/>
      <c r="E60" s="4"/>
      <c r="F60" s="9"/>
      <c r="G60" s="4"/>
      <c r="H60" s="4"/>
      <c r="I60" s="4"/>
      <c r="J60" s="9"/>
      <c r="K60" s="4"/>
      <c r="L60" s="4"/>
      <c r="M60" s="4"/>
      <c r="N60" s="9"/>
      <c r="P60" s="4"/>
      <c r="Q60" s="4"/>
      <c r="R60" s="9"/>
      <c r="S60" s="4"/>
      <c r="T60" s="4"/>
      <c r="U60" s="4"/>
      <c r="V60" s="9"/>
      <c r="W60" s="4"/>
      <c r="X60" s="4"/>
      <c r="Y60" s="4"/>
      <c r="Z60" s="9"/>
    </row>
    <row r="61" spans="1:26" s="63" customFormat="1" ht="15" customHeight="1" x14ac:dyDescent="0.3">
      <c r="A61" s="49"/>
      <c r="B61" s="11" t="s">
        <v>293</v>
      </c>
      <c r="C61" s="11"/>
      <c r="D61" s="5">
        <v>3557.9</v>
      </c>
      <c r="E61" s="5"/>
      <c r="F61" s="13">
        <f>IF(D$12=0,0,D61/D$12)</f>
        <v>0.11543018580953938</v>
      </c>
      <c r="G61" s="5"/>
      <c r="H61" s="5"/>
      <c r="I61" s="5"/>
      <c r="J61" s="13">
        <f>IF(H$12=0,0,H61/H$12)</f>
        <v>0</v>
      </c>
      <c r="K61" s="5"/>
      <c r="L61" s="5">
        <f>+D61-H61</f>
        <v>3557.9</v>
      </c>
      <c r="M61" s="5"/>
      <c r="N61" s="13">
        <f>IF(H61=0,0,L61/H61)</f>
        <v>0</v>
      </c>
      <c r="O61" s="11"/>
      <c r="P61" s="5">
        <v>6310.69</v>
      </c>
      <c r="Q61" s="5"/>
      <c r="R61" s="13">
        <f>IF(P$12=0,0,P61/P$12)</f>
        <v>0.11934756736301162</v>
      </c>
      <c r="S61" s="5"/>
      <c r="T61" s="5"/>
      <c r="U61" s="5"/>
      <c r="V61" s="13">
        <f>IF(T$12=0,0,T61/T$12)</f>
        <v>0</v>
      </c>
      <c r="W61" s="5"/>
      <c r="X61" s="5">
        <f>+P61-T61</f>
        <v>6310.69</v>
      </c>
      <c r="Y61" s="5"/>
      <c r="Z61" s="13">
        <f>IF(T61=0,0,X61/T61)</f>
        <v>0</v>
      </c>
    </row>
    <row r="62" spans="1:26" ht="15" customHeight="1" x14ac:dyDescent="0.3">
      <c r="A62" s="10"/>
      <c r="B62" s="11"/>
      <c r="C62" s="11"/>
      <c r="D62" s="4"/>
      <c r="E62" s="4"/>
      <c r="F62" s="9"/>
      <c r="G62" s="4"/>
      <c r="H62" s="4"/>
      <c r="I62" s="4"/>
      <c r="J62" s="9"/>
      <c r="K62" s="4"/>
      <c r="L62" s="4"/>
      <c r="M62" s="4"/>
      <c r="N62" s="9"/>
      <c r="O62" s="11"/>
      <c r="P62" s="4"/>
      <c r="Q62" s="4"/>
      <c r="R62" s="9"/>
      <c r="S62" s="4"/>
      <c r="T62" s="4"/>
      <c r="U62" s="4"/>
      <c r="V62" s="9"/>
      <c r="W62" s="4"/>
      <c r="X62" s="4"/>
      <c r="Y62" s="4"/>
      <c r="Z62" s="9"/>
    </row>
    <row r="63" spans="1:26" s="63" customFormat="1" ht="15" customHeight="1" x14ac:dyDescent="0.3">
      <c r="A63" s="11"/>
      <c r="B63" s="27" t="s">
        <v>294</v>
      </c>
      <c r="C63" s="27"/>
      <c r="D63" s="34">
        <f>+D59-D61</f>
        <v>5858.8899999999994</v>
      </c>
      <c r="E63" s="15"/>
      <c r="F63" s="29">
        <f>IF(D$12=0,0,D63/D$12)</f>
        <v>0.19008200380495577</v>
      </c>
      <c r="G63" s="15"/>
      <c r="H63" s="34">
        <f>+H59-H61</f>
        <v>-588</v>
      </c>
      <c r="I63" s="15"/>
      <c r="J63" s="29">
        <f>IF(H$12=0,0,H63/H$12)</f>
        <v>0</v>
      </c>
      <c r="K63" s="16"/>
      <c r="L63" s="34">
        <f>D63-H63</f>
        <v>6446.8899999999994</v>
      </c>
      <c r="M63" s="16"/>
      <c r="N63" s="29">
        <f>IF(H63=0,0,L63/H63)</f>
        <v>-10.964098639455781</v>
      </c>
      <c r="O63" s="28"/>
      <c r="P63" s="34">
        <f>+P59-P61</f>
        <v>-2474.7199999999984</v>
      </c>
      <c r="Q63" s="15"/>
      <c r="R63" s="29">
        <f>IF(P$12=0,0,P63/P$12)</f>
        <v>-4.6801825458799587E-2</v>
      </c>
      <c r="S63" s="15"/>
      <c r="T63" s="34">
        <f>+T59-T61</f>
        <v>-5292</v>
      </c>
      <c r="U63" s="15"/>
      <c r="V63" s="29">
        <f>IF(T$12=0,0,T63/T$12)</f>
        <v>0</v>
      </c>
      <c r="W63" s="16"/>
      <c r="X63" s="34">
        <f>P63-T63</f>
        <v>2817.2800000000016</v>
      </c>
      <c r="Y63" s="16"/>
      <c r="Z63" s="29">
        <f>IF(T63=0,0,X63/T63)</f>
        <v>-0.53236583522297842</v>
      </c>
    </row>
    <row r="64" spans="1:26" ht="15" customHeight="1" x14ac:dyDescent="0.3">
      <c r="A64" s="10"/>
      <c r="B64" s="10"/>
      <c r="C64" s="10"/>
      <c r="D64" s="4"/>
      <c r="E64" s="4"/>
      <c r="F64" s="9"/>
      <c r="G64" s="4"/>
      <c r="H64" s="4"/>
      <c r="I64" s="4"/>
      <c r="J64" s="9"/>
      <c r="K64" s="4"/>
      <c r="L64" s="4"/>
      <c r="M64" s="4"/>
      <c r="N64" s="9"/>
      <c r="P64" s="4"/>
      <c r="Q64" s="4"/>
      <c r="R64" s="9"/>
      <c r="S64" s="4"/>
      <c r="T64" s="4"/>
      <c r="U64" s="4"/>
      <c r="V64" s="9"/>
      <c r="W64" s="4"/>
      <c r="X64" s="4"/>
      <c r="Y64" s="4"/>
      <c r="Z64" s="9"/>
    </row>
    <row r="65" spans="1:26" ht="15" customHeight="1" x14ac:dyDescent="0.3">
      <c r="A65" s="10"/>
      <c r="B65" s="10"/>
      <c r="C65" s="10"/>
      <c r="D65" s="4"/>
      <c r="E65" s="4"/>
      <c r="F65" s="9"/>
      <c r="G65" s="4"/>
      <c r="H65" s="4"/>
      <c r="I65" s="4"/>
      <c r="J65" s="9"/>
      <c r="K65" s="4"/>
      <c r="L65" s="4"/>
      <c r="M65" s="4"/>
      <c r="N65" s="9"/>
      <c r="P65" s="4"/>
      <c r="Q65" s="4"/>
      <c r="R65" s="9"/>
      <c r="S65" s="4"/>
      <c r="T65" s="4"/>
      <c r="U65" s="4"/>
      <c r="V65" s="9"/>
      <c r="W65" s="4"/>
      <c r="X65" s="4"/>
      <c r="Y65" s="4"/>
      <c r="Z65" s="9"/>
    </row>
    <row r="66" spans="1:26" s="63" customFormat="1" ht="15" customHeight="1" x14ac:dyDescent="0.3">
      <c r="A66" s="11"/>
      <c r="B66" s="27" t="s">
        <v>297</v>
      </c>
      <c r="C66" s="27"/>
      <c r="D66" s="32">
        <f>SUM(D63:D65)</f>
        <v>5858.8899999999994</v>
      </c>
      <c r="E66" s="15"/>
      <c r="F66" s="31">
        <f>IF(D$12=0,0,D66/D$12)</f>
        <v>0.19008200380495577</v>
      </c>
      <c r="G66" s="15"/>
      <c r="H66" s="32">
        <f>SUM(H63:H65)</f>
        <v>-588</v>
      </c>
      <c r="I66" s="15"/>
      <c r="J66" s="31">
        <f>IF(H$12=0,0,H66/H$12)</f>
        <v>0</v>
      </c>
      <c r="K66" s="16"/>
      <c r="L66" s="32">
        <f>+D66-H66</f>
        <v>6446.8899999999994</v>
      </c>
      <c r="M66" s="16"/>
      <c r="N66" s="31">
        <f>IF(H66=0,0,L66/H66)</f>
        <v>-10.964098639455781</v>
      </c>
      <c r="O66" s="28"/>
      <c r="P66" s="32">
        <f>SUM(P63:P65)</f>
        <v>-2474.7199999999984</v>
      </c>
      <c r="Q66" s="15"/>
      <c r="R66" s="31">
        <f>IF(P$12=0,0,P66/P$12)</f>
        <v>-4.6801825458799587E-2</v>
      </c>
      <c r="S66" s="15"/>
      <c r="T66" s="32">
        <f>SUM(T63:T65)</f>
        <v>-5292</v>
      </c>
      <c r="U66" s="15"/>
      <c r="V66" s="31">
        <f>IF(T$12=0,0,T66/T$12)</f>
        <v>0</v>
      </c>
      <c r="W66" s="16"/>
      <c r="X66" s="32">
        <f>+P66-T66</f>
        <v>2817.2800000000016</v>
      </c>
      <c r="Y66" s="16"/>
      <c r="Z66" s="31">
        <f>IF(T66=0,0,X66/T66)</f>
        <v>-0.53236583522297842</v>
      </c>
    </row>
    <row r="67" spans="1:26" ht="15" customHeight="1" x14ac:dyDescent="0.3">
      <c r="A67" s="10"/>
      <c r="C67" s="10"/>
      <c r="D67" s="19"/>
      <c r="E67" s="19"/>
      <c r="G67" s="19"/>
      <c r="H67" s="19"/>
      <c r="I67" s="19"/>
      <c r="J67" s="40"/>
      <c r="K67" s="19"/>
      <c r="L67" s="19"/>
      <c r="M67" s="19"/>
      <c r="P67" s="19"/>
      <c r="Q67" s="19"/>
      <c r="R67" s="40"/>
      <c r="S67" s="19"/>
      <c r="T67" s="19"/>
      <c r="U67" s="19"/>
      <c r="V67" s="40"/>
      <c r="W67" s="19"/>
      <c r="X67" s="19"/>
    </row>
    <row r="68" spans="1:26" ht="15" customHeight="1" x14ac:dyDescent="0.3">
      <c r="A68" s="10"/>
      <c r="B68" s="51">
        <v>44663.047665428239</v>
      </c>
      <c r="D68" s="19"/>
      <c r="E68" s="19"/>
      <c r="G68" s="19"/>
      <c r="H68" s="19"/>
      <c r="I68" s="19"/>
      <c r="J68" s="40"/>
      <c r="K68" s="19"/>
      <c r="L68" s="19"/>
      <c r="M68" s="19"/>
      <c r="P68" s="19"/>
      <c r="Q68" s="19"/>
      <c r="R68" s="40"/>
      <c r="S68" s="19"/>
      <c r="T68" s="19"/>
      <c r="U68" s="19"/>
      <c r="V68" s="40"/>
      <c r="W68" s="19"/>
      <c r="X68" s="19"/>
    </row>
    <row r="69" spans="1:26" ht="15" customHeight="1" x14ac:dyDescent="0.3">
      <c r="A69" s="10"/>
      <c r="B69" s="58" t="s">
        <v>298</v>
      </c>
      <c r="D69" s="19"/>
      <c r="E69" s="19"/>
      <c r="G69" s="19"/>
      <c r="H69" s="19"/>
      <c r="I69" s="19"/>
      <c r="J69" s="40"/>
      <c r="K69" s="19"/>
      <c r="L69" s="19"/>
      <c r="M69" s="19"/>
      <c r="P69" s="19"/>
      <c r="Q69" s="19"/>
      <c r="R69" s="40"/>
      <c r="S69" s="19"/>
      <c r="T69" s="19"/>
      <c r="U69" s="19"/>
      <c r="V69" s="40"/>
      <c r="W69" s="19"/>
      <c r="X69" s="19"/>
    </row>
    <row r="70" spans="1:26" ht="15" customHeight="1" x14ac:dyDescent="0.3">
      <c r="A70" s="10"/>
      <c r="B70" s="50"/>
      <c r="D70" s="19"/>
      <c r="E70" s="19"/>
      <c r="G70" s="19"/>
      <c r="H70" s="19"/>
      <c r="I70" s="19"/>
      <c r="J70" s="40"/>
      <c r="K70" s="19"/>
      <c r="L70" s="19"/>
      <c r="M70" s="19"/>
      <c r="P70" s="19"/>
      <c r="Q70" s="19"/>
      <c r="R70" s="40"/>
      <c r="S70" s="19"/>
      <c r="T70" s="19"/>
      <c r="U70" s="19"/>
      <c r="V70" s="40"/>
      <c r="W70" s="19"/>
      <c r="X70" s="19"/>
    </row>
    <row r="71" spans="1:26" ht="15" customHeight="1" x14ac:dyDescent="0.3">
      <c r="D71" s="19"/>
      <c r="E71" s="19"/>
      <c r="G71" s="19"/>
      <c r="H71" s="19"/>
      <c r="I71" s="19"/>
      <c r="J71" s="40"/>
      <c r="K71" s="19"/>
      <c r="L71" s="19"/>
      <c r="M71" s="19"/>
      <c r="P71" s="19"/>
      <c r="Q71" s="19"/>
      <c r="R71" s="40"/>
      <c r="S71" s="19"/>
      <c r="T71" s="19"/>
      <c r="U71" s="19"/>
      <c r="V71" s="40"/>
      <c r="W71" s="19"/>
      <c r="X71" s="19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6878BF-9E9D-EE08-5759-5BCAD1400445}">
  <sheetPr>
    <tabColor rgb="FF92D050"/>
    <outlinePr summaryBelow="0" summaryRight="0"/>
  </sheetPr>
  <dimension ref="A2:Z88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6" customWidth="1"/>
    <col min="2" max="2" width="33.44140625" style="66" customWidth="1"/>
    <col min="3" max="3" width="1.88671875" style="66" customWidth="1"/>
    <col min="4" max="4" width="15" style="66" customWidth="1"/>
    <col min="5" max="5" width="1.88671875" style="66" customWidth="1" outlineLevel="1"/>
    <col min="6" max="6" width="15" style="67" customWidth="1" outlineLevel="1"/>
    <col min="7" max="7" width="1.88671875" style="66" customWidth="1" outlineLevel="1"/>
    <col min="8" max="8" width="15" style="66" customWidth="1" outlineLevel="1"/>
    <col min="9" max="9" width="1.88671875" style="66" customWidth="1" outlineLevel="1"/>
    <col min="10" max="10" width="15" style="68" customWidth="1" outlineLevel="1"/>
    <col min="11" max="11" width="1.88671875" style="66" customWidth="1" outlineLevel="1"/>
    <col min="12" max="12" width="15" style="66" customWidth="1" outlineLevel="1"/>
    <col min="13" max="13" width="1.88671875" style="66" customWidth="1" outlineLevel="1"/>
    <col min="14" max="14" width="15" style="67" customWidth="1" outlineLevel="1"/>
    <col min="15" max="15" width="1.88671875" style="64" customWidth="1"/>
    <col min="16" max="16" width="15" style="66" customWidth="1"/>
    <col min="17" max="17" width="1.88671875" style="66" customWidth="1" outlineLevel="1"/>
    <col min="18" max="18" width="15" style="68" customWidth="1" outlineLevel="1"/>
    <col min="19" max="19" width="1.88671875" style="66" customWidth="1" outlineLevel="1"/>
    <col min="20" max="20" width="15" style="66" customWidth="1" outlineLevel="1"/>
    <col min="21" max="21" width="1.88671875" style="66" customWidth="1" outlineLevel="1"/>
    <col min="22" max="22" width="15" style="68" customWidth="1" outlineLevel="1"/>
    <col min="23" max="23" width="1.88671875" style="66" customWidth="1" outlineLevel="1"/>
    <col min="24" max="24" width="15" style="66" customWidth="1" outlineLevel="1"/>
    <col min="25" max="25" width="1.88671875" style="66" customWidth="1" outlineLevel="1"/>
    <col min="26" max="26" width="15" style="68" customWidth="1" outlineLevel="1"/>
  </cols>
  <sheetData>
    <row r="2" spans="1:26" ht="15" customHeight="1" x14ac:dyDescent="0.3">
      <c r="D2" s="54" t="s">
        <v>276</v>
      </c>
    </row>
    <row r="3" spans="1:26" ht="15" customHeight="1" x14ac:dyDescent="0.3">
      <c r="D3" s="54" t="s">
        <v>277</v>
      </c>
      <c r="E3" s="18"/>
      <c r="F3" s="44"/>
      <c r="G3" s="18"/>
      <c r="H3" s="18"/>
      <c r="I3" s="18"/>
      <c r="J3" s="38"/>
      <c r="K3" s="18"/>
      <c r="L3" s="18"/>
      <c r="M3" s="18"/>
      <c r="N3" s="44"/>
      <c r="O3" s="53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ht="15" customHeight="1" x14ac:dyDescent="0.3">
      <c r="D4" s="54" t="str">
        <f>CONCATENATE("Period ",RIGHT(202209,2),", ",2022)</f>
        <v>Period 09, 2022</v>
      </c>
      <c r="E4" s="18"/>
      <c r="F4" s="44"/>
      <c r="G4" s="18"/>
      <c r="H4" s="18"/>
      <c r="I4" s="18"/>
      <c r="J4" s="38"/>
      <c r="K4" s="18"/>
      <c r="L4" s="18"/>
      <c r="M4" s="18"/>
      <c r="N4" s="44"/>
      <c r="O4" s="53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ht="15" customHeight="1" x14ac:dyDescent="0.3">
      <c r="A5" s="24"/>
      <c r="D5" s="60">
        <v>44646</v>
      </c>
      <c r="E5" s="18"/>
      <c r="F5" s="44"/>
      <c r="G5" s="18"/>
      <c r="H5" s="18"/>
      <c r="I5" s="18"/>
      <c r="J5" s="38"/>
      <c r="K5" s="18"/>
      <c r="L5" s="18"/>
      <c r="M5" s="18"/>
      <c r="N5" s="44"/>
      <c r="O5" s="53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ht="15" customHeight="1" x14ac:dyDescent="0.3">
      <c r="A6" s="24"/>
      <c r="B6" s="47"/>
      <c r="C6" s="47"/>
      <c r="D6" s="24" t="str">
        <f>CONCATENATE("Department ","321"," - ","Corner Market")</f>
        <v>Department 321 - Corner Market</v>
      </c>
      <c r="E6" s="18"/>
      <c r="F6" s="44"/>
      <c r="G6" s="18"/>
      <c r="H6" s="18"/>
      <c r="I6" s="18"/>
      <c r="J6" s="38"/>
      <c r="K6" s="18"/>
      <c r="L6" s="18"/>
      <c r="M6" s="18"/>
      <c r="N6" s="44"/>
      <c r="O6" s="59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ht="15" customHeight="1" x14ac:dyDescent="0.3">
      <c r="B7" s="52"/>
    </row>
    <row r="8" spans="1:26" ht="15" customHeight="1" x14ac:dyDescent="0.3">
      <c r="B8" s="52"/>
    </row>
    <row r="9" spans="1:26" ht="15" customHeight="1" x14ac:dyDescent="0.3">
      <c r="B9" s="10"/>
      <c r="C9" s="10"/>
      <c r="D9" s="17" t="s">
        <v>279</v>
      </c>
      <c r="E9" s="17"/>
      <c r="F9" s="36"/>
      <c r="G9" s="17"/>
      <c r="H9" s="17"/>
      <c r="I9" s="17"/>
      <c r="J9" s="43"/>
      <c r="K9" s="17"/>
      <c r="L9" s="17"/>
      <c r="M9" s="17"/>
      <c r="N9" s="36"/>
      <c r="P9" s="17" t="s">
        <v>280</v>
      </c>
      <c r="Q9" s="17"/>
      <c r="R9" s="36"/>
      <c r="S9" s="17"/>
      <c r="T9" s="17"/>
      <c r="U9" s="17"/>
      <c r="V9" s="43"/>
      <c r="W9" s="17"/>
      <c r="X9" s="17"/>
      <c r="Y9" s="17"/>
      <c r="Z9" s="36"/>
    </row>
    <row r="10" spans="1:26" ht="15" customHeight="1" x14ac:dyDescent="0.3">
      <c r="A10" s="11"/>
      <c r="B10" s="57"/>
      <c r="C10" s="11"/>
      <c r="D10" s="41" t="s">
        <v>281</v>
      </c>
      <c r="E10" s="33"/>
      <c r="F10" s="37" t="s">
        <v>282</v>
      </c>
      <c r="G10" s="33"/>
      <c r="H10" s="48" t="s">
        <v>283</v>
      </c>
      <c r="I10" s="33"/>
      <c r="J10" s="45" t="s">
        <v>284</v>
      </c>
      <c r="K10" s="11"/>
      <c r="L10" s="41" t="s">
        <v>285</v>
      </c>
      <c r="M10" s="11"/>
      <c r="N10" s="37" t="s">
        <v>286</v>
      </c>
      <c r="O10" s="11"/>
      <c r="P10" s="56" t="s">
        <v>281</v>
      </c>
      <c r="Q10" s="33"/>
      <c r="R10" s="37" t="s">
        <v>282</v>
      </c>
      <c r="S10" s="33"/>
      <c r="T10" s="48" t="s">
        <v>283</v>
      </c>
      <c r="U10" s="33"/>
      <c r="V10" s="45" t="s">
        <v>284</v>
      </c>
      <c r="W10" s="11"/>
      <c r="X10" s="41" t="s">
        <v>285</v>
      </c>
      <c r="Y10" s="11"/>
      <c r="Z10" s="37" t="s">
        <v>286</v>
      </c>
    </row>
    <row r="11" spans="1:26" ht="16.5" customHeight="1" x14ac:dyDescent="0.3">
      <c r="A11" s="10"/>
      <c r="B11" s="55"/>
      <c r="C11" s="10"/>
      <c r="D11" s="10"/>
      <c r="E11" s="10"/>
      <c r="F11" s="9"/>
      <c r="G11" s="10"/>
      <c r="H11" s="10"/>
      <c r="I11" s="10"/>
      <c r="J11" s="46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6"/>
      <c r="W11" s="10"/>
      <c r="X11" s="10"/>
      <c r="Y11" s="10"/>
      <c r="Z11" s="9"/>
    </row>
    <row r="12" spans="1:26" s="63" customFormat="1" ht="15" customHeight="1" collapsed="1" x14ac:dyDescent="0.3">
      <c r="A12" s="11"/>
      <c r="B12" s="28" t="s">
        <v>287</v>
      </c>
      <c r="C12" s="11"/>
      <c r="D12" s="5">
        <f>SUM(OSRRefD13x_0)</f>
        <v>36646.61</v>
      </c>
      <c r="E12" s="5"/>
      <c r="F12" s="13"/>
      <c r="G12" s="5"/>
      <c r="H12" s="5">
        <f>SUM(OSRRefH13x_0)</f>
        <v>27729</v>
      </c>
      <c r="I12" s="5"/>
      <c r="J12" s="13"/>
      <c r="K12" s="5"/>
      <c r="L12" s="5">
        <f>+D12-H12</f>
        <v>8917.61</v>
      </c>
      <c r="M12" s="5"/>
      <c r="N12" s="13">
        <f>IF(H12=0,0,L12/H12)</f>
        <v>0.32159868729488983</v>
      </c>
      <c r="O12" s="11"/>
      <c r="P12" s="5">
        <f>SUM(OSRRefP13x_0)</f>
        <v>62393.020000000004</v>
      </c>
      <c r="Q12" s="5"/>
      <c r="R12" s="13"/>
      <c r="S12" s="5"/>
      <c r="T12" s="5">
        <f>SUM(OSRRefT13x_0)</f>
        <v>115108</v>
      </c>
      <c r="U12" s="5"/>
      <c r="V12" s="13"/>
      <c r="W12" s="5"/>
      <c r="X12" s="5">
        <f>+P12-T12</f>
        <v>-52714.979999999996</v>
      </c>
      <c r="Y12" s="5"/>
      <c r="Z12" s="13">
        <f>IF(T12=0,0,X12/T12)</f>
        <v>-0.45796104527921599</v>
      </c>
    </row>
    <row r="13" spans="1:26" s="70" customFormat="1" ht="15" hidden="1" customHeight="1" outlineLevel="1" x14ac:dyDescent="0.3">
      <c r="A13" s="42"/>
      <c r="B13" s="12" t="str">
        <f>CONCATENATE("          ","4000"," - ","TAXABLE SALES")</f>
        <v xml:space="preserve">          4000 - TAXABLE SALES</v>
      </c>
      <c r="C13" s="12"/>
      <c r="D13" s="3">
        <f>--5809.27</f>
        <v>5809.27</v>
      </c>
      <c r="E13" s="3"/>
      <c r="F13" s="20"/>
      <c r="G13" s="3"/>
      <c r="H13" s="3">
        <v>6439</v>
      </c>
      <c r="I13" s="3"/>
      <c r="J13" s="20"/>
      <c r="K13" s="3"/>
      <c r="L13" s="3">
        <f>+D13-H13</f>
        <v>-629.72999999999956</v>
      </c>
      <c r="M13" s="3"/>
      <c r="N13" s="20">
        <f>IF(H13=0,0,L13/H13)</f>
        <v>-9.7799347724801922E-2</v>
      </c>
      <c r="O13" s="12"/>
      <c r="P13" s="3">
        <f>--10185.08</f>
        <v>10185.08</v>
      </c>
      <c r="Q13" s="3"/>
      <c r="R13" s="20"/>
      <c r="S13" s="3"/>
      <c r="T13" s="3">
        <v>26729</v>
      </c>
      <c r="U13" s="3"/>
      <c r="V13" s="20"/>
      <c r="W13" s="3"/>
      <c r="X13" s="3">
        <f>+P13-T13</f>
        <v>-16543.919999999998</v>
      </c>
      <c r="Y13" s="3"/>
      <c r="Z13" s="20">
        <f>IF(T13=0,0,X13/T13)</f>
        <v>-0.61895020389838751</v>
      </c>
    </row>
    <row r="14" spans="1:26" s="70" customFormat="1" ht="15" hidden="1" customHeight="1" outlineLevel="1" x14ac:dyDescent="0.3">
      <c r="A14" s="42"/>
      <c r="B14" s="12" t="str">
        <f>CONCATENATE("          ","4100"," - ","NON-TAXABLE SALES")</f>
        <v xml:space="preserve">          4100 - NON-TAXABLE SALES</v>
      </c>
      <c r="C14" s="12"/>
      <c r="D14" s="3">
        <f>--30837.34</f>
        <v>30837.34</v>
      </c>
      <c r="E14" s="3"/>
      <c r="F14" s="20"/>
      <c r="G14" s="3"/>
      <c r="H14" s="3">
        <v>21290</v>
      </c>
      <c r="I14" s="3"/>
      <c r="J14" s="20"/>
      <c r="K14" s="3"/>
      <c r="L14" s="3">
        <f>+D14-H14</f>
        <v>9547.34</v>
      </c>
      <c r="M14" s="3"/>
      <c r="N14" s="20">
        <f>IF(H14=0,0,L14/H14)</f>
        <v>0.44844246124941289</v>
      </c>
      <c r="O14" s="12"/>
      <c r="P14" s="3">
        <f>--52207.94</f>
        <v>52207.94</v>
      </c>
      <c r="Q14" s="3"/>
      <c r="R14" s="20"/>
      <c r="S14" s="3"/>
      <c r="T14" s="3">
        <v>88379</v>
      </c>
      <c r="U14" s="3"/>
      <c r="V14" s="20"/>
      <c r="W14" s="3"/>
      <c r="X14" s="3">
        <f>+P14-T14</f>
        <v>-36171.06</v>
      </c>
      <c r="Y14" s="3"/>
      <c r="Z14" s="20">
        <f>IF(T14=0,0,X14/T14)</f>
        <v>-0.40927211215333958</v>
      </c>
    </row>
    <row r="15" spans="1:26" ht="15" customHeight="1" x14ac:dyDescent="0.3">
      <c r="A15" s="10"/>
      <c r="B15" s="11"/>
      <c r="C15" s="10"/>
      <c r="D15" s="4"/>
      <c r="E15" s="4"/>
      <c r="F15" s="9"/>
      <c r="G15" s="4"/>
      <c r="H15" s="4"/>
      <c r="I15" s="4"/>
      <c r="J15" s="9"/>
      <c r="K15" s="4"/>
      <c r="L15" s="4"/>
      <c r="M15" s="4"/>
      <c r="N15" s="9"/>
      <c r="P15" s="4"/>
      <c r="Q15" s="4"/>
      <c r="R15" s="9"/>
      <c r="S15" s="4"/>
      <c r="T15" s="4"/>
      <c r="U15" s="4"/>
      <c r="V15" s="9"/>
      <c r="W15" s="4"/>
      <c r="X15" s="4"/>
      <c r="Y15" s="4"/>
      <c r="Z15" s="9"/>
    </row>
    <row r="16" spans="1:26" s="63" customFormat="1" ht="15" customHeight="1" collapsed="1" x14ac:dyDescent="0.3">
      <c r="A16" s="11"/>
      <c r="B16" s="28" t="s">
        <v>288</v>
      </c>
      <c r="C16" s="11"/>
      <c r="D16" s="5">
        <f>SUM(OSRRefD16x_0)</f>
        <v>17846.71</v>
      </c>
      <c r="E16" s="5"/>
      <c r="F16" s="13">
        <f>IF(D$12=0,0,D16/D$12)</f>
        <v>0.48699484072333016</v>
      </c>
      <c r="G16" s="5"/>
      <c r="H16" s="5">
        <f>SUM(OSRRefH16x_0)</f>
        <v>13587</v>
      </c>
      <c r="I16" s="5"/>
      <c r="J16" s="13">
        <f>IF(H$12=0,0,H16/H$12)</f>
        <v>0.48999242670128745</v>
      </c>
      <c r="K16" s="5"/>
      <c r="L16" s="5">
        <f>+D16-H16</f>
        <v>4259.7099999999991</v>
      </c>
      <c r="M16" s="5"/>
      <c r="N16" s="13">
        <f>IF(H16=0,0,L16/H16)</f>
        <v>0.3135136527563111</v>
      </c>
      <c r="O16" s="11"/>
      <c r="P16" s="5">
        <f>SUM(OSRRefP16x_0)</f>
        <v>39101.769999999997</v>
      </c>
      <c r="Q16" s="5"/>
      <c r="R16" s="13">
        <f>IF(P$12=0,0,P16/P$12)</f>
        <v>0.62670103162180635</v>
      </c>
      <c r="S16" s="5"/>
      <c r="T16" s="5">
        <f>SUM(OSRRefT16x_0)</f>
        <v>56402</v>
      </c>
      <c r="U16" s="5"/>
      <c r="V16" s="13">
        <f>IF(T$12=0,0,T16/T$12)</f>
        <v>0.48999200750599436</v>
      </c>
      <c r="W16" s="5"/>
      <c r="X16" s="5">
        <f>+P16-T16</f>
        <v>-17300.230000000003</v>
      </c>
      <c r="Y16" s="5"/>
      <c r="Z16" s="13">
        <f>IF(T16=0,0,X16/T16)</f>
        <v>-0.30673078968830897</v>
      </c>
    </row>
    <row r="17" spans="1:26" s="70" customFormat="1" ht="15" hidden="1" customHeight="1" outlineLevel="1" x14ac:dyDescent="0.3">
      <c r="A17" s="42"/>
      <c r="B17" s="12" t="str">
        <f>CONCATENATE("          ","5000"," - ","PURCHASES @ COST")</f>
        <v xml:space="preserve">          5000 - PURCHASES @ COST</v>
      </c>
      <c r="C17" s="12"/>
      <c r="D17" s="3">
        <v>4647</v>
      </c>
      <c r="E17" s="3"/>
      <c r="F17" s="20">
        <f>IF(D$12=0,0,D17/D$12)</f>
        <v>0.12680572636868731</v>
      </c>
      <c r="G17" s="3"/>
      <c r="H17" s="3">
        <v>13587</v>
      </c>
      <c r="I17" s="3"/>
      <c r="J17" s="20">
        <f>IF(H$12=0,0,H17/H$12)</f>
        <v>0.48999242670128745</v>
      </c>
      <c r="K17" s="3"/>
      <c r="L17" s="3">
        <f>+D17-H17</f>
        <v>-8940</v>
      </c>
      <c r="M17" s="3"/>
      <c r="N17" s="20">
        <f>IF(H17=0,0,L17/H17)</f>
        <v>-0.65798189445793775</v>
      </c>
      <c r="O17" s="12"/>
      <c r="P17" s="3">
        <v>-5566</v>
      </c>
      <c r="Q17" s="3"/>
      <c r="R17" s="20">
        <f>IF(P$12=0,0,P17/P$12)</f>
        <v>-8.9208696742039406E-2</v>
      </c>
      <c r="S17" s="3"/>
      <c r="T17" s="3">
        <v>56402</v>
      </c>
      <c r="U17" s="3"/>
      <c r="V17" s="20">
        <f>IF(T$12=0,0,T17/T$12)</f>
        <v>0.48999200750599436</v>
      </c>
      <c r="W17" s="3"/>
      <c r="X17" s="3">
        <f>+P17-T17</f>
        <v>-61968</v>
      </c>
      <c r="Y17" s="3"/>
      <c r="Z17" s="20">
        <f>IF(T17=0,0,X17/T17)</f>
        <v>-1.0986844438140491</v>
      </c>
    </row>
    <row r="18" spans="1:26" s="70" customFormat="1" ht="15" hidden="1" customHeight="1" outlineLevel="1" x14ac:dyDescent="0.3">
      <c r="A18" s="42"/>
      <c r="B18" s="12" t="str">
        <f>CONCATENATE("          ","5059"," - ","PURCHASES @ COST-FOOD")</f>
        <v xml:space="preserve">          5059 - PURCHASES @ COST-FOOD</v>
      </c>
      <c r="C18" s="12"/>
      <c r="D18" s="3">
        <v>13199.71</v>
      </c>
      <c r="E18" s="3"/>
      <c r="F18" s="20">
        <f>IF(D$12=0,0,D18/D$12)</f>
        <v>0.36018911435464285</v>
      </c>
      <c r="G18" s="3"/>
      <c r="H18" s="3"/>
      <c r="I18" s="3"/>
      <c r="J18" s="20">
        <f>IF(H$12=0,0,H18/H$12)</f>
        <v>0</v>
      </c>
      <c r="K18" s="3"/>
      <c r="L18" s="3">
        <f>+D18-H18</f>
        <v>13199.71</v>
      </c>
      <c r="M18" s="3"/>
      <c r="N18" s="20">
        <f>IF(H18=0,0,L18/H18)</f>
        <v>0</v>
      </c>
      <c r="O18" s="12"/>
      <c r="P18" s="3">
        <v>44667.77</v>
      </c>
      <c r="Q18" s="3"/>
      <c r="R18" s="20">
        <f>IF(P$12=0,0,P18/P$12)</f>
        <v>0.7159097283638457</v>
      </c>
      <c r="S18" s="3"/>
      <c r="T18" s="3"/>
      <c r="U18" s="3"/>
      <c r="V18" s="20">
        <f>IF(T$12=0,0,T18/T$12)</f>
        <v>0</v>
      </c>
      <c r="W18" s="3"/>
      <c r="X18" s="3">
        <f>+P18-T18</f>
        <v>44667.77</v>
      </c>
      <c r="Y18" s="3"/>
      <c r="Z18" s="20">
        <f>IF(T18=0,0,X18/T18)</f>
        <v>0</v>
      </c>
    </row>
    <row r="19" spans="1:26" ht="15" customHeight="1" x14ac:dyDescent="0.3">
      <c r="A19" s="10"/>
      <c r="B19" s="11"/>
      <c r="C19" s="11"/>
      <c r="D19" s="4"/>
      <c r="E19" s="4"/>
      <c r="F19" s="9"/>
      <c r="G19" s="4"/>
      <c r="H19" s="4"/>
      <c r="I19" s="4"/>
      <c r="J19" s="9"/>
      <c r="K19" s="4"/>
      <c r="L19" s="4"/>
      <c r="M19" s="4"/>
      <c r="N19" s="9"/>
      <c r="O19" s="11"/>
      <c r="P19" s="4"/>
      <c r="Q19" s="4"/>
      <c r="R19" s="9"/>
      <c r="S19" s="4"/>
      <c r="T19" s="4"/>
      <c r="U19" s="4"/>
      <c r="V19" s="9"/>
      <c r="W19" s="4"/>
      <c r="X19" s="4"/>
      <c r="Y19" s="4"/>
      <c r="Z19" s="9"/>
    </row>
    <row r="20" spans="1:26" s="63" customFormat="1" ht="15" customHeight="1" x14ac:dyDescent="0.3">
      <c r="A20" s="11"/>
      <c r="B20" s="27" t="s">
        <v>289</v>
      </c>
      <c r="C20" s="27"/>
      <c r="D20" s="21">
        <f>D12-D16</f>
        <v>18799.900000000001</v>
      </c>
      <c r="E20" s="15"/>
      <c r="F20" s="23">
        <f>IF(D$12=0,0,D20/D$12)</f>
        <v>0.51300515927666979</v>
      </c>
      <c r="G20" s="15"/>
      <c r="H20" s="21">
        <f>H12-H16</f>
        <v>14142</v>
      </c>
      <c r="I20" s="15"/>
      <c r="J20" s="23">
        <f>IF(H$12=0,0,H20/H$12)</f>
        <v>0.51000757329871249</v>
      </c>
      <c r="K20" s="16"/>
      <c r="L20" s="21">
        <f>+D20-H20</f>
        <v>4657.9000000000015</v>
      </c>
      <c r="M20" s="16"/>
      <c r="N20" s="23">
        <f>IF(H20=0,0,L20/H20)</f>
        <v>0.32936642624805557</v>
      </c>
      <c r="O20" s="28"/>
      <c r="P20" s="21">
        <f>P12-P16</f>
        <v>23291.250000000007</v>
      </c>
      <c r="Q20" s="15"/>
      <c r="R20" s="23">
        <f>IF(P$12=0,0,P20/P$12)</f>
        <v>0.37329896837819365</v>
      </c>
      <c r="S20" s="15"/>
      <c r="T20" s="21">
        <f>T12-T16</f>
        <v>58706</v>
      </c>
      <c r="U20" s="15"/>
      <c r="V20" s="23">
        <f>IF(T$12=0,0,T20/T$12)</f>
        <v>0.51000799249400564</v>
      </c>
      <c r="W20" s="16"/>
      <c r="X20" s="21">
        <f>+P20-T20</f>
        <v>-35414.749999999993</v>
      </c>
      <c r="Y20" s="16"/>
      <c r="Z20" s="23">
        <f>IF(T20=0,0,X20/T20)</f>
        <v>-0.6032560555990869</v>
      </c>
    </row>
    <row r="21" spans="1:26" ht="15" customHeight="1" x14ac:dyDescent="0.3">
      <c r="A21" s="10"/>
      <c r="B21" s="11"/>
      <c r="C21" s="10"/>
      <c r="D21" s="2"/>
      <c r="E21" s="2"/>
      <c r="F21" s="6"/>
      <c r="G21" s="2"/>
      <c r="H21" s="2"/>
      <c r="I21" s="2"/>
      <c r="J21" s="6"/>
      <c r="K21" s="2"/>
      <c r="L21" s="2"/>
      <c r="M21" s="2"/>
      <c r="N21" s="6"/>
      <c r="O21" s="35"/>
      <c r="P21" s="2"/>
      <c r="Q21" s="2"/>
      <c r="R21" s="6"/>
      <c r="S21" s="2"/>
      <c r="T21" s="2"/>
      <c r="U21" s="2"/>
      <c r="V21" s="6"/>
      <c r="W21" s="2"/>
      <c r="X21" s="2"/>
      <c r="Y21" s="2"/>
      <c r="Z21" s="6"/>
    </row>
    <row r="22" spans="1:26" s="63" customFormat="1" ht="15" customHeight="1" x14ac:dyDescent="0.3">
      <c r="A22" s="11"/>
      <c r="B22" s="28" t="s">
        <v>290</v>
      </c>
      <c r="C22" s="11"/>
      <c r="D22" s="22" cm="1">
        <f t="array" ref="D22">SUM(OSRRefD22x_0)</f>
        <v>15319.380000000003</v>
      </c>
      <c r="E22" s="22"/>
      <c r="F22" s="30">
        <f t="shared" ref="F22:F53" si="0">IF(D$12=0,0,D22/D$12)</f>
        <v>0.41802993510177344</v>
      </c>
      <c r="G22" s="22"/>
      <c r="H22" s="22" cm="1">
        <f t="array" ref="H22">SUM(OSRRefH22x_0)</f>
        <v>8891.6191252499993</v>
      </c>
      <c r="I22" s="22"/>
      <c r="J22" s="30">
        <f t="shared" ref="J22:J53" si="1">IF(H$12=0,0,H22/H$12)</f>
        <v>0.32066136987449961</v>
      </c>
      <c r="K22" s="5"/>
      <c r="L22" s="22">
        <f t="shared" ref="L22:L53" si="2">+D22-H22</f>
        <v>6427.7608747500035</v>
      </c>
      <c r="M22" s="5"/>
      <c r="N22" s="30">
        <f t="shared" ref="N22:N53" si="3">IF(H22=0,0,L22/H22)</f>
        <v>0.72290105819948502</v>
      </c>
      <c r="O22" s="11"/>
      <c r="P22" s="22" cm="1">
        <f t="array" ref="P22">SUM(OSRRefP22x_0)</f>
        <v>50369.450000000004</v>
      </c>
      <c r="Q22" s="22"/>
      <c r="R22" s="30">
        <f t="shared" ref="R22:R53" si="4">IF(P$12=0,0,P22/P$12)</f>
        <v>0.80729302732901853</v>
      </c>
      <c r="S22" s="22"/>
      <c r="T22" s="22" cm="1">
        <f t="array" ref="T22">SUM(OSRRefT22x_0)</f>
        <v>68209.289319500007</v>
      </c>
      <c r="U22" s="22"/>
      <c r="V22" s="30">
        <f t="shared" ref="V22:V53" si="5">IF(T$12=0,0,T22/T$12)</f>
        <v>0.59256775653733895</v>
      </c>
      <c r="W22" s="5"/>
      <c r="X22" s="22">
        <f t="shared" ref="X22:X53" si="6">+P22-T22</f>
        <v>-17839.839319500003</v>
      </c>
      <c r="Y22" s="5"/>
      <c r="Z22" s="30">
        <f t="shared" ref="Z22:Z53" si="7">IF(T22=0,0,X22/T22)</f>
        <v>-0.26154559734431748</v>
      </c>
    </row>
    <row r="23" spans="1:26" s="69" customFormat="1" ht="15" customHeight="1" outlineLevel="1" collapsed="1" x14ac:dyDescent="0.3">
      <c r="A23" s="25"/>
      <c r="B23" s="14" t="str">
        <f>CONCATENATE("     ","*Benefits                                         ")</f>
        <v xml:space="preserve">     *Benefits                                         </v>
      </c>
      <c r="C23" s="14"/>
      <c r="D23" s="2">
        <f>SUM(OSRRefD22_0x_0)</f>
        <v>2967.29</v>
      </c>
      <c r="E23" s="2"/>
      <c r="F23" s="6">
        <f t="shared" si="0"/>
        <v>8.097038170788512E-2</v>
      </c>
      <c r="G23" s="2"/>
      <c r="H23" s="2">
        <f>SUM(OSRRefH22_0x_0)</f>
        <v>375.91087525</v>
      </c>
      <c r="I23" s="2"/>
      <c r="J23" s="6">
        <f t="shared" si="1"/>
        <v>1.3556596893144361E-2</v>
      </c>
      <c r="K23" s="2"/>
      <c r="L23" s="2">
        <f t="shared" si="2"/>
        <v>2591.3791247499998</v>
      </c>
      <c r="M23" s="2"/>
      <c r="N23" s="6">
        <f t="shared" si="3"/>
        <v>6.8935997742193544</v>
      </c>
      <c r="O23" s="14"/>
      <c r="P23" s="2">
        <f>SUM(OSRRefP22_0x_0)</f>
        <v>9254.98</v>
      </c>
      <c r="Q23" s="2"/>
      <c r="R23" s="6">
        <f t="shared" si="4"/>
        <v>0.14833357962156662</v>
      </c>
      <c r="S23" s="2"/>
      <c r="T23" s="2">
        <f>SUM(OSRRefT22_0x_0)</f>
        <v>3528.3438194999999</v>
      </c>
      <c r="U23" s="2"/>
      <c r="V23" s="6">
        <f t="shared" si="5"/>
        <v>3.0652463942558293E-2</v>
      </c>
      <c r="W23" s="2"/>
      <c r="X23" s="2">
        <f t="shared" si="6"/>
        <v>5726.6361804999997</v>
      </c>
      <c r="Y23" s="2"/>
      <c r="Z23" s="6">
        <f t="shared" si="7"/>
        <v>1.6230380239167053</v>
      </c>
    </row>
    <row r="24" spans="1:26" s="70" customFormat="1" ht="15" hidden="1" customHeight="1" outlineLevel="2" x14ac:dyDescent="0.3">
      <c r="A24" s="26"/>
      <c r="B24" s="12" t="str">
        <f>CONCATENATE("          ","6111"," - ","F.I.C.A.")</f>
        <v xml:space="preserve">          6111 - F.I.C.A.</v>
      </c>
      <c r="C24" s="12"/>
      <c r="D24" s="7">
        <v>629.99</v>
      </c>
      <c r="E24" s="3"/>
      <c r="F24" s="8">
        <f t="shared" si="0"/>
        <v>1.719094890359572E-2</v>
      </c>
      <c r="G24" s="3"/>
      <c r="H24" s="7">
        <v>108.70512524999999</v>
      </c>
      <c r="I24" s="3"/>
      <c r="J24" s="8">
        <f t="shared" si="1"/>
        <v>3.9202685004868544E-3</v>
      </c>
      <c r="K24" s="3"/>
      <c r="L24" s="7">
        <f t="shared" si="2"/>
        <v>521.28487474999997</v>
      </c>
      <c r="M24" s="3"/>
      <c r="N24" s="8">
        <f t="shared" si="3"/>
        <v>4.7954029173063297</v>
      </c>
      <c r="O24" s="12"/>
      <c r="P24" s="7">
        <v>1657.61</v>
      </c>
      <c r="Q24" s="3"/>
      <c r="R24" s="8">
        <f t="shared" si="4"/>
        <v>2.6567234604127188E-2</v>
      </c>
      <c r="S24" s="3"/>
      <c r="T24" s="7">
        <v>1096.5333195000001</v>
      </c>
      <c r="U24" s="3"/>
      <c r="V24" s="8">
        <f t="shared" si="5"/>
        <v>9.5261260685616991E-3</v>
      </c>
      <c r="W24" s="3"/>
      <c r="X24" s="7">
        <f t="shared" si="6"/>
        <v>561.07668049999984</v>
      </c>
      <c r="Y24" s="3"/>
      <c r="Z24" s="8">
        <f t="shared" si="7"/>
        <v>0.51168229047142955</v>
      </c>
    </row>
    <row r="25" spans="1:26" s="70" customFormat="1" ht="15" hidden="1" customHeight="1" outlineLevel="2" x14ac:dyDescent="0.3">
      <c r="A25" s="26"/>
      <c r="B25" s="12" t="str">
        <f>CONCATENATE("          ","6112"," - ","COMPENSATION INSURANCE")</f>
        <v xml:space="preserve">          6112 - COMPENSATION INSURANCE</v>
      </c>
      <c r="C25" s="12"/>
      <c r="D25" s="7">
        <v>152.65</v>
      </c>
      <c r="E25" s="3"/>
      <c r="F25" s="8">
        <f t="shared" si="0"/>
        <v>4.1654603249795825E-3</v>
      </c>
      <c r="G25" s="3"/>
      <c r="H25" s="7">
        <v>144.67282750000001</v>
      </c>
      <c r="I25" s="3"/>
      <c r="J25" s="8">
        <f t="shared" si="1"/>
        <v>5.2173835154531358E-3</v>
      </c>
      <c r="K25" s="3"/>
      <c r="L25" s="7">
        <f t="shared" si="2"/>
        <v>7.9771724999999947</v>
      </c>
      <c r="M25" s="3"/>
      <c r="N25" s="8">
        <f t="shared" si="3"/>
        <v>5.5139397202975067E-2</v>
      </c>
      <c r="O25" s="12"/>
      <c r="P25" s="7">
        <v>374.31</v>
      </c>
      <c r="Q25" s="3"/>
      <c r="R25" s="8">
        <f t="shared" si="4"/>
        <v>5.9992287598837173E-3</v>
      </c>
      <c r="S25" s="3"/>
      <c r="T25" s="7">
        <v>1316.651685</v>
      </c>
      <c r="U25" s="3"/>
      <c r="V25" s="8">
        <f t="shared" si="5"/>
        <v>1.14384029346353E-2</v>
      </c>
      <c r="W25" s="3"/>
      <c r="X25" s="7">
        <f t="shared" si="6"/>
        <v>-942.3416850000001</v>
      </c>
      <c r="Y25" s="3"/>
      <c r="Z25" s="8">
        <f t="shared" si="7"/>
        <v>-0.71571068927010872</v>
      </c>
    </row>
    <row r="26" spans="1:26" s="70" customFormat="1" ht="15" hidden="1" customHeight="1" outlineLevel="2" x14ac:dyDescent="0.3">
      <c r="A26" s="26"/>
      <c r="B26" s="12" t="str">
        <f>CONCATENATE("          ","6113"," - ","GROUP INSURANCE")</f>
        <v xml:space="preserve">          6113 - GROUP INSURANCE</v>
      </c>
      <c r="C26" s="12"/>
      <c r="D26" s="7">
        <v>1284.4100000000001</v>
      </c>
      <c r="E26" s="3"/>
      <c r="F26" s="8">
        <f t="shared" si="0"/>
        <v>3.5048535185109891E-2</v>
      </c>
      <c r="G26" s="3"/>
      <c r="H26" s="7">
        <v>0</v>
      </c>
      <c r="I26" s="3"/>
      <c r="J26" s="8">
        <f t="shared" si="1"/>
        <v>0</v>
      </c>
      <c r="K26" s="3"/>
      <c r="L26" s="7">
        <f t="shared" si="2"/>
        <v>1284.4100000000001</v>
      </c>
      <c r="M26" s="3"/>
      <c r="N26" s="8">
        <f t="shared" si="3"/>
        <v>0</v>
      </c>
      <c r="O26" s="12"/>
      <c r="P26" s="7">
        <v>3887.07</v>
      </c>
      <c r="Q26" s="3"/>
      <c r="R26" s="8">
        <f t="shared" si="4"/>
        <v>6.2299757248487089E-2</v>
      </c>
      <c r="S26" s="3"/>
      <c r="T26" s="7">
        <v>0</v>
      </c>
      <c r="U26" s="3"/>
      <c r="V26" s="8">
        <f t="shared" si="5"/>
        <v>0</v>
      </c>
      <c r="W26" s="3"/>
      <c r="X26" s="7">
        <f t="shared" si="6"/>
        <v>3887.07</v>
      </c>
      <c r="Y26" s="3"/>
      <c r="Z26" s="8">
        <f t="shared" si="7"/>
        <v>0</v>
      </c>
    </row>
    <row r="27" spans="1:26" s="70" customFormat="1" ht="15" hidden="1" customHeight="1" outlineLevel="2" x14ac:dyDescent="0.3">
      <c r="A27" s="26"/>
      <c r="B27" s="12" t="str">
        <f>CONCATENATE("          ","6114"," - ","STATE UNEMPLOYMENT INSURANCE")</f>
        <v xml:space="preserve">          6114 - STATE UNEMPLOYMENT INSURANCE</v>
      </c>
      <c r="C27" s="12"/>
      <c r="D27" s="7">
        <v>26.82</v>
      </c>
      <c r="E27" s="3"/>
      <c r="F27" s="8">
        <f t="shared" si="0"/>
        <v>7.3185487006847288E-4</v>
      </c>
      <c r="G27" s="3"/>
      <c r="H27" s="7">
        <v>8.0161724999999997</v>
      </c>
      <c r="I27" s="3"/>
      <c r="J27" s="8">
        <f t="shared" si="1"/>
        <v>2.8908985177972517E-4</v>
      </c>
      <c r="K27" s="3"/>
      <c r="L27" s="7">
        <f t="shared" si="2"/>
        <v>18.803827500000001</v>
      </c>
      <c r="M27" s="3"/>
      <c r="N27" s="8">
        <f t="shared" si="3"/>
        <v>2.3457363847896238</v>
      </c>
      <c r="O27" s="12"/>
      <c r="P27" s="7">
        <v>64.02</v>
      </c>
      <c r="Q27" s="3"/>
      <c r="R27" s="8">
        <f t="shared" si="4"/>
        <v>1.0260763143056706E-3</v>
      </c>
      <c r="S27" s="3"/>
      <c r="T27" s="7">
        <v>72.954314999999994</v>
      </c>
      <c r="U27" s="3"/>
      <c r="V27" s="8">
        <f t="shared" si="5"/>
        <v>6.3379013621989774E-4</v>
      </c>
      <c r="W27" s="3"/>
      <c r="X27" s="7">
        <f t="shared" si="6"/>
        <v>-8.934314999999998</v>
      </c>
      <c r="Y27" s="3"/>
      <c r="Z27" s="8">
        <f t="shared" si="7"/>
        <v>-0.12246451769165399</v>
      </c>
    </row>
    <row r="28" spans="1:26" s="70" customFormat="1" ht="15" hidden="1" customHeight="1" outlineLevel="2" x14ac:dyDescent="0.3">
      <c r="A28" s="26"/>
      <c r="B28" s="12" t="str">
        <f>CONCATENATE("          ","6115"," - ","P.E.R.S.")</f>
        <v xml:space="preserve">          6115 - P.E.R.S.</v>
      </c>
      <c r="C28" s="12"/>
      <c r="D28" s="7"/>
      <c r="E28" s="3"/>
      <c r="F28" s="8">
        <f t="shared" si="0"/>
        <v>0</v>
      </c>
      <c r="G28" s="3"/>
      <c r="H28" s="7">
        <v>0</v>
      </c>
      <c r="I28" s="3"/>
      <c r="J28" s="8">
        <f t="shared" si="1"/>
        <v>0</v>
      </c>
      <c r="K28" s="3"/>
      <c r="L28" s="7">
        <f t="shared" si="2"/>
        <v>0</v>
      </c>
      <c r="M28" s="3"/>
      <c r="N28" s="8">
        <f t="shared" si="3"/>
        <v>0</v>
      </c>
      <c r="O28" s="12"/>
      <c r="P28" s="7"/>
      <c r="Q28" s="3"/>
      <c r="R28" s="8">
        <f t="shared" si="4"/>
        <v>0</v>
      </c>
      <c r="S28" s="3"/>
      <c r="T28" s="7">
        <v>0</v>
      </c>
      <c r="U28" s="3"/>
      <c r="V28" s="8">
        <f t="shared" si="5"/>
        <v>0</v>
      </c>
      <c r="W28" s="3"/>
      <c r="X28" s="7">
        <f t="shared" si="6"/>
        <v>0</v>
      </c>
      <c r="Y28" s="3"/>
      <c r="Z28" s="8">
        <f t="shared" si="7"/>
        <v>0</v>
      </c>
    </row>
    <row r="29" spans="1:26" s="70" customFormat="1" ht="15" hidden="1" customHeight="1" outlineLevel="2" x14ac:dyDescent="0.3">
      <c r="A29" s="26"/>
      <c r="B29" s="12" t="str">
        <f>CONCATENATE("          ","6116"," - ","EDUCATIONAL BENEFITS")</f>
        <v xml:space="preserve">          6116 - EDUCATIONAL BENEFITS</v>
      </c>
      <c r="C29" s="12"/>
      <c r="D29" s="7"/>
      <c r="E29" s="3"/>
      <c r="F29" s="8">
        <f t="shared" si="0"/>
        <v>0</v>
      </c>
      <c r="G29" s="3"/>
      <c r="H29" s="7">
        <v>0</v>
      </c>
      <c r="I29" s="3"/>
      <c r="J29" s="8">
        <f t="shared" si="1"/>
        <v>0</v>
      </c>
      <c r="K29" s="3"/>
      <c r="L29" s="7">
        <f t="shared" si="2"/>
        <v>0</v>
      </c>
      <c r="M29" s="3"/>
      <c r="N29" s="8">
        <f t="shared" si="3"/>
        <v>0</v>
      </c>
      <c r="O29" s="12"/>
      <c r="P29" s="7"/>
      <c r="Q29" s="3"/>
      <c r="R29" s="8">
        <f t="shared" si="4"/>
        <v>0</v>
      </c>
      <c r="S29" s="3"/>
      <c r="T29" s="7">
        <v>0</v>
      </c>
      <c r="U29" s="3"/>
      <c r="V29" s="8">
        <f t="shared" si="5"/>
        <v>0</v>
      </c>
      <c r="W29" s="3"/>
      <c r="X29" s="7">
        <f t="shared" si="6"/>
        <v>0</v>
      </c>
      <c r="Y29" s="3"/>
      <c r="Z29" s="8">
        <f t="shared" si="7"/>
        <v>0</v>
      </c>
    </row>
    <row r="30" spans="1:26" s="70" customFormat="1" ht="15" hidden="1" customHeight="1" outlineLevel="2" x14ac:dyDescent="0.3">
      <c r="A30" s="26"/>
      <c r="B30" s="12" t="str">
        <f>CONCATENATE("          ","6117"," - ","RETIREMENT STAFF HOURLY")</f>
        <v xml:space="preserve">          6117 - RETIREMENT STAFF HOURLY</v>
      </c>
      <c r="C30" s="12"/>
      <c r="D30" s="7">
        <v>294.60000000000002</v>
      </c>
      <c r="E30" s="3"/>
      <c r="F30" s="8">
        <f t="shared" si="0"/>
        <v>8.0389427562331146E-3</v>
      </c>
      <c r="G30" s="3"/>
      <c r="H30" s="7"/>
      <c r="I30" s="3"/>
      <c r="J30" s="8">
        <f t="shared" si="1"/>
        <v>0</v>
      </c>
      <c r="K30" s="3"/>
      <c r="L30" s="7">
        <f t="shared" si="2"/>
        <v>294.60000000000002</v>
      </c>
      <c r="M30" s="3"/>
      <c r="N30" s="8">
        <f t="shared" si="3"/>
        <v>0</v>
      </c>
      <c r="O30" s="12"/>
      <c r="P30" s="7">
        <v>757.03</v>
      </c>
      <c r="Q30" s="3"/>
      <c r="R30" s="8">
        <f t="shared" si="4"/>
        <v>1.2133248238344609E-2</v>
      </c>
      <c r="S30" s="3"/>
      <c r="T30" s="7"/>
      <c r="U30" s="3"/>
      <c r="V30" s="8">
        <f t="shared" si="5"/>
        <v>0</v>
      </c>
      <c r="W30" s="3"/>
      <c r="X30" s="7">
        <f t="shared" si="6"/>
        <v>757.03</v>
      </c>
      <c r="Y30" s="3"/>
      <c r="Z30" s="8">
        <f t="shared" si="7"/>
        <v>0</v>
      </c>
    </row>
    <row r="31" spans="1:26" s="70" customFormat="1" ht="15" hidden="1" customHeight="1" outlineLevel="2" x14ac:dyDescent="0.3">
      <c r="A31" s="26"/>
      <c r="B31" s="12" t="str">
        <f>CONCATENATE("          ","6118"," - ","VACATION")</f>
        <v xml:space="preserve">          6118 - VACATION</v>
      </c>
      <c r="C31" s="12"/>
      <c r="D31" s="7">
        <v>163.24</v>
      </c>
      <c r="E31" s="3"/>
      <c r="F31" s="8">
        <f t="shared" si="0"/>
        <v>4.4544365768075141E-3</v>
      </c>
      <c r="G31" s="3"/>
      <c r="H31" s="7">
        <v>0</v>
      </c>
      <c r="I31" s="3"/>
      <c r="J31" s="8">
        <f t="shared" si="1"/>
        <v>0</v>
      </c>
      <c r="K31" s="3"/>
      <c r="L31" s="7">
        <f t="shared" si="2"/>
        <v>163.24</v>
      </c>
      <c r="M31" s="3"/>
      <c r="N31" s="8">
        <f t="shared" si="3"/>
        <v>0</v>
      </c>
      <c r="O31" s="12"/>
      <c r="P31" s="7">
        <v>734.58</v>
      </c>
      <c r="Q31" s="3"/>
      <c r="R31" s="8">
        <f t="shared" si="4"/>
        <v>1.1773432348682594E-2</v>
      </c>
      <c r="S31" s="3"/>
      <c r="T31" s="7">
        <v>0</v>
      </c>
      <c r="U31" s="3"/>
      <c r="V31" s="8">
        <f t="shared" si="5"/>
        <v>0</v>
      </c>
      <c r="W31" s="3"/>
      <c r="X31" s="7">
        <f t="shared" si="6"/>
        <v>734.58</v>
      </c>
      <c r="Y31" s="3"/>
      <c r="Z31" s="8">
        <f t="shared" si="7"/>
        <v>0</v>
      </c>
    </row>
    <row r="32" spans="1:26" s="70" customFormat="1" ht="15" hidden="1" customHeight="1" outlineLevel="2" x14ac:dyDescent="0.3">
      <c r="A32" s="26"/>
      <c r="B32" s="12" t="str">
        <f>CONCATENATE("          ","6119"," - ","SICK LEAVE")</f>
        <v xml:space="preserve">          6119 - SICK LEAVE</v>
      </c>
      <c r="C32" s="12"/>
      <c r="D32" s="7">
        <v>195.58</v>
      </c>
      <c r="E32" s="3"/>
      <c r="F32" s="8">
        <f t="shared" si="0"/>
        <v>5.3369192948542858E-3</v>
      </c>
      <c r="G32" s="3"/>
      <c r="H32" s="7">
        <v>114.51675</v>
      </c>
      <c r="I32" s="3"/>
      <c r="J32" s="8">
        <f t="shared" si="1"/>
        <v>4.1298550254246459E-3</v>
      </c>
      <c r="K32" s="3"/>
      <c r="L32" s="7">
        <f t="shared" si="2"/>
        <v>81.063250000000011</v>
      </c>
      <c r="M32" s="3"/>
      <c r="N32" s="8">
        <f t="shared" si="3"/>
        <v>0.70787242914246173</v>
      </c>
      <c r="O32" s="12"/>
      <c r="P32" s="7">
        <v>880.11</v>
      </c>
      <c r="Q32" s="3"/>
      <c r="R32" s="8">
        <f t="shared" si="4"/>
        <v>1.410590479511971E-2</v>
      </c>
      <c r="S32" s="3"/>
      <c r="T32" s="7">
        <v>1042.2045000000001</v>
      </c>
      <c r="U32" s="3"/>
      <c r="V32" s="8">
        <f t="shared" si="5"/>
        <v>9.054144803141399E-3</v>
      </c>
      <c r="W32" s="3"/>
      <c r="X32" s="7">
        <f t="shared" si="6"/>
        <v>-162.09450000000004</v>
      </c>
      <c r="Y32" s="3"/>
      <c r="Z32" s="8">
        <f t="shared" si="7"/>
        <v>-0.1555304165353345</v>
      </c>
    </row>
    <row r="33" spans="1:26" s="70" customFormat="1" ht="15" hidden="1" customHeight="1" outlineLevel="2" x14ac:dyDescent="0.3">
      <c r="A33" s="26"/>
      <c r="B33" s="12" t="str">
        <f>CONCATENATE("          ","6156"," - ","EMPLOYEE MEALS")</f>
        <v xml:space="preserve">          6156 - EMPLOYEE MEALS</v>
      </c>
      <c r="C33" s="12"/>
      <c r="D33" s="7">
        <v>220</v>
      </c>
      <c r="E33" s="3"/>
      <c r="F33" s="8">
        <f t="shared" si="0"/>
        <v>6.003283796236541E-3</v>
      </c>
      <c r="G33" s="3"/>
      <c r="H33" s="7"/>
      <c r="I33" s="3"/>
      <c r="J33" s="8">
        <f t="shared" si="1"/>
        <v>0</v>
      </c>
      <c r="K33" s="3"/>
      <c r="L33" s="7">
        <f t="shared" si="2"/>
        <v>220</v>
      </c>
      <c r="M33" s="3"/>
      <c r="N33" s="8">
        <f t="shared" si="3"/>
        <v>0</v>
      </c>
      <c r="O33" s="12"/>
      <c r="P33" s="7">
        <v>900.25</v>
      </c>
      <c r="Q33" s="3"/>
      <c r="R33" s="8">
        <f t="shared" si="4"/>
        <v>1.4428697312616057E-2</v>
      </c>
      <c r="S33" s="3"/>
      <c r="T33" s="7"/>
      <c r="U33" s="3"/>
      <c r="V33" s="8">
        <f t="shared" si="5"/>
        <v>0</v>
      </c>
      <c r="W33" s="3"/>
      <c r="X33" s="7">
        <f t="shared" si="6"/>
        <v>900.25</v>
      </c>
      <c r="Y33" s="3"/>
      <c r="Z33" s="8">
        <f t="shared" si="7"/>
        <v>0</v>
      </c>
    </row>
    <row r="34" spans="1:26" s="69" customFormat="1" ht="15" customHeight="1" outlineLevel="1" collapsed="1" x14ac:dyDescent="0.3">
      <c r="A34" s="25"/>
      <c r="B34" s="14" t="str">
        <f>CONCATENATE("     ","*Payroll                                          ")</f>
        <v xml:space="preserve">     *Payroll                                          </v>
      </c>
      <c r="C34" s="14"/>
      <c r="D34" s="2">
        <f>SUM(OSRRefD22_1x_0)</f>
        <v>10505.5</v>
      </c>
      <c r="E34" s="2"/>
      <c r="F34" s="6">
        <f t="shared" si="0"/>
        <v>0.28667044509710449</v>
      </c>
      <c r="G34" s="2"/>
      <c r="H34" s="2">
        <f>SUM(OSRRefH22_1x_0)</f>
        <v>3702.7082500000001</v>
      </c>
      <c r="I34" s="2"/>
      <c r="J34" s="6">
        <f t="shared" si="1"/>
        <v>0.13353197915539688</v>
      </c>
      <c r="K34" s="2"/>
      <c r="L34" s="2">
        <f t="shared" si="2"/>
        <v>6802.7917500000003</v>
      </c>
      <c r="M34" s="2"/>
      <c r="N34" s="6">
        <f t="shared" si="3"/>
        <v>1.8372475741236161</v>
      </c>
      <c r="O34" s="14"/>
      <c r="P34" s="2">
        <f>SUM(OSRRefP22_1x_0)</f>
        <v>27661.13</v>
      </c>
      <c r="Q34" s="2"/>
      <c r="R34" s="6">
        <f t="shared" si="4"/>
        <v>0.44333693095798216</v>
      </c>
      <c r="S34" s="2"/>
      <c r="T34" s="2">
        <f>SUM(OSRRefT22_1x_0)</f>
        <v>33697.945500000002</v>
      </c>
      <c r="U34" s="2"/>
      <c r="V34" s="6">
        <f t="shared" si="5"/>
        <v>0.29275068196823856</v>
      </c>
      <c r="W34" s="2"/>
      <c r="X34" s="2">
        <f t="shared" si="6"/>
        <v>-6036.8155000000006</v>
      </c>
      <c r="Y34" s="2"/>
      <c r="Z34" s="6">
        <f t="shared" si="7"/>
        <v>-0.17914491255854159</v>
      </c>
    </row>
    <row r="35" spans="1:26" s="70" customFormat="1" ht="15" hidden="1" customHeight="1" outlineLevel="2" x14ac:dyDescent="0.3">
      <c r="A35" s="26"/>
      <c r="B35" s="12" t="str">
        <f>CONCATENATE("          ","6001"," - ","ADMINISTRATIVE SALARIES")</f>
        <v xml:space="preserve">          6001 - ADMINISTRATIVE SALARIES</v>
      </c>
      <c r="C35" s="12"/>
      <c r="D35" s="7"/>
      <c r="E35" s="3"/>
      <c r="F35" s="8">
        <f t="shared" si="0"/>
        <v>0</v>
      </c>
      <c r="G35" s="3"/>
      <c r="H35" s="7">
        <v>0</v>
      </c>
      <c r="I35" s="3"/>
      <c r="J35" s="8">
        <f t="shared" si="1"/>
        <v>0</v>
      </c>
      <c r="K35" s="3"/>
      <c r="L35" s="7">
        <f t="shared" si="2"/>
        <v>0</v>
      </c>
      <c r="M35" s="3"/>
      <c r="N35" s="8">
        <f t="shared" si="3"/>
        <v>0</v>
      </c>
      <c r="O35" s="12"/>
      <c r="P35" s="7"/>
      <c r="Q35" s="3"/>
      <c r="R35" s="8">
        <f t="shared" si="4"/>
        <v>0</v>
      </c>
      <c r="S35" s="3"/>
      <c r="T35" s="7">
        <v>0</v>
      </c>
      <c r="U35" s="3"/>
      <c r="V35" s="8">
        <f t="shared" si="5"/>
        <v>0</v>
      </c>
      <c r="W35" s="3"/>
      <c r="X35" s="7">
        <f t="shared" si="6"/>
        <v>0</v>
      </c>
      <c r="Y35" s="3"/>
      <c r="Z35" s="8">
        <f t="shared" si="7"/>
        <v>0</v>
      </c>
    </row>
    <row r="36" spans="1:26" s="70" customFormat="1" ht="15" hidden="1" customHeight="1" outlineLevel="2" x14ac:dyDescent="0.3">
      <c r="A36" s="26"/>
      <c r="B36" s="12" t="str">
        <f>CONCATENATE("          ","6002"," - ","STAFF SALARIES")</f>
        <v xml:space="preserve">          6002 - STAFF SALARIES</v>
      </c>
      <c r="C36" s="12"/>
      <c r="D36" s="7"/>
      <c r="E36" s="3"/>
      <c r="F36" s="8">
        <f t="shared" si="0"/>
        <v>0</v>
      </c>
      <c r="G36" s="3"/>
      <c r="H36" s="7">
        <v>0</v>
      </c>
      <c r="I36" s="3"/>
      <c r="J36" s="8">
        <f t="shared" si="1"/>
        <v>0</v>
      </c>
      <c r="K36" s="3"/>
      <c r="L36" s="7">
        <f t="shared" si="2"/>
        <v>0</v>
      </c>
      <c r="M36" s="3"/>
      <c r="N36" s="8">
        <f t="shared" si="3"/>
        <v>0</v>
      </c>
      <c r="O36" s="12"/>
      <c r="P36" s="7"/>
      <c r="Q36" s="3"/>
      <c r="R36" s="8">
        <f t="shared" si="4"/>
        <v>0</v>
      </c>
      <c r="S36" s="3"/>
      <c r="T36" s="7">
        <v>0</v>
      </c>
      <c r="U36" s="3"/>
      <c r="V36" s="8">
        <f t="shared" si="5"/>
        <v>0</v>
      </c>
      <c r="W36" s="3"/>
      <c r="X36" s="7">
        <f t="shared" si="6"/>
        <v>0</v>
      </c>
      <c r="Y36" s="3"/>
      <c r="Z36" s="8">
        <f t="shared" si="7"/>
        <v>0</v>
      </c>
    </row>
    <row r="37" spans="1:26" s="70" customFormat="1" ht="15" hidden="1" customHeight="1" outlineLevel="2" x14ac:dyDescent="0.3">
      <c r="A37" s="26"/>
      <c r="B37" s="12" t="str">
        <f>CONCATENATE("          ","6003"," - ","STAFF HOURLY-9 MONTH")</f>
        <v xml:space="preserve">          6003 - STAFF HOURLY-9 MONTH</v>
      </c>
      <c r="C37" s="12"/>
      <c r="D37" s="7"/>
      <c r="E37" s="3"/>
      <c r="F37" s="8">
        <f t="shared" si="0"/>
        <v>0</v>
      </c>
      <c r="G37" s="3"/>
      <c r="H37" s="7">
        <v>0</v>
      </c>
      <c r="I37" s="3"/>
      <c r="J37" s="8">
        <f t="shared" si="1"/>
        <v>0</v>
      </c>
      <c r="K37" s="3"/>
      <c r="L37" s="7">
        <f t="shared" si="2"/>
        <v>0</v>
      </c>
      <c r="M37" s="3"/>
      <c r="N37" s="8">
        <f t="shared" si="3"/>
        <v>0</v>
      </c>
      <c r="O37" s="12"/>
      <c r="P37" s="7"/>
      <c r="Q37" s="3"/>
      <c r="R37" s="8">
        <f t="shared" si="4"/>
        <v>0</v>
      </c>
      <c r="S37" s="3"/>
      <c r="T37" s="7">
        <v>0</v>
      </c>
      <c r="U37" s="3"/>
      <c r="V37" s="8">
        <f t="shared" si="5"/>
        <v>0</v>
      </c>
      <c r="W37" s="3"/>
      <c r="X37" s="7">
        <f t="shared" si="6"/>
        <v>0</v>
      </c>
      <c r="Y37" s="3"/>
      <c r="Z37" s="8">
        <f t="shared" si="7"/>
        <v>0</v>
      </c>
    </row>
    <row r="38" spans="1:26" s="70" customFormat="1" ht="15" hidden="1" customHeight="1" outlineLevel="2" x14ac:dyDescent="0.3">
      <c r="A38" s="26"/>
      <c r="B38" s="12" t="str">
        <f>CONCATENATE("          ","6004"," - ","STAFF HOURLY")</f>
        <v xml:space="preserve">          6004 - STAFF HOURLY</v>
      </c>
      <c r="C38" s="12"/>
      <c r="D38" s="7">
        <v>4230.8900000000003</v>
      </c>
      <c r="E38" s="3"/>
      <c r="F38" s="8">
        <f t="shared" si="0"/>
        <v>0.11545106082117829</v>
      </c>
      <c r="G38" s="3"/>
      <c r="H38" s="7">
        <v>1377.8122499999999</v>
      </c>
      <c r="I38" s="3"/>
      <c r="J38" s="8">
        <f t="shared" si="1"/>
        <v>4.9688493995456016E-2</v>
      </c>
      <c r="K38" s="3"/>
      <c r="L38" s="7">
        <f t="shared" si="2"/>
        <v>2853.0777500000004</v>
      </c>
      <c r="M38" s="3"/>
      <c r="N38" s="8">
        <f t="shared" si="3"/>
        <v>2.0707304278939316</v>
      </c>
      <c r="O38" s="12"/>
      <c r="P38" s="7">
        <v>18392.22</v>
      </c>
      <c r="Q38" s="3"/>
      <c r="R38" s="8">
        <f t="shared" si="4"/>
        <v>0.29478008918305287</v>
      </c>
      <c r="S38" s="3"/>
      <c r="T38" s="7">
        <v>13898.3055</v>
      </c>
      <c r="U38" s="3"/>
      <c r="V38" s="8">
        <f t="shared" si="5"/>
        <v>0.12074143847517115</v>
      </c>
      <c r="W38" s="3"/>
      <c r="X38" s="7">
        <f t="shared" si="6"/>
        <v>4493.9145000000008</v>
      </c>
      <c r="Y38" s="3"/>
      <c r="Z38" s="8">
        <f t="shared" si="7"/>
        <v>0.32334261899769007</v>
      </c>
    </row>
    <row r="39" spans="1:26" s="70" customFormat="1" ht="15" hidden="1" customHeight="1" outlineLevel="2" x14ac:dyDescent="0.3">
      <c r="A39" s="26"/>
      <c r="B39" s="12" t="str">
        <f>CONCATENATE("          ","6005"," - ","TEMPORARY WAGES-HOURLY")</f>
        <v xml:space="preserve">          6005 - TEMPORARY WAGES-HOURLY</v>
      </c>
      <c r="C39" s="12"/>
      <c r="D39" s="7"/>
      <c r="E39" s="3"/>
      <c r="F39" s="8">
        <f t="shared" si="0"/>
        <v>0</v>
      </c>
      <c r="G39" s="3"/>
      <c r="H39" s="7">
        <v>0</v>
      </c>
      <c r="I39" s="3"/>
      <c r="J39" s="8">
        <f t="shared" si="1"/>
        <v>0</v>
      </c>
      <c r="K39" s="3"/>
      <c r="L39" s="7">
        <f t="shared" si="2"/>
        <v>0</v>
      </c>
      <c r="M39" s="3"/>
      <c r="N39" s="8">
        <f t="shared" si="3"/>
        <v>0</v>
      </c>
      <c r="O39" s="12"/>
      <c r="P39" s="7">
        <v>638.94000000000005</v>
      </c>
      <c r="Q39" s="3"/>
      <c r="R39" s="8">
        <f t="shared" si="4"/>
        <v>1.0240568576420889E-2</v>
      </c>
      <c r="S39" s="3"/>
      <c r="T39" s="7">
        <v>0</v>
      </c>
      <c r="U39" s="3"/>
      <c r="V39" s="8">
        <f t="shared" si="5"/>
        <v>0</v>
      </c>
      <c r="W39" s="3"/>
      <c r="X39" s="7">
        <f t="shared" si="6"/>
        <v>638.94000000000005</v>
      </c>
      <c r="Y39" s="3"/>
      <c r="Z39" s="8">
        <f t="shared" si="7"/>
        <v>0</v>
      </c>
    </row>
    <row r="40" spans="1:26" s="70" customFormat="1" ht="15" hidden="1" customHeight="1" outlineLevel="2" x14ac:dyDescent="0.3">
      <c r="A40" s="26"/>
      <c r="B40" s="12" t="str">
        <f>CONCATENATE("          ","6006"," - ","TEMPORARY PART TIME")</f>
        <v xml:space="preserve">          6006 - TEMPORARY PART TIME</v>
      </c>
      <c r="C40" s="12"/>
      <c r="D40" s="7">
        <v>1702.24</v>
      </c>
      <c r="E40" s="3"/>
      <c r="F40" s="8">
        <f t="shared" si="0"/>
        <v>4.6450135496844049E-2</v>
      </c>
      <c r="G40" s="3"/>
      <c r="H40" s="7">
        <v>0</v>
      </c>
      <c r="I40" s="3"/>
      <c r="J40" s="8">
        <f t="shared" si="1"/>
        <v>0</v>
      </c>
      <c r="K40" s="3"/>
      <c r="L40" s="7">
        <f t="shared" si="2"/>
        <v>1702.24</v>
      </c>
      <c r="M40" s="3"/>
      <c r="N40" s="8">
        <f t="shared" si="3"/>
        <v>0</v>
      </c>
      <c r="O40" s="12"/>
      <c r="P40" s="7">
        <v>2343.2399999999998</v>
      </c>
      <c r="Q40" s="3"/>
      <c r="R40" s="8">
        <f t="shared" si="4"/>
        <v>3.7556124066442043E-2</v>
      </c>
      <c r="S40" s="3"/>
      <c r="T40" s="7">
        <v>0</v>
      </c>
      <c r="U40" s="3"/>
      <c r="V40" s="8">
        <f t="shared" si="5"/>
        <v>0</v>
      </c>
      <c r="W40" s="3"/>
      <c r="X40" s="7">
        <f t="shared" si="6"/>
        <v>2343.2399999999998</v>
      </c>
      <c r="Y40" s="3"/>
      <c r="Z40" s="8">
        <f t="shared" si="7"/>
        <v>0</v>
      </c>
    </row>
    <row r="41" spans="1:26" s="70" customFormat="1" ht="15" hidden="1" customHeight="1" outlineLevel="2" x14ac:dyDescent="0.3">
      <c r="A41" s="26"/>
      <c r="B41" s="12" t="str">
        <f>CONCATENATE("          ","6007"," - ","STUDENT HOURLY")</f>
        <v xml:space="preserve">          6007 - STUDENT HOURLY</v>
      </c>
      <c r="C41" s="12"/>
      <c r="D41" s="7">
        <v>4041.27</v>
      </c>
      <c r="E41" s="3"/>
      <c r="F41" s="8">
        <f t="shared" si="0"/>
        <v>0.11027677594189476</v>
      </c>
      <c r="G41" s="3"/>
      <c r="H41" s="7">
        <v>0</v>
      </c>
      <c r="I41" s="3"/>
      <c r="J41" s="8">
        <f t="shared" si="1"/>
        <v>0</v>
      </c>
      <c r="K41" s="3"/>
      <c r="L41" s="7">
        <f t="shared" si="2"/>
        <v>4041.27</v>
      </c>
      <c r="M41" s="3"/>
      <c r="N41" s="8">
        <f t="shared" si="3"/>
        <v>0</v>
      </c>
      <c r="O41" s="12"/>
      <c r="P41" s="7">
        <v>5334.38</v>
      </c>
      <c r="Q41" s="3"/>
      <c r="R41" s="8">
        <f t="shared" si="4"/>
        <v>8.5496422516493031E-2</v>
      </c>
      <c r="S41" s="3"/>
      <c r="T41" s="7">
        <v>0</v>
      </c>
      <c r="U41" s="3"/>
      <c r="V41" s="8">
        <f t="shared" si="5"/>
        <v>0</v>
      </c>
      <c r="W41" s="3"/>
      <c r="X41" s="7">
        <f t="shared" si="6"/>
        <v>5334.38</v>
      </c>
      <c r="Y41" s="3"/>
      <c r="Z41" s="8">
        <f t="shared" si="7"/>
        <v>0</v>
      </c>
    </row>
    <row r="42" spans="1:26" s="70" customFormat="1" ht="15" hidden="1" customHeight="1" outlineLevel="2" x14ac:dyDescent="0.3">
      <c r="A42" s="26"/>
      <c r="B42" s="12" t="str">
        <f>CONCATENATE("          ","6008"," - ","STUDENT HOURLY-FICA EXEMPT")</f>
        <v xml:space="preserve">          6008 - STUDENT HOURLY-FICA EXEMPT</v>
      </c>
      <c r="C42" s="12"/>
      <c r="D42" s="7">
        <v>531.1</v>
      </c>
      <c r="E42" s="3"/>
      <c r="F42" s="8">
        <f t="shared" si="0"/>
        <v>1.4492472837187397E-2</v>
      </c>
      <c r="G42" s="3"/>
      <c r="H42" s="7">
        <v>2324.8960000000002</v>
      </c>
      <c r="I42" s="3"/>
      <c r="J42" s="8">
        <f t="shared" si="1"/>
        <v>8.3843485159940861E-2</v>
      </c>
      <c r="K42" s="3"/>
      <c r="L42" s="7">
        <f t="shared" si="2"/>
        <v>-1793.7960000000003</v>
      </c>
      <c r="M42" s="3"/>
      <c r="N42" s="8">
        <f t="shared" si="3"/>
        <v>-0.7715596740671411</v>
      </c>
      <c r="O42" s="12"/>
      <c r="P42" s="7">
        <v>952.35</v>
      </c>
      <c r="Q42" s="3"/>
      <c r="R42" s="8">
        <f t="shared" si="4"/>
        <v>1.5263726615573344E-2</v>
      </c>
      <c r="S42" s="3"/>
      <c r="T42" s="7">
        <v>19799.64</v>
      </c>
      <c r="U42" s="3"/>
      <c r="V42" s="8">
        <f t="shared" si="5"/>
        <v>0.17200924349306737</v>
      </c>
      <c r="W42" s="3"/>
      <c r="X42" s="7">
        <f t="shared" si="6"/>
        <v>-18847.29</v>
      </c>
      <c r="Y42" s="3"/>
      <c r="Z42" s="8">
        <f t="shared" si="7"/>
        <v>-0.95190064061770829</v>
      </c>
    </row>
    <row r="43" spans="1:26" s="70" customFormat="1" ht="15" hidden="1" customHeight="1" outlineLevel="2" x14ac:dyDescent="0.3">
      <c r="A43" s="26"/>
      <c r="B43" s="12" t="str">
        <f>CONCATENATE("          ","6009"," - ","TEMPORARY-SEASONAL")</f>
        <v xml:space="preserve">          6009 - TEMPORARY-SEASONAL</v>
      </c>
      <c r="C43" s="12"/>
      <c r="D43" s="7"/>
      <c r="E43" s="3"/>
      <c r="F43" s="8">
        <f t="shared" si="0"/>
        <v>0</v>
      </c>
      <c r="G43" s="3"/>
      <c r="H43" s="7">
        <v>0</v>
      </c>
      <c r="I43" s="3"/>
      <c r="J43" s="8">
        <f t="shared" si="1"/>
        <v>0</v>
      </c>
      <c r="K43" s="3"/>
      <c r="L43" s="7">
        <f t="shared" si="2"/>
        <v>0</v>
      </c>
      <c r="M43" s="3"/>
      <c r="N43" s="8">
        <f t="shared" si="3"/>
        <v>0</v>
      </c>
      <c r="O43" s="12"/>
      <c r="P43" s="7"/>
      <c r="Q43" s="3"/>
      <c r="R43" s="8">
        <f t="shared" si="4"/>
        <v>0</v>
      </c>
      <c r="S43" s="3"/>
      <c r="T43" s="7">
        <v>0</v>
      </c>
      <c r="U43" s="3"/>
      <c r="V43" s="8">
        <f t="shared" si="5"/>
        <v>0</v>
      </c>
      <c r="W43" s="3"/>
      <c r="X43" s="7">
        <f t="shared" si="6"/>
        <v>0</v>
      </c>
      <c r="Y43" s="3"/>
      <c r="Z43" s="8">
        <f t="shared" si="7"/>
        <v>0</v>
      </c>
    </row>
    <row r="44" spans="1:26" s="70" customFormat="1" ht="15" hidden="1" customHeight="1" outlineLevel="2" x14ac:dyDescent="0.3">
      <c r="A44" s="26"/>
      <c r="B44" s="12" t="str">
        <f>CONCATENATE("          ","6010"," - ","GRATUITY")</f>
        <v xml:space="preserve">          6010 - GRATUITY</v>
      </c>
      <c r="C44" s="12"/>
      <c r="D44" s="7"/>
      <c r="E44" s="3"/>
      <c r="F44" s="8">
        <f t="shared" si="0"/>
        <v>0</v>
      </c>
      <c r="G44" s="3"/>
      <c r="H44" s="7">
        <v>0</v>
      </c>
      <c r="I44" s="3"/>
      <c r="J44" s="8">
        <f t="shared" si="1"/>
        <v>0</v>
      </c>
      <c r="K44" s="3"/>
      <c r="L44" s="7">
        <f t="shared" si="2"/>
        <v>0</v>
      </c>
      <c r="M44" s="3"/>
      <c r="N44" s="8">
        <f t="shared" si="3"/>
        <v>0</v>
      </c>
      <c r="O44" s="12"/>
      <c r="P44" s="7"/>
      <c r="Q44" s="3"/>
      <c r="R44" s="8">
        <f t="shared" si="4"/>
        <v>0</v>
      </c>
      <c r="S44" s="3"/>
      <c r="T44" s="7">
        <v>0</v>
      </c>
      <c r="U44" s="3"/>
      <c r="V44" s="8">
        <f t="shared" si="5"/>
        <v>0</v>
      </c>
      <c r="W44" s="3"/>
      <c r="X44" s="7">
        <f t="shared" si="6"/>
        <v>0</v>
      </c>
      <c r="Y44" s="3"/>
      <c r="Z44" s="8">
        <f t="shared" si="7"/>
        <v>0</v>
      </c>
    </row>
    <row r="45" spans="1:26" s="69" customFormat="1" ht="15" customHeight="1" outlineLevel="1" collapsed="1" x14ac:dyDescent="0.3">
      <c r="A45" s="25"/>
      <c r="B45" s="14" t="str">
        <f>CONCATENATE("     ","Advertising/Promo                                 ")</f>
        <v xml:space="preserve">     Advertising/Promo                                 </v>
      </c>
      <c r="C45" s="14"/>
      <c r="D45" s="2">
        <f>SUM(OSRRefD22_2x_0)</f>
        <v>2.19</v>
      </c>
      <c r="E45" s="2"/>
      <c r="F45" s="6">
        <f t="shared" si="0"/>
        <v>5.9759961426172841E-5</v>
      </c>
      <c r="G45" s="2"/>
      <c r="H45" s="2">
        <f>SUM(OSRRefH22_2x_0)</f>
        <v>0</v>
      </c>
      <c r="I45" s="2"/>
      <c r="J45" s="6">
        <f t="shared" si="1"/>
        <v>0</v>
      </c>
      <c r="K45" s="2"/>
      <c r="L45" s="2">
        <f t="shared" si="2"/>
        <v>2.19</v>
      </c>
      <c r="M45" s="2"/>
      <c r="N45" s="6">
        <f t="shared" si="3"/>
        <v>0</v>
      </c>
      <c r="O45" s="14"/>
      <c r="P45" s="2">
        <f>SUM(OSRRefP22_2x_0)</f>
        <v>487.64</v>
      </c>
      <c r="Q45" s="2"/>
      <c r="R45" s="6">
        <f t="shared" si="4"/>
        <v>7.815617836738788E-3</v>
      </c>
      <c r="S45" s="2"/>
      <c r="T45" s="2">
        <f>SUM(OSRRefT22_2x_0)</f>
        <v>0</v>
      </c>
      <c r="U45" s="2"/>
      <c r="V45" s="6">
        <f t="shared" si="5"/>
        <v>0</v>
      </c>
      <c r="W45" s="2"/>
      <c r="X45" s="2">
        <f t="shared" si="6"/>
        <v>487.64</v>
      </c>
      <c r="Y45" s="2"/>
      <c r="Z45" s="6">
        <f t="shared" si="7"/>
        <v>0</v>
      </c>
    </row>
    <row r="46" spans="1:26" s="70" customFormat="1" ht="15" hidden="1" customHeight="1" outlineLevel="2" x14ac:dyDescent="0.3">
      <c r="A46" s="26"/>
      <c r="B46" s="12" t="str">
        <f>CONCATENATE("          ","6362"," - ","ADVERTISING EXPENSE")</f>
        <v xml:space="preserve">          6362 - ADVERTISING EXPENSE</v>
      </c>
      <c r="C46" s="12"/>
      <c r="D46" s="7">
        <v>2.19</v>
      </c>
      <c r="E46" s="3"/>
      <c r="F46" s="8">
        <f t="shared" si="0"/>
        <v>5.9759961426172841E-5</v>
      </c>
      <c r="G46" s="3"/>
      <c r="H46" s="7">
        <v>0</v>
      </c>
      <c r="I46" s="3"/>
      <c r="J46" s="8">
        <f t="shared" si="1"/>
        <v>0</v>
      </c>
      <c r="K46" s="3"/>
      <c r="L46" s="7">
        <f t="shared" si="2"/>
        <v>2.19</v>
      </c>
      <c r="M46" s="3"/>
      <c r="N46" s="8">
        <f t="shared" si="3"/>
        <v>0</v>
      </c>
      <c r="O46" s="12"/>
      <c r="P46" s="7">
        <v>487.64</v>
      </c>
      <c r="Q46" s="3"/>
      <c r="R46" s="8">
        <f t="shared" si="4"/>
        <v>7.815617836738788E-3</v>
      </c>
      <c r="S46" s="3"/>
      <c r="T46" s="7">
        <v>0</v>
      </c>
      <c r="U46" s="3"/>
      <c r="V46" s="8">
        <f t="shared" si="5"/>
        <v>0</v>
      </c>
      <c r="W46" s="3"/>
      <c r="X46" s="7">
        <f t="shared" si="6"/>
        <v>487.64</v>
      </c>
      <c r="Y46" s="3"/>
      <c r="Z46" s="8">
        <f t="shared" si="7"/>
        <v>0</v>
      </c>
    </row>
    <row r="47" spans="1:26" s="69" customFormat="1" ht="15" customHeight="1" outlineLevel="1" collapsed="1" x14ac:dyDescent="0.3">
      <c r="A47" s="25"/>
      <c r="B47" s="14" t="str">
        <f>CONCATENATE("     ","Bad Debts/Over/Short                              ")</f>
        <v xml:space="preserve">     Bad Debts/Over/Short                              </v>
      </c>
      <c r="C47" s="14"/>
      <c r="D47" s="2">
        <f>SUM(OSRRefD22_3x_0)</f>
        <v>-0.96</v>
      </c>
      <c r="E47" s="2"/>
      <c r="F47" s="6">
        <f t="shared" si="0"/>
        <v>-2.6196147474486725E-5</v>
      </c>
      <c r="G47" s="2"/>
      <c r="H47" s="2">
        <f>SUM(OSRRefH22_3x_0)</f>
        <v>0</v>
      </c>
      <c r="I47" s="2"/>
      <c r="J47" s="6">
        <f t="shared" si="1"/>
        <v>0</v>
      </c>
      <c r="K47" s="2"/>
      <c r="L47" s="2">
        <f t="shared" si="2"/>
        <v>-0.96</v>
      </c>
      <c r="M47" s="2"/>
      <c r="N47" s="6">
        <f t="shared" si="3"/>
        <v>0</v>
      </c>
      <c r="O47" s="14"/>
      <c r="P47" s="2">
        <f>SUM(OSRRefP22_3x_0)</f>
        <v>-6.65</v>
      </c>
      <c r="Q47" s="2"/>
      <c r="R47" s="6">
        <f t="shared" si="4"/>
        <v>-1.065824350223791E-4</v>
      </c>
      <c r="S47" s="2"/>
      <c r="T47" s="2">
        <f>SUM(OSRRefT22_3x_0)</f>
        <v>0</v>
      </c>
      <c r="U47" s="2"/>
      <c r="V47" s="6">
        <f t="shared" si="5"/>
        <v>0</v>
      </c>
      <c r="W47" s="2"/>
      <c r="X47" s="2">
        <f t="shared" si="6"/>
        <v>-6.65</v>
      </c>
      <c r="Y47" s="2"/>
      <c r="Z47" s="6">
        <f t="shared" si="7"/>
        <v>0</v>
      </c>
    </row>
    <row r="48" spans="1:26" s="70" customFormat="1" ht="15" hidden="1" customHeight="1" outlineLevel="2" x14ac:dyDescent="0.3">
      <c r="A48" s="26"/>
      <c r="B48" s="12" t="str">
        <f>CONCATENATE("          ","6272"," - ","CASH (OVER/SHORT)")</f>
        <v xml:space="preserve">          6272 - CASH (OVER/SHORT)</v>
      </c>
      <c r="C48" s="12"/>
      <c r="D48" s="7">
        <v>-0.96</v>
      </c>
      <c r="E48" s="3"/>
      <c r="F48" s="8">
        <f t="shared" si="0"/>
        <v>-2.6196147474486725E-5</v>
      </c>
      <c r="G48" s="3"/>
      <c r="H48" s="7"/>
      <c r="I48" s="3"/>
      <c r="J48" s="8">
        <f t="shared" si="1"/>
        <v>0</v>
      </c>
      <c r="K48" s="3"/>
      <c r="L48" s="7">
        <f t="shared" si="2"/>
        <v>-0.96</v>
      </c>
      <c r="M48" s="3"/>
      <c r="N48" s="8">
        <f t="shared" si="3"/>
        <v>0</v>
      </c>
      <c r="O48" s="12"/>
      <c r="P48" s="7">
        <v>-6.65</v>
      </c>
      <c r="Q48" s="3"/>
      <c r="R48" s="8">
        <f t="shared" si="4"/>
        <v>-1.065824350223791E-4</v>
      </c>
      <c r="S48" s="3"/>
      <c r="T48" s="7"/>
      <c r="U48" s="3"/>
      <c r="V48" s="8">
        <f t="shared" si="5"/>
        <v>0</v>
      </c>
      <c r="W48" s="3"/>
      <c r="X48" s="7">
        <f t="shared" si="6"/>
        <v>-6.65</v>
      </c>
      <c r="Y48" s="3"/>
      <c r="Z48" s="8">
        <f t="shared" si="7"/>
        <v>0</v>
      </c>
    </row>
    <row r="49" spans="1:26" s="69" customFormat="1" ht="15" customHeight="1" outlineLevel="1" collapsed="1" x14ac:dyDescent="0.3">
      <c r="A49" s="25"/>
      <c r="B49" s="14" t="str">
        <f>CONCATENATE("     ","Bank/card Fees                                    ")</f>
        <v xml:space="preserve">     Bank/card Fees                                    </v>
      </c>
      <c r="C49" s="14"/>
      <c r="D49" s="2">
        <f>SUM(OSRRefD22_4x_0)</f>
        <v>1462</v>
      </c>
      <c r="E49" s="2"/>
      <c r="F49" s="6">
        <f t="shared" si="0"/>
        <v>3.9894549591353745E-2</v>
      </c>
      <c r="G49" s="2"/>
      <c r="H49" s="2">
        <f>SUM(OSRRefH22_4x_0)</f>
        <v>946</v>
      </c>
      <c r="I49" s="2"/>
      <c r="J49" s="6">
        <f t="shared" si="1"/>
        <v>3.4115907533629052E-2</v>
      </c>
      <c r="K49" s="2"/>
      <c r="L49" s="2">
        <f t="shared" si="2"/>
        <v>516</v>
      </c>
      <c r="M49" s="2"/>
      <c r="N49" s="6">
        <f t="shared" si="3"/>
        <v>0.54545454545454541</v>
      </c>
      <c r="O49" s="14"/>
      <c r="P49" s="2">
        <f>SUM(OSRRefP22_4x_0)</f>
        <v>2907.93</v>
      </c>
      <c r="Q49" s="2"/>
      <c r="R49" s="6">
        <f t="shared" si="4"/>
        <v>4.6606655680395015E-2</v>
      </c>
      <c r="S49" s="2"/>
      <c r="T49" s="2">
        <f>SUM(OSRRefT22_4x_0)</f>
        <v>3926</v>
      </c>
      <c r="U49" s="2"/>
      <c r="V49" s="6">
        <f t="shared" si="5"/>
        <v>3.4107099419675435E-2</v>
      </c>
      <c r="W49" s="2"/>
      <c r="X49" s="2">
        <f t="shared" si="6"/>
        <v>-1018.0700000000002</v>
      </c>
      <c r="Y49" s="2"/>
      <c r="Z49" s="6">
        <f t="shared" si="7"/>
        <v>-0.25931482424859914</v>
      </c>
    </row>
    <row r="50" spans="1:26" s="70" customFormat="1" ht="15" hidden="1" customHeight="1" outlineLevel="2" x14ac:dyDescent="0.3">
      <c r="A50" s="26"/>
      <c r="B50" s="12" t="str">
        <f>CONCATENATE("          ","6381"," - ","BANK/CREDIT CARD FEES")</f>
        <v xml:space="preserve">          6381 - BANK/CREDIT CARD FEES</v>
      </c>
      <c r="C50" s="12"/>
      <c r="D50" s="7">
        <v>1462</v>
      </c>
      <c r="E50" s="3"/>
      <c r="F50" s="8">
        <f t="shared" si="0"/>
        <v>3.9894549591353745E-2</v>
      </c>
      <c r="G50" s="3"/>
      <c r="H50" s="7">
        <v>946</v>
      </c>
      <c r="I50" s="3"/>
      <c r="J50" s="8">
        <f t="shared" si="1"/>
        <v>3.4115907533629052E-2</v>
      </c>
      <c r="K50" s="3"/>
      <c r="L50" s="7">
        <f t="shared" si="2"/>
        <v>516</v>
      </c>
      <c r="M50" s="3"/>
      <c r="N50" s="8">
        <f t="shared" si="3"/>
        <v>0.54545454545454541</v>
      </c>
      <c r="O50" s="12"/>
      <c r="P50" s="7">
        <v>2907.93</v>
      </c>
      <c r="Q50" s="3"/>
      <c r="R50" s="8">
        <f t="shared" si="4"/>
        <v>4.6606655680395015E-2</v>
      </c>
      <c r="S50" s="3"/>
      <c r="T50" s="7">
        <v>3926</v>
      </c>
      <c r="U50" s="3"/>
      <c r="V50" s="8">
        <f t="shared" si="5"/>
        <v>3.4107099419675435E-2</v>
      </c>
      <c r="W50" s="3"/>
      <c r="X50" s="7">
        <f t="shared" si="6"/>
        <v>-1018.0700000000002</v>
      </c>
      <c r="Y50" s="3"/>
      <c r="Z50" s="8">
        <f t="shared" si="7"/>
        <v>-0.25931482424859914</v>
      </c>
    </row>
    <row r="51" spans="1:26" s="69" customFormat="1" ht="15" customHeight="1" outlineLevel="1" collapsed="1" x14ac:dyDescent="0.3">
      <c r="A51" s="25"/>
      <c r="B51" s="14" t="str">
        <f>CONCATENATE("     ","Depreciation                                      ")</f>
        <v xml:space="preserve">     Depreciation                                      </v>
      </c>
      <c r="C51" s="14"/>
      <c r="D51" s="2">
        <f>SUM(OSRRefD22_5x_0)</f>
        <v>264.60000000000002</v>
      </c>
      <c r="E51" s="2"/>
      <c r="F51" s="6">
        <f t="shared" si="0"/>
        <v>7.2203131476554043E-3</v>
      </c>
      <c r="G51" s="2"/>
      <c r="H51" s="2">
        <f>SUM(OSRRefH22_5x_0)</f>
        <v>265</v>
      </c>
      <c r="I51" s="2"/>
      <c r="J51" s="6">
        <f t="shared" si="1"/>
        <v>9.5567817086804428E-3</v>
      </c>
      <c r="K51" s="2"/>
      <c r="L51" s="2">
        <f t="shared" si="2"/>
        <v>-0.39999999999997726</v>
      </c>
      <c r="M51" s="2"/>
      <c r="N51" s="6">
        <f t="shared" si="3"/>
        <v>-1.5094339622640652E-3</v>
      </c>
      <c r="O51" s="14"/>
      <c r="P51" s="2">
        <f>SUM(OSRRefP22_5x_0)</f>
        <v>4813.76</v>
      </c>
      <c r="Q51" s="2"/>
      <c r="R51" s="6">
        <f t="shared" si="4"/>
        <v>7.7152219911778591E-2</v>
      </c>
      <c r="S51" s="2"/>
      <c r="T51" s="2">
        <f>SUM(OSRRefT22_5x_0)</f>
        <v>4815</v>
      </c>
      <c r="U51" s="2"/>
      <c r="V51" s="6">
        <f t="shared" si="5"/>
        <v>4.1830281127289155E-2</v>
      </c>
      <c r="W51" s="2"/>
      <c r="X51" s="2">
        <f t="shared" si="6"/>
        <v>-1.2399999999997817</v>
      </c>
      <c r="Y51" s="2"/>
      <c r="Z51" s="6">
        <f t="shared" si="7"/>
        <v>-2.5752855659393184E-4</v>
      </c>
    </row>
    <row r="52" spans="1:26" s="70" customFormat="1" ht="15" hidden="1" customHeight="1" outlineLevel="2" x14ac:dyDescent="0.3">
      <c r="A52" s="26"/>
      <c r="B52" s="12" t="str">
        <f>CONCATENATE("          ","6322"," - ","EQUIPMENT DEPRECIATION EXPENSE")</f>
        <v xml:space="preserve">          6322 - EQUIPMENT DEPRECIATION EXPENSE</v>
      </c>
      <c r="C52" s="12"/>
      <c r="D52" s="7">
        <v>264.60000000000002</v>
      </c>
      <c r="E52" s="3"/>
      <c r="F52" s="8">
        <f t="shared" si="0"/>
        <v>7.2203131476554043E-3</v>
      </c>
      <c r="G52" s="3"/>
      <c r="H52" s="7">
        <v>265</v>
      </c>
      <c r="I52" s="3"/>
      <c r="J52" s="8">
        <f t="shared" si="1"/>
        <v>9.5567817086804428E-3</v>
      </c>
      <c r="K52" s="3"/>
      <c r="L52" s="7">
        <f t="shared" si="2"/>
        <v>-0.39999999999997726</v>
      </c>
      <c r="M52" s="3"/>
      <c r="N52" s="8">
        <f t="shared" si="3"/>
        <v>-1.5094339622640652E-3</v>
      </c>
      <c r="O52" s="12"/>
      <c r="P52" s="7">
        <v>4813.76</v>
      </c>
      <c r="Q52" s="3"/>
      <c r="R52" s="8">
        <f t="shared" si="4"/>
        <v>7.7152219911778591E-2</v>
      </c>
      <c r="S52" s="3"/>
      <c r="T52" s="7">
        <v>4815</v>
      </c>
      <c r="U52" s="3"/>
      <c r="V52" s="8">
        <f t="shared" si="5"/>
        <v>4.1830281127289155E-2</v>
      </c>
      <c r="W52" s="3"/>
      <c r="X52" s="7">
        <f t="shared" si="6"/>
        <v>-1.2399999999997817</v>
      </c>
      <c r="Y52" s="3"/>
      <c r="Z52" s="8">
        <f t="shared" si="7"/>
        <v>-2.5752855659393184E-4</v>
      </c>
    </row>
    <row r="53" spans="1:26" s="69" customFormat="1" ht="15" customHeight="1" outlineLevel="1" collapsed="1" x14ac:dyDescent="0.3">
      <c r="A53" s="25"/>
      <c r="B53" s="14" t="str">
        <f>CONCATENATE("     ","General                                           ")</f>
        <v xml:space="preserve">     General                                           </v>
      </c>
      <c r="C53" s="14"/>
      <c r="D53" s="2">
        <f>SUM(OSRRefD22_6x_0)</f>
        <v>0</v>
      </c>
      <c r="E53" s="2"/>
      <c r="F53" s="6">
        <f t="shared" si="0"/>
        <v>0</v>
      </c>
      <c r="G53" s="2"/>
      <c r="H53" s="2">
        <f>SUM(OSRRefH22_6x_0)</f>
        <v>0</v>
      </c>
      <c r="I53" s="2"/>
      <c r="J53" s="6">
        <f t="shared" si="1"/>
        <v>0</v>
      </c>
      <c r="K53" s="2"/>
      <c r="L53" s="2">
        <f t="shared" si="2"/>
        <v>0</v>
      </c>
      <c r="M53" s="2"/>
      <c r="N53" s="6">
        <f t="shared" si="3"/>
        <v>0</v>
      </c>
      <c r="O53" s="14"/>
      <c r="P53" s="2">
        <f>SUM(OSRRefP22_6x_0)</f>
        <v>1153.93</v>
      </c>
      <c r="Q53" s="2"/>
      <c r="R53" s="6">
        <f t="shared" si="4"/>
        <v>1.8494536728627657E-2</v>
      </c>
      <c r="S53" s="2"/>
      <c r="T53" s="2">
        <f>SUM(OSRRefT22_6x_0)</f>
        <v>755</v>
      </c>
      <c r="U53" s="2"/>
      <c r="V53" s="6">
        <f t="shared" si="5"/>
        <v>6.5590575807068143E-3</v>
      </c>
      <c r="W53" s="2"/>
      <c r="X53" s="2">
        <f t="shared" si="6"/>
        <v>398.93000000000006</v>
      </c>
      <c r="Y53" s="2"/>
      <c r="Z53" s="6">
        <f t="shared" si="7"/>
        <v>0.52838410596026497</v>
      </c>
    </row>
    <row r="54" spans="1:26" s="70" customFormat="1" ht="15" hidden="1" customHeight="1" outlineLevel="2" x14ac:dyDescent="0.3">
      <c r="A54" s="26"/>
      <c r="B54" s="12" t="str">
        <f>CONCATENATE("          ","6279"," - ","GENERAL EXPENSE")</f>
        <v xml:space="preserve">          6279 - GENERAL EXPENSE</v>
      </c>
      <c r="C54" s="12"/>
      <c r="D54" s="7"/>
      <c r="E54" s="3"/>
      <c r="F54" s="8">
        <f t="shared" ref="F54:F72" si="8">IF(D$12=0,0,D54/D$12)</f>
        <v>0</v>
      </c>
      <c r="G54" s="3"/>
      <c r="H54" s="7"/>
      <c r="I54" s="3"/>
      <c r="J54" s="8">
        <f t="shared" ref="J54:J72" si="9">IF(H$12=0,0,H54/H$12)</f>
        <v>0</v>
      </c>
      <c r="K54" s="3"/>
      <c r="L54" s="7">
        <f t="shared" ref="L54:L72" si="10">+D54-H54</f>
        <v>0</v>
      </c>
      <c r="M54" s="3"/>
      <c r="N54" s="8">
        <f t="shared" ref="N54:N72" si="11">IF(H54=0,0,L54/H54)</f>
        <v>0</v>
      </c>
      <c r="O54" s="12"/>
      <c r="P54" s="7">
        <v>1153.93</v>
      </c>
      <c r="Q54" s="3"/>
      <c r="R54" s="8">
        <f t="shared" ref="R54:R72" si="12">IF(P$12=0,0,P54/P$12)</f>
        <v>1.8494536728627657E-2</v>
      </c>
      <c r="S54" s="3"/>
      <c r="T54" s="7">
        <v>755</v>
      </c>
      <c r="U54" s="3"/>
      <c r="V54" s="8">
        <f t="shared" ref="V54:V72" si="13">IF(T$12=0,0,T54/T$12)</f>
        <v>6.5590575807068143E-3</v>
      </c>
      <c r="W54" s="3"/>
      <c r="X54" s="7">
        <f t="shared" ref="X54:X72" si="14">+P54-T54</f>
        <v>398.93000000000006</v>
      </c>
      <c r="Y54" s="3"/>
      <c r="Z54" s="8">
        <f t="shared" ref="Z54:Z72" si="15">IF(T54=0,0,X54/T54)</f>
        <v>0.52838410596026497</v>
      </c>
    </row>
    <row r="55" spans="1:26" s="69" customFormat="1" ht="15" customHeight="1" outlineLevel="1" collapsed="1" x14ac:dyDescent="0.3">
      <c r="A55" s="25"/>
      <c r="B55" s="14" t="str">
        <f>CONCATENATE("     ","Repair and Maintenance                            ")</f>
        <v xml:space="preserve">     Repair and Maintenance                            </v>
      </c>
      <c r="C55" s="14"/>
      <c r="D55" s="2">
        <f>SUM(OSRRefD22_7x_0)</f>
        <v>66.92</v>
      </c>
      <c r="E55" s="2"/>
      <c r="F55" s="6">
        <f t="shared" si="8"/>
        <v>1.8260897802006789E-3</v>
      </c>
      <c r="G55" s="2"/>
      <c r="H55" s="2">
        <f>SUM(OSRRefH22_7x_0)</f>
        <v>253</v>
      </c>
      <c r="I55" s="2"/>
      <c r="J55" s="6">
        <f t="shared" si="9"/>
        <v>9.1240217822496309E-3</v>
      </c>
      <c r="K55" s="2"/>
      <c r="L55" s="2">
        <f t="shared" si="10"/>
        <v>-186.07999999999998</v>
      </c>
      <c r="M55" s="2"/>
      <c r="N55" s="6">
        <f t="shared" si="11"/>
        <v>-0.73549407114624499</v>
      </c>
      <c r="O55" s="14"/>
      <c r="P55" s="2">
        <f>SUM(OSRRefP22_7x_0)</f>
        <v>1735.42</v>
      </c>
      <c r="Q55" s="2"/>
      <c r="R55" s="6">
        <f t="shared" si="12"/>
        <v>2.7814329231058216E-2</v>
      </c>
      <c r="S55" s="2"/>
      <c r="T55" s="2">
        <f>SUM(OSRRefT22_7x_0)</f>
        <v>1899</v>
      </c>
      <c r="U55" s="2"/>
      <c r="V55" s="6">
        <f t="shared" si="13"/>
        <v>1.6497550126837405E-2</v>
      </c>
      <c r="W55" s="2"/>
      <c r="X55" s="2">
        <f t="shared" si="14"/>
        <v>-163.57999999999993</v>
      </c>
      <c r="Y55" s="2"/>
      <c r="Z55" s="6">
        <f t="shared" si="15"/>
        <v>-8.6140073723012078E-2</v>
      </c>
    </row>
    <row r="56" spans="1:26" s="70" customFormat="1" ht="15" hidden="1" customHeight="1" outlineLevel="2" x14ac:dyDescent="0.3">
      <c r="A56" s="26"/>
      <c r="B56" s="12" t="str">
        <f>CONCATENATE("          ","6373"," - ","MAINTENANCE CONTRACTS")</f>
        <v xml:space="preserve">          6373 - MAINTENANCE CONTRACTS</v>
      </c>
      <c r="C56" s="12"/>
      <c r="D56" s="7">
        <v>49.93</v>
      </c>
      <c r="E56" s="3"/>
      <c r="F56" s="8">
        <f t="shared" si="8"/>
        <v>1.3624725452095023E-3</v>
      </c>
      <c r="G56" s="3"/>
      <c r="H56" s="7">
        <v>138</v>
      </c>
      <c r="I56" s="3"/>
      <c r="J56" s="8">
        <f t="shared" si="9"/>
        <v>4.9767391539543441E-3</v>
      </c>
      <c r="K56" s="3"/>
      <c r="L56" s="7">
        <f t="shared" si="10"/>
        <v>-88.07</v>
      </c>
      <c r="M56" s="3"/>
      <c r="N56" s="8">
        <f t="shared" si="11"/>
        <v>-0.63818840579710145</v>
      </c>
      <c r="O56" s="12"/>
      <c r="P56" s="7">
        <v>147.76</v>
      </c>
      <c r="Q56" s="3"/>
      <c r="R56" s="8">
        <f t="shared" si="12"/>
        <v>2.3682136238957494E-3</v>
      </c>
      <c r="S56" s="3"/>
      <c r="T56" s="7">
        <v>864</v>
      </c>
      <c r="U56" s="3"/>
      <c r="V56" s="8">
        <f t="shared" si="13"/>
        <v>7.5059943705042221E-3</v>
      </c>
      <c r="W56" s="3"/>
      <c r="X56" s="7">
        <f t="shared" si="14"/>
        <v>-716.24</v>
      </c>
      <c r="Y56" s="3"/>
      <c r="Z56" s="8">
        <f t="shared" si="15"/>
        <v>-0.82898148148148154</v>
      </c>
    </row>
    <row r="57" spans="1:26" s="70" customFormat="1" ht="15" hidden="1" customHeight="1" outlineLevel="2" x14ac:dyDescent="0.3">
      <c r="A57" s="26"/>
      <c r="B57" s="12" t="str">
        <f>CONCATENATE("          ","6375"," - ","OUTSIDE REPAIRS &amp; MAINTENANCE")</f>
        <v xml:space="preserve">          6375 - OUTSIDE REPAIRS &amp; MAINTENANCE</v>
      </c>
      <c r="C57" s="12"/>
      <c r="D57" s="7">
        <v>16.989999999999998</v>
      </c>
      <c r="E57" s="3"/>
      <c r="F57" s="8">
        <f t="shared" si="8"/>
        <v>4.6361723499117646E-4</v>
      </c>
      <c r="G57" s="3"/>
      <c r="H57" s="7">
        <v>115</v>
      </c>
      <c r="I57" s="3"/>
      <c r="J57" s="8">
        <f t="shared" si="9"/>
        <v>4.1472826282952869E-3</v>
      </c>
      <c r="K57" s="3"/>
      <c r="L57" s="7">
        <f t="shared" si="10"/>
        <v>-98.01</v>
      </c>
      <c r="M57" s="3"/>
      <c r="N57" s="8">
        <f t="shared" si="11"/>
        <v>-0.8522608695652174</v>
      </c>
      <c r="O57" s="12"/>
      <c r="P57" s="7">
        <v>1587.66</v>
      </c>
      <c r="Q57" s="3"/>
      <c r="R57" s="8">
        <f t="shared" si="12"/>
        <v>2.5446115607162468E-2</v>
      </c>
      <c r="S57" s="3"/>
      <c r="T57" s="7">
        <v>1035</v>
      </c>
      <c r="U57" s="3"/>
      <c r="V57" s="8">
        <f t="shared" si="13"/>
        <v>8.9915557563331836E-3</v>
      </c>
      <c r="W57" s="3"/>
      <c r="X57" s="7">
        <f t="shared" si="14"/>
        <v>552.66000000000008</v>
      </c>
      <c r="Y57" s="3"/>
      <c r="Z57" s="8">
        <f t="shared" si="15"/>
        <v>0.53397101449275375</v>
      </c>
    </row>
    <row r="58" spans="1:26" s="69" customFormat="1" ht="15" customHeight="1" outlineLevel="1" collapsed="1" x14ac:dyDescent="0.3">
      <c r="A58" s="25"/>
      <c r="B58" s="14" t="str">
        <f>CONCATENATE("     ","Royalty &amp; Commissions                             ")</f>
        <v xml:space="preserve">     Royalty &amp; Commissions                             </v>
      </c>
      <c r="C58" s="14"/>
      <c r="D58" s="2">
        <f>SUM(OSRRefD22_8x_0)</f>
        <v>0</v>
      </c>
      <c r="E58" s="2"/>
      <c r="F58" s="6">
        <f t="shared" si="8"/>
        <v>0</v>
      </c>
      <c r="G58" s="2"/>
      <c r="H58" s="2">
        <f>SUM(OSRRefH22_8x_0)</f>
        <v>2496</v>
      </c>
      <c r="I58" s="2"/>
      <c r="J58" s="6">
        <f t="shared" si="9"/>
        <v>9.0014064697609003E-2</v>
      </c>
      <c r="K58" s="2"/>
      <c r="L58" s="2">
        <f t="shared" si="10"/>
        <v>-2496</v>
      </c>
      <c r="M58" s="2"/>
      <c r="N58" s="6">
        <f t="shared" si="11"/>
        <v>-1</v>
      </c>
      <c r="O58" s="14"/>
      <c r="P58" s="2">
        <f>SUM(OSRRefP22_8x_0)</f>
        <v>0</v>
      </c>
      <c r="Q58" s="2"/>
      <c r="R58" s="6">
        <f t="shared" si="12"/>
        <v>0</v>
      </c>
      <c r="S58" s="2"/>
      <c r="T58" s="2">
        <f>SUM(OSRRefT22_8x_0)</f>
        <v>10361</v>
      </c>
      <c r="U58" s="2"/>
      <c r="V58" s="6">
        <f t="shared" si="13"/>
        <v>9.0011119991660005E-2</v>
      </c>
      <c r="W58" s="2"/>
      <c r="X58" s="2">
        <f t="shared" si="14"/>
        <v>-10361</v>
      </c>
      <c r="Y58" s="2"/>
      <c r="Z58" s="6">
        <f t="shared" si="15"/>
        <v>-1</v>
      </c>
    </row>
    <row r="59" spans="1:26" s="70" customFormat="1" ht="15" hidden="1" customHeight="1" outlineLevel="2" x14ac:dyDescent="0.3">
      <c r="A59" s="26"/>
      <c r="B59" s="12" t="str">
        <f>CONCATENATE("          ","6259"," - ","ROYALTY &amp; COMMISSIONS")</f>
        <v xml:space="preserve">          6259 - ROYALTY &amp; COMMISSIONS</v>
      </c>
      <c r="C59" s="12"/>
      <c r="D59" s="7"/>
      <c r="E59" s="3"/>
      <c r="F59" s="8">
        <f t="shared" si="8"/>
        <v>0</v>
      </c>
      <c r="G59" s="3"/>
      <c r="H59" s="7">
        <v>2496</v>
      </c>
      <c r="I59" s="3"/>
      <c r="J59" s="8">
        <f t="shared" si="9"/>
        <v>9.0014064697609003E-2</v>
      </c>
      <c r="K59" s="3"/>
      <c r="L59" s="7">
        <f t="shared" si="10"/>
        <v>-2496</v>
      </c>
      <c r="M59" s="3"/>
      <c r="N59" s="8">
        <f t="shared" si="11"/>
        <v>-1</v>
      </c>
      <c r="O59" s="12"/>
      <c r="P59" s="7"/>
      <c r="Q59" s="3"/>
      <c r="R59" s="8">
        <f t="shared" si="12"/>
        <v>0</v>
      </c>
      <c r="S59" s="3"/>
      <c r="T59" s="7">
        <v>10361</v>
      </c>
      <c r="U59" s="3"/>
      <c r="V59" s="8">
        <f t="shared" si="13"/>
        <v>9.0011119991660005E-2</v>
      </c>
      <c r="W59" s="3"/>
      <c r="X59" s="7">
        <f t="shared" si="14"/>
        <v>-10361</v>
      </c>
      <c r="Y59" s="3"/>
      <c r="Z59" s="8">
        <f t="shared" si="15"/>
        <v>-1</v>
      </c>
    </row>
    <row r="60" spans="1:26" s="69" customFormat="1" ht="15" customHeight="1" outlineLevel="1" collapsed="1" x14ac:dyDescent="0.3">
      <c r="A60" s="25"/>
      <c r="B60" s="14" t="str">
        <f>CONCATENATE("     ","Services                                          ")</f>
        <v xml:space="preserve">     Services                                          </v>
      </c>
      <c r="C60" s="14"/>
      <c r="D60" s="2">
        <f>SUM(OSRRefD22_9x_0)</f>
        <v>57.08</v>
      </c>
      <c r="E60" s="2"/>
      <c r="F60" s="6">
        <f t="shared" si="8"/>
        <v>1.5575792685871899E-3</v>
      </c>
      <c r="G60" s="2"/>
      <c r="H60" s="2">
        <f>SUM(OSRRefH22_9x_0)</f>
        <v>100</v>
      </c>
      <c r="I60" s="2"/>
      <c r="J60" s="6">
        <f t="shared" si="9"/>
        <v>3.6063327202567707E-3</v>
      </c>
      <c r="K60" s="2"/>
      <c r="L60" s="2">
        <f t="shared" si="10"/>
        <v>-42.92</v>
      </c>
      <c r="M60" s="2"/>
      <c r="N60" s="6">
        <f t="shared" si="11"/>
        <v>-0.42920000000000003</v>
      </c>
      <c r="O60" s="14"/>
      <c r="P60" s="2">
        <f>SUM(OSRRefP22_9x_0)</f>
        <v>263.48</v>
      </c>
      <c r="Q60" s="2"/>
      <c r="R60" s="6">
        <f t="shared" si="12"/>
        <v>4.2229082676235258E-3</v>
      </c>
      <c r="S60" s="2"/>
      <c r="T60" s="2">
        <f>SUM(OSRRefT22_9x_0)</f>
        <v>800</v>
      </c>
      <c r="U60" s="2"/>
      <c r="V60" s="6">
        <f t="shared" si="13"/>
        <v>6.9499947875039094E-3</v>
      </c>
      <c r="W60" s="2"/>
      <c r="X60" s="2">
        <f t="shared" si="14"/>
        <v>-536.52</v>
      </c>
      <c r="Y60" s="2"/>
      <c r="Z60" s="6">
        <f t="shared" si="15"/>
        <v>-0.67064999999999997</v>
      </c>
    </row>
    <row r="61" spans="1:26" s="70" customFormat="1" ht="15" hidden="1" customHeight="1" outlineLevel="2" x14ac:dyDescent="0.3">
      <c r="A61" s="26"/>
      <c r="B61" s="12" t="str">
        <f>CONCATENATE("          ","6282"," - ","JANITORIAL/EXTERMINATOR EXPENS")</f>
        <v xml:space="preserve">          6282 - JANITORIAL/EXTERMINATOR EXPENS</v>
      </c>
      <c r="C61" s="12"/>
      <c r="D61" s="7"/>
      <c r="E61" s="3"/>
      <c r="F61" s="8">
        <f t="shared" si="8"/>
        <v>0</v>
      </c>
      <c r="G61" s="3"/>
      <c r="H61" s="7">
        <v>100</v>
      </c>
      <c r="I61" s="3"/>
      <c r="J61" s="8">
        <f t="shared" si="9"/>
        <v>3.6063327202567707E-3</v>
      </c>
      <c r="K61" s="3"/>
      <c r="L61" s="7">
        <f t="shared" si="10"/>
        <v>-100</v>
      </c>
      <c r="M61" s="3"/>
      <c r="N61" s="8">
        <f t="shared" si="11"/>
        <v>-1</v>
      </c>
      <c r="O61" s="12"/>
      <c r="P61" s="7"/>
      <c r="Q61" s="3"/>
      <c r="R61" s="8">
        <f t="shared" si="12"/>
        <v>0</v>
      </c>
      <c r="S61" s="3"/>
      <c r="T61" s="7">
        <v>800</v>
      </c>
      <c r="U61" s="3"/>
      <c r="V61" s="8">
        <f t="shared" si="13"/>
        <v>6.9499947875039094E-3</v>
      </c>
      <c r="W61" s="3"/>
      <c r="X61" s="7">
        <f t="shared" si="14"/>
        <v>-800</v>
      </c>
      <c r="Y61" s="3"/>
      <c r="Z61" s="8">
        <f t="shared" si="15"/>
        <v>-1</v>
      </c>
    </row>
    <row r="62" spans="1:26" s="70" customFormat="1" ht="15" hidden="1" customHeight="1" outlineLevel="2" x14ac:dyDescent="0.3">
      <c r="A62" s="26"/>
      <c r="B62" s="12" t="str">
        <f>CONCATENATE("          ","6285"," - ","JANITORIAL SERVICES")</f>
        <v xml:space="preserve">          6285 - JANITORIAL SERVICES</v>
      </c>
      <c r="C62" s="12"/>
      <c r="D62" s="7"/>
      <c r="E62" s="3"/>
      <c r="F62" s="8">
        <f t="shared" si="8"/>
        <v>0</v>
      </c>
      <c r="G62" s="3"/>
      <c r="H62" s="7"/>
      <c r="I62" s="3"/>
      <c r="J62" s="8">
        <f t="shared" si="9"/>
        <v>0</v>
      </c>
      <c r="K62" s="3"/>
      <c r="L62" s="7">
        <f t="shared" si="10"/>
        <v>0</v>
      </c>
      <c r="M62" s="3"/>
      <c r="N62" s="8">
        <f t="shared" si="11"/>
        <v>0</v>
      </c>
      <c r="O62" s="12"/>
      <c r="P62" s="7">
        <v>206.4</v>
      </c>
      <c r="Q62" s="3"/>
      <c r="R62" s="8">
        <f t="shared" si="12"/>
        <v>3.3080623441532403E-3</v>
      </c>
      <c r="S62" s="3"/>
      <c r="T62" s="7"/>
      <c r="U62" s="3"/>
      <c r="V62" s="8">
        <f t="shared" si="13"/>
        <v>0</v>
      </c>
      <c r="W62" s="3"/>
      <c r="X62" s="7">
        <f t="shared" si="14"/>
        <v>206.4</v>
      </c>
      <c r="Y62" s="3"/>
      <c r="Z62" s="8">
        <f t="shared" si="15"/>
        <v>0</v>
      </c>
    </row>
    <row r="63" spans="1:26" s="70" customFormat="1" ht="15" hidden="1" customHeight="1" outlineLevel="2" x14ac:dyDescent="0.3">
      <c r="A63" s="26"/>
      <c r="B63" s="12" t="str">
        <f>CONCATENATE("          ","6286"," - ","LAUNDRY EXPENSE")</f>
        <v xml:space="preserve">          6286 - LAUNDRY EXPENSE</v>
      </c>
      <c r="C63" s="12"/>
      <c r="D63" s="7">
        <v>57.08</v>
      </c>
      <c r="E63" s="3"/>
      <c r="F63" s="8">
        <f t="shared" si="8"/>
        <v>1.5575792685871899E-3</v>
      </c>
      <c r="G63" s="3"/>
      <c r="H63" s="7"/>
      <c r="I63" s="3"/>
      <c r="J63" s="8">
        <f t="shared" si="9"/>
        <v>0</v>
      </c>
      <c r="K63" s="3"/>
      <c r="L63" s="7">
        <f t="shared" si="10"/>
        <v>57.08</v>
      </c>
      <c r="M63" s="3"/>
      <c r="N63" s="8">
        <f t="shared" si="11"/>
        <v>0</v>
      </c>
      <c r="O63" s="12"/>
      <c r="P63" s="7">
        <v>57.08</v>
      </c>
      <c r="Q63" s="3"/>
      <c r="R63" s="8">
        <f t="shared" si="12"/>
        <v>9.1484592347028555E-4</v>
      </c>
      <c r="S63" s="3"/>
      <c r="T63" s="7"/>
      <c r="U63" s="3"/>
      <c r="V63" s="8">
        <f t="shared" si="13"/>
        <v>0</v>
      </c>
      <c r="W63" s="3"/>
      <c r="X63" s="7">
        <f t="shared" si="14"/>
        <v>57.08</v>
      </c>
      <c r="Y63" s="3"/>
      <c r="Z63" s="8">
        <f t="shared" si="15"/>
        <v>0</v>
      </c>
    </row>
    <row r="64" spans="1:26" s="69" customFormat="1" ht="15" customHeight="1" outlineLevel="1" collapsed="1" x14ac:dyDescent="0.3">
      <c r="A64" s="25"/>
      <c r="B64" s="14" t="str">
        <f>CONCATENATE("     ","Supplies                                          ")</f>
        <v xml:space="preserve">     Supplies                                          </v>
      </c>
      <c r="C64" s="14"/>
      <c r="D64" s="2">
        <f>SUM(OSRRefD22_10x_0)</f>
        <v>-131.74</v>
      </c>
      <c r="E64" s="2"/>
      <c r="F64" s="6">
        <f t="shared" si="8"/>
        <v>-3.5948754878009181E-3</v>
      </c>
      <c r="G64" s="2"/>
      <c r="H64" s="2">
        <f>SUM(OSRRefH22_10x_0)</f>
        <v>700</v>
      </c>
      <c r="I64" s="2"/>
      <c r="J64" s="6">
        <f t="shared" si="9"/>
        <v>2.5244329041797395E-2</v>
      </c>
      <c r="K64" s="2"/>
      <c r="L64" s="2">
        <f t="shared" si="10"/>
        <v>-831.74</v>
      </c>
      <c r="M64" s="2"/>
      <c r="N64" s="6">
        <f t="shared" si="11"/>
        <v>-1.1881999999999999</v>
      </c>
      <c r="O64" s="14"/>
      <c r="P64" s="2">
        <f>SUM(OSRRefP22_10x_0)</f>
        <v>1552.8300000000002</v>
      </c>
      <c r="Q64" s="2"/>
      <c r="R64" s="6">
        <f t="shared" si="12"/>
        <v>2.4887880086586611E-2</v>
      </c>
      <c r="S64" s="2"/>
      <c r="T64" s="2">
        <f>SUM(OSRRefT22_10x_0)</f>
        <v>7800</v>
      </c>
      <c r="U64" s="2"/>
      <c r="V64" s="6">
        <f t="shared" si="13"/>
        <v>6.7762449178163112E-2</v>
      </c>
      <c r="W64" s="2"/>
      <c r="X64" s="2">
        <f t="shared" si="14"/>
        <v>-6247.17</v>
      </c>
      <c r="Y64" s="2"/>
      <c r="Z64" s="6">
        <f t="shared" si="15"/>
        <v>-0.80091923076923077</v>
      </c>
    </row>
    <row r="65" spans="1:26" s="70" customFormat="1" ht="15" hidden="1" customHeight="1" outlineLevel="2" x14ac:dyDescent="0.3">
      <c r="A65" s="26"/>
      <c r="B65" s="12" t="str">
        <f>CONCATENATE("          ","6234"," - ","EXPENDABLE SUPPLIES &amp; EQUIPMEN")</f>
        <v xml:space="preserve">          6234 - EXPENDABLE SUPPLIES &amp; EQUIPMEN</v>
      </c>
      <c r="C65" s="12"/>
      <c r="D65" s="7"/>
      <c r="E65" s="3"/>
      <c r="F65" s="8">
        <f t="shared" si="8"/>
        <v>0</v>
      </c>
      <c r="G65" s="3"/>
      <c r="H65" s="7"/>
      <c r="I65" s="3"/>
      <c r="J65" s="8">
        <f t="shared" si="9"/>
        <v>0</v>
      </c>
      <c r="K65" s="3"/>
      <c r="L65" s="7">
        <f t="shared" si="10"/>
        <v>0</v>
      </c>
      <c r="M65" s="3"/>
      <c r="N65" s="8">
        <f t="shared" si="11"/>
        <v>0</v>
      </c>
      <c r="O65" s="12"/>
      <c r="P65" s="7">
        <v>1194.8900000000001</v>
      </c>
      <c r="Q65" s="3"/>
      <c r="R65" s="8">
        <f t="shared" si="12"/>
        <v>1.915102041863016E-2</v>
      </c>
      <c r="S65" s="3"/>
      <c r="T65" s="7"/>
      <c r="U65" s="3"/>
      <c r="V65" s="8">
        <f t="shared" si="13"/>
        <v>0</v>
      </c>
      <c r="W65" s="3"/>
      <c r="X65" s="7">
        <f t="shared" si="14"/>
        <v>1194.8900000000001</v>
      </c>
      <c r="Y65" s="3"/>
      <c r="Z65" s="8">
        <f t="shared" si="15"/>
        <v>0</v>
      </c>
    </row>
    <row r="66" spans="1:26" s="70" customFormat="1" ht="15" hidden="1" customHeight="1" outlineLevel="2" x14ac:dyDescent="0.3">
      <c r="A66" s="26"/>
      <c r="B66" s="12" t="str">
        <f>CONCATENATE("          ","6237"," - ","JANITORIAL SUPPLIES")</f>
        <v xml:space="preserve">          6237 - JANITORIAL SUPPLIES</v>
      </c>
      <c r="C66" s="12"/>
      <c r="D66" s="7">
        <v>-90</v>
      </c>
      <c r="E66" s="3"/>
      <c r="F66" s="8">
        <f t="shared" si="8"/>
        <v>-2.4558888257331306E-3</v>
      </c>
      <c r="G66" s="3"/>
      <c r="H66" s="7"/>
      <c r="I66" s="3"/>
      <c r="J66" s="8">
        <f t="shared" si="9"/>
        <v>0</v>
      </c>
      <c r="K66" s="3"/>
      <c r="L66" s="7">
        <f t="shared" si="10"/>
        <v>-90</v>
      </c>
      <c r="M66" s="3"/>
      <c r="N66" s="8">
        <f t="shared" si="11"/>
        <v>0</v>
      </c>
      <c r="O66" s="12"/>
      <c r="P66" s="7">
        <v>-51.66</v>
      </c>
      <c r="Q66" s="3"/>
      <c r="R66" s="8">
        <f t="shared" si="12"/>
        <v>-8.2797723206858703E-4</v>
      </c>
      <c r="S66" s="3"/>
      <c r="T66" s="7"/>
      <c r="U66" s="3"/>
      <c r="V66" s="8">
        <f t="shared" si="13"/>
        <v>0</v>
      </c>
      <c r="W66" s="3"/>
      <c r="X66" s="7">
        <f t="shared" si="14"/>
        <v>-51.66</v>
      </c>
      <c r="Y66" s="3"/>
      <c r="Z66" s="8">
        <f t="shared" si="15"/>
        <v>0</v>
      </c>
    </row>
    <row r="67" spans="1:26" s="70" customFormat="1" ht="15" hidden="1" customHeight="1" outlineLevel="2" x14ac:dyDescent="0.3">
      <c r="A67" s="26"/>
      <c r="B67" s="12" t="str">
        <f>CONCATENATE("          ","6241"," - ","OFFICE EXPENSE")</f>
        <v xml:space="preserve">          6241 - OFFICE EXPENSE</v>
      </c>
      <c r="C67" s="12"/>
      <c r="D67" s="7"/>
      <c r="E67" s="3"/>
      <c r="F67" s="8">
        <f t="shared" si="8"/>
        <v>0</v>
      </c>
      <c r="G67" s="3"/>
      <c r="H67" s="7"/>
      <c r="I67" s="3"/>
      <c r="J67" s="8">
        <f t="shared" si="9"/>
        <v>0</v>
      </c>
      <c r="K67" s="3"/>
      <c r="L67" s="7">
        <f t="shared" si="10"/>
        <v>0</v>
      </c>
      <c r="M67" s="3"/>
      <c r="N67" s="8">
        <f t="shared" si="11"/>
        <v>0</v>
      </c>
      <c r="O67" s="12"/>
      <c r="P67" s="7">
        <v>19.940000000000001</v>
      </c>
      <c r="Q67" s="3"/>
      <c r="R67" s="8">
        <f t="shared" si="12"/>
        <v>3.1958703072875778E-4</v>
      </c>
      <c r="S67" s="3"/>
      <c r="T67" s="7"/>
      <c r="U67" s="3"/>
      <c r="V67" s="8">
        <f t="shared" si="13"/>
        <v>0</v>
      </c>
      <c r="W67" s="3"/>
      <c r="X67" s="7">
        <f t="shared" si="14"/>
        <v>19.940000000000001</v>
      </c>
      <c r="Y67" s="3"/>
      <c r="Z67" s="8">
        <f t="shared" si="15"/>
        <v>0</v>
      </c>
    </row>
    <row r="68" spans="1:26" s="70" customFormat="1" ht="15" hidden="1" customHeight="1" outlineLevel="2" x14ac:dyDescent="0.3">
      <c r="A68" s="26"/>
      <c r="B68" s="12" t="str">
        <f>CONCATENATE("          ","6247"," - ","STORE SUPPLIES")</f>
        <v xml:space="preserve">          6247 - STORE SUPPLIES</v>
      </c>
      <c r="C68" s="12"/>
      <c r="D68" s="7">
        <v>-41.74</v>
      </c>
      <c r="E68" s="3"/>
      <c r="F68" s="8">
        <f t="shared" si="8"/>
        <v>-1.1389866620677876E-3</v>
      </c>
      <c r="G68" s="3"/>
      <c r="H68" s="7">
        <v>700</v>
      </c>
      <c r="I68" s="3"/>
      <c r="J68" s="8">
        <f t="shared" si="9"/>
        <v>2.5244329041797395E-2</v>
      </c>
      <c r="K68" s="3"/>
      <c r="L68" s="7">
        <f t="shared" si="10"/>
        <v>-741.74</v>
      </c>
      <c r="M68" s="3"/>
      <c r="N68" s="8">
        <f t="shared" si="11"/>
        <v>-1.0596285714285714</v>
      </c>
      <c r="O68" s="12"/>
      <c r="P68" s="7">
        <v>389.66</v>
      </c>
      <c r="Q68" s="3"/>
      <c r="R68" s="8">
        <f t="shared" si="12"/>
        <v>6.2452498692962769E-3</v>
      </c>
      <c r="S68" s="3"/>
      <c r="T68" s="7">
        <v>7800</v>
      </c>
      <c r="U68" s="3"/>
      <c r="V68" s="8">
        <f t="shared" si="13"/>
        <v>6.7762449178163112E-2</v>
      </c>
      <c r="W68" s="3"/>
      <c r="X68" s="7">
        <f t="shared" si="14"/>
        <v>-7410.34</v>
      </c>
      <c r="Y68" s="3"/>
      <c r="Z68" s="8">
        <f t="shared" si="15"/>
        <v>-0.95004358974358971</v>
      </c>
    </row>
    <row r="69" spans="1:26" s="69" customFormat="1" ht="15" customHeight="1" outlineLevel="1" collapsed="1" x14ac:dyDescent="0.3">
      <c r="A69" s="25"/>
      <c r="B69" s="14" t="str">
        <f>CONCATENATE("     ","Telephone/Data Lines                              ")</f>
        <v xml:space="preserve">     Telephone/Data Lines                              </v>
      </c>
      <c r="C69" s="14"/>
      <c r="D69" s="2">
        <f>SUM(OSRRefD22_11x_0)</f>
        <v>126.5</v>
      </c>
      <c r="E69" s="2"/>
      <c r="F69" s="6">
        <f t="shared" si="8"/>
        <v>3.4518881828360113E-3</v>
      </c>
      <c r="G69" s="2"/>
      <c r="H69" s="2">
        <f>SUM(OSRRefH22_11x_0)</f>
        <v>53</v>
      </c>
      <c r="I69" s="2"/>
      <c r="J69" s="6">
        <f t="shared" si="9"/>
        <v>1.9113563417360886E-3</v>
      </c>
      <c r="K69" s="2"/>
      <c r="L69" s="2">
        <f t="shared" si="10"/>
        <v>73.5</v>
      </c>
      <c r="M69" s="2"/>
      <c r="N69" s="6">
        <f t="shared" si="11"/>
        <v>1.3867924528301887</v>
      </c>
      <c r="O69" s="14"/>
      <c r="P69" s="2">
        <f>SUM(OSRRefP22_11x_0)</f>
        <v>465</v>
      </c>
      <c r="Q69" s="2"/>
      <c r="R69" s="6">
        <f t="shared" si="12"/>
        <v>7.4527567346475612E-3</v>
      </c>
      <c r="S69" s="2"/>
      <c r="T69" s="2">
        <f>SUM(OSRRefT22_11x_0)</f>
        <v>477</v>
      </c>
      <c r="U69" s="2"/>
      <c r="V69" s="6">
        <f t="shared" si="13"/>
        <v>4.1439343920492058E-3</v>
      </c>
      <c r="W69" s="2"/>
      <c r="X69" s="2">
        <f t="shared" si="14"/>
        <v>-12</v>
      </c>
      <c r="Y69" s="2"/>
      <c r="Z69" s="6">
        <f t="shared" si="15"/>
        <v>-2.5157232704402517E-2</v>
      </c>
    </row>
    <row r="70" spans="1:26" s="70" customFormat="1" ht="15" hidden="1" customHeight="1" outlineLevel="2" x14ac:dyDescent="0.3">
      <c r="A70" s="26"/>
      <c r="B70" s="12" t="str">
        <f>CONCATENATE("          ","6309"," - ","TELEPHONE")</f>
        <v xml:space="preserve">          6309 - TELEPHONE</v>
      </c>
      <c r="C70" s="12"/>
      <c r="D70" s="7">
        <v>126.5</v>
      </c>
      <c r="E70" s="3"/>
      <c r="F70" s="8">
        <f t="shared" si="8"/>
        <v>3.4518881828360113E-3</v>
      </c>
      <c r="G70" s="3"/>
      <c r="H70" s="7">
        <v>53</v>
      </c>
      <c r="I70" s="3"/>
      <c r="J70" s="8">
        <f t="shared" si="9"/>
        <v>1.9113563417360886E-3</v>
      </c>
      <c r="K70" s="3"/>
      <c r="L70" s="7">
        <f t="shared" si="10"/>
        <v>73.5</v>
      </c>
      <c r="M70" s="3"/>
      <c r="N70" s="8">
        <f t="shared" si="11"/>
        <v>1.3867924528301887</v>
      </c>
      <c r="O70" s="12"/>
      <c r="P70" s="7">
        <v>465</v>
      </c>
      <c r="Q70" s="3"/>
      <c r="R70" s="8">
        <f t="shared" si="12"/>
        <v>7.4527567346475612E-3</v>
      </c>
      <c r="S70" s="3"/>
      <c r="T70" s="7">
        <v>477</v>
      </c>
      <c r="U70" s="3"/>
      <c r="V70" s="8">
        <f t="shared" si="13"/>
        <v>4.1439343920492058E-3</v>
      </c>
      <c r="W70" s="3"/>
      <c r="X70" s="7">
        <f t="shared" si="14"/>
        <v>-12</v>
      </c>
      <c r="Y70" s="3"/>
      <c r="Z70" s="8">
        <f t="shared" si="15"/>
        <v>-2.5157232704402517E-2</v>
      </c>
    </row>
    <row r="71" spans="1:26" s="69" customFormat="1" ht="15" customHeight="1" outlineLevel="1" collapsed="1" x14ac:dyDescent="0.3">
      <c r="A71" s="25"/>
      <c r="B71" s="14" t="str">
        <f>CONCATENATE("     ","Training                                          ")</f>
        <v xml:space="preserve">     Training                                          </v>
      </c>
      <c r="C71" s="14"/>
      <c r="D71" s="2">
        <f>SUM(OSRRefD22_12x_0)</f>
        <v>0</v>
      </c>
      <c r="E71" s="2"/>
      <c r="F71" s="6">
        <f t="shared" si="8"/>
        <v>0</v>
      </c>
      <c r="G71" s="2"/>
      <c r="H71" s="2">
        <f>SUM(OSRRefH22_12x_0)</f>
        <v>0</v>
      </c>
      <c r="I71" s="2"/>
      <c r="J71" s="6">
        <f t="shared" si="9"/>
        <v>0</v>
      </c>
      <c r="K71" s="2"/>
      <c r="L71" s="2">
        <f t="shared" si="10"/>
        <v>0</v>
      </c>
      <c r="M71" s="2"/>
      <c r="N71" s="6">
        <f t="shared" si="11"/>
        <v>0</v>
      </c>
      <c r="O71" s="14"/>
      <c r="P71" s="2">
        <f>SUM(OSRRefP22_12x_0)</f>
        <v>80</v>
      </c>
      <c r="Q71" s="2"/>
      <c r="R71" s="6">
        <f t="shared" si="12"/>
        <v>1.2821947070361394E-3</v>
      </c>
      <c r="S71" s="2"/>
      <c r="T71" s="2">
        <f>SUM(OSRRefT22_12x_0)</f>
        <v>150</v>
      </c>
      <c r="U71" s="2"/>
      <c r="V71" s="6">
        <f t="shared" si="13"/>
        <v>1.303124022656983E-3</v>
      </c>
      <c r="W71" s="2"/>
      <c r="X71" s="2">
        <f t="shared" si="14"/>
        <v>-70</v>
      </c>
      <c r="Y71" s="2"/>
      <c r="Z71" s="6">
        <f t="shared" si="15"/>
        <v>-0.46666666666666667</v>
      </c>
    </row>
    <row r="72" spans="1:26" s="70" customFormat="1" ht="15" hidden="1" customHeight="1" outlineLevel="2" x14ac:dyDescent="0.3">
      <c r="A72" s="26"/>
      <c r="B72" s="12" t="str">
        <f>CONCATENATE("          ","6376"," - ","TRAINING")</f>
        <v xml:space="preserve">          6376 - TRAINING</v>
      </c>
      <c r="C72" s="12"/>
      <c r="D72" s="7"/>
      <c r="E72" s="3"/>
      <c r="F72" s="8">
        <f t="shared" si="8"/>
        <v>0</v>
      </c>
      <c r="G72" s="3"/>
      <c r="H72" s="7">
        <v>0</v>
      </c>
      <c r="I72" s="3"/>
      <c r="J72" s="8">
        <f t="shared" si="9"/>
        <v>0</v>
      </c>
      <c r="K72" s="3"/>
      <c r="L72" s="7">
        <f t="shared" si="10"/>
        <v>0</v>
      </c>
      <c r="M72" s="3"/>
      <c r="N72" s="8">
        <f t="shared" si="11"/>
        <v>0</v>
      </c>
      <c r="O72" s="12"/>
      <c r="P72" s="7">
        <v>80</v>
      </c>
      <c r="Q72" s="3"/>
      <c r="R72" s="8">
        <f t="shared" si="12"/>
        <v>1.2821947070361394E-3</v>
      </c>
      <c r="S72" s="3"/>
      <c r="T72" s="7">
        <v>150</v>
      </c>
      <c r="U72" s="3"/>
      <c r="V72" s="8">
        <f t="shared" si="13"/>
        <v>1.303124022656983E-3</v>
      </c>
      <c r="W72" s="3"/>
      <c r="X72" s="7">
        <f t="shared" si="14"/>
        <v>-70</v>
      </c>
      <c r="Y72" s="3"/>
      <c r="Z72" s="8">
        <f t="shared" si="15"/>
        <v>-0.46666666666666667</v>
      </c>
    </row>
    <row r="73" spans="1:26" s="65" customFormat="1" ht="15" customHeight="1" x14ac:dyDescent="0.3">
      <c r="A73" s="35"/>
      <c r="B73" s="35"/>
      <c r="C73" s="35"/>
      <c r="D73" s="2"/>
      <c r="E73" s="2"/>
      <c r="F73" s="6"/>
      <c r="G73" s="2"/>
      <c r="H73" s="2"/>
      <c r="I73" s="2"/>
      <c r="J73" s="6"/>
      <c r="K73" s="2"/>
      <c r="L73" s="2"/>
      <c r="M73" s="2"/>
      <c r="N73" s="6"/>
      <c r="O73" s="35"/>
      <c r="P73" s="2"/>
      <c r="Q73" s="2"/>
      <c r="R73" s="6"/>
      <c r="S73" s="2"/>
      <c r="T73" s="2"/>
      <c r="U73" s="2"/>
      <c r="V73" s="6"/>
      <c r="W73" s="2"/>
      <c r="X73" s="2"/>
      <c r="Y73" s="2"/>
      <c r="Z73" s="6"/>
    </row>
    <row r="74" spans="1:26" s="63" customFormat="1" ht="15" customHeight="1" x14ac:dyDescent="0.3">
      <c r="A74" s="11"/>
      <c r="B74" s="28" t="s">
        <v>291</v>
      </c>
      <c r="C74" s="11"/>
      <c r="D74" s="5">
        <f>SUM(0)</f>
        <v>0</v>
      </c>
      <c r="E74" s="5"/>
      <c r="F74" s="13">
        <f>IF(D$12=0,0,D74/D$12)</f>
        <v>0</v>
      </c>
      <c r="G74" s="5"/>
      <c r="H74" s="5">
        <f>SUM(0)</f>
        <v>0</v>
      </c>
      <c r="I74" s="5"/>
      <c r="J74" s="13">
        <f>IF(H$12=0,0,H74/H$12)</f>
        <v>0</v>
      </c>
      <c r="K74" s="5"/>
      <c r="L74" s="5">
        <f>+D74-H74</f>
        <v>0</v>
      </c>
      <c r="M74" s="5"/>
      <c r="N74" s="13">
        <f>IF(H74=0,0,L74/H74)</f>
        <v>0</v>
      </c>
      <c r="O74" s="11"/>
      <c r="P74" s="5">
        <f>SUM(0)</f>
        <v>0</v>
      </c>
      <c r="Q74" s="5"/>
      <c r="R74" s="13">
        <f>IF(P$12=0,0,P74/P$12)</f>
        <v>0</v>
      </c>
      <c r="S74" s="5"/>
      <c r="T74" s="5">
        <f>SUM(0)</f>
        <v>0</v>
      </c>
      <c r="U74" s="5"/>
      <c r="V74" s="13">
        <f>IF(T$12=0,0,T74/T$12)</f>
        <v>0</v>
      </c>
      <c r="W74" s="5"/>
      <c r="X74" s="5">
        <f>+P74-T74</f>
        <v>0</v>
      </c>
      <c r="Y74" s="5"/>
      <c r="Z74" s="13">
        <f>IF(T74=0,0,X74/T74)</f>
        <v>0</v>
      </c>
    </row>
    <row r="75" spans="1:26" ht="15" customHeight="1" x14ac:dyDescent="0.3">
      <c r="A75" s="10"/>
      <c r="B75" s="11"/>
      <c r="C75" s="11"/>
      <c r="D75" s="4"/>
      <c r="E75" s="4"/>
      <c r="F75" s="9"/>
      <c r="G75" s="4"/>
      <c r="H75" s="4"/>
      <c r="I75" s="4"/>
      <c r="J75" s="9"/>
      <c r="K75" s="4"/>
      <c r="L75" s="4"/>
      <c r="M75" s="4"/>
      <c r="N75" s="9"/>
      <c r="O75" s="11"/>
      <c r="P75" s="4"/>
      <c r="Q75" s="4"/>
      <c r="R75" s="9"/>
      <c r="S75" s="4"/>
      <c r="T75" s="4"/>
      <c r="U75" s="4"/>
      <c r="V75" s="9"/>
      <c r="W75" s="4"/>
      <c r="X75" s="4"/>
      <c r="Y75" s="4"/>
      <c r="Z75" s="9"/>
    </row>
    <row r="76" spans="1:26" s="63" customFormat="1" ht="15" customHeight="1" x14ac:dyDescent="0.3">
      <c r="A76" s="11"/>
      <c r="B76" s="27" t="s">
        <v>292</v>
      </c>
      <c r="C76" s="27"/>
      <c r="D76" s="21">
        <f>+D20-D22+D74</f>
        <v>3480.5199999999986</v>
      </c>
      <c r="E76" s="15"/>
      <c r="F76" s="23">
        <f>IF(D$12=0,0,D76/D$12)</f>
        <v>9.4975224174896358E-2</v>
      </c>
      <c r="G76" s="15"/>
      <c r="H76" s="21">
        <f>+H20-H22+H74</f>
        <v>5250.3808747500007</v>
      </c>
      <c r="I76" s="15"/>
      <c r="J76" s="23">
        <f>IF(H$12=0,0,H76/H$12)</f>
        <v>0.18934620342421293</v>
      </c>
      <c r="K76" s="16"/>
      <c r="L76" s="21">
        <f>+D76-H76</f>
        <v>-1769.860874750002</v>
      </c>
      <c r="M76" s="16"/>
      <c r="N76" s="23">
        <f>IF(H76=0,0,L76/H76)</f>
        <v>-0.33709190189640764</v>
      </c>
      <c r="O76" s="28"/>
      <c r="P76" s="21">
        <f>+P20-P22+P74</f>
        <v>-27078.199999999997</v>
      </c>
      <c r="Q76" s="15"/>
      <c r="R76" s="23">
        <f>IF(P$12=0,0,P76/P$12)</f>
        <v>-0.43399405895082488</v>
      </c>
      <c r="S76" s="15"/>
      <c r="T76" s="21">
        <f>+T20-T22+T74</f>
        <v>-9503.289319500007</v>
      </c>
      <c r="U76" s="15"/>
      <c r="V76" s="23">
        <f>IF(T$12=0,0,T76/T$12)</f>
        <v>-8.2559764043333275E-2</v>
      </c>
      <c r="W76" s="16"/>
      <c r="X76" s="21">
        <f>+P76-T76</f>
        <v>-17574.91068049999</v>
      </c>
      <c r="Y76" s="16"/>
      <c r="Z76" s="23">
        <f>IF(T76=0,0,X76/T76)</f>
        <v>1.8493502712200551</v>
      </c>
    </row>
    <row r="77" spans="1:26" ht="15" customHeight="1" x14ac:dyDescent="0.3">
      <c r="A77" s="10"/>
      <c r="B77" s="11"/>
      <c r="C77" s="10"/>
      <c r="D77" s="4"/>
      <c r="E77" s="4"/>
      <c r="F77" s="9"/>
      <c r="G77" s="4"/>
      <c r="H77" s="4"/>
      <c r="I77" s="4"/>
      <c r="J77" s="9"/>
      <c r="K77" s="4"/>
      <c r="L77" s="4"/>
      <c r="M77" s="4"/>
      <c r="N77" s="9"/>
      <c r="P77" s="4"/>
      <c r="Q77" s="4"/>
      <c r="R77" s="9"/>
      <c r="S77" s="4"/>
      <c r="T77" s="4"/>
      <c r="U77" s="4"/>
      <c r="V77" s="9"/>
      <c r="W77" s="4"/>
      <c r="X77" s="4"/>
      <c r="Y77" s="4"/>
      <c r="Z77" s="9"/>
    </row>
    <row r="78" spans="1:26" s="63" customFormat="1" ht="15" customHeight="1" x14ac:dyDescent="0.3">
      <c r="A78" s="49"/>
      <c r="B78" s="11" t="s">
        <v>293</v>
      </c>
      <c r="C78" s="11"/>
      <c r="D78" s="5">
        <v>4232.71</v>
      </c>
      <c r="E78" s="5"/>
      <c r="F78" s="13">
        <f>IF(D$12=0,0,D78/D$12)</f>
        <v>0.11550072435076532</v>
      </c>
      <c r="G78" s="5"/>
      <c r="H78" s="5">
        <v>3336</v>
      </c>
      <c r="I78" s="5"/>
      <c r="J78" s="13">
        <f>IF(H$12=0,0,H78/H$12)</f>
        <v>0.12030725954776587</v>
      </c>
      <c r="K78" s="5"/>
      <c r="L78" s="5">
        <f>+D78-H78</f>
        <v>896.71</v>
      </c>
      <c r="M78" s="5"/>
      <c r="N78" s="13">
        <f>IF(H78=0,0,L78/H78)</f>
        <v>0.26879796163069547</v>
      </c>
      <c r="O78" s="11"/>
      <c r="P78" s="5">
        <v>7446.45</v>
      </c>
      <c r="Q78" s="5"/>
      <c r="R78" s="13">
        <f>IF(P$12=0,0,P78/P$12)</f>
        <v>0.11934748470261576</v>
      </c>
      <c r="S78" s="5"/>
      <c r="T78" s="5">
        <v>14017</v>
      </c>
      <c r="U78" s="5"/>
      <c r="V78" s="13">
        <f>IF(T$12=0,0,T78/T$12)</f>
        <v>0.12177259617055287</v>
      </c>
      <c r="W78" s="5"/>
      <c r="X78" s="5">
        <f>+P78-T78</f>
        <v>-6570.55</v>
      </c>
      <c r="Y78" s="5"/>
      <c r="Z78" s="13">
        <f>IF(T78=0,0,X78/T78)</f>
        <v>-0.46875579653278165</v>
      </c>
    </row>
    <row r="79" spans="1:26" ht="15" customHeight="1" x14ac:dyDescent="0.3">
      <c r="A79" s="10"/>
      <c r="B79" s="11"/>
      <c r="C79" s="11"/>
      <c r="D79" s="4"/>
      <c r="E79" s="4"/>
      <c r="F79" s="9"/>
      <c r="G79" s="4"/>
      <c r="H79" s="4"/>
      <c r="I79" s="4"/>
      <c r="J79" s="9"/>
      <c r="K79" s="4"/>
      <c r="L79" s="4"/>
      <c r="M79" s="4"/>
      <c r="N79" s="9"/>
      <c r="O79" s="11"/>
      <c r="P79" s="4"/>
      <c r="Q79" s="4"/>
      <c r="R79" s="9"/>
      <c r="S79" s="4"/>
      <c r="T79" s="4"/>
      <c r="U79" s="4"/>
      <c r="V79" s="9"/>
      <c r="W79" s="4"/>
      <c r="X79" s="4"/>
      <c r="Y79" s="4"/>
      <c r="Z79" s="9"/>
    </row>
    <row r="80" spans="1:26" s="63" customFormat="1" ht="15" customHeight="1" x14ac:dyDescent="0.3">
      <c r="A80" s="11"/>
      <c r="B80" s="27" t="s">
        <v>294</v>
      </c>
      <c r="C80" s="27"/>
      <c r="D80" s="34">
        <f>+D76-D78</f>
        <v>-752.19000000000142</v>
      </c>
      <c r="E80" s="15"/>
      <c r="F80" s="29">
        <f>IF(D$12=0,0,D80/D$12)</f>
        <v>-2.0525500175868967E-2</v>
      </c>
      <c r="G80" s="15"/>
      <c r="H80" s="34">
        <f>+H76-H78</f>
        <v>1914.3808747500007</v>
      </c>
      <c r="I80" s="15"/>
      <c r="J80" s="29">
        <f>IF(H$12=0,0,H80/H$12)</f>
        <v>6.9038943876447059E-2</v>
      </c>
      <c r="K80" s="16"/>
      <c r="L80" s="34">
        <f>D80-H80</f>
        <v>-2666.5708747500021</v>
      </c>
      <c r="M80" s="16"/>
      <c r="N80" s="29">
        <f>IF(H80=0,0,L80/H80)</f>
        <v>-1.3929155425240185</v>
      </c>
      <c r="O80" s="28"/>
      <c r="P80" s="34">
        <f>+P76-P78</f>
        <v>-34524.649999999994</v>
      </c>
      <c r="Q80" s="15"/>
      <c r="R80" s="29">
        <f>IF(P$12=0,0,P80/P$12)</f>
        <v>-0.55334154365344057</v>
      </c>
      <c r="S80" s="15"/>
      <c r="T80" s="34">
        <f>+T76-T78</f>
        <v>-23520.289319500007</v>
      </c>
      <c r="U80" s="15"/>
      <c r="V80" s="29">
        <f>IF(T$12=0,0,T80/T$12)</f>
        <v>-0.20433236021388615</v>
      </c>
      <c r="W80" s="16"/>
      <c r="X80" s="34">
        <f>P80-T80</f>
        <v>-11004.360680499987</v>
      </c>
      <c r="Y80" s="16"/>
      <c r="Z80" s="29">
        <f>IF(T80=0,0,X80/T80)</f>
        <v>0.46786672268425639</v>
      </c>
    </row>
    <row r="81" spans="1:26" ht="15" customHeight="1" x14ac:dyDescent="0.3">
      <c r="A81" s="10"/>
      <c r="B81" s="10"/>
      <c r="C81" s="10"/>
      <c r="D81" s="4"/>
      <c r="E81" s="4"/>
      <c r="F81" s="9"/>
      <c r="G81" s="4"/>
      <c r="H81" s="4"/>
      <c r="I81" s="4"/>
      <c r="J81" s="9"/>
      <c r="K81" s="4"/>
      <c r="L81" s="4"/>
      <c r="M81" s="4"/>
      <c r="N81" s="9"/>
      <c r="P81" s="4"/>
      <c r="Q81" s="4"/>
      <c r="R81" s="9"/>
      <c r="S81" s="4"/>
      <c r="T81" s="4"/>
      <c r="U81" s="4"/>
      <c r="V81" s="9"/>
      <c r="W81" s="4"/>
      <c r="X81" s="4"/>
      <c r="Y81" s="4"/>
      <c r="Z81" s="9"/>
    </row>
    <row r="82" spans="1:26" ht="15" customHeight="1" x14ac:dyDescent="0.3">
      <c r="A82" s="10"/>
      <c r="B82" s="10"/>
      <c r="C82" s="10"/>
      <c r="D82" s="4"/>
      <c r="E82" s="4"/>
      <c r="F82" s="9"/>
      <c r="G82" s="4"/>
      <c r="H82" s="4"/>
      <c r="I82" s="4"/>
      <c r="J82" s="9"/>
      <c r="K82" s="4"/>
      <c r="L82" s="4"/>
      <c r="M82" s="4"/>
      <c r="N82" s="9"/>
      <c r="P82" s="4"/>
      <c r="Q82" s="4"/>
      <c r="R82" s="9"/>
      <c r="S82" s="4"/>
      <c r="T82" s="4"/>
      <c r="U82" s="4"/>
      <c r="V82" s="9"/>
      <c r="W82" s="4"/>
      <c r="X82" s="4"/>
      <c r="Y82" s="4"/>
      <c r="Z82" s="9"/>
    </row>
    <row r="83" spans="1:26" s="63" customFormat="1" ht="15" customHeight="1" x14ac:dyDescent="0.3">
      <c r="A83" s="11"/>
      <c r="B83" s="27" t="s">
        <v>297</v>
      </c>
      <c r="C83" s="27"/>
      <c r="D83" s="32">
        <f>SUM(D80:D82)</f>
        <v>-752.19000000000142</v>
      </c>
      <c r="E83" s="15"/>
      <c r="F83" s="31">
        <f>IF(D$12=0,0,D83/D$12)</f>
        <v>-2.0525500175868967E-2</v>
      </c>
      <c r="G83" s="15"/>
      <c r="H83" s="32">
        <f>SUM(H80:H82)</f>
        <v>1914.3808747500007</v>
      </c>
      <c r="I83" s="15"/>
      <c r="J83" s="31">
        <f>IF(H$12=0,0,H83/H$12)</f>
        <v>6.9038943876447059E-2</v>
      </c>
      <c r="K83" s="16"/>
      <c r="L83" s="32">
        <f>+D83-H83</f>
        <v>-2666.5708747500021</v>
      </c>
      <c r="M83" s="16"/>
      <c r="N83" s="31">
        <f>IF(H83=0,0,L83/H83)</f>
        <v>-1.3929155425240185</v>
      </c>
      <c r="O83" s="28"/>
      <c r="P83" s="32">
        <f>SUM(P80:P82)</f>
        <v>-34524.649999999994</v>
      </c>
      <c r="Q83" s="15"/>
      <c r="R83" s="31">
        <f>IF(P$12=0,0,P83/P$12)</f>
        <v>-0.55334154365344057</v>
      </c>
      <c r="S83" s="15"/>
      <c r="T83" s="32">
        <f>SUM(T80:T82)</f>
        <v>-23520.289319500007</v>
      </c>
      <c r="U83" s="15"/>
      <c r="V83" s="31">
        <f>IF(T$12=0,0,T83/T$12)</f>
        <v>-0.20433236021388615</v>
      </c>
      <c r="W83" s="16"/>
      <c r="X83" s="32">
        <f>+P83-T83</f>
        <v>-11004.360680499987</v>
      </c>
      <c r="Y83" s="16"/>
      <c r="Z83" s="31">
        <f>IF(T83=0,0,X83/T83)</f>
        <v>0.46786672268425639</v>
      </c>
    </row>
    <row r="84" spans="1:26" ht="15" customHeight="1" x14ac:dyDescent="0.3">
      <c r="A84" s="10"/>
      <c r="C84" s="10"/>
      <c r="D84" s="19"/>
      <c r="E84" s="19"/>
      <c r="G84" s="19"/>
      <c r="H84" s="19"/>
      <c r="I84" s="19"/>
      <c r="J84" s="40"/>
      <c r="K84" s="19"/>
      <c r="L84" s="19"/>
      <c r="M84" s="19"/>
      <c r="P84" s="19"/>
      <c r="Q84" s="19"/>
      <c r="R84" s="40"/>
      <c r="S84" s="19"/>
      <c r="T84" s="19"/>
      <c r="U84" s="19"/>
      <c r="V84" s="40"/>
      <c r="W84" s="19"/>
      <c r="X84" s="19"/>
    </row>
    <row r="85" spans="1:26" ht="15" customHeight="1" x14ac:dyDescent="0.3">
      <c r="A85" s="10"/>
      <c r="B85" s="51">
        <v>44663.047665428239</v>
      </c>
      <c r="D85" s="19"/>
      <c r="E85" s="19"/>
      <c r="G85" s="19"/>
      <c r="H85" s="19"/>
      <c r="I85" s="19"/>
      <c r="J85" s="40"/>
      <c r="K85" s="19"/>
      <c r="L85" s="19"/>
      <c r="M85" s="19"/>
      <c r="P85" s="19"/>
      <c r="Q85" s="19"/>
      <c r="R85" s="40"/>
      <c r="S85" s="19"/>
      <c r="T85" s="19"/>
      <c r="U85" s="19"/>
      <c r="V85" s="40"/>
      <c r="W85" s="19"/>
      <c r="X85" s="19"/>
    </row>
    <row r="86" spans="1:26" ht="15" customHeight="1" x14ac:dyDescent="0.3">
      <c r="A86" s="10"/>
      <c r="B86" s="58" t="s">
        <v>298</v>
      </c>
      <c r="D86" s="19"/>
      <c r="E86" s="19"/>
      <c r="G86" s="19"/>
      <c r="H86" s="19"/>
      <c r="I86" s="19"/>
      <c r="J86" s="40"/>
      <c r="K86" s="19"/>
      <c r="L86" s="19"/>
      <c r="M86" s="19"/>
      <c r="P86" s="19"/>
      <c r="Q86" s="19"/>
      <c r="R86" s="40"/>
      <c r="S86" s="19"/>
      <c r="T86" s="19"/>
      <c r="U86" s="19"/>
      <c r="V86" s="40"/>
      <c r="W86" s="19"/>
      <c r="X86" s="19"/>
    </row>
    <row r="87" spans="1:26" ht="15" customHeight="1" x14ac:dyDescent="0.3">
      <c r="A87" s="10"/>
      <c r="B87" s="50"/>
      <c r="D87" s="19"/>
      <c r="E87" s="19"/>
      <c r="G87" s="19"/>
      <c r="H87" s="19"/>
      <c r="I87" s="19"/>
      <c r="J87" s="40"/>
      <c r="K87" s="19"/>
      <c r="L87" s="19"/>
      <c r="M87" s="19"/>
      <c r="P87" s="19"/>
      <c r="Q87" s="19"/>
      <c r="R87" s="40"/>
      <c r="S87" s="19"/>
      <c r="T87" s="19"/>
      <c r="U87" s="19"/>
      <c r="V87" s="40"/>
      <c r="W87" s="19"/>
      <c r="X87" s="19"/>
    </row>
    <row r="88" spans="1:26" ht="15" customHeight="1" x14ac:dyDescent="0.3">
      <c r="D88" s="19"/>
      <c r="E88" s="19"/>
      <c r="G88" s="19"/>
      <c r="H88" s="19"/>
      <c r="I88" s="19"/>
      <c r="J88" s="40"/>
      <c r="K88" s="19"/>
      <c r="L88" s="19"/>
      <c r="M88" s="19"/>
      <c r="P88" s="19"/>
      <c r="Q88" s="19"/>
      <c r="R88" s="40"/>
      <c r="S88" s="19"/>
      <c r="T88" s="19"/>
      <c r="U88" s="19"/>
      <c r="V88" s="40"/>
      <c r="W88" s="19"/>
      <c r="X88" s="19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70EACA-D6DD-D20F-3E4B-26D268F33033}">
  <sheetPr>
    <tabColor rgb="FF92D050"/>
    <outlinePr summaryBelow="0" summaryRight="0"/>
  </sheetPr>
  <dimension ref="A2:Z101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6" customWidth="1"/>
    <col min="2" max="2" width="33.44140625" style="66" customWidth="1"/>
    <col min="3" max="3" width="1.88671875" style="66" customWidth="1"/>
    <col min="4" max="4" width="15" style="66" customWidth="1"/>
    <col min="5" max="5" width="1.88671875" style="66" customWidth="1" outlineLevel="1"/>
    <col min="6" max="6" width="15" style="67" customWidth="1" outlineLevel="1"/>
    <col min="7" max="7" width="1.88671875" style="66" customWidth="1" outlineLevel="1"/>
    <col min="8" max="8" width="15" style="66" customWidth="1" outlineLevel="1"/>
    <col min="9" max="9" width="1.88671875" style="66" customWidth="1" outlineLevel="1"/>
    <col min="10" max="10" width="15" style="68" customWidth="1" outlineLevel="1"/>
    <col min="11" max="11" width="1.88671875" style="66" customWidth="1" outlineLevel="1"/>
    <col min="12" max="12" width="15" style="66" customWidth="1" outlineLevel="1"/>
    <col min="13" max="13" width="1.88671875" style="66" customWidth="1" outlineLevel="1"/>
    <col min="14" max="14" width="15" style="67" customWidth="1" outlineLevel="1"/>
    <col min="15" max="15" width="1.88671875" style="64" customWidth="1"/>
    <col min="16" max="16" width="15" style="66" customWidth="1"/>
    <col min="17" max="17" width="1.88671875" style="66" customWidth="1" outlineLevel="1"/>
    <col min="18" max="18" width="15" style="68" customWidth="1" outlineLevel="1"/>
    <col min="19" max="19" width="1.88671875" style="66" customWidth="1" outlineLevel="1"/>
    <col min="20" max="20" width="15" style="66" customWidth="1" outlineLevel="1"/>
    <col min="21" max="21" width="1.88671875" style="66" customWidth="1" outlineLevel="1"/>
    <col min="22" max="22" width="15" style="68" customWidth="1" outlineLevel="1"/>
    <col min="23" max="23" width="1.88671875" style="66" customWidth="1" outlineLevel="1"/>
    <col min="24" max="24" width="15" style="66" customWidth="1" outlineLevel="1"/>
    <col min="25" max="25" width="1.88671875" style="66" customWidth="1" outlineLevel="1"/>
    <col min="26" max="26" width="15" style="68" customWidth="1" outlineLevel="1"/>
  </cols>
  <sheetData>
    <row r="2" spans="1:26" ht="15" customHeight="1" x14ac:dyDescent="0.3">
      <c r="D2" s="54" t="s">
        <v>276</v>
      </c>
    </row>
    <row r="3" spans="1:26" ht="15" customHeight="1" x14ac:dyDescent="0.3">
      <c r="D3" s="54" t="s">
        <v>277</v>
      </c>
      <c r="E3" s="18"/>
      <c r="F3" s="44"/>
      <c r="G3" s="18"/>
      <c r="H3" s="18"/>
      <c r="I3" s="18"/>
      <c r="J3" s="38"/>
      <c r="K3" s="18"/>
      <c r="L3" s="18"/>
      <c r="M3" s="18"/>
      <c r="N3" s="44"/>
      <c r="O3" s="53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ht="15" customHeight="1" x14ac:dyDescent="0.3">
      <c r="D4" s="54" t="str">
        <f>CONCATENATE("Period ",RIGHT(202209,2),", ",2022)</f>
        <v>Period 09, 2022</v>
      </c>
      <c r="E4" s="18"/>
      <c r="F4" s="44"/>
      <c r="G4" s="18"/>
      <c r="H4" s="18"/>
      <c r="I4" s="18"/>
      <c r="J4" s="38"/>
      <c r="K4" s="18"/>
      <c r="L4" s="18"/>
      <c r="M4" s="18"/>
      <c r="N4" s="44"/>
      <c r="O4" s="53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ht="15" customHeight="1" x14ac:dyDescent="0.3">
      <c r="A5" s="24"/>
      <c r="D5" s="60">
        <v>44646</v>
      </c>
      <c r="E5" s="18"/>
      <c r="F5" s="44"/>
      <c r="G5" s="18"/>
      <c r="H5" s="18"/>
      <c r="I5" s="18"/>
      <c r="J5" s="38"/>
      <c r="K5" s="18"/>
      <c r="L5" s="18"/>
      <c r="M5" s="18"/>
      <c r="N5" s="44"/>
      <c r="O5" s="53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ht="15" customHeight="1" x14ac:dyDescent="0.3">
      <c r="A6" s="24"/>
      <c r="B6" s="47"/>
      <c r="C6" s="47"/>
      <c r="D6" s="24" t="str">
        <f>CONCATENATE("Department ","325"," - ","Outpost C-Store")</f>
        <v>Department 325 - Outpost C-Store</v>
      </c>
      <c r="E6" s="18"/>
      <c r="F6" s="44"/>
      <c r="G6" s="18"/>
      <c r="H6" s="18"/>
      <c r="I6" s="18"/>
      <c r="J6" s="38"/>
      <c r="K6" s="18"/>
      <c r="L6" s="18"/>
      <c r="M6" s="18"/>
      <c r="N6" s="44"/>
      <c r="O6" s="59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ht="15" customHeight="1" x14ac:dyDescent="0.3">
      <c r="B7" s="52"/>
    </row>
    <row r="8" spans="1:26" ht="15" customHeight="1" x14ac:dyDescent="0.3">
      <c r="B8" s="52"/>
    </row>
    <row r="9" spans="1:26" ht="15" customHeight="1" x14ac:dyDescent="0.3">
      <c r="B9" s="10"/>
      <c r="C9" s="10"/>
      <c r="D9" s="17" t="s">
        <v>279</v>
      </c>
      <c r="E9" s="17"/>
      <c r="F9" s="36"/>
      <c r="G9" s="17"/>
      <c r="H9" s="17"/>
      <c r="I9" s="17"/>
      <c r="J9" s="43"/>
      <c r="K9" s="17"/>
      <c r="L9" s="17"/>
      <c r="M9" s="17"/>
      <c r="N9" s="36"/>
      <c r="P9" s="17" t="s">
        <v>280</v>
      </c>
      <c r="Q9" s="17"/>
      <c r="R9" s="36"/>
      <c r="S9" s="17"/>
      <c r="T9" s="17"/>
      <c r="U9" s="17"/>
      <c r="V9" s="43"/>
      <c r="W9" s="17"/>
      <c r="X9" s="17"/>
      <c r="Y9" s="17"/>
      <c r="Z9" s="36"/>
    </row>
    <row r="10" spans="1:26" ht="15" customHeight="1" x14ac:dyDescent="0.3">
      <c r="A10" s="11"/>
      <c r="B10" s="57"/>
      <c r="C10" s="11"/>
      <c r="D10" s="41" t="s">
        <v>281</v>
      </c>
      <c r="E10" s="33"/>
      <c r="F10" s="37" t="s">
        <v>282</v>
      </c>
      <c r="G10" s="33"/>
      <c r="H10" s="48" t="s">
        <v>283</v>
      </c>
      <c r="I10" s="33"/>
      <c r="J10" s="45" t="s">
        <v>284</v>
      </c>
      <c r="K10" s="11"/>
      <c r="L10" s="41" t="s">
        <v>285</v>
      </c>
      <c r="M10" s="11"/>
      <c r="N10" s="37" t="s">
        <v>286</v>
      </c>
      <c r="O10" s="11"/>
      <c r="P10" s="56" t="s">
        <v>281</v>
      </c>
      <c r="Q10" s="33"/>
      <c r="R10" s="37" t="s">
        <v>282</v>
      </c>
      <c r="S10" s="33"/>
      <c r="T10" s="48" t="s">
        <v>283</v>
      </c>
      <c r="U10" s="33"/>
      <c r="V10" s="45" t="s">
        <v>284</v>
      </c>
      <c r="W10" s="11"/>
      <c r="X10" s="41" t="s">
        <v>285</v>
      </c>
      <c r="Y10" s="11"/>
      <c r="Z10" s="37" t="s">
        <v>286</v>
      </c>
    </row>
    <row r="11" spans="1:26" ht="16.5" customHeight="1" x14ac:dyDescent="0.3">
      <c r="A11" s="10"/>
      <c r="B11" s="55"/>
      <c r="C11" s="10"/>
      <c r="D11" s="10"/>
      <c r="E11" s="10"/>
      <c r="F11" s="9"/>
      <c r="G11" s="10"/>
      <c r="H11" s="10"/>
      <c r="I11" s="10"/>
      <c r="J11" s="46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6"/>
      <c r="W11" s="10"/>
      <c r="X11" s="10"/>
      <c r="Y11" s="10"/>
      <c r="Z11" s="9"/>
    </row>
    <row r="12" spans="1:26" s="63" customFormat="1" ht="15" customHeight="1" collapsed="1" x14ac:dyDescent="0.3">
      <c r="A12" s="11"/>
      <c r="B12" s="28" t="s">
        <v>287</v>
      </c>
      <c r="C12" s="11"/>
      <c r="D12" s="5">
        <f>SUM(OSRRefD13x_0)</f>
        <v>65050.549999999996</v>
      </c>
      <c r="E12" s="5"/>
      <c r="F12" s="13"/>
      <c r="G12" s="5"/>
      <c r="H12" s="5">
        <f>SUM(OSRRefH13x_0)</f>
        <v>64600</v>
      </c>
      <c r="I12" s="5"/>
      <c r="J12" s="13"/>
      <c r="K12" s="5"/>
      <c r="L12" s="5">
        <f>+D12-H12</f>
        <v>450.54999999999563</v>
      </c>
      <c r="M12" s="5"/>
      <c r="N12" s="13">
        <f>IF(H12=0,0,L12/H12)</f>
        <v>6.974458204334298E-3</v>
      </c>
      <c r="O12" s="11"/>
      <c r="P12" s="5">
        <f>SUM(OSRRefP13x_0)</f>
        <v>191658.73</v>
      </c>
      <c r="Q12" s="5"/>
      <c r="R12" s="13"/>
      <c r="S12" s="5"/>
      <c r="T12" s="5">
        <f>SUM(OSRRefT13x_0)</f>
        <v>262377</v>
      </c>
      <c r="U12" s="5"/>
      <c r="V12" s="13"/>
      <c r="W12" s="5"/>
      <c r="X12" s="5">
        <f>+P12-T12</f>
        <v>-70718.26999999999</v>
      </c>
      <c r="Y12" s="5"/>
      <c r="Z12" s="13">
        <f>IF(T12=0,0,X12/T12)</f>
        <v>-0.26952922702828369</v>
      </c>
    </row>
    <row r="13" spans="1:26" s="70" customFormat="1" ht="15" hidden="1" customHeight="1" outlineLevel="1" x14ac:dyDescent="0.3">
      <c r="A13" s="42"/>
      <c r="B13" s="12" t="str">
        <f>CONCATENATE("          ","4000"," - ","TAXABLE SALES")</f>
        <v xml:space="preserve">          4000 - TAXABLE SALES</v>
      </c>
      <c r="C13" s="12"/>
      <c r="D13" s="3">
        <f>--8860.49</f>
        <v>8860.49</v>
      </c>
      <c r="E13" s="3"/>
      <c r="F13" s="20"/>
      <c r="G13" s="3"/>
      <c r="H13" s="3">
        <v>11450</v>
      </c>
      <c r="I13" s="3"/>
      <c r="J13" s="20"/>
      <c r="K13" s="3"/>
      <c r="L13" s="3">
        <f>+D13-H13</f>
        <v>-2589.5100000000002</v>
      </c>
      <c r="M13" s="3"/>
      <c r="N13" s="20">
        <f>IF(H13=0,0,L13/H13)</f>
        <v>-0.22615807860262011</v>
      </c>
      <c r="O13" s="12"/>
      <c r="P13" s="3">
        <f>--29233.78</f>
        <v>29233.78</v>
      </c>
      <c r="Q13" s="3"/>
      <c r="R13" s="20"/>
      <c r="S13" s="3"/>
      <c r="T13" s="3">
        <v>46566</v>
      </c>
      <c r="U13" s="3"/>
      <c r="V13" s="20"/>
      <c r="W13" s="3"/>
      <c r="X13" s="3">
        <f>+P13-T13</f>
        <v>-17332.22</v>
      </c>
      <c r="Y13" s="3"/>
      <c r="Z13" s="20">
        <f>IF(T13=0,0,X13/T13)</f>
        <v>-0.37220761929304647</v>
      </c>
    </row>
    <row r="14" spans="1:26" s="70" customFormat="1" ht="15" hidden="1" customHeight="1" outlineLevel="1" x14ac:dyDescent="0.3">
      <c r="A14" s="42"/>
      <c r="B14" s="12" t="str">
        <f>CONCATENATE("          ","4100"," - ","NON-TAXABLE SALES")</f>
        <v xml:space="preserve">          4100 - NON-TAXABLE SALES</v>
      </c>
      <c r="C14" s="12"/>
      <c r="D14" s="3">
        <f>--56190.06</f>
        <v>56190.06</v>
      </c>
      <c r="E14" s="3"/>
      <c r="F14" s="20"/>
      <c r="G14" s="3"/>
      <c r="H14" s="3">
        <v>53150</v>
      </c>
      <c r="I14" s="3"/>
      <c r="J14" s="20"/>
      <c r="K14" s="3"/>
      <c r="L14" s="3">
        <f>+D14-H14</f>
        <v>3040.0599999999977</v>
      </c>
      <c r="M14" s="3"/>
      <c r="N14" s="20">
        <f>IF(H14=0,0,L14/H14)</f>
        <v>5.7197742238946338E-2</v>
      </c>
      <c r="O14" s="12"/>
      <c r="P14" s="3">
        <f>--162424.95</f>
        <v>162424.95000000001</v>
      </c>
      <c r="Q14" s="3"/>
      <c r="R14" s="20"/>
      <c r="S14" s="3"/>
      <c r="T14" s="3">
        <v>215811</v>
      </c>
      <c r="U14" s="3"/>
      <c r="V14" s="20"/>
      <c r="W14" s="3"/>
      <c r="X14" s="3">
        <f>+P14-T14</f>
        <v>-53386.049999999988</v>
      </c>
      <c r="Y14" s="3"/>
      <c r="Z14" s="20">
        <f>IF(T14=0,0,X14/T14)</f>
        <v>-0.24737409121870521</v>
      </c>
    </row>
    <row r="15" spans="1:26" ht="15" customHeight="1" x14ac:dyDescent="0.3">
      <c r="A15" s="10"/>
      <c r="B15" s="11"/>
      <c r="C15" s="10"/>
      <c r="D15" s="4"/>
      <c r="E15" s="4"/>
      <c r="F15" s="9"/>
      <c r="G15" s="4"/>
      <c r="H15" s="4"/>
      <c r="I15" s="4"/>
      <c r="J15" s="9"/>
      <c r="K15" s="4"/>
      <c r="L15" s="4"/>
      <c r="M15" s="4"/>
      <c r="N15" s="9"/>
      <c r="P15" s="4"/>
      <c r="Q15" s="4"/>
      <c r="R15" s="9"/>
      <c r="S15" s="4"/>
      <c r="T15" s="4"/>
      <c r="U15" s="4"/>
      <c r="V15" s="9"/>
      <c r="W15" s="4"/>
      <c r="X15" s="4"/>
      <c r="Y15" s="4"/>
      <c r="Z15" s="9"/>
    </row>
    <row r="16" spans="1:26" s="63" customFormat="1" ht="15" customHeight="1" collapsed="1" x14ac:dyDescent="0.3">
      <c r="A16" s="11"/>
      <c r="B16" s="28" t="s">
        <v>288</v>
      </c>
      <c r="C16" s="11"/>
      <c r="D16" s="5">
        <f>SUM(OSRRefD16x_0)</f>
        <v>13045.739999999998</v>
      </c>
      <c r="E16" s="5"/>
      <c r="F16" s="13">
        <f>IF(D$12=0,0,D16/D$12)</f>
        <v>0.20054772788239297</v>
      </c>
      <c r="G16" s="5"/>
      <c r="H16" s="5">
        <f>SUM(OSRRefH16x_0)</f>
        <v>31654</v>
      </c>
      <c r="I16" s="5"/>
      <c r="J16" s="13">
        <f>IF(H$12=0,0,H16/H$12)</f>
        <v>0.49</v>
      </c>
      <c r="K16" s="5"/>
      <c r="L16" s="5">
        <f>+D16-H16</f>
        <v>-18608.260000000002</v>
      </c>
      <c r="M16" s="5"/>
      <c r="N16" s="13">
        <f>IF(H16=0,0,L16/H16)</f>
        <v>-0.58786440892146341</v>
      </c>
      <c r="O16" s="11"/>
      <c r="P16" s="5">
        <f>SUM(OSRRefP16x_0)</f>
        <v>75844.160000000003</v>
      </c>
      <c r="Q16" s="5"/>
      <c r="R16" s="13">
        <f>IF(P$12=0,0,P16/P$12)</f>
        <v>0.39572504732761193</v>
      </c>
      <c r="S16" s="5"/>
      <c r="T16" s="5">
        <f>SUM(OSRRefT16x_0)</f>
        <v>128731</v>
      </c>
      <c r="U16" s="5"/>
      <c r="V16" s="13">
        <f>IF(T$12=0,0,T16/T$12)</f>
        <v>0.49063370646055104</v>
      </c>
      <c r="W16" s="5"/>
      <c r="X16" s="5">
        <f>+P16-T16</f>
        <v>-52886.84</v>
      </c>
      <c r="Y16" s="5"/>
      <c r="Z16" s="13">
        <f>IF(T16=0,0,X16/T16)</f>
        <v>-0.4108322004800708</v>
      </c>
    </row>
    <row r="17" spans="1:26" s="70" customFormat="1" ht="15" hidden="1" customHeight="1" outlineLevel="1" x14ac:dyDescent="0.3">
      <c r="A17" s="42"/>
      <c r="B17" s="12" t="str">
        <f>CONCATENATE("          ","5000"," - ","PURCHASES @ COST")</f>
        <v xml:space="preserve">          5000 - PURCHASES @ COST</v>
      </c>
      <c r="C17" s="12"/>
      <c r="D17" s="3"/>
      <c r="E17" s="3"/>
      <c r="F17" s="20">
        <f>IF(D$12=0,0,D17/D$12)</f>
        <v>0</v>
      </c>
      <c r="G17" s="3"/>
      <c r="H17" s="3">
        <v>31654</v>
      </c>
      <c r="I17" s="3"/>
      <c r="J17" s="20">
        <f>IF(H$12=0,0,H17/H$12)</f>
        <v>0.49</v>
      </c>
      <c r="K17" s="3"/>
      <c r="L17" s="3">
        <f>+D17-H17</f>
        <v>-31654</v>
      </c>
      <c r="M17" s="3"/>
      <c r="N17" s="20">
        <f>IF(H17=0,0,L17/H17)</f>
        <v>-1</v>
      </c>
      <c r="O17" s="12"/>
      <c r="P17" s="3"/>
      <c r="Q17" s="3"/>
      <c r="R17" s="20">
        <f>IF(P$12=0,0,P17/P$12)</f>
        <v>0</v>
      </c>
      <c r="S17" s="3"/>
      <c r="T17" s="3">
        <v>128731</v>
      </c>
      <c r="U17" s="3"/>
      <c r="V17" s="20">
        <f>IF(T$12=0,0,T17/T$12)</f>
        <v>0.49063370646055104</v>
      </c>
      <c r="W17" s="3"/>
      <c r="X17" s="3">
        <f>+P17-T17</f>
        <v>-128731</v>
      </c>
      <c r="Y17" s="3"/>
      <c r="Z17" s="20">
        <f>IF(T17=0,0,X17/T17)</f>
        <v>-1</v>
      </c>
    </row>
    <row r="18" spans="1:26" s="70" customFormat="1" ht="15" hidden="1" customHeight="1" outlineLevel="1" x14ac:dyDescent="0.3">
      <c r="A18" s="42"/>
      <c r="B18" s="12" t="str">
        <f>CONCATENATE("          ","5053"," - ","PURCHASES @ COST-FOOD")</f>
        <v xml:space="preserve">          5053 - PURCHASES @ COST-FOOD</v>
      </c>
      <c r="C18" s="12"/>
      <c r="D18" s="3">
        <v>-14878.27</v>
      </c>
      <c r="E18" s="3"/>
      <c r="F18" s="20">
        <f>IF(D$12=0,0,D18/D$12)</f>
        <v>-0.22871858885128568</v>
      </c>
      <c r="G18" s="3"/>
      <c r="H18" s="3"/>
      <c r="I18" s="3"/>
      <c r="J18" s="20">
        <f>IF(H$12=0,0,H18/H$12)</f>
        <v>0</v>
      </c>
      <c r="K18" s="3"/>
      <c r="L18" s="3">
        <f>+D18-H18</f>
        <v>-14878.27</v>
      </c>
      <c r="M18" s="3"/>
      <c r="N18" s="20">
        <f>IF(H18=0,0,L18/H18)</f>
        <v>0</v>
      </c>
      <c r="O18" s="12"/>
      <c r="P18" s="3">
        <v>27014.34</v>
      </c>
      <c r="Q18" s="3"/>
      <c r="R18" s="20">
        <f>IF(P$12=0,0,P18/P$12)</f>
        <v>0.14095021917342351</v>
      </c>
      <c r="S18" s="3"/>
      <c r="T18" s="3"/>
      <c r="U18" s="3"/>
      <c r="V18" s="20">
        <f>IF(T$12=0,0,T18/T$12)</f>
        <v>0</v>
      </c>
      <c r="W18" s="3"/>
      <c r="X18" s="3">
        <f>+P18-T18</f>
        <v>27014.34</v>
      </c>
      <c r="Y18" s="3"/>
      <c r="Z18" s="20">
        <f>IF(T18=0,0,X18/T18)</f>
        <v>0</v>
      </c>
    </row>
    <row r="19" spans="1:26" s="70" customFormat="1" ht="15" hidden="1" customHeight="1" outlineLevel="1" x14ac:dyDescent="0.3">
      <c r="A19" s="42"/>
      <c r="B19" s="12" t="str">
        <f>CONCATENATE("          ","5059"," - ","PURCHASES @ COST-FOOD")</f>
        <v xml:space="preserve">          5059 - PURCHASES @ COST-FOOD</v>
      </c>
      <c r="C19" s="12"/>
      <c r="D19" s="3">
        <v>27924.01</v>
      </c>
      <c r="E19" s="3"/>
      <c r="F19" s="20">
        <f>IF(D$12=0,0,D19/D$12)</f>
        <v>0.42926631673367865</v>
      </c>
      <c r="G19" s="3"/>
      <c r="H19" s="3"/>
      <c r="I19" s="3"/>
      <c r="J19" s="20">
        <f>IF(H$12=0,0,H19/H$12)</f>
        <v>0</v>
      </c>
      <c r="K19" s="3"/>
      <c r="L19" s="3">
        <f>+D19-H19</f>
        <v>27924.01</v>
      </c>
      <c r="M19" s="3"/>
      <c r="N19" s="20">
        <f>IF(H19=0,0,L19/H19)</f>
        <v>0</v>
      </c>
      <c r="O19" s="12"/>
      <c r="P19" s="3">
        <v>48829.82</v>
      </c>
      <c r="Q19" s="3"/>
      <c r="R19" s="20">
        <f>IF(P$12=0,0,P19/P$12)</f>
        <v>0.25477482815418845</v>
      </c>
      <c r="S19" s="3"/>
      <c r="T19" s="3"/>
      <c r="U19" s="3"/>
      <c r="V19" s="20">
        <f>IF(T$12=0,0,T19/T$12)</f>
        <v>0</v>
      </c>
      <c r="W19" s="3"/>
      <c r="X19" s="3">
        <f>+P19-T19</f>
        <v>48829.82</v>
      </c>
      <c r="Y19" s="3"/>
      <c r="Z19" s="20">
        <f>IF(T19=0,0,X19/T19)</f>
        <v>0</v>
      </c>
    </row>
    <row r="20" spans="1:26" ht="15" customHeight="1" x14ac:dyDescent="0.3">
      <c r="A20" s="10"/>
      <c r="B20" s="11"/>
      <c r="C20" s="11"/>
      <c r="D20" s="4"/>
      <c r="E20" s="4"/>
      <c r="F20" s="9"/>
      <c r="G20" s="4"/>
      <c r="H20" s="4"/>
      <c r="I20" s="4"/>
      <c r="J20" s="9"/>
      <c r="K20" s="4"/>
      <c r="L20" s="4"/>
      <c r="M20" s="4"/>
      <c r="N20" s="9"/>
      <c r="O20" s="11"/>
      <c r="P20" s="4"/>
      <c r="Q20" s="4"/>
      <c r="R20" s="9"/>
      <c r="S20" s="4"/>
      <c r="T20" s="4"/>
      <c r="U20" s="4"/>
      <c r="V20" s="9"/>
      <c r="W20" s="4"/>
      <c r="X20" s="4"/>
      <c r="Y20" s="4"/>
      <c r="Z20" s="9"/>
    </row>
    <row r="21" spans="1:26" s="63" customFormat="1" ht="15" customHeight="1" x14ac:dyDescent="0.3">
      <c r="A21" s="11"/>
      <c r="B21" s="27" t="s">
        <v>289</v>
      </c>
      <c r="C21" s="27"/>
      <c r="D21" s="21">
        <f>D12-D16</f>
        <v>52004.81</v>
      </c>
      <c r="E21" s="15"/>
      <c r="F21" s="23">
        <f>IF(D$12=0,0,D21/D$12)</f>
        <v>0.79945227211760705</v>
      </c>
      <c r="G21" s="15"/>
      <c r="H21" s="21">
        <f>H12-H16</f>
        <v>32946</v>
      </c>
      <c r="I21" s="15"/>
      <c r="J21" s="23">
        <f>IF(H$12=0,0,H21/H$12)</f>
        <v>0.51</v>
      </c>
      <c r="K21" s="16"/>
      <c r="L21" s="21">
        <f>+D21-H21</f>
        <v>19058.809999999998</v>
      </c>
      <c r="M21" s="16"/>
      <c r="N21" s="23">
        <f>IF(H21=0,0,L21/H21)</f>
        <v>0.57848631093304193</v>
      </c>
      <c r="O21" s="28"/>
      <c r="P21" s="21">
        <f>P12-P16</f>
        <v>115814.57</v>
      </c>
      <c r="Q21" s="15"/>
      <c r="R21" s="23">
        <f>IF(P$12=0,0,P21/P$12)</f>
        <v>0.60427495267238807</v>
      </c>
      <c r="S21" s="15"/>
      <c r="T21" s="21">
        <f>T12-T16</f>
        <v>133646</v>
      </c>
      <c r="U21" s="15"/>
      <c r="V21" s="23">
        <f>IF(T$12=0,0,T21/T$12)</f>
        <v>0.50936629353944896</v>
      </c>
      <c r="W21" s="16"/>
      <c r="X21" s="21">
        <f>+P21-T21</f>
        <v>-17831.429999999993</v>
      </c>
      <c r="Y21" s="16"/>
      <c r="Z21" s="23">
        <f>IF(T21=0,0,X21/T21)</f>
        <v>-0.13342284842045399</v>
      </c>
    </row>
    <row r="22" spans="1:26" ht="15" customHeight="1" x14ac:dyDescent="0.3">
      <c r="A22" s="10"/>
      <c r="B22" s="11"/>
      <c r="C22" s="10"/>
      <c r="D22" s="2"/>
      <c r="E22" s="2"/>
      <c r="F22" s="6"/>
      <c r="G22" s="2"/>
      <c r="H22" s="2"/>
      <c r="I22" s="2"/>
      <c r="J22" s="6"/>
      <c r="K22" s="2"/>
      <c r="L22" s="2"/>
      <c r="M22" s="2"/>
      <c r="N22" s="6"/>
      <c r="O22" s="35"/>
      <c r="P22" s="2"/>
      <c r="Q22" s="2"/>
      <c r="R22" s="6"/>
      <c r="S22" s="2"/>
      <c r="T22" s="2"/>
      <c r="U22" s="2"/>
      <c r="V22" s="6"/>
      <c r="W22" s="2"/>
      <c r="X22" s="2"/>
      <c r="Y22" s="2"/>
      <c r="Z22" s="6"/>
    </row>
    <row r="23" spans="1:26" s="63" customFormat="1" ht="15" customHeight="1" x14ac:dyDescent="0.3">
      <c r="A23" s="11"/>
      <c r="B23" s="28" t="s">
        <v>290</v>
      </c>
      <c r="C23" s="11"/>
      <c r="D23" s="22" cm="1">
        <f t="array" ref="D23">SUM(OSRRefD22x_0)</f>
        <v>35663.089999999989</v>
      </c>
      <c r="E23" s="22"/>
      <c r="F23" s="30">
        <f t="shared" ref="F23:F54" si="0">IF(D$12=0,0,D23/D$12)</f>
        <v>0.54823656371852336</v>
      </c>
      <c r="G23" s="22"/>
      <c r="H23" s="22" cm="1">
        <f t="array" ref="H23">SUM(OSRRefH22x_0)</f>
        <v>31608.40856380769</v>
      </c>
      <c r="I23" s="22"/>
      <c r="J23" s="30">
        <f t="shared" ref="J23:J54" si="1">IF(H$12=0,0,H23/H$12)</f>
        <v>0.48929425021374134</v>
      </c>
      <c r="K23" s="5"/>
      <c r="L23" s="22">
        <f t="shared" ref="L23:L54" si="2">+D23-H23</f>
        <v>4054.6814361922989</v>
      </c>
      <c r="M23" s="5"/>
      <c r="N23" s="30">
        <f t="shared" ref="N23:N54" si="3">IF(H23=0,0,L23/H23)</f>
        <v>0.12827856954604783</v>
      </c>
      <c r="O23" s="11"/>
      <c r="P23" s="22" cm="1">
        <f t="array" ref="P23">SUM(OSRRefP22x_0)</f>
        <v>189524.43000000005</v>
      </c>
      <c r="Q23" s="22"/>
      <c r="R23" s="30">
        <f t="shared" ref="R23:R54" si="4">IF(P$12=0,0,P23/P$12)</f>
        <v>0.98886406061440579</v>
      </c>
      <c r="S23" s="22"/>
      <c r="T23" s="22" cm="1">
        <f t="array" ref="T23">SUM(OSRRefT22x_0)</f>
        <v>255272.1994365</v>
      </c>
      <c r="U23" s="22"/>
      <c r="V23" s="30">
        <f t="shared" ref="V23:V54" si="5">IF(T$12=0,0,T23/T$12)</f>
        <v>0.97292140483540857</v>
      </c>
      <c r="W23" s="5"/>
      <c r="X23" s="22">
        <f t="shared" ref="X23:X54" si="6">+P23-T23</f>
        <v>-65747.769436499948</v>
      </c>
      <c r="Y23" s="5"/>
      <c r="Z23" s="30">
        <f t="shared" ref="Z23:Z54" si="7">IF(T23=0,0,X23/T23)</f>
        <v>-0.25755945841981503</v>
      </c>
    </row>
    <row r="24" spans="1:26" s="69" customFormat="1" ht="15" customHeight="1" outlineLevel="1" collapsed="1" x14ac:dyDescent="0.3">
      <c r="A24" s="25"/>
      <c r="B24" s="14" t="str">
        <f>CONCATENATE("     ","*Benefits                                         ")</f>
        <v xml:space="preserve">     *Benefits                                         </v>
      </c>
      <c r="C24" s="14"/>
      <c r="D24" s="2">
        <f>SUM(OSRRefD22_0x_0)</f>
        <v>4140.4699999999993</v>
      </c>
      <c r="E24" s="2"/>
      <c r="F24" s="6">
        <f t="shared" si="0"/>
        <v>6.3650038316355503E-2</v>
      </c>
      <c r="G24" s="2"/>
      <c r="H24" s="2">
        <f>SUM(OSRRefH22_0x_0)</f>
        <v>4196.6330330384617</v>
      </c>
      <c r="I24" s="2"/>
      <c r="J24" s="6">
        <f t="shared" si="1"/>
        <v>6.4963359644558225E-2</v>
      </c>
      <c r="K24" s="2"/>
      <c r="L24" s="2">
        <f t="shared" si="2"/>
        <v>-56.163033038462345</v>
      </c>
      <c r="M24" s="2"/>
      <c r="N24" s="6">
        <f t="shared" si="3"/>
        <v>-1.3382879226349457E-2</v>
      </c>
      <c r="O24" s="14"/>
      <c r="P24" s="2">
        <f>SUM(OSRRefP22_0x_0)</f>
        <v>13476.320000000002</v>
      </c>
      <c r="Q24" s="2"/>
      <c r="R24" s="6">
        <f t="shared" si="4"/>
        <v>7.0314146399697006E-2</v>
      </c>
      <c r="S24" s="2"/>
      <c r="T24" s="2">
        <f>SUM(OSRRefT22_0x_0)</f>
        <v>36621.830536499998</v>
      </c>
      <c r="U24" s="2"/>
      <c r="V24" s="6">
        <f t="shared" si="5"/>
        <v>0.13957713723573331</v>
      </c>
      <c r="W24" s="2"/>
      <c r="X24" s="2">
        <f t="shared" si="6"/>
        <v>-23145.510536499998</v>
      </c>
      <c r="Y24" s="2"/>
      <c r="Z24" s="6">
        <f t="shared" si="7"/>
        <v>-0.63201402544396268</v>
      </c>
    </row>
    <row r="25" spans="1:26" s="70" customFormat="1" ht="15" hidden="1" customHeight="1" outlineLevel="2" x14ac:dyDescent="0.3">
      <c r="A25" s="26"/>
      <c r="B25" s="12" t="str">
        <f>CONCATENATE("          ","6111"," - ","F.I.C.A.")</f>
        <v xml:space="preserve">          6111 - F.I.C.A.</v>
      </c>
      <c r="C25" s="12"/>
      <c r="D25" s="7">
        <v>688.4</v>
      </c>
      <c r="E25" s="3"/>
      <c r="F25" s="8">
        <f t="shared" si="0"/>
        <v>1.0582539271382026E-2</v>
      </c>
      <c r="G25" s="3"/>
      <c r="H25" s="7">
        <v>515.01834842307699</v>
      </c>
      <c r="I25" s="3"/>
      <c r="J25" s="8">
        <f t="shared" si="1"/>
        <v>7.9724202542271975E-3</v>
      </c>
      <c r="K25" s="3"/>
      <c r="L25" s="7">
        <f t="shared" si="2"/>
        <v>173.38165157692299</v>
      </c>
      <c r="M25" s="3"/>
      <c r="N25" s="8">
        <f t="shared" si="3"/>
        <v>0.33665140690190232</v>
      </c>
      <c r="O25" s="12"/>
      <c r="P25" s="7">
        <v>2811.96</v>
      </c>
      <c r="Q25" s="3"/>
      <c r="R25" s="8">
        <f t="shared" si="4"/>
        <v>1.4671703188265934E-2</v>
      </c>
      <c r="S25" s="3"/>
      <c r="T25" s="7">
        <v>4429.3306364999999</v>
      </c>
      <c r="U25" s="3"/>
      <c r="V25" s="8">
        <f t="shared" si="5"/>
        <v>1.6881550732343154E-2</v>
      </c>
      <c r="W25" s="3"/>
      <c r="X25" s="7">
        <f t="shared" si="6"/>
        <v>-1617.3706364999998</v>
      </c>
      <c r="Y25" s="3"/>
      <c r="Z25" s="8">
        <f t="shared" si="7"/>
        <v>-0.36515012520673445</v>
      </c>
    </row>
    <row r="26" spans="1:26" s="70" customFormat="1" ht="15" hidden="1" customHeight="1" outlineLevel="2" x14ac:dyDescent="0.3">
      <c r="A26" s="26"/>
      <c r="B26" s="12" t="str">
        <f>CONCATENATE("          ","6112"," - ","COMPENSATION INSURANCE")</f>
        <v xml:space="preserve">          6112 - COMPENSATION INSURANCE</v>
      </c>
      <c r="C26" s="12"/>
      <c r="D26" s="7">
        <v>260.11</v>
      </c>
      <c r="E26" s="3"/>
      <c r="F26" s="8">
        <f t="shared" si="0"/>
        <v>3.9985826407309393E-3</v>
      </c>
      <c r="G26" s="3"/>
      <c r="H26" s="7">
        <v>532.11095638461597</v>
      </c>
      <c r="I26" s="3"/>
      <c r="J26" s="8">
        <f t="shared" si="1"/>
        <v>8.2370117087401853E-3</v>
      </c>
      <c r="K26" s="3"/>
      <c r="L26" s="7">
        <f t="shared" si="2"/>
        <v>-272.00095638461596</v>
      </c>
      <c r="M26" s="3"/>
      <c r="N26" s="8">
        <f t="shared" si="3"/>
        <v>-0.5111733805157932</v>
      </c>
      <c r="O26" s="12"/>
      <c r="P26" s="7">
        <v>1015.5</v>
      </c>
      <c r="Q26" s="3"/>
      <c r="R26" s="8">
        <f t="shared" si="4"/>
        <v>5.2984802727222497E-3</v>
      </c>
      <c r="S26" s="3"/>
      <c r="T26" s="7">
        <v>3985.8433230000001</v>
      </c>
      <c r="U26" s="3"/>
      <c r="V26" s="8">
        <f t="shared" si="5"/>
        <v>1.5191283241290205E-2</v>
      </c>
      <c r="W26" s="3"/>
      <c r="X26" s="7">
        <f t="shared" si="6"/>
        <v>-2970.3433230000001</v>
      </c>
      <c r="Y26" s="3"/>
      <c r="Z26" s="8">
        <f t="shared" si="7"/>
        <v>-0.74522330214533627</v>
      </c>
    </row>
    <row r="27" spans="1:26" s="70" customFormat="1" ht="15" hidden="1" customHeight="1" outlineLevel="2" x14ac:dyDescent="0.3">
      <c r="A27" s="26"/>
      <c r="B27" s="12" t="str">
        <f>CONCATENATE("          ","6113"," - ","GROUP INSURANCE")</f>
        <v xml:space="preserve">          6113 - GROUP INSURANCE</v>
      </c>
      <c r="C27" s="12"/>
      <c r="D27" s="7">
        <v>1752.24</v>
      </c>
      <c r="E27" s="3"/>
      <c r="F27" s="8">
        <f t="shared" si="0"/>
        <v>2.6936590082635738E-2</v>
      </c>
      <c r="G27" s="3"/>
      <c r="H27" s="7">
        <v>1977</v>
      </c>
      <c r="I27" s="3"/>
      <c r="J27" s="8">
        <f t="shared" si="1"/>
        <v>3.0603715170278638E-2</v>
      </c>
      <c r="K27" s="3"/>
      <c r="L27" s="7">
        <f t="shared" si="2"/>
        <v>-224.76</v>
      </c>
      <c r="M27" s="3"/>
      <c r="N27" s="8">
        <f t="shared" si="3"/>
        <v>-0.11368740515933232</v>
      </c>
      <c r="O27" s="12"/>
      <c r="P27" s="7">
        <v>5256.72</v>
      </c>
      <c r="Q27" s="3"/>
      <c r="R27" s="8">
        <f t="shared" si="4"/>
        <v>2.7427500954430827E-2</v>
      </c>
      <c r="S27" s="3"/>
      <c r="T27" s="7">
        <v>17793</v>
      </c>
      <c r="U27" s="3"/>
      <c r="V27" s="8">
        <f t="shared" si="5"/>
        <v>6.7814633142386713E-2</v>
      </c>
      <c r="W27" s="3"/>
      <c r="X27" s="7">
        <f t="shared" si="6"/>
        <v>-12536.279999999999</v>
      </c>
      <c r="Y27" s="3"/>
      <c r="Z27" s="8">
        <f t="shared" si="7"/>
        <v>-0.7045624683864441</v>
      </c>
    </row>
    <row r="28" spans="1:26" s="70" customFormat="1" ht="15" hidden="1" customHeight="1" outlineLevel="2" x14ac:dyDescent="0.3">
      <c r="A28" s="26"/>
      <c r="B28" s="12" t="str">
        <f>CONCATENATE("          ","6114"," - ","STATE UNEMPLOYMENT INSURANCE")</f>
        <v xml:space="preserve">          6114 - STATE UNEMPLOYMENT INSURANCE</v>
      </c>
      <c r="C28" s="12"/>
      <c r="D28" s="7">
        <v>45.7</v>
      </c>
      <c r="E28" s="3"/>
      <c r="F28" s="8">
        <f t="shared" si="0"/>
        <v>7.0253057045636057E-4</v>
      </c>
      <c r="G28" s="3"/>
      <c r="H28" s="7">
        <v>29.483720538461501</v>
      </c>
      <c r="I28" s="3"/>
      <c r="J28" s="8">
        <f t="shared" si="1"/>
        <v>4.5640434270064243E-4</v>
      </c>
      <c r="K28" s="3"/>
      <c r="L28" s="7">
        <f t="shared" si="2"/>
        <v>16.216279461538502</v>
      </c>
      <c r="M28" s="3"/>
      <c r="N28" s="8">
        <f t="shared" si="3"/>
        <v>0.55000790827549639</v>
      </c>
      <c r="O28" s="12"/>
      <c r="P28" s="7">
        <v>157.71</v>
      </c>
      <c r="Q28" s="3"/>
      <c r="R28" s="8">
        <f t="shared" si="4"/>
        <v>8.228688565347376E-4</v>
      </c>
      <c r="S28" s="3"/>
      <c r="T28" s="7">
        <v>220.85147699999999</v>
      </c>
      <c r="U28" s="3"/>
      <c r="V28" s="8">
        <f t="shared" si="5"/>
        <v>8.4173337220869204E-4</v>
      </c>
      <c r="W28" s="3"/>
      <c r="X28" s="7">
        <f t="shared" si="6"/>
        <v>-63.141476999999981</v>
      </c>
      <c r="Y28" s="3"/>
      <c r="Z28" s="8">
        <f t="shared" si="7"/>
        <v>-0.28590017987518362</v>
      </c>
    </row>
    <row r="29" spans="1:26" s="70" customFormat="1" ht="15" hidden="1" customHeight="1" outlineLevel="2" x14ac:dyDescent="0.3">
      <c r="A29" s="26"/>
      <c r="B29" s="12" t="str">
        <f>CONCATENATE("          ","6115"," - ","P.E.R.S.")</f>
        <v xml:space="preserve">          6115 - P.E.R.S.</v>
      </c>
      <c r="C29" s="12"/>
      <c r="D29" s="7">
        <v>548.17999999999995</v>
      </c>
      <c r="E29" s="3"/>
      <c r="F29" s="8">
        <f t="shared" si="0"/>
        <v>8.4269848602356173E-3</v>
      </c>
      <c r="G29" s="3"/>
      <c r="H29" s="7">
        <v>397.928615384615</v>
      </c>
      <c r="I29" s="3"/>
      <c r="J29" s="8">
        <f t="shared" si="1"/>
        <v>6.1598856870683436E-3</v>
      </c>
      <c r="K29" s="3"/>
      <c r="L29" s="7">
        <f t="shared" si="2"/>
        <v>150.25138461538495</v>
      </c>
      <c r="M29" s="3"/>
      <c r="N29" s="8">
        <f t="shared" si="3"/>
        <v>0.37758376454068421</v>
      </c>
      <c r="O29" s="12"/>
      <c r="P29" s="7">
        <v>1644.54</v>
      </c>
      <c r="Q29" s="3"/>
      <c r="R29" s="8">
        <f t="shared" si="4"/>
        <v>8.5805640056156058E-3</v>
      </c>
      <c r="S29" s="3"/>
      <c r="T29" s="7">
        <v>3879.8040000000001</v>
      </c>
      <c r="U29" s="3"/>
      <c r="V29" s="8">
        <f t="shared" si="5"/>
        <v>1.4787134543043026E-2</v>
      </c>
      <c r="W29" s="3"/>
      <c r="X29" s="7">
        <f t="shared" si="6"/>
        <v>-2235.2640000000001</v>
      </c>
      <c r="Y29" s="3"/>
      <c r="Z29" s="8">
        <f t="shared" si="7"/>
        <v>-0.57612807244902065</v>
      </c>
    </row>
    <row r="30" spans="1:26" s="70" customFormat="1" ht="15" hidden="1" customHeight="1" outlineLevel="2" x14ac:dyDescent="0.3">
      <c r="A30" s="26"/>
      <c r="B30" s="12" t="str">
        <f>CONCATENATE("          ","6116"," - ","EDUCATIONAL BENEFITS")</f>
        <v xml:space="preserve">          6116 - EDUCATIONAL BENEFITS</v>
      </c>
      <c r="C30" s="12"/>
      <c r="D30" s="7"/>
      <c r="E30" s="3"/>
      <c r="F30" s="8">
        <f t="shared" si="0"/>
        <v>0</v>
      </c>
      <c r="G30" s="3"/>
      <c r="H30" s="7">
        <v>0</v>
      </c>
      <c r="I30" s="3"/>
      <c r="J30" s="8">
        <f t="shared" si="1"/>
        <v>0</v>
      </c>
      <c r="K30" s="3"/>
      <c r="L30" s="7">
        <f t="shared" si="2"/>
        <v>0</v>
      </c>
      <c r="M30" s="3"/>
      <c r="N30" s="8">
        <f t="shared" si="3"/>
        <v>0</v>
      </c>
      <c r="O30" s="12"/>
      <c r="P30" s="7"/>
      <c r="Q30" s="3"/>
      <c r="R30" s="8">
        <f t="shared" si="4"/>
        <v>0</v>
      </c>
      <c r="S30" s="3"/>
      <c r="T30" s="7">
        <v>0</v>
      </c>
      <c r="U30" s="3"/>
      <c r="V30" s="8">
        <f t="shared" si="5"/>
        <v>0</v>
      </c>
      <c r="W30" s="3"/>
      <c r="X30" s="7">
        <f t="shared" si="6"/>
        <v>0</v>
      </c>
      <c r="Y30" s="3"/>
      <c r="Z30" s="8">
        <f t="shared" si="7"/>
        <v>0</v>
      </c>
    </row>
    <row r="31" spans="1:26" s="70" customFormat="1" ht="15" hidden="1" customHeight="1" outlineLevel="2" x14ac:dyDescent="0.3">
      <c r="A31" s="26"/>
      <c r="B31" s="12" t="str">
        <f>CONCATENATE("          ","6118"," - ","VACATION")</f>
        <v xml:space="preserve">          6118 - VACATION</v>
      </c>
      <c r="C31" s="12"/>
      <c r="D31" s="7">
        <v>368.44</v>
      </c>
      <c r="E31" s="3"/>
      <c r="F31" s="8">
        <f t="shared" si="0"/>
        <v>5.6639029185764E-3</v>
      </c>
      <c r="G31" s="3"/>
      <c r="H31" s="7">
        <v>231.35384615384601</v>
      </c>
      <c r="I31" s="3"/>
      <c r="J31" s="8">
        <f t="shared" si="1"/>
        <v>3.5813288878304337E-3</v>
      </c>
      <c r="K31" s="3"/>
      <c r="L31" s="7">
        <f t="shared" si="2"/>
        <v>137.08615384615399</v>
      </c>
      <c r="M31" s="3"/>
      <c r="N31" s="8">
        <f t="shared" si="3"/>
        <v>0.59253890144966181</v>
      </c>
      <c r="O31" s="12"/>
      <c r="P31" s="7">
        <v>1105.32</v>
      </c>
      <c r="Q31" s="3"/>
      <c r="R31" s="8">
        <f t="shared" si="4"/>
        <v>5.7671257656773571E-3</v>
      </c>
      <c r="S31" s="3"/>
      <c r="T31" s="7">
        <v>2255.6999999999998</v>
      </c>
      <c r="U31" s="3"/>
      <c r="V31" s="8">
        <f t="shared" si="5"/>
        <v>8.5971712459552464E-3</v>
      </c>
      <c r="W31" s="3"/>
      <c r="X31" s="7">
        <f t="shared" si="6"/>
        <v>-1150.3799999999999</v>
      </c>
      <c r="Y31" s="3"/>
      <c r="Z31" s="8">
        <f t="shared" si="7"/>
        <v>-0.5099880303231813</v>
      </c>
    </row>
    <row r="32" spans="1:26" s="70" customFormat="1" ht="15" hidden="1" customHeight="1" outlineLevel="2" x14ac:dyDescent="0.3">
      <c r="A32" s="26"/>
      <c r="B32" s="12" t="str">
        <f>CONCATENATE("          ","6119"," - ","SICK LEAVE")</f>
        <v xml:space="preserve">          6119 - SICK LEAVE</v>
      </c>
      <c r="C32" s="12"/>
      <c r="D32" s="7">
        <v>232.4</v>
      </c>
      <c r="E32" s="3"/>
      <c r="F32" s="8">
        <f t="shared" si="0"/>
        <v>3.5726062270034615E-3</v>
      </c>
      <c r="G32" s="3"/>
      <c r="H32" s="7">
        <v>513.73754615384598</v>
      </c>
      <c r="I32" s="3"/>
      <c r="J32" s="8">
        <f t="shared" si="1"/>
        <v>7.9525935937127864E-3</v>
      </c>
      <c r="K32" s="3"/>
      <c r="L32" s="7">
        <f t="shared" si="2"/>
        <v>-281.33754615384601</v>
      </c>
      <c r="M32" s="3"/>
      <c r="N32" s="8">
        <f t="shared" si="3"/>
        <v>-0.5476289367209215</v>
      </c>
      <c r="O32" s="12"/>
      <c r="P32" s="7">
        <v>697.2</v>
      </c>
      <c r="Q32" s="3"/>
      <c r="R32" s="8">
        <f t="shared" si="4"/>
        <v>3.6377158504598251E-3</v>
      </c>
      <c r="S32" s="3"/>
      <c r="T32" s="7">
        <v>4057.3011000000001</v>
      </c>
      <c r="U32" s="3"/>
      <c r="V32" s="8">
        <f t="shared" si="5"/>
        <v>1.5463630958506272E-2</v>
      </c>
      <c r="W32" s="3"/>
      <c r="X32" s="7">
        <f t="shared" si="6"/>
        <v>-3360.1010999999999</v>
      </c>
      <c r="Y32" s="3"/>
      <c r="Z32" s="8">
        <f t="shared" si="7"/>
        <v>-0.82816163187888614</v>
      </c>
    </row>
    <row r="33" spans="1:26" s="70" customFormat="1" ht="15" hidden="1" customHeight="1" outlineLevel="2" x14ac:dyDescent="0.3">
      <c r="A33" s="26"/>
      <c r="B33" s="12" t="str">
        <f>CONCATENATE("          ","6156"," - ","EMPLOYEE MEALS")</f>
        <v xml:space="preserve">          6156 - EMPLOYEE MEALS</v>
      </c>
      <c r="C33" s="12"/>
      <c r="D33" s="7">
        <v>245</v>
      </c>
      <c r="E33" s="3"/>
      <c r="F33" s="8">
        <f t="shared" si="0"/>
        <v>3.7663017453349744E-3</v>
      </c>
      <c r="G33" s="3"/>
      <c r="H33" s="7"/>
      <c r="I33" s="3"/>
      <c r="J33" s="8">
        <f t="shared" si="1"/>
        <v>0</v>
      </c>
      <c r="K33" s="3"/>
      <c r="L33" s="7">
        <f t="shared" si="2"/>
        <v>245</v>
      </c>
      <c r="M33" s="3"/>
      <c r="N33" s="8">
        <f t="shared" si="3"/>
        <v>0</v>
      </c>
      <c r="O33" s="12"/>
      <c r="P33" s="7">
        <v>787.37</v>
      </c>
      <c r="Q33" s="3"/>
      <c r="R33" s="8">
        <f t="shared" si="4"/>
        <v>4.1081875059904649E-3</v>
      </c>
      <c r="S33" s="3"/>
      <c r="T33" s="7"/>
      <c r="U33" s="3"/>
      <c r="V33" s="8">
        <f t="shared" si="5"/>
        <v>0</v>
      </c>
      <c r="W33" s="3"/>
      <c r="X33" s="7">
        <f t="shared" si="6"/>
        <v>787.37</v>
      </c>
      <c r="Y33" s="3"/>
      <c r="Z33" s="8">
        <f t="shared" si="7"/>
        <v>0</v>
      </c>
    </row>
    <row r="34" spans="1:26" s="69" customFormat="1" ht="15" customHeight="1" outlineLevel="1" collapsed="1" x14ac:dyDescent="0.3">
      <c r="A34" s="25"/>
      <c r="B34" s="14" t="str">
        <f>CONCATENATE("     ","*Payroll                                          ")</f>
        <v xml:space="preserve">     *Payroll                                          </v>
      </c>
      <c r="C34" s="14"/>
      <c r="D34" s="2">
        <f>SUM(OSRRefD22_1x_0)</f>
        <v>16325.560000000001</v>
      </c>
      <c r="E34" s="2"/>
      <c r="F34" s="6">
        <f t="shared" si="0"/>
        <v>0.25096728621049325</v>
      </c>
      <c r="G34" s="2"/>
      <c r="H34" s="2">
        <f>SUM(OSRRefH22_1x_0)</f>
        <v>13294.77553076923</v>
      </c>
      <c r="I34" s="2"/>
      <c r="J34" s="6">
        <f t="shared" si="1"/>
        <v>0.20580147880447724</v>
      </c>
      <c r="K34" s="2"/>
      <c r="L34" s="2">
        <f t="shared" si="2"/>
        <v>3030.7844692307717</v>
      </c>
      <c r="M34" s="2"/>
      <c r="N34" s="6">
        <f t="shared" si="3"/>
        <v>0.22796808131257046</v>
      </c>
      <c r="O34" s="14"/>
      <c r="P34" s="2">
        <f>SUM(OSRRefP22_1x_0)</f>
        <v>62046.52</v>
      </c>
      <c r="Q34" s="2"/>
      <c r="R34" s="6">
        <f t="shared" si="4"/>
        <v>0.32373437933142934</v>
      </c>
      <c r="S34" s="2"/>
      <c r="T34" s="2">
        <f>SUM(OSRRefT22_1x_0)</f>
        <v>98854.368900000001</v>
      </c>
      <c r="U34" s="2"/>
      <c r="V34" s="6">
        <f t="shared" si="5"/>
        <v>0.37676461313301091</v>
      </c>
      <c r="W34" s="2"/>
      <c r="X34" s="2">
        <f t="shared" si="6"/>
        <v>-36807.848900000005</v>
      </c>
      <c r="Y34" s="2"/>
      <c r="Z34" s="6">
        <f t="shared" si="7"/>
        <v>-0.3723441797219344</v>
      </c>
    </row>
    <row r="35" spans="1:26" s="70" customFormat="1" ht="15" hidden="1" customHeight="1" outlineLevel="2" x14ac:dyDescent="0.3">
      <c r="A35" s="26"/>
      <c r="B35" s="12" t="str">
        <f>CONCATENATE("          ","6001"," - ","ADMINISTRATIVE SALARIES")</f>
        <v xml:space="preserve">          6001 - ADMINISTRATIVE SALARIES</v>
      </c>
      <c r="C35" s="12"/>
      <c r="D35" s="7"/>
      <c r="E35" s="3"/>
      <c r="F35" s="8">
        <f t="shared" si="0"/>
        <v>0</v>
      </c>
      <c r="G35" s="3"/>
      <c r="H35" s="7">
        <v>0</v>
      </c>
      <c r="I35" s="3"/>
      <c r="J35" s="8">
        <f t="shared" si="1"/>
        <v>0</v>
      </c>
      <c r="K35" s="3"/>
      <c r="L35" s="7">
        <f t="shared" si="2"/>
        <v>0</v>
      </c>
      <c r="M35" s="3"/>
      <c r="N35" s="8">
        <f t="shared" si="3"/>
        <v>0</v>
      </c>
      <c r="O35" s="12"/>
      <c r="P35" s="7"/>
      <c r="Q35" s="3"/>
      <c r="R35" s="8">
        <f t="shared" si="4"/>
        <v>0</v>
      </c>
      <c r="S35" s="3"/>
      <c r="T35" s="7">
        <v>0</v>
      </c>
      <c r="U35" s="3"/>
      <c r="V35" s="8">
        <f t="shared" si="5"/>
        <v>0</v>
      </c>
      <c r="W35" s="3"/>
      <c r="X35" s="7">
        <f t="shared" si="6"/>
        <v>0</v>
      </c>
      <c r="Y35" s="3"/>
      <c r="Z35" s="8">
        <f t="shared" si="7"/>
        <v>0</v>
      </c>
    </row>
    <row r="36" spans="1:26" s="70" customFormat="1" ht="15" hidden="1" customHeight="1" outlineLevel="2" x14ac:dyDescent="0.3">
      <c r="A36" s="26"/>
      <c r="B36" s="12" t="str">
        <f>CONCATENATE("          ","6002"," - ","STAFF SALARIES")</f>
        <v xml:space="preserve">          6002 - STAFF SALARIES</v>
      </c>
      <c r="C36" s="12"/>
      <c r="D36" s="7">
        <v>4534.6099999999997</v>
      </c>
      <c r="E36" s="3"/>
      <c r="F36" s="8">
        <f t="shared" si="0"/>
        <v>6.9709018601687461E-2</v>
      </c>
      <c r="G36" s="3"/>
      <c r="H36" s="7">
        <v>4164.3692307692299</v>
      </c>
      <c r="I36" s="3"/>
      <c r="J36" s="8">
        <f t="shared" si="1"/>
        <v>6.4463919980947831E-2</v>
      </c>
      <c r="K36" s="3"/>
      <c r="L36" s="7">
        <f t="shared" si="2"/>
        <v>370.24076923076973</v>
      </c>
      <c r="M36" s="3"/>
      <c r="N36" s="8">
        <f t="shared" si="3"/>
        <v>8.8906806460670146E-2</v>
      </c>
      <c r="O36" s="12"/>
      <c r="P36" s="7">
        <v>15619.61</v>
      </c>
      <c r="Q36" s="3"/>
      <c r="R36" s="8">
        <f t="shared" si="4"/>
        <v>8.1496992075445765E-2</v>
      </c>
      <c r="S36" s="3"/>
      <c r="T36" s="7">
        <v>40602.6</v>
      </c>
      <c r="U36" s="3"/>
      <c r="V36" s="8">
        <f t="shared" si="5"/>
        <v>0.15474908242719446</v>
      </c>
      <c r="W36" s="3"/>
      <c r="X36" s="7">
        <f t="shared" si="6"/>
        <v>-24982.989999999998</v>
      </c>
      <c r="Y36" s="3"/>
      <c r="Z36" s="8">
        <f t="shared" si="7"/>
        <v>-0.61530517750094815</v>
      </c>
    </row>
    <row r="37" spans="1:26" s="70" customFormat="1" ht="15" hidden="1" customHeight="1" outlineLevel="2" x14ac:dyDescent="0.3">
      <c r="A37" s="26"/>
      <c r="B37" s="12" t="str">
        <f>CONCATENATE("          ","6003"," - ","STAFF HOURLY-9 MONTH")</f>
        <v xml:space="preserve">          6003 - STAFF HOURLY-9 MONTH</v>
      </c>
      <c r="C37" s="12"/>
      <c r="D37" s="7"/>
      <c r="E37" s="3"/>
      <c r="F37" s="8">
        <f t="shared" si="0"/>
        <v>0</v>
      </c>
      <c r="G37" s="3"/>
      <c r="H37" s="7">
        <v>0</v>
      </c>
      <c r="I37" s="3"/>
      <c r="J37" s="8">
        <f t="shared" si="1"/>
        <v>0</v>
      </c>
      <c r="K37" s="3"/>
      <c r="L37" s="7">
        <f t="shared" si="2"/>
        <v>0</v>
      </c>
      <c r="M37" s="3"/>
      <c r="N37" s="8">
        <f t="shared" si="3"/>
        <v>0</v>
      </c>
      <c r="O37" s="12"/>
      <c r="P37" s="7"/>
      <c r="Q37" s="3"/>
      <c r="R37" s="8">
        <f t="shared" si="4"/>
        <v>0</v>
      </c>
      <c r="S37" s="3"/>
      <c r="T37" s="7">
        <v>0</v>
      </c>
      <c r="U37" s="3"/>
      <c r="V37" s="8">
        <f t="shared" si="5"/>
        <v>0</v>
      </c>
      <c r="W37" s="3"/>
      <c r="X37" s="7">
        <f t="shared" si="6"/>
        <v>0</v>
      </c>
      <c r="Y37" s="3"/>
      <c r="Z37" s="8">
        <f t="shared" si="7"/>
        <v>0</v>
      </c>
    </row>
    <row r="38" spans="1:26" s="70" customFormat="1" ht="15" hidden="1" customHeight="1" outlineLevel="2" x14ac:dyDescent="0.3">
      <c r="A38" s="26"/>
      <c r="B38" s="12" t="str">
        <f>CONCATENATE("          ","6004"," - ","STAFF HOURLY")</f>
        <v xml:space="preserve">          6004 - STAFF HOURLY</v>
      </c>
      <c r="C38" s="12"/>
      <c r="D38" s="7"/>
      <c r="E38" s="3"/>
      <c r="F38" s="8">
        <f t="shared" si="0"/>
        <v>0</v>
      </c>
      <c r="G38" s="3"/>
      <c r="H38" s="7">
        <v>2039.4735000000001</v>
      </c>
      <c r="I38" s="3"/>
      <c r="J38" s="8">
        <f t="shared" si="1"/>
        <v>3.1570797213622291E-2</v>
      </c>
      <c r="K38" s="3"/>
      <c r="L38" s="7">
        <f t="shared" si="2"/>
        <v>-2039.4735000000001</v>
      </c>
      <c r="M38" s="3"/>
      <c r="N38" s="8">
        <f t="shared" si="3"/>
        <v>-1</v>
      </c>
      <c r="O38" s="12"/>
      <c r="P38" s="7"/>
      <c r="Q38" s="3"/>
      <c r="R38" s="8">
        <f t="shared" si="4"/>
        <v>0</v>
      </c>
      <c r="S38" s="3"/>
      <c r="T38" s="7">
        <v>12380.1585</v>
      </c>
      <c r="U38" s="3"/>
      <c r="V38" s="8">
        <f t="shared" si="5"/>
        <v>4.7184617935261089E-2</v>
      </c>
      <c r="W38" s="3"/>
      <c r="X38" s="7">
        <f t="shared" si="6"/>
        <v>-12380.1585</v>
      </c>
      <c r="Y38" s="3"/>
      <c r="Z38" s="8">
        <f t="shared" si="7"/>
        <v>-1</v>
      </c>
    </row>
    <row r="39" spans="1:26" s="70" customFormat="1" ht="15" hidden="1" customHeight="1" outlineLevel="2" x14ac:dyDescent="0.3">
      <c r="A39" s="26"/>
      <c r="B39" s="12" t="str">
        <f>CONCATENATE("          ","6005"," - ","TEMPORARY WAGES-HOURLY")</f>
        <v xml:space="preserve">          6005 - TEMPORARY WAGES-HOURLY</v>
      </c>
      <c r="C39" s="12"/>
      <c r="D39" s="7">
        <v>2910.34</v>
      </c>
      <c r="E39" s="3"/>
      <c r="F39" s="8">
        <f t="shared" si="0"/>
        <v>4.4739667842931388E-2</v>
      </c>
      <c r="G39" s="3"/>
      <c r="H39" s="7">
        <v>0</v>
      </c>
      <c r="I39" s="3"/>
      <c r="J39" s="8">
        <f t="shared" si="1"/>
        <v>0</v>
      </c>
      <c r="K39" s="3"/>
      <c r="L39" s="7">
        <f t="shared" si="2"/>
        <v>2910.34</v>
      </c>
      <c r="M39" s="3"/>
      <c r="N39" s="8">
        <f t="shared" si="3"/>
        <v>0</v>
      </c>
      <c r="O39" s="12"/>
      <c r="P39" s="7">
        <v>20568.73</v>
      </c>
      <c r="Q39" s="3"/>
      <c r="R39" s="8">
        <f t="shared" si="4"/>
        <v>0.10731955700635186</v>
      </c>
      <c r="S39" s="3"/>
      <c r="T39" s="7">
        <v>0</v>
      </c>
      <c r="U39" s="3"/>
      <c r="V39" s="8">
        <f t="shared" si="5"/>
        <v>0</v>
      </c>
      <c r="W39" s="3"/>
      <c r="X39" s="7">
        <f t="shared" si="6"/>
        <v>20568.73</v>
      </c>
      <c r="Y39" s="3"/>
      <c r="Z39" s="8">
        <f t="shared" si="7"/>
        <v>0</v>
      </c>
    </row>
    <row r="40" spans="1:26" s="70" customFormat="1" ht="15" hidden="1" customHeight="1" outlineLevel="2" x14ac:dyDescent="0.3">
      <c r="A40" s="26"/>
      <c r="B40" s="12" t="str">
        <f>CONCATENATE("          ","6006"," - ","TEMPORARY PART TIME")</f>
        <v xml:space="preserve">          6006 - TEMPORARY PART TIME</v>
      </c>
      <c r="C40" s="12"/>
      <c r="D40" s="7"/>
      <c r="E40" s="3"/>
      <c r="F40" s="8">
        <f t="shared" si="0"/>
        <v>0</v>
      </c>
      <c r="G40" s="3"/>
      <c r="H40" s="7">
        <v>0</v>
      </c>
      <c r="I40" s="3"/>
      <c r="J40" s="8">
        <f t="shared" si="1"/>
        <v>0</v>
      </c>
      <c r="K40" s="3"/>
      <c r="L40" s="7">
        <f t="shared" si="2"/>
        <v>0</v>
      </c>
      <c r="M40" s="3"/>
      <c r="N40" s="8">
        <f t="shared" si="3"/>
        <v>0</v>
      </c>
      <c r="O40" s="12"/>
      <c r="P40" s="7"/>
      <c r="Q40" s="3"/>
      <c r="R40" s="8">
        <f t="shared" si="4"/>
        <v>0</v>
      </c>
      <c r="S40" s="3"/>
      <c r="T40" s="7">
        <v>0</v>
      </c>
      <c r="U40" s="3"/>
      <c r="V40" s="8">
        <f t="shared" si="5"/>
        <v>0</v>
      </c>
      <c r="W40" s="3"/>
      <c r="X40" s="7">
        <f t="shared" si="6"/>
        <v>0</v>
      </c>
      <c r="Y40" s="3"/>
      <c r="Z40" s="8">
        <f t="shared" si="7"/>
        <v>0</v>
      </c>
    </row>
    <row r="41" spans="1:26" s="70" customFormat="1" ht="15" hidden="1" customHeight="1" outlineLevel="2" x14ac:dyDescent="0.3">
      <c r="A41" s="26"/>
      <c r="B41" s="12" t="str">
        <f>CONCATENATE("          ","6007"," - ","STUDENT HOURLY")</f>
        <v xml:space="preserve">          6007 - STUDENT HOURLY</v>
      </c>
      <c r="C41" s="12"/>
      <c r="D41" s="7">
        <v>8880.61</v>
      </c>
      <c r="E41" s="3"/>
      <c r="F41" s="8">
        <f t="shared" si="0"/>
        <v>0.13651859976587441</v>
      </c>
      <c r="G41" s="3"/>
      <c r="H41" s="7">
        <v>0</v>
      </c>
      <c r="I41" s="3"/>
      <c r="J41" s="8">
        <f t="shared" si="1"/>
        <v>0</v>
      </c>
      <c r="K41" s="3"/>
      <c r="L41" s="7">
        <f t="shared" si="2"/>
        <v>8880.61</v>
      </c>
      <c r="M41" s="3"/>
      <c r="N41" s="8">
        <f t="shared" si="3"/>
        <v>0</v>
      </c>
      <c r="O41" s="12"/>
      <c r="P41" s="7">
        <v>25858.18</v>
      </c>
      <c r="Q41" s="3"/>
      <c r="R41" s="8">
        <f t="shared" si="4"/>
        <v>0.13491783024963172</v>
      </c>
      <c r="S41" s="3"/>
      <c r="T41" s="7">
        <v>0</v>
      </c>
      <c r="U41" s="3"/>
      <c r="V41" s="8">
        <f t="shared" si="5"/>
        <v>0</v>
      </c>
      <c r="W41" s="3"/>
      <c r="X41" s="7">
        <f t="shared" si="6"/>
        <v>25858.18</v>
      </c>
      <c r="Y41" s="3"/>
      <c r="Z41" s="8">
        <f t="shared" si="7"/>
        <v>0</v>
      </c>
    </row>
    <row r="42" spans="1:26" s="70" customFormat="1" ht="15" hidden="1" customHeight="1" outlineLevel="2" x14ac:dyDescent="0.3">
      <c r="A42" s="26"/>
      <c r="B42" s="12" t="str">
        <f>CONCATENATE("          ","6008"," - ","STUDENT HOURLY-FICA EXEMPT")</f>
        <v xml:space="preserve">          6008 - STUDENT HOURLY-FICA EXEMPT</v>
      </c>
      <c r="C42" s="12"/>
      <c r="D42" s="7"/>
      <c r="E42" s="3"/>
      <c r="F42" s="8">
        <f t="shared" si="0"/>
        <v>0</v>
      </c>
      <c r="G42" s="3"/>
      <c r="H42" s="7">
        <v>7090.9327999999996</v>
      </c>
      <c r="I42" s="3"/>
      <c r="J42" s="8">
        <f t="shared" si="1"/>
        <v>0.10976676160990712</v>
      </c>
      <c r="K42" s="3"/>
      <c r="L42" s="7">
        <f t="shared" si="2"/>
        <v>-7090.9327999999996</v>
      </c>
      <c r="M42" s="3"/>
      <c r="N42" s="8">
        <f t="shared" si="3"/>
        <v>-1</v>
      </c>
      <c r="O42" s="12"/>
      <c r="P42" s="7"/>
      <c r="Q42" s="3"/>
      <c r="R42" s="8">
        <f t="shared" si="4"/>
        <v>0</v>
      </c>
      <c r="S42" s="3"/>
      <c r="T42" s="7">
        <v>45871.610399999998</v>
      </c>
      <c r="U42" s="3"/>
      <c r="V42" s="8">
        <f t="shared" si="5"/>
        <v>0.17483091277055535</v>
      </c>
      <c r="W42" s="3"/>
      <c r="X42" s="7">
        <f t="shared" si="6"/>
        <v>-45871.610399999998</v>
      </c>
      <c r="Y42" s="3"/>
      <c r="Z42" s="8">
        <f t="shared" si="7"/>
        <v>-1</v>
      </c>
    </row>
    <row r="43" spans="1:26" s="70" customFormat="1" ht="15" hidden="1" customHeight="1" outlineLevel="2" x14ac:dyDescent="0.3">
      <c r="A43" s="26"/>
      <c r="B43" s="12" t="str">
        <f>CONCATENATE("          ","6009"," - ","TEMPORARY-SEASONAL")</f>
        <v xml:space="preserve">          6009 - TEMPORARY-SEASONAL</v>
      </c>
      <c r="C43" s="12"/>
      <c r="D43" s="7"/>
      <c r="E43" s="3"/>
      <c r="F43" s="8">
        <f t="shared" si="0"/>
        <v>0</v>
      </c>
      <c r="G43" s="3"/>
      <c r="H43" s="7">
        <v>0</v>
      </c>
      <c r="I43" s="3"/>
      <c r="J43" s="8">
        <f t="shared" si="1"/>
        <v>0</v>
      </c>
      <c r="K43" s="3"/>
      <c r="L43" s="7">
        <f t="shared" si="2"/>
        <v>0</v>
      </c>
      <c r="M43" s="3"/>
      <c r="N43" s="8">
        <f t="shared" si="3"/>
        <v>0</v>
      </c>
      <c r="O43" s="12"/>
      <c r="P43" s="7"/>
      <c r="Q43" s="3"/>
      <c r="R43" s="8">
        <f t="shared" si="4"/>
        <v>0</v>
      </c>
      <c r="S43" s="3"/>
      <c r="T43" s="7">
        <v>0</v>
      </c>
      <c r="U43" s="3"/>
      <c r="V43" s="8">
        <f t="shared" si="5"/>
        <v>0</v>
      </c>
      <c r="W43" s="3"/>
      <c r="X43" s="7">
        <f t="shared" si="6"/>
        <v>0</v>
      </c>
      <c r="Y43" s="3"/>
      <c r="Z43" s="8">
        <f t="shared" si="7"/>
        <v>0</v>
      </c>
    </row>
    <row r="44" spans="1:26" s="70" customFormat="1" ht="15" hidden="1" customHeight="1" outlineLevel="2" x14ac:dyDescent="0.3">
      <c r="A44" s="26"/>
      <c r="B44" s="12" t="str">
        <f>CONCATENATE("          ","6010"," - ","GRATUITY")</f>
        <v xml:space="preserve">          6010 - GRATUITY</v>
      </c>
      <c r="C44" s="12"/>
      <c r="D44" s="7"/>
      <c r="E44" s="3"/>
      <c r="F44" s="8">
        <f t="shared" si="0"/>
        <v>0</v>
      </c>
      <c r="G44" s="3"/>
      <c r="H44" s="7">
        <v>0</v>
      </c>
      <c r="I44" s="3"/>
      <c r="J44" s="8">
        <f t="shared" si="1"/>
        <v>0</v>
      </c>
      <c r="K44" s="3"/>
      <c r="L44" s="7">
        <f t="shared" si="2"/>
        <v>0</v>
      </c>
      <c r="M44" s="3"/>
      <c r="N44" s="8">
        <f t="shared" si="3"/>
        <v>0</v>
      </c>
      <c r="O44" s="12"/>
      <c r="P44" s="7"/>
      <c r="Q44" s="3"/>
      <c r="R44" s="8">
        <f t="shared" si="4"/>
        <v>0</v>
      </c>
      <c r="S44" s="3"/>
      <c r="T44" s="7">
        <v>0</v>
      </c>
      <c r="U44" s="3"/>
      <c r="V44" s="8">
        <f t="shared" si="5"/>
        <v>0</v>
      </c>
      <c r="W44" s="3"/>
      <c r="X44" s="7">
        <f t="shared" si="6"/>
        <v>0</v>
      </c>
      <c r="Y44" s="3"/>
      <c r="Z44" s="8">
        <f t="shared" si="7"/>
        <v>0</v>
      </c>
    </row>
    <row r="45" spans="1:26" s="69" customFormat="1" ht="15" customHeight="1" outlineLevel="1" collapsed="1" x14ac:dyDescent="0.3">
      <c r="A45" s="25"/>
      <c r="B45" s="14" t="str">
        <f>CONCATENATE("     ","Advertising/Promo                                 ")</f>
        <v xml:space="preserve">     Advertising/Promo                                 </v>
      </c>
      <c r="C45" s="14"/>
      <c r="D45" s="2">
        <f>SUM(OSRRefD22_2x_0)</f>
        <v>0</v>
      </c>
      <c r="E45" s="2"/>
      <c r="F45" s="6">
        <f t="shared" si="0"/>
        <v>0</v>
      </c>
      <c r="G45" s="2"/>
      <c r="H45" s="2">
        <f>SUM(OSRRefH22_2x_0)</f>
        <v>0</v>
      </c>
      <c r="I45" s="2"/>
      <c r="J45" s="6">
        <f t="shared" si="1"/>
        <v>0</v>
      </c>
      <c r="K45" s="2"/>
      <c r="L45" s="2">
        <f t="shared" si="2"/>
        <v>0</v>
      </c>
      <c r="M45" s="2"/>
      <c r="N45" s="6">
        <f t="shared" si="3"/>
        <v>0</v>
      </c>
      <c r="O45" s="14"/>
      <c r="P45" s="2">
        <f>SUM(OSRRefP22_2x_0)</f>
        <v>91.22</v>
      </c>
      <c r="Q45" s="2"/>
      <c r="R45" s="6">
        <f t="shared" si="4"/>
        <v>4.7595014325723642E-4</v>
      </c>
      <c r="S45" s="2"/>
      <c r="T45" s="2">
        <f>SUM(OSRRefT22_2x_0)</f>
        <v>0</v>
      </c>
      <c r="U45" s="2"/>
      <c r="V45" s="6">
        <f t="shared" si="5"/>
        <v>0</v>
      </c>
      <c r="W45" s="2"/>
      <c r="X45" s="2">
        <f t="shared" si="6"/>
        <v>91.22</v>
      </c>
      <c r="Y45" s="2"/>
      <c r="Z45" s="6">
        <f t="shared" si="7"/>
        <v>0</v>
      </c>
    </row>
    <row r="46" spans="1:26" s="70" customFormat="1" ht="15" hidden="1" customHeight="1" outlineLevel="2" x14ac:dyDescent="0.3">
      <c r="A46" s="26"/>
      <c r="B46" s="12" t="str">
        <f>CONCATENATE("          ","6362"," - ","ADVERTISING EXPENSE")</f>
        <v xml:space="preserve">          6362 - ADVERTISING EXPENSE</v>
      </c>
      <c r="C46" s="12"/>
      <c r="D46" s="7"/>
      <c r="E46" s="3"/>
      <c r="F46" s="8">
        <f t="shared" si="0"/>
        <v>0</v>
      </c>
      <c r="G46" s="3"/>
      <c r="H46" s="7"/>
      <c r="I46" s="3"/>
      <c r="J46" s="8">
        <f t="shared" si="1"/>
        <v>0</v>
      </c>
      <c r="K46" s="3"/>
      <c r="L46" s="7">
        <f t="shared" si="2"/>
        <v>0</v>
      </c>
      <c r="M46" s="3"/>
      <c r="N46" s="8">
        <f t="shared" si="3"/>
        <v>0</v>
      </c>
      <c r="O46" s="12"/>
      <c r="P46" s="7">
        <v>91.22</v>
      </c>
      <c r="Q46" s="3"/>
      <c r="R46" s="8">
        <f t="shared" si="4"/>
        <v>4.7595014325723642E-4</v>
      </c>
      <c r="S46" s="3"/>
      <c r="T46" s="7"/>
      <c r="U46" s="3"/>
      <c r="V46" s="8">
        <f t="shared" si="5"/>
        <v>0</v>
      </c>
      <c r="W46" s="3"/>
      <c r="X46" s="7">
        <f t="shared" si="6"/>
        <v>91.22</v>
      </c>
      <c r="Y46" s="3"/>
      <c r="Z46" s="8">
        <f t="shared" si="7"/>
        <v>0</v>
      </c>
    </row>
    <row r="47" spans="1:26" s="69" customFormat="1" ht="15" customHeight="1" outlineLevel="1" collapsed="1" x14ac:dyDescent="0.3">
      <c r="A47" s="25"/>
      <c r="B47" s="14" t="str">
        <f>CONCATENATE("     ","Bad Debts/Over/Short                              ")</f>
        <v xml:space="preserve">     Bad Debts/Over/Short                              </v>
      </c>
      <c r="C47" s="14"/>
      <c r="D47" s="2">
        <f>SUM(OSRRefD22_3x_0)</f>
        <v>-1.92</v>
      </c>
      <c r="E47" s="2"/>
      <c r="F47" s="6">
        <f t="shared" si="0"/>
        <v>-2.9515507555278166E-5</v>
      </c>
      <c r="G47" s="2"/>
      <c r="H47" s="2">
        <f>SUM(OSRRefH22_3x_0)</f>
        <v>0</v>
      </c>
      <c r="I47" s="2"/>
      <c r="J47" s="6">
        <f t="shared" si="1"/>
        <v>0</v>
      </c>
      <c r="K47" s="2"/>
      <c r="L47" s="2">
        <f t="shared" si="2"/>
        <v>-1.92</v>
      </c>
      <c r="M47" s="2"/>
      <c r="N47" s="6">
        <f t="shared" si="3"/>
        <v>0</v>
      </c>
      <c r="O47" s="14"/>
      <c r="P47" s="2">
        <f>SUM(OSRRefP22_3x_0)</f>
        <v>17.989999999999998</v>
      </c>
      <c r="Q47" s="2"/>
      <c r="R47" s="6">
        <f t="shared" si="4"/>
        <v>9.3864756382346873E-5</v>
      </c>
      <c r="S47" s="2"/>
      <c r="T47" s="2">
        <f>SUM(OSRRefT22_3x_0)</f>
        <v>0</v>
      </c>
      <c r="U47" s="2"/>
      <c r="V47" s="6">
        <f t="shared" si="5"/>
        <v>0</v>
      </c>
      <c r="W47" s="2"/>
      <c r="X47" s="2">
        <f t="shared" si="6"/>
        <v>17.989999999999998</v>
      </c>
      <c r="Y47" s="2"/>
      <c r="Z47" s="6">
        <f t="shared" si="7"/>
        <v>0</v>
      </c>
    </row>
    <row r="48" spans="1:26" s="70" customFormat="1" ht="15" hidden="1" customHeight="1" outlineLevel="2" x14ac:dyDescent="0.3">
      <c r="A48" s="26"/>
      <c r="B48" s="12" t="str">
        <f>CONCATENATE("          ","6272"," - ","CASH (OVER/SHORT)")</f>
        <v xml:space="preserve">          6272 - CASH (OVER/SHORT)</v>
      </c>
      <c r="C48" s="12"/>
      <c r="D48" s="7">
        <v>-1.92</v>
      </c>
      <c r="E48" s="3"/>
      <c r="F48" s="8">
        <f t="shared" si="0"/>
        <v>-2.9515507555278166E-5</v>
      </c>
      <c r="G48" s="3"/>
      <c r="H48" s="7">
        <v>0</v>
      </c>
      <c r="I48" s="3"/>
      <c r="J48" s="8">
        <f t="shared" si="1"/>
        <v>0</v>
      </c>
      <c r="K48" s="3"/>
      <c r="L48" s="7">
        <f t="shared" si="2"/>
        <v>-1.92</v>
      </c>
      <c r="M48" s="3"/>
      <c r="N48" s="8">
        <f t="shared" si="3"/>
        <v>0</v>
      </c>
      <c r="O48" s="12"/>
      <c r="P48" s="7">
        <v>17.989999999999998</v>
      </c>
      <c r="Q48" s="3"/>
      <c r="R48" s="8">
        <f t="shared" si="4"/>
        <v>9.3864756382346873E-5</v>
      </c>
      <c r="S48" s="3"/>
      <c r="T48" s="7">
        <v>0</v>
      </c>
      <c r="U48" s="3"/>
      <c r="V48" s="8">
        <f t="shared" si="5"/>
        <v>0</v>
      </c>
      <c r="W48" s="3"/>
      <c r="X48" s="7">
        <f t="shared" si="6"/>
        <v>17.989999999999998</v>
      </c>
      <c r="Y48" s="3"/>
      <c r="Z48" s="8">
        <f t="shared" si="7"/>
        <v>0</v>
      </c>
    </row>
    <row r="49" spans="1:26" s="69" customFormat="1" ht="15" customHeight="1" outlineLevel="1" collapsed="1" x14ac:dyDescent="0.3">
      <c r="A49" s="25"/>
      <c r="B49" s="14" t="str">
        <f>CONCATENATE("     ","Bank/card Fees                                    ")</f>
        <v xml:space="preserve">     Bank/card Fees                                    </v>
      </c>
      <c r="C49" s="14"/>
      <c r="D49" s="2">
        <f>SUM(OSRRefD22_4x_0)</f>
        <v>2610.98</v>
      </c>
      <c r="E49" s="2"/>
      <c r="F49" s="6">
        <f t="shared" si="0"/>
        <v>4.0137708289937596E-2</v>
      </c>
      <c r="G49" s="2"/>
      <c r="H49" s="2">
        <f>SUM(OSRRefH22_4x_0)</f>
        <v>3218</v>
      </c>
      <c r="I49" s="2"/>
      <c r="J49" s="6">
        <f t="shared" si="1"/>
        <v>4.9814241486068112E-2</v>
      </c>
      <c r="K49" s="2"/>
      <c r="L49" s="2">
        <f t="shared" si="2"/>
        <v>-607.02</v>
      </c>
      <c r="M49" s="2"/>
      <c r="N49" s="6">
        <f t="shared" si="3"/>
        <v>-0.18863269111249223</v>
      </c>
      <c r="O49" s="14"/>
      <c r="P49" s="2">
        <f>SUM(OSRRefP22_4x_0)</f>
        <v>7723.9</v>
      </c>
      <c r="Q49" s="2"/>
      <c r="R49" s="6">
        <f t="shared" si="4"/>
        <v>4.0300277477576939E-2</v>
      </c>
      <c r="S49" s="2"/>
      <c r="T49" s="2">
        <f>SUM(OSRRefT22_4x_0)</f>
        <v>12970</v>
      </c>
      <c r="U49" s="2"/>
      <c r="V49" s="6">
        <f t="shared" si="5"/>
        <v>4.9432686554080577E-2</v>
      </c>
      <c r="W49" s="2"/>
      <c r="X49" s="2">
        <f t="shared" si="6"/>
        <v>-5246.1</v>
      </c>
      <c r="Y49" s="2"/>
      <c r="Z49" s="6">
        <f t="shared" si="7"/>
        <v>-0.40447956823438708</v>
      </c>
    </row>
    <row r="50" spans="1:26" s="70" customFormat="1" ht="15" hidden="1" customHeight="1" outlineLevel="2" x14ac:dyDescent="0.3">
      <c r="A50" s="26"/>
      <c r="B50" s="12" t="str">
        <f>CONCATENATE("          ","6381"," - ","BANK/CREDIT CARD FEES")</f>
        <v xml:space="preserve">          6381 - BANK/CREDIT CARD FEES</v>
      </c>
      <c r="C50" s="12"/>
      <c r="D50" s="7">
        <v>2610.98</v>
      </c>
      <c r="E50" s="3"/>
      <c r="F50" s="8">
        <f t="shared" si="0"/>
        <v>4.0137708289937596E-2</v>
      </c>
      <c r="G50" s="3"/>
      <c r="H50" s="7">
        <v>3218</v>
      </c>
      <c r="I50" s="3"/>
      <c r="J50" s="8">
        <f t="shared" si="1"/>
        <v>4.9814241486068112E-2</v>
      </c>
      <c r="K50" s="3"/>
      <c r="L50" s="7">
        <f t="shared" si="2"/>
        <v>-607.02</v>
      </c>
      <c r="M50" s="3"/>
      <c r="N50" s="8">
        <f t="shared" si="3"/>
        <v>-0.18863269111249223</v>
      </c>
      <c r="O50" s="12"/>
      <c r="P50" s="7">
        <v>7723.9</v>
      </c>
      <c r="Q50" s="3"/>
      <c r="R50" s="8">
        <f t="shared" si="4"/>
        <v>4.0300277477576939E-2</v>
      </c>
      <c r="S50" s="3"/>
      <c r="T50" s="7">
        <v>12970</v>
      </c>
      <c r="U50" s="3"/>
      <c r="V50" s="8">
        <f t="shared" si="5"/>
        <v>4.9432686554080577E-2</v>
      </c>
      <c r="W50" s="3"/>
      <c r="X50" s="7">
        <f t="shared" si="6"/>
        <v>-5246.1</v>
      </c>
      <c r="Y50" s="3"/>
      <c r="Z50" s="8">
        <f t="shared" si="7"/>
        <v>-0.40447956823438708</v>
      </c>
    </row>
    <row r="51" spans="1:26" s="69" customFormat="1" ht="15" customHeight="1" outlineLevel="1" collapsed="1" x14ac:dyDescent="0.3">
      <c r="A51" s="25"/>
      <c r="B51" s="14" t="str">
        <f>CONCATENATE("     ","Depreciation                                      ")</f>
        <v xml:space="preserve">     Depreciation                                      </v>
      </c>
      <c r="C51" s="14"/>
      <c r="D51" s="2">
        <f>SUM(OSRRefD22_5x_0)</f>
        <v>5471.21</v>
      </c>
      <c r="E51" s="2"/>
      <c r="F51" s="6">
        <f t="shared" si="0"/>
        <v>8.410705213099659E-2</v>
      </c>
      <c r="G51" s="2"/>
      <c r="H51" s="2">
        <f>SUM(OSRRefH22_5x_0)</f>
        <v>5471</v>
      </c>
      <c r="I51" s="2"/>
      <c r="J51" s="6">
        <f t="shared" si="1"/>
        <v>8.4690402476780183E-2</v>
      </c>
      <c r="K51" s="2"/>
      <c r="L51" s="2">
        <f t="shared" si="2"/>
        <v>0.21000000000003638</v>
      </c>
      <c r="M51" s="2"/>
      <c r="N51" s="6">
        <f t="shared" si="3"/>
        <v>3.8384207640291792E-5</v>
      </c>
      <c r="O51" s="14"/>
      <c r="P51" s="2">
        <f>SUM(OSRRefP22_5x_0)</f>
        <v>49240.89</v>
      </c>
      <c r="Q51" s="2"/>
      <c r="R51" s="6">
        <f t="shared" si="4"/>
        <v>0.25691963001111401</v>
      </c>
      <c r="S51" s="2"/>
      <c r="T51" s="2">
        <f>SUM(OSRRefT22_5x_0)</f>
        <v>49239</v>
      </c>
      <c r="U51" s="2"/>
      <c r="V51" s="6">
        <f t="shared" si="5"/>
        <v>0.18766507735052995</v>
      </c>
      <c r="W51" s="2"/>
      <c r="X51" s="2">
        <f t="shared" si="6"/>
        <v>1.8899999999994179</v>
      </c>
      <c r="Y51" s="2"/>
      <c r="Z51" s="6">
        <f t="shared" si="7"/>
        <v>3.838420764027332E-5</v>
      </c>
    </row>
    <row r="52" spans="1:26" s="70" customFormat="1" ht="15" hidden="1" customHeight="1" outlineLevel="2" x14ac:dyDescent="0.3">
      <c r="A52" s="26"/>
      <c r="B52" s="12" t="str">
        <f>CONCATENATE("          ","6321"," - ","BUILDING DEPRECIATION")</f>
        <v xml:space="preserve">          6321 - BUILDING DEPRECIATION</v>
      </c>
      <c r="C52" s="12"/>
      <c r="D52" s="7">
        <v>5080.51</v>
      </c>
      <c r="E52" s="3"/>
      <c r="F52" s="8">
        <f t="shared" si="0"/>
        <v>7.8100953796701192E-2</v>
      </c>
      <c r="G52" s="3"/>
      <c r="H52" s="7"/>
      <c r="I52" s="3"/>
      <c r="J52" s="8">
        <f t="shared" si="1"/>
        <v>0</v>
      </c>
      <c r="K52" s="3"/>
      <c r="L52" s="7">
        <f t="shared" si="2"/>
        <v>5080.51</v>
      </c>
      <c r="M52" s="3"/>
      <c r="N52" s="8">
        <f t="shared" si="3"/>
        <v>0</v>
      </c>
      <c r="O52" s="12"/>
      <c r="P52" s="7">
        <v>45724.59</v>
      </c>
      <c r="Q52" s="3"/>
      <c r="R52" s="8">
        <f t="shared" si="4"/>
        <v>0.23857295725584737</v>
      </c>
      <c r="S52" s="3"/>
      <c r="T52" s="7"/>
      <c r="U52" s="3"/>
      <c r="V52" s="8">
        <f t="shared" si="5"/>
        <v>0</v>
      </c>
      <c r="W52" s="3"/>
      <c r="X52" s="7">
        <f t="shared" si="6"/>
        <v>45724.59</v>
      </c>
      <c r="Y52" s="3"/>
      <c r="Z52" s="8">
        <f t="shared" si="7"/>
        <v>0</v>
      </c>
    </row>
    <row r="53" spans="1:26" s="70" customFormat="1" ht="15" hidden="1" customHeight="1" outlineLevel="2" x14ac:dyDescent="0.3">
      <c r="A53" s="26"/>
      <c r="B53" s="12" t="str">
        <f>CONCATENATE("          ","6322"," - ","EQUIPMENT DEPRECIATION EXPENSE")</f>
        <v xml:space="preserve">          6322 - EQUIPMENT DEPRECIATION EXPENSE</v>
      </c>
      <c r="C53" s="12"/>
      <c r="D53" s="7">
        <v>390.7</v>
      </c>
      <c r="E53" s="3"/>
      <c r="F53" s="8">
        <f t="shared" si="0"/>
        <v>6.0060983342954061E-3</v>
      </c>
      <c r="G53" s="3"/>
      <c r="H53" s="7">
        <v>5471</v>
      </c>
      <c r="I53" s="3"/>
      <c r="J53" s="8">
        <f t="shared" si="1"/>
        <v>8.4690402476780183E-2</v>
      </c>
      <c r="K53" s="3"/>
      <c r="L53" s="7">
        <f t="shared" si="2"/>
        <v>-5080.3</v>
      </c>
      <c r="M53" s="3"/>
      <c r="N53" s="8">
        <f t="shared" si="3"/>
        <v>-0.92858709559495523</v>
      </c>
      <c r="O53" s="12"/>
      <c r="P53" s="7">
        <v>3516.3</v>
      </c>
      <c r="Q53" s="3"/>
      <c r="R53" s="8">
        <f t="shared" si="4"/>
        <v>1.8346672755266615E-2</v>
      </c>
      <c r="S53" s="3"/>
      <c r="T53" s="7">
        <v>49239</v>
      </c>
      <c r="U53" s="3"/>
      <c r="V53" s="8">
        <f t="shared" si="5"/>
        <v>0.18766507735052995</v>
      </c>
      <c r="W53" s="3"/>
      <c r="X53" s="7">
        <f t="shared" si="6"/>
        <v>-45722.7</v>
      </c>
      <c r="Y53" s="3"/>
      <c r="Z53" s="8">
        <f t="shared" si="7"/>
        <v>-0.92858709559495511</v>
      </c>
    </row>
    <row r="54" spans="1:26" s="69" customFormat="1" ht="15" customHeight="1" outlineLevel="1" collapsed="1" x14ac:dyDescent="0.3">
      <c r="A54" s="25"/>
      <c r="B54" s="14" t="str">
        <f>CONCATENATE("     ","Employees' Appreciation                           ")</f>
        <v xml:space="preserve">     Employees' Appreciation                           </v>
      </c>
      <c r="C54" s="14"/>
      <c r="D54" s="2">
        <f>SUM(OSRRefD22_6x_0)</f>
        <v>0</v>
      </c>
      <c r="E54" s="2"/>
      <c r="F54" s="6">
        <f t="shared" si="0"/>
        <v>0</v>
      </c>
      <c r="G54" s="2"/>
      <c r="H54" s="2">
        <f>SUM(OSRRefH22_6x_0)</f>
        <v>0</v>
      </c>
      <c r="I54" s="2"/>
      <c r="J54" s="6">
        <f t="shared" si="1"/>
        <v>0</v>
      </c>
      <c r="K54" s="2"/>
      <c r="L54" s="2">
        <f t="shared" si="2"/>
        <v>0</v>
      </c>
      <c r="M54" s="2"/>
      <c r="N54" s="6">
        <f t="shared" si="3"/>
        <v>0</v>
      </c>
      <c r="O54" s="14"/>
      <c r="P54" s="2">
        <f>SUM(OSRRefP22_6x_0)</f>
        <v>0</v>
      </c>
      <c r="Q54" s="2"/>
      <c r="R54" s="6">
        <f t="shared" si="4"/>
        <v>0</v>
      </c>
      <c r="S54" s="2"/>
      <c r="T54" s="2">
        <f>SUM(OSRRefT22_6x_0)</f>
        <v>50</v>
      </c>
      <c r="U54" s="2"/>
      <c r="V54" s="6">
        <f t="shared" si="5"/>
        <v>1.9056548401727287E-4</v>
      </c>
      <c r="W54" s="2"/>
      <c r="X54" s="2">
        <f t="shared" si="6"/>
        <v>-50</v>
      </c>
      <c r="Y54" s="2"/>
      <c r="Z54" s="6">
        <f t="shared" si="7"/>
        <v>-1</v>
      </c>
    </row>
    <row r="55" spans="1:26" s="70" customFormat="1" ht="15" hidden="1" customHeight="1" outlineLevel="2" x14ac:dyDescent="0.3">
      <c r="A55" s="26"/>
      <c r="B55" s="12" t="str">
        <f>CONCATENATE("          ","6277"," - ","EMPLOYEE APPRECIATION")</f>
        <v xml:space="preserve">          6277 - EMPLOYEE APPRECIATION</v>
      </c>
      <c r="C55" s="12"/>
      <c r="D55" s="7"/>
      <c r="E55" s="3"/>
      <c r="F55" s="8">
        <f t="shared" ref="F55:F85" si="8">IF(D$12=0,0,D55/D$12)</f>
        <v>0</v>
      </c>
      <c r="G55" s="3"/>
      <c r="H55" s="7"/>
      <c r="I55" s="3"/>
      <c r="J55" s="8">
        <f t="shared" ref="J55:J85" si="9">IF(H$12=0,0,H55/H$12)</f>
        <v>0</v>
      </c>
      <c r="K55" s="3"/>
      <c r="L55" s="7">
        <f t="shared" ref="L55:L85" si="10">+D55-H55</f>
        <v>0</v>
      </c>
      <c r="M55" s="3"/>
      <c r="N55" s="8">
        <f t="shared" ref="N55:N85" si="11">IF(H55=0,0,L55/H55)</f>
        <v>0</v>
      </c>
      <c r="O55" s="12"/>
      <c r="P55" s="7"/>
      <c r="Q55" s="3"/>
      <c r="R55" s="8">
        <f t="shared" ref="R55:R85" si="12">IF(P$12=0,0,P55/P$12)</f>
        <v>0</v>
      </c>
      <c r="S55" s="3"/>
      <c r="T55" s="7">
        <v>50</v>
      </c>
      <c r="U55" s="3"/>
      <c r="V55" s="8">
        <f t="shared" ref="V55:V85" si="13">IF(T$12=0,0,T55/T$12)</f>
        <v>1.9056548401727287E-4</v>
      </c>
      <c r="W55" s="3"/>
      <c r="X55" s="7">
        <f t="shared" ref="X55:X85" si="14">+P55-T55</f>
        <v>-50</v>
      </c>
      <c r="Y55" s="3"/>
      <c r="Z55" s="8">
        <f t="shared" ref="Z55:Z85" si="15">IF(T55=0,0,X55/T55)</f>
        <v>-1</v>
      </c>
    </row>
    <row r="56" spans="1:26" s="69" customFormat="1" ht="15" customHeight="1" outlineLevel="1" collapsed="1" x14ac:dyDescent="0.3">
      <c r="A56" s="25"/>
      <c r="B56" s="14" t="str">
        <f>CONCATENATE("     ","Equipment Rental                                  ")</f>
        <v xml:space="preserve">     Equipment Rental                                  </v>
      </c>
      <c r="C56" s="14"/>
      <c r="D56" s="2">
        <f>SUM(OSRRefD22_7x_0)</f>
        <v>0</v>
      </c>
      <c r="E56" s="2"/>
      <c r="F56" s="6">
        <f t="shared" si="8"/>
        <v>0</v>
      </c>
      <c r="G56" s="2"/>
      <c r="H56" s="2">
        <f>SUM(OSRRefH22_7x_0)</f>
        <v>176</v>
      </c>
      <c r="I56" s="2"/>
      <c r="J56" s="6">
        <f t="shared" si="9"/>
        <v>2.7244582043343653E-3</v>
      </c>
      <c r="K56" s="2"/>
      <c r="L56" s="2">
        <f t="shared" si="10"/>
        <v>-176</v>
      </c>
      <c r="M56" s="2"/>
      <c r="N56" s="6">
        <f t="shared" si="11"/>
        <v>-1</v>
      </c>
      <c r="O56" s="14"/>
      <c r="P56" s="2">
        <f>SUM(OSRRefP22_7x_0)</f>
        <v>0</v>
      </c>
      <c r="Q56" s="2"/>
      <c r="R56" s="6">
        <f t="shared" si="12"/>
        <v>0</v>
      </c>
      <c r="S56" s="2"/>
      <c r="T56" s="2">
        <f>SUM(OSRRefT22_7x_0)</f>
        <v>1584</v>
      </c>
      <c r="U56" s="2"/>
      <c r="V56" s="6">
        <f t="shared" si="13"/>
        <v>6.0371145336672039E-3</v>
      </c>
      <c r="W56" s="2"/>
      <c r="X56" s="2">
        <f t="shared" si="14"/>
        <v>-1584</v>
      </c>
      <c r="Y56" s="2"/>
      <c r="Z56" s="6">
        <f t="shared" si="15"/>
        <v>-1</v>
      </c>
    </row>
    <row r="57" spans="1:26" s="70" customFormat="1" ht="15" hidden="1" customHeight="1" outlineLevel="2" x14ac:dyDescent="0.3">
      <c r="A57" s="26"/>
      <c r="B57" s="12" t="str">
        <f>CONCATENATE("          ","6351"," - ","EQUIPMENT RENTAL")</f>
        <v xml:space="preserve">          6351 - EQUIPMENT RENTAL</v>
      </c>
      <c r="C57" s="12"/>
      <c r="D57" s="7"/>
      <c r="E57" s="3"/>
      <c r="F57" s="8">
        <f t="shared" si="8"/>
        <v>0</v>
      </c>
      <c r="G57" s="3"/>
      <c r="H57" s="7">
        <v>176</v>
      </c>
      <c r="I57" s="3"/>
      <c r="J57" s="8">
        <f t="shared" si="9"/>
        <v>2.7244582043343653E-3</v>
      </c>
      <c r="K57" s="3"/>
      <c r="L57" s="7">
        <f t="shared" si="10"/>
        <v>-176</v>
      </c>
      <c r="M57" s="3"/>
      <c r="N57" s="8">
        <f t="shared" si="11"/>
        <v>-1</v>
      </c>
      <c r="O57" s="12"/>
      <c r="P57" s="7"/>
      <c r="Q57" s="3"/>
      <c r="R57" s="8">
        <f t="shared" si="12"/>
        <v>0</v>
      </c>
      <c r="S57" s="3"/>
      <c r="T57" s="7">
        <v>1584</v>
      </c>
      <c r="U57" s="3"/>
      <c r="V57" s="8">
        <f t="shared" si="13"/>
        <v>6.0371145336672039E-3</v>
      </c>
      <c r="W57" s="3"/>
      <c r="X57" s="7">
        <f t="shared" si="14"/>
        <v>-1584</v>
      </c>
      <c r="Y57" s="3"/>
      <c r="Z57" s="8">
        <f t="shared" si="15"/>
        <v>-1</v>
      </c>
    </row>
    <row r="58" spans="1:26" s="69" customFormat="1" ht="15" customHeight="1" outlineLevel="1" collapsed="1" x14ac:dyDescent="0.3">
      <c r="A58" s="25"/>
      <c r="B58" s="14" t="str">
        <f>CONCATENATE("     ","General                                           ")</f>
        <v xml:space="preserve">     General                                           </v>
      </c>
      <c r="C58" s="14"/>
      <c r="D58" s="2">
        <f>SUM(OSRRefD22_8x_0)</f>
        <v>0</v>
      </c>
      <c r="E58" s="2"/>
      <c r="F58" s="6">
        <f t="shared" si="8"/>
        <v>0</v>
      </c>
      <c r="G58" s="2"/>
      <c r="H58" s="2">
        <f>SUM(OSRRefH22_8x_0)</f>
        <v>0</v>
      </c>
      <c r="I58" s="2"/>
      <c r="J58" s="6">
        <f t="shared" si="9"/>
        <v>0</v>
      </c>
      <c r="K58" s="2"/>
      <c r="L58" s="2">
        <f t="shared" si="10"/>
        <v>0</v>
      </c>
      <c r="M58" s="2"/>
      <c r="N58" s="6">
        <f t="shared" si="11"/>
        <v>0</v>
      </c>
      <c r="O58" s="14"/>
      <c r="P58" s="2">
        <f>SUM(OSRRefP22_8x_0)</f>
        <v>1002.45</v>
      </c>
      <c r="Q58" s="2"/>
      <c r="R58" s="6">
        <f t="shared" si="12"/>
        <v>5.2303904966916979E-3</v>
      </c>
      <c r="S58" s="2"/>
      <c r="T58" s="2">
        <f>SUM(OSRRefT22_8x_0)</f>
        <v>455</v>
      </c>
      <c r="U58" s="2"/>
      <c r="V58" s="6">
        <f t="shared" si="13"/>
        <v>1.7341459045571829E-3</v>
      </c>
      <c r="W58" s="2"/>
      <c r="X58" s="2">
        <f t="shared" si="14"/>
        <v>547.45000000000005</v>
      </c>
      <c r="Y58" s="2"/>
      <c r="Z58" s="6">
        <f t="shared" si="15"/>
        <v>1.2031868131868133</v>
      </c>
    </row>
    <row r="59" spans="1:26" s="70" customFormat="1" ht="15" hidden="1" customHeight="1" outlineLevel="2" x14ac:dyDescent="0.3">
      <c r="A59" s="26"/>
      <c r="B59" s="12" t="str">
        <f>CONCATENATE("          ","6279"," - ","GENERAL EXPENSE")</f>
        <v xml:space="preserve">          6279 - GENERAL EXPENSE</v>
      </c>
      <c r="C59" s="12"/>
      <c r="D59" s="7"/>
      <c r="E59" s="3"/>
      <c r="F59" s="8">
        <f t="shared" si="8"/>
        <v>0</v>
      </c>
      <c r="G59" s="3"/>
      <c r="H59" s="7"/>
      <c r="I59" s="3"/>
      <c r="J59" s="8">
        <f t="shared" si="9"/>
        <v>0</v>
      </c>
      <c r="K59" s="3"/>
      <c r="L59" s="7">
        <f t="shared" si="10"/>
        <v>0</v>
      </c>
      <c r="M59" s="3"/>
      <c r="N59" s="8">
        <f t="shared" si="11"/>
        <v>0</v>
      </c>
      <c r="O59" s="12"/>
      <c r="P59" s="7">
        <v>1002.45</v>
      </c>
      <c r="Q59" s="3"/>
      <c r="R59" s="8">
        <f t="shared" si="12"/>
        <v>5.2303904966916979E-3</v>
      </c>
      <c r="S59" s="3"/>
      <c r="T59" s="7">
        <v>455</v>
      </c>
      <c r="U59" s="3"/>
      <c r="V59" s="8">
        <f t="shared" si="13"/>
        <v>1.7341459045571829E-3</v>
      </c>
      <c r="W59" s="3"/>
      <c r="X59" s="7">
        <f t="shared" si="14"/>
        <v>547.45000000000005</v>
      </c>
      <c r="Y59" s="3"/>
      <c r="Z59" s="8">
        <f t="shared" si="15"/>
        <v>1.2031868131868133</v>
      </c>
    </row>
    <row r="60" spans="1:26" s="69" customFormat="1" ht="15" customHeight="1" outlineLevel="1" collapsed="1" x14ac:dyDescent="0.3">
      <c r="A60" s="25"/>
      <c r="B60" s="14" t="str">
        <f>CONCATENATE("     ","Insurance                                         ")</f>
        <v xml:space="preserve">     Insurance                                         </v>
      </c>
      <c r="C60" s="14"/>
      <c r="D60" s="2">
        <f>SUM(OSRRefD22_9x_0)</f>
        <v>331.01</v>
      </c>
      <c r="E60" s="2"/>
      <c r="F60" s="6">
        <f t="shared" si="8"/>
        <v>5.088504247850326E-3</v>
      </c>
      <c r="G60" s="2"/>
      <c r="H60" s="2">
        <f>SUM(OSRRefH22_9x_0)</f>
        <v>330</v>
      </c>
      <c r="I60" s="2"/>
      <c r="J60" s="6">
        <f t="shared" si="9"/>
        <v>5.1083591331269346E-3</v>
      </c>
      <c r="K60" s="2"/>
      <c r="L60" s="2">
        <f t="shared" si="10"/>
        <v>1.0099999999999909</v>
      </c>
      <c r="M60" s="2"/>
      <c r="N60" s="6">
        <f t="shared" si="11"/>
        <v>3.0606060606060332E-3</v>
      </c>
      <c r="O60" s="14"/>
      <c r="P60" s="2">
        <f>SUM(OSRRefP22_9x_0)</f>
        <v>2979.09</v>
      </c>
      <c r="Q60" s="2"/>
      <c r="R60" s="6">
        <f t="shared" si="12"/>
        <v>1.5543721906119278E-2</v>
      </c>
      <c r="S60" s="2"/>
      <c r="T60" s="2">
        <f>SUM(OSRRefT22_9x_0)</f>
        <v>2970</v>
      </c>
      <c r="U60" s="2"/>
      <c r="V60" s="6">
        <f t="shared" si="13"/>
        <v>1.1319589750626007E-2</v>
      </c>
      <c r="W60" s="2"/>
      <c r="X60" s="2">
        <f t="shared" si="14"/>
        <v>9.0900000000001455</v>
      </c>
      <c r="Y60" s="2"/>
      <c r="Z60" s="6">
        <f t="shared" si="15"/>
        <v>3.0606060606061095E-3</v>
      </c>
    </row>
    <row r="61" spans="1:26" s="70" customFormat="1" ht="15" hidden="1" customHeight="1" outlineLevel="2" x14ac:dyDescent="0.3">
      <c r="A61" s="26"/>
      <c r="B61" s="12" t="str">
        <f>CONCATENATE("          ","6314"," - ","LIABILITY INSURANCE")</f>
        <v xml:space="preserve">          6314 - LIABILITY INSURANCE</v>
      </c>
      <c r="C61" s="12"/>
      <c r="D61" s="7">
        <v>331.01</v>
      </c>
      <c r="E61" s="3"/>
      <c r="F61" s="8">
        <f t="shared" si="8"/>
        <v>5.088504247850326E-3</v>
      </c>
      <c r="G61" s="3"/>
      <c r="H61" s="7">
        <v>330</v>
      </c>
      <c r="I61" s="3"/>
      <c r="J61" s="8">
        <f t="shared" si="9"/>
        <v>5.1083591331269346E-3</v>
      </c>
      <c r="K61" s="3"/>
      <c r="L61" s="7">
        <f t="shared" si="10"/>
        <v>1.0099999999999909</v>
      </c>
      <c r="M61" s="3"/>
      <c r="N61" s="8">
        <f t="shared" si="11"/>
        <v>3.0606060606060332E-3</v>
      </c>
      <c r="O61" s="12"/>
      <c r="P61" s="7">
        <v>2979.09</v>
      </c>
      <c r="Q61" s="3"/>
      <c r="R61" s="8">
        <f t="shared" si="12"/>
        <v>1.5543721906119278E-2</v>
      </c>
      <c r="S61" s="3"/>
      <c r="T61" s="7">
        <v>2970</v>
      </c>
      <c r="U61" s="3"/>
      <c r="V61" s="8">
        <f t="shared" si="13"/>
        <v>1.1319589750626007E-2</v>
      </c>
      <c r="W61" s="3"/>
      <c r="X61" s="7">
        <f t="shared" si="14"/>
        <v>9.0900000000001455</v>
      </c>
      <c r="Y61" s="3"/>
      <c r="Z61" s="8">
        <f t="shared" si="15"/>
        <v>3.0606060606061095E-3</v>
      </c>
    </row>
    <row r="62" spans="1:26" s="69" customFormat="1" ht="15" customHeight="1" outlineLevel="1" collapsed="1" x14ac:dyDescent="0.3">
      <c r="A62" s="25"/>
      <c r="B62" s="14" t="str">
        <f>CONCATENATE("     ","Interest                                          ")</f>
        <v xml:space="preserve">     Interest                                          </v>
      </c>
      <c r="C62" s="14"/>
      <c r="D62" s="2">
        <f>SUM(OSRRefD22_10x_0)</f>
        <v>3905</v>
      </c>
      <c r="E62" s="2"/>
      <c r="F62" s="6">
        <f t="shared" si="8"/>
        <v>6.0030238022583976E-2</v>
      </c>
      <c r="G62" s="2"/>
      <c r="H62" s="2">
        <f>SUM(OSRRefH22_10x_0)</f>
        <v>3905</v>
      </c>
      <c r="I62" s="2"/>
      <c r="J62" s="6">
        <f t="shared" si="9"/>
        <v>6.0448916408668729E-2</v>
      </c>
      <c r="K62" s="2"/>
      <c r="L62" s="2">
        <f t="shared" si="10"/>
        <v>0</v>
      </c>
      <c r="M62" s="2"/>
      <c r="N62" s="6">
        <f t="shared" si="11"/>
        <v>0</v>
      </c>
      <c r="O62" s="14"/>
      <c r="P62" s="2">
        <f>SUM(OSRRefP22_10x_0)</f>
        <v>34869</v>
      </c>
      <c r="Q62" s="2"/>
      <c r="R62" s="6">
        <f t="shared" si="12"/>
        <v>0.18193275098921921</v>
      </c>
      <c r="S62" s="2"/>
      <c r="T62" s="2">
        <f>SUM(OSRRefT22_10x_0)</f>
        <v>35145</v>
      </c>
      <c r="U62" s="2"/>
      <c r="V62" s="6">
        <f t="shared" si="13"/>
        <v>0.13394847871574109</v>
      </c>
      <c r="W62" s="2"/>
      <c r="X62" s="2">
        <f t="shared" si="14"/>
        <v>-276</v>
      </c>
      <c r="Y62" s="2"/>
      <c r="Z62" s="6">
        <f t="shared" si="15"/>
        <v>-7.8531796841655992E-3</v>
      </c>
    </row>
    <row r="63" spans="1:26" s="70" customFormat="1" ht="15" hidden="1" customHeight="1" outlineLevel="2" x14ac:dyDescent="0.3">
      <c r="A63" s="26"/>
      <c r="B63" s="12" t="str">
        <f>CONCATENATE("          ","6401"," - ","INTEREST EXPENSE")</f>
        <v xml:space="preserve">          6401 - INTEREST EXPENSE</v>
      </c>
      <c r="C63" s="12"/>
      <c r="D63" s="7">
        <v>3905</v>
      </c>
      <c r="E63" s="3"/>
      <c r="F63" s="8">
        <f t="shared" si="8"/>
        <v>6.0030238022583976E-2</v>
      </c>
      <c r="G63" s="3"/>
      <c r="H63" s="7">
        <v>3905</v>
      </c>
      <c r="I63" s="3"/>
      <c r="J63" s="8">
        <f t="shared" si="9"/>
        <v>6.0448916408668729E-2</v>
      </c>
      <c r="K63" s="3"/>
      <c r="L63" s="7">
        <f t="shared" si="10"/>
        <v>0</v>
      </c>
      <c r="M63" s="3"/>
      <c r="N63" s="8">
        <f t="shared" si="11"/>
        <v>0</v>
      </c>
      <c r="O63" s="12"/>
      <c r="P63" s="7">
        <v>34869</v>
      </c>
      <c r="Q63" s="3"/>
      <c r="R63" s="8">
        <f t="shared" si="12"/>
        <v>0.18193275098921921</v>
      </c>
      <c r="S63" s="3"/>
      <c r="T63" s="7">
        <v>35145</v>
      </c>
      <c r="U63" s="3"/>
      <c r="V63" s="8">
        <f t="shared" si="13"/>
        <v>0.13394847871574109</v>
      </c>
      <c r="W63" s="3"/>
      <c r="X63" s="7">
        <f t="shared" si="14"/>
        <v>-276</v>
      </c>
      <c r="Y63" s="3"/>
      <c r="Z63" s="8">
        <f t="shared" si="15"/>
        <v>-7.8531796841655992E-3</v>
      </c>
    </row>
    <row r="64" spans="1:26" s="69" customFormat="1" ht="15" customHeight="1" outlineLevel="1" collapsed="1" x14ac:dyDescent="0.3">
      <c r="A64" s="25"/>
      <c r="B64" s="14" t="str">
        <f>CONCATENATE("     ","Repair and Maintenance                            ")</f>
        <v xml:space="preserve">     Repair and Maintenance                            </v>
      </c>
      <c r="C64" s="14"/>
      <c r="D64" s="2">
        <f>SUM(OSRRefD22_11x_0)</f>
        <v>112.34</v>
      </c>
      <c r="E64" s="2"/>
      <c r="F64" s="6">
        <f t="shared" si="8"/>
        <v>1.7269646451874736E-3</v>
      </c>
      <c r="G64" s="2"/>
      <c r="H64" s="2">
        <f>SUM(OSRRefH22_11x_0)</f>
        <v>100</v>
      </c>
      <c r="I64" s="2"/>
      <c r="J64" s="6">
        <f t="shared" si="9"/>
        <v>1.5479876160990713E-3</v>
      </c>
      <c r="K64" s="2"/>
      <c r="L64" s="2">
        <f t="shared" si="10"/>
        <v>12.340000000000003</v>
      </c>
      <c r="M64" s="2"/>
      <c r="N64" s="6">
        <f t="shared" si="11"/>
        <v>0.12340000000000004</v>
      </c>
      <c r="O64" s="14"/>
      <c r="P64" s="2">
        <f>SUM(OSRRefP22_11x_0)</f>
        <v>2894.93</v>
      </c>
      <c r="Q64" s="2"/>
      <c r="R64" s="6">
        <f t="shared" si="12"/>
        <v>1.51046080708142E-2</v>
      </c>
      <c r="S64" s="2"/>
      <c r="T64" s="2">
        <f>SUM(OSRRefT22_11x_0)</f>
        <v>5413</v>
      </c>
      <c r="U64" s="2"/>
      <c r="V64" s="6">
        <f t="shared" si="13"/>
        <v>2.0630619299709961E-2</v>
      </c>
      <c r="W64" s="2"/>
      <c r="X64" s="2">
        <f t="shared" si="14"/>
        <v>-2518.0700000000002</v>
      </c>
      <c r="Y64" s="2"/>
      <c r="Z64" s="6">
        <f t="shared" si="15"/>
        <v>-0.46518935895067431</v>
      </c>
    </row>
    <row r="65" spans="1:26" s="70" customFormat="1" ht="15" hidden="1" customHeight="1" outlineLevel="2" x14ac:dyDescent="0.3">
      <c r="A65" s="26"/>
      <c r="B65" s="12" t="str">
        <f>CONCATENATE("          ","6371"," - ","COMPUTER SOFTWARE MAINTENANCE")</f>
        <v xml:space="preserve">          6371 - COMPUTER SOFTWARE MAINTENANCE</v>
      </c>
      <c r="C65" s="12"/>
      <c r="D65" s="7"/>
      <c r="E65" s="3"/>
      <c r="F65" s="8">
        <f t="shared" si="8"/>
        <v>0</v>
      </c>
      <c r="G65" s="3"/>
      <c r="H65" s="7"/>
      <c r="I65" s="3"/>
      <c r="J65" s="8">
        <f t="shared" si="9"/>
        <v>0</v>
      </c>
      <c r="K65" s="3"/>
      <c r="L65" s="7">
        <f t="shared" si="10"/>
        <v>0</v>
      </c>
      <c r="M65" s="3"/>
      <c r="N65" s="8">
        <f t="shared" si="11"/>
        <v>0</v>
      </c>
      <c r="O65" s="12"/>
      <c r="P65" s="7"/>
      <c r="Q65" s="3"/>
      <c r="R65" s="8">
        <f t="shared" si="12"/>
        <v>0</v>
      </c>
      <c r="S65" s="3"/>
      <c r="T65" s="7">
        <v>2623</v>
      </c>
      <c r="U65" s="3"/>
      <c r="V65" s="8">
        <f t="shared" si="13"/>
        <v>9.9970652915461339E-3</v>
      </c>
      <c r="W65" s="3"/>
      <c r="X65" s="7">
        <f t="shared" si="14"/>
        <v>-2623</v>
      </c>
      <c r="Y65" s="3"/>
      <c r="Z65" s="8">
        <f t="shared" si="15"/>
        <v>-1</v>
      </c>
    </row>
    <row r="66" spans="1:26" s="70" customFormat="1" ht="15" hidden="1" customHeight="1" outlineLevel="2" x14ac:dyDescent="0.3">
      <c r="A66" s="26"/>
      <c r="B66" s="12" t="str">
        <f>CONCATENATE("          ","6373"," - ","MAINTENANCE CONTRACTS")</f>
        <v xml:space="preserve">          6373 - MAINTENANCE CONTRACTS</v>
      </c>
      <c r="C66" s="12"/>
      <c r="D66" s="7">
        <v>112.34</v>
      </c>
      <c r="E66" s="3"/>
      <c r="F66" s="8">
        <f t="shared" si="8"/>
        <v>1.7269646451874736E-3</v>
      </c>
      <c r="G66" s="3"/>
      <c r="H66" s="7"/>
      <c r="I66" s="3"/>
      <c r="J66" s="8">
        <f t="shared" si="9"/>
        <v>0</v>
      </c>
      <c r="K66" s="3"/>
      <c r="L66" s="7">
        <f t="shared" si="10"/>
        <v>112.34</v>
      </c>
      <c r="M66" s="3"/>
      <c r="N66" s="8">
        <f t="shared" si="11"/>
        <v>0</v>
      </c>
      <c r="O66" s="12"/>
      <c r="P66" s="7">
        <v>733.68</v>
      </c>
      <c r="Q66" s="3"/>
      <c r="R66" s="8">
        <f t="shared" si="12"/>
        <v>3.8280541669038501E-3</v>
      </c>
      <c r="S66" s="3"/>
      <c r="T66" s="7">
        <v>260</v>
      </c>
      <c r="U66" s="3"/>
      <c r="V66" s="8">
        <f t="shared" si="13"/>
        <v>9.9094051688981876E-4</v>
      </c>
      <c r="W66" s="3"/>
      <c r="X66" s="7">
        <f t="shared" si="14"/>
        <v>473.67999999999995</v>
      </c>
      <c r="Y66" s="3"/>
      <c r="Z66" s="8">
        <f t="shared" si="15"/>
        <v>1.8218461538461537</v>
      </c>
    </row>
    <row r="67" spans="1:26" s="70" customFormat="1" ht="15" hidden="1" customHeight="1" outlineLevel="2" x14ac:dyDescent="0.3">
      <c r="A67" s="26"/>
      <c r="B67" s="12" t="str">
        <f>CONCATENATE("          ","6375"," - ","OUTSIDE REPAIRS &amp; MAINTENANCE")</f>
        <v xml:space="preserve">          6375 - OUTSIDE REPAIRS &amp; MAINTENANCE</v>
      </c>
      <c r="C67" s="12"/>
      <c r="D67" s="7"/>
      <c r="E67" s="3"/>
      <c r="F67" s="8">
        <f t="shared" si="8"/>
        <v>0</v>
      </c>
      <c r="G67" s="3"/>
      <c r="H67" s="7">
        <v>100</v>
      </c>
      <c r="I67" s="3"/>
      <c r="J67" s="8">
        <f t="shared" si="9"/>
        <v>1.5479876160990713E-3</v>
      </c>
      <c r="K67" s="3"/>
      <c r="L67" s="7">
        <f t="shared" si="10"/>
        <v>-100</v>
      </c>
      <c r="M67" s="3"/>
      <c r="N67" s="8">
        <f t="shared" si="11"/>
        <v>-1</v>
      </c>
      <c r="O67" s="12"/>
      <c r="P67" s="7">
        <v>2161.25</v>
      </c>
      <c r="Q67" s="3"/>
      <c r="R67" s="8">
        <f t="shared" si="12"/>
        <v>1.1276553903910351E-2</v>
      </c>
      <c r="S67" s="3"/>
      <c r="T67" s="7">
        <v>2530</v>
      </c>
      <c r="U67" s="3"/>
      <c r="V67" s="8">
        <f t="shared" si="13"/>
        <v>9.6426134912740071E-3</v>
      </c>
      <c r="W67" s="3"/>
      <c r="X67" s="7">
        <f t="shared" si="14"/>
        <v>-368.75</v>
      </c>
      <c r="Y67" s="3"/>
      <c r="Z67" s="8">
        <f t="shared" si="15"/>
        <v>-0.14575098814229248</v>
      </c>
    </row>
    <row r="68" spans="1:26" s="69" customFormat="1" ht="15" customHeight="1" outlineLevel="1" collapsed="1" x14ac:dyDescent="0.3">
      <c r="A68" s="25"/>
      <c r="B68" s="14" t="str">
        <f>CONCATENATE("     ","Services                                          ")</f>
        <v xml:space="preserve">     Services                                          </v>
      </c>
      <c r="C68" s="14"/>
      <c r="D68" s="2">
        <f>SUM(OSRRefD22_12x_0)</f>
        <v>363.69000000000005</v>
      </c>
      <c r="E68" s="2"/>
      <c r="F68" s="6">
        <f t="shared" si="8"/>
        <v>5.5908827826974573E-3</v>
      </c>
      <c r="G68" s="2"/>
      <c r="H68" s="2">
        <f>SUM(OSRRefH22_12x_0)</f>
        <v>192</v>
      </c>
      <c r="I68" s="2"/>
      <c r="J68" s="6">
        <f t="shared" si="9"/>
        <v>2.9721362229102165E-3</v>
      </c>
      <c r="K68" s="2"/>
      <c r="L68" s="2">
        <f t="shared" si="10"/>
        <v>171.69000000000005</v>
      </c>
      <c r="M68" s="2"/>
      <c r="N68" s="6">
        <f t="shared" si="11"/>
        <v>0.89421875000000028</v>
      </c>
      <c r="O68" s="14"/>
      <c r="P68" s="2">
        <f>SUM(OSRRefP22_12x_0)</f>
        <v>9369.0500000000011</v>
      </c>
      <c r="Q68" s="2"/>
      <c r="R68" s="6">
        <f t="shared" si="12"/>
        <v>4.8884024223681335E-2</v>
      </c>
      <c r="S68" s="2"/>
      <c r="T68" s="2">
        <f>SUM(OSRRefT22_12x_0)</f>
        <v>1545</v>
      </c>
      <c r="U68" s="2"/>
      <c r="V68" s="6">
        <f t="shared" si="13"/>
        <v>5.8884734561337315E-3</v>
      </c>
      <c r="W68" s="2"/>
      <c r="X68" s="2">
        <f t="shared" si="14"/>
        <v>7824.0500000000011</v>
      </c>
      <c r="Y68" s="2"/>
      <c r="Z68" s="6">
        <f t="shared" si="15"/>
        <v>5.0641100323624606</v>
      </c>
    </row>
    <row r="69" spans="1:26" s="70" customFormat="1" ht="15" hidden="1" customHeight="1" outlineLevel="2" x14ac:dyDescent="0.3">
      <c r="A69" s="26"/>
      <c r="B69" s="12" t="str">
        <f>CONCATENATE("          ","6282"," - ","JANITORIAL/EXTERMINATOR EXPENS")</f>
        <v xml:space="preserve">          6282 - JANITORIAL/EXTERMINATOR EXPENS</v>
      </c>
      <c r="C69" s="12"/>
      <c r="D69" s="7">
        <v>168.4</v>
      </c>
      <c r="E69" s="3"/>
      <c r="F69" s="8">
        <f t="shared" si="8"/>
        <v>2.588755975160856E-3</v>
      </c>
      <c r="G69" s="3"/>
      <c r="H69" s="7">
        <v>158</v>
      </c>
      <c r="I69" s="3"/>
      <c r="J69" s="8">
        <f t="shared" si="9"/>
        <v>2.4458204334365324E-3</v>
      </c>
      <c r="K69" s="3"/>
      <c r="L69" s="7">
        <f t="shared" si="10"/>
        <v>10.400000000000006</v>
      </c>
      <c r="M69" s="3"/>
      <c r="N69" s="8">
        <f t="shared" si="11"/>
        <v>6.5822784810126614E-2</v>
      </c>
      <c r="O69" s="12"/>
      <c r="P69" s="7">
        <v>1347.2</v>
      </c>
      <c r="Q69" s="3"/>
      <c r="R69" s="8">
        <f t="shared" si="12"/>
        <v>7.0291606335907576E-3</v>
      </c>
      <c r="S69" s="3"/>
      <c r="T69" s="7">
        <v>1264</v>
      </c>
      <c r="U69" s="3"/>
      <c r="V69" s="8">
        <f t="shared" si="13"/>
        <v>4.8174954359566577E-3</v>
      </c>
      <c r="W69" s="3"/>
      <c r="X69" s="7">
        <f t="shared" si="14"/>
        <v>83.200000000000045</v>
      </c>
      <c r="Y69" s="3"/>
      <c r="Z69" s="8">
        <f t="shared" si="15"/>
        <v>6.5822784810126614E-2</v>
      </c>
    </row>
    <row r="70" spans="1:26" s="70" customFormat="1" ht="15" hidden="1" customHeight="1" outlineLevel="2" x14ac:dyDescent="0.3">
      <c r="A70" s="26"/>
      <c r="B70" s="12" t="str">
        <f>CONCATENATE("          ","6285"," - ","JANITORIAL SERVICES")</f>
        <v xml:space="preserve">          6285 - JANITORIAL SERVICES</v>
      </c>
      <c r="C70" s="12"/>
      <c r="D70" s="7">
        <v>57.08</v>
      </c>
      <c r="E70" s="3"/>
      <c r="F70" s="8">
        <f t="shared" si="8"/>
        <v>8.7747144336212382E-4</v>
      </c>
      <c r="G70" s="3"/>
      <c r="H70" s="7"/>
      <c r="I70" s="3"/>
      <c r="J70" s="8">
        <f t="shared" si="9"/>
        <v>0</v>
      </c>
      <c r="K70" s="3"/>
      <c r="L70" s="7">
        <f t="shared" si="10"/>
        <v>57.08</v>
      </c>
      <c r="M70" s="3"/>
      <c r="N70" s="8">
        <f t="shared" si="11"/>
        <v>0</v>
      </c>
      <c r="O70" s="12"/>
      <c r="P70" s="7">
        <v>7286.6</v>
      </c>
      <c r="Q70" s="3"/>
      <c r="R70" s="8">
        <f t="shared" si="12"/>
        <v>3.8018617779633619E-2</v>
      </c>
      <c r="S70" s="3"/>
      <c r="T70" s="7"/>
      <c r="U70" s="3"/>
      <c r="V70" s="8">
        <f t="shared" si="13"/>
        <v>0</v>
      </c>
      <c r="W70" s="3"/>
      <c r="X70" s="7">
        <f t="shared" si="14"/>
        <v>7286.6</v>
      </c>
      <c r="Y70" s="3"/>
      <c r="Z70" s="8">
        <f t="shared" si="15"/>
        <v>0</v>
      </c>
    </row>
    <row r="71" spans="1:26" s="70" customFormat="1" ht="15" hidden="1" customHeight="1" outlineLevel="2" x14ac:dyDescent="0.3">
      <c r="A71" s="26"/>
      <c r="B71" s="12" t="str">
        <f>CONCATENATE("          ","6286"," - ","LAUNDRY EXPENSE")</f>
        <v xml:space="preserve">          6286 - LAUNDRY EXPENSE</v>
      </c>
      <c r="C71" s="12"/>
      <c r="D71" s="7">
        <v>138.21</v>
      </c>
      <c r="E71" s="3"/>
      <c r="F71" s="8">
        <f t="shared" si="8"/>
        <v>2.1246553641744771E-3</v>
      </c>
      <c r="G71" s="3"/>
      <c r="H71" s="7">
        <v>34</v>
      </c>
      <c r="I71" s="3"/>
      <c r="J71" s="8">
        <f t="shared" si="9"/>
        <v>5.263157894736842E-4</v>
      </c>
      <c r="K71" s="3"/>
      <c r="L71" s="7">
        <f t="shared" si="10"/>
        <v>104.21000000000001</v>
      </c>
      <c r="M71" s="3"/>
      <c r="N71" s="8">
        <f t="shared" si="11"/>
        <v>3.0650000000000004</v>
      </c>
      <c r="O71" s="12"/>
      <c r="P71" s="7">
        <v>735.25</v>
      </c>
      <c r="Q71" s="3"/>
      <c r="R71" s="8">
        <f t="shared" si="12"/>
        <v>3.836245810456951E-3</v>
      </c>
      <c r="S71" s="3"/>
      <c r="T71" s="7">
        <v>281</v>
      </c>
      <c r="U71" s="3"/>
      <c r="V71" s="8">
        <f t="shared" si="13"/>
        <v>1.0709780201770735E-3</v>
      </c>
      <c r="W71" s="3"/>
      <c r="X71" s="7">
        <f t="shared" si="14"/>
        <v>454.25</v>
      </c>
      <c r="Y71" s="3"/>
      <c r="Z71" s="8">
        <f t="shared" si="15"/>
        <v>1.6165480427046264</v>
      </c>
    </row>
    <row r="72" spans="1:26" s="69" customFormat="1" ht="15" customHeight="1" outlineLevel="1" collapsed="1" x14ac:dyDescent="0.3">
      <c r="A72" s="25"/>
      <c r="B72" s="14" t="str">
        <f>CONCATENATE("     ","Supplies                                          ")</f>
        <v xml:space="preserve">     Supplies                                          </v>
      </c>
      <c r="C72" s="14"/>
      <c r="D72" s="2">
        <f>SUM(OSRRefD22_13x_0)</f>
        <v>2207.75</v>
      </c>
      <c r="E72" s="2"/>
      <c r="F72" s="6">
        <f t="shared" si="8"/>
        <v>3.3938990523523629E-2</v>
      </c>
      <c r="G72" s="2"/>
      <c r="H72" s="2">
        <f>SUM(OSRRefH22_13x_0)</f>
        <v>600</v>
      </c>
      <c r="I72" s="2"/>
      <c r="J72" s="6">
        <f t="shared" si="9"/>
        <v>9.2879256965944269E-3</v>
      </c>
      <c r="K72" s="2"/>
      <c r="L72" s="2">
        <f t="shared" si="10"/>
        <v>1607.75</v>
      </c>
      <c r="M72" s="2"/>
      <c r="N72" s="6">
        <f t="shared" si="11"/>
        <v>2.6795833333333334</v>
      </c>
      <c r="O72" s="14"/>
      <c r="P72" s="2">
        <f>SUM(OSRRefP22_13x_0)</f>
        <v>4285.07</v>
      </c>
      <c r="Q72" s="2"/>
      <c r="R72" s="6">
        <f t="shared" si="12"/>
        <v>2.2357812764385945E-2</v>
      </c>
      <c r="S72" s="2"/>
      <c r="T72" s="2">
        <f>SUM(OSRRefT22_13x_0)</f>
        <v>9300</v>
      </c>
      <c r="U72" s="2"/>
      <c r="V72" s="6">
        <f t="shared" si="13"/>
        <v>3.5445180027212753E-2</v>
      </c>
      <c r="W72" s="2"/>
      <c r="X72" s="2">
        <f t="shared" si="14"/>
        <v>-5014.93</v>
      </c>
      <c r="Y72" s="2"/>
      <c r="Z72" s="6">
        <f t="shared" si="15"/>
        <v>-0.53923978494623659</v>
      </c>
    </row>
    <row r="73" spans="1:26" s="70" customFormat="1" ht="15" hidden="1" customHeight="1" outlineLevel="2" x14ac:dyDescent="0.3">
      <c r="A73" s="26"/>
      <c r="B73" s="12" t="str">
        <f>CONCATENATE("          ","6234"," - ","EXPENDABLE SUPPLIES &amp; EQUIPMEN")</f>
        <v xml:space="preserve">          6234 - EXPENDABLE SUPPLIES &amp; EQUIPMEN</v>
      </c>
      <c r="C73" s="12"/>
      <c r="D73" s="7"/>
      <c r="E73" s="3"/>
      <c r="F73" s="8">
        <f t="shared" si="8"/>
        <v>0</v>
      </c>
      <c r="G73" s="3"/>
      <c r="H73" s="7">
        <v>50</v>
      </c>
      <c r="I73" s="3"/>
      <c r="J73" s="8">
        <f t="shared" si="9"/>
        <v>7.7399380804953565E-4</v>
      </c>
      <c r="K73" s="3"/>
      <c r="L73" s="7">
        <f t="shared" si="10"/>
        <v>-50</v>
      </c>
      <c r="M73" s="3"/>
      <c r="N73" s="8">
        <f t="shared" si="11"/>
        <v>-1</v>
      </c>
      <c r="O73" s="12"/>
      <c r="P73" s="7"/>
      <c r="Q73" s="3"/>
      <c r="R73" s="8">
        <f t="shared" si="12"/>
        <v>0</v>
      </c>
      <c r="S73" s="3"/>
      <c r="T73" s="7">
        <v>700</v>
      </c>
      <c r="U73" s="3"/>
      <c r="V73" s="8">
        <f t="shared" si="13"/>
        <v>2.6679167762418202E-3</v>
      </c>
      <c r="W73" s="3"/>
      <c r="X73" s="7">
        <f t="shared" si="14"/>
        <v>-700</v>
      </c>
      <c r="Y73" s="3"/>
      <c r="Z73" s="8">
        <f t="shared" si="15"/>
        <v>-1</v>
      </c>
    </row>
    <row r="74" spans="1:26" s="70" customFormat="1" ht="15" hidden="1" customHeight="1" outlineLevel="2" x14ac:dyDescent="0.3">
      <c r="A74" s="26"/>
      <c r="B74" s="12" t="str">
        <f>CONCATENATE("          ","6235"," - ","COVID-19 EXPENSES")</f>
        <v xml:space="preserve">          6235 - COVID-19 EXPENSES</v>
      </c>
      <c r="C74" s="12"/>
      <c r="D74" s="7">
        <v>71.45</v>
      </c>
      <c r="E74" s="3"/>
      <c r="F74" s="8">
        <f t="shared" si="8"/>
        <v>1.0983765702211588E-3</v>
      </c>
      <c r="G74" s="3"/>
      <c r="H74" s="7"/>
      <c r="I74" s="3"/>
      <c r="J74" s="8">
        <f t="shared" si="9"/>
        <v>0</v>
      </c>
      <c r="K74" s="3"/>
      <c r="L74" s="7">
        <f t="shared" si="10"/>
        <v>71.45</v>
      </c>
      <c r="M74" s="3"/>
      <c r="N74" s="8">
        <f t="shared" si="11"/>
        <v>0</v>
      </c>
      <c r="O74" s="12"/>
      <c r="P74" s="7">
        <v>71.45</v>
      </c>
      <c r="Q74" s="3"/>
      <c r="R74" s="8">
        <f t="shared" si="12"/>
        <v>3.7279804577646945E-4</v>
      </c>
      <c r="S74" s="3"/>
      <c r="T74" s="7"/>
      <c r="U74" s="3"/>
      <c r="V74" s="8">
        <f t="shared" si="13"/>
        <v>0</v>
      </c>
      <c r="W74" s="3"/>
      <c r="X74" s="7">
        <f t="shared" si="14"/>
        <v>71.45</v>
      </c>
      <c r="Y74" s="3"/>
      <c r="Z74" s="8">
        <f t="shared" si="15"/>
        <v>0</v>
      </c>
    </row>
    <row r="75" spans="1:26" s="70" customFormat="1" ht="15" hidden="1" customHeight="1" outlineLevel="2" x14ac:dyDescent="0.3">
      <c r="A75" s="26"/>
      <c r="B75" s="12" t="str">
        <f>CONCATENATE("          ","6237"," - ","JANITORIAL SUPPLIES")</f>
        <v xml:space="preserve">          6237 - JANITORIAL SUPPLIES</v>
      </c>
      <c r="C75" s="12"/>
      <c r="D75" s="7">
        <v>291.77999999999997</v>
      </c>
      <c r="E75" s="3"/>
      <c r="F75" s="8">
        <f t="shared" si="8"/>
        <v>4.4854347887911782E-3</v>
      </c>
      <c r="G75" s="3"/>
      <c r="H75" s="7">
        <v>0</v>
      </c>
      <c r="I75" s="3"/>
      <c r="J75" s="8">
        <f t="shared" si="9"/>
        <v>0</v>
      </c>
      <c r="K75" s="3"/>
      <c r="L75" s="7">
        <f t="shared" si="10"/>
        <v>291.77999999999997</v>
      </c>
      <c r="M75" s="3"/>
      <c r="N75" s="8">
        <f t="shared" si="11"/>
        <v>0</v>
      </c>
      <c r="O75" s="12"/>
      <c r="P75" s="7">
        <v>940.35</v>
      </c>
      <c r="Q75" s="3"/>
      <c r="R75" s="8">
        <f t="shared" si="12"/>
        <v>4.9063770797187272E-3</v>
      </c>
      <c r="S75" s="3"/>
      <c r="T75" s="7">
        <v>200</v>
      </c>
      <c r="U75" s="3"/>
      <c r="V75" s="8">
        <f t="shared" si="13"/>
        <v>7.6226193606909146E-4</v>
      </c>
      <c r="W75" s="3"/>
      <c r="X75" s="7">
        <f t="shared" si="14"/>
        <v>740.35</v>
      </c>
      <c r="Y75" s="3"/>
      <c r="Z75" s="8">
        <f t="shared" si="15"/>
        <v>3.7017500000000001</v>
      </c>
    </row>
    <row r="76" spans="1:26" s="70" customFormat="1" ht="15" hidden="1" customHeight="1" outlineLevel="2" x14ac:dyDescent="0.3">
      <c r="A76" s="26"/>
      <c r="B76" s="12" t="str">
        <f>CONCATENATE("          ","6241"," - ","OFFICE EXPENSE")</f>
        <v xml:space="preserve">          6241 - OFFICE EXPENSE</v>
      </c>
      <c r="C76" s="12"/>
      <c r="D76" s="7"/>
      <c r="E76" s="3"/>
      <c r="F76" s="8">
        <f t="shared" si="8"/>
        <v>0</v>
      </c>
      <c r="G76" s="3"/>
      <c r="H76" s="7"/>
      <c r="I76" s="3"/>
      <c r="J76" s="8">
        <f t="shared" si="9"/>
        <v>0</v>
      </c>
      <c r="K76" s="3"/>
      <c r="L76" s="7">
        <f t="shared" si="10"/>
        <v>0</v>
      </c>
      <c r="M76" s="3"/>
      <c r="N76" s="8">
        <f t="shared" si="11"/>
        <v>0</v>
      </c>
      <c r="O76" s="12"/>
      <c r="P76" s="7">
        <v>427.98</v>
      </c>
      <c r="Q76" s="3"/>
      <c r="R76" s="8">
        <f t="shared" si="12"/>
        <v>2.2330315973605793E-3</v>
      </c>
      <c r="S76" s="3"/>
      <c r="T76" s="7"/>
      <c r="U76" s="3"/>
      <c r="V76" s="8">
        <f t="shared" si="13"/>
        <v>0</v>
      </c>
      <c r="W76" s="3"/>
      <c r="X76" s="7">
        <f t="shared" si="14"/>
        <v>427.98</v>
      </c>
      <c r="Y76" s="3"/>
      <c r="Z76" s="8">
        <f t="shared" si="15"/>
        <v>0</v>
      </c>
    </row>
    <row r="77" spans="1:26" s="70" customFormat="1" ht="15" hidden="1" customHeight="1" outlineLevel="2" x14ac:dyDescent="0.3">
      <c r="A77" s="26"/>
      <c r="B77" s="12" t="str">
        <f>CONCATENATE("          ","6243"," - ","PAPER SUPPLIES")</f>
        <v xml:space="preserve">          6243 - PAPER SUPPLIES</v>
      </c>
      <c r="C77" s="12"/>
      <c r="D77" s="7"/>
      <c r="E77" s="3"/>
      <c r="F77" s="8">
        <f t="shared" si="8"/>
        <v>0</v>
      </c>
      <c r="G77" s="3"/>
      <c r="H77" s="7">
        <v>200</v>
      </c>
      <c r="I77" s="3"/>
      <c r="J77" s="8">
        <f t="shared" si="9"/>
        <v>3.0959752321981426E-3</v>
      </c>
      <c r="K77" s="3"/>
      <c r="L77" s="7">
        <f t="shared" si="10"/>
        <v>-200</v>
      </c>
      <c r="M77" s="3"/>
      <c r="N77" s="8">
        <f t="shared" si="11"/>
        <v>-1</v>
      </c>
      <c r="O77" s="12"/>
      <c r="P77" s="7">
        <v>44.38</v>
      </c>
      <c r="Q77" s="3"/>
      <c r="R77" s="8">
        <f t="shared" si="12"/>
        <v>2.3155741457746277E-4</v>
      </c>
      <c r="S77" s="3"/>
      <c r="T77" s="7">
        <v>1600</v>
      </c>
      <c r="U77" s="3"/>
      <c r="V77" s="8">
        <f t="shared" si="13"/>
        <v>6.0980954885527317E-3</v>
      </c>
      <c r="W77" s="3"/>
      <c r="X77" s="7">
        <f t="shared" si="14"/>
        <v>-1555.62</v>
      </c>
      <c r="Y77" s="3"/>
      <c r="Z77" s="8">
        <f t="shared" si="15"/>
        <v>-0.97226249999999992</v>
      </c>
    </row>
    <row r="78" spans="1:26" s="70" customFormat="1" ht="15" hidden="1" customHeight="1" outlineLevel="2" x14ac:dyDescent="0.3">
      <c r="A78" s="26"/>
      <c r="B78" s="12" t="str">
        <f>CONCATENATE("          ","6247"," - ","STORE SUPPLIES")</f>
        <v xml:space="preserve">          6247 - STORE SUPPLIES</v>
      </c>
      <c r="C78" s="12"/>
      <c r="D78" s="7">
        <v>1844.52</v>
      </c>
      <c r="E78" s="3"/>
      <c r="F78" s="8">
        <f t="shared" si="8"/>
        <v>2.8355179164511295E-2</v>
      </c>
      <c r="G78" s="3"/>
      <c r="H78" s="7">
        <v>350</v>
      </c>
      <c r="I78" s="3"/>
      <c r="J78" s="8">
        <f t="shared" si="9"/>
        <v>5.4179566563467493E-3</v>
      </c>
      <c r="K78" s="3"/>
      <c r="L78" s="7">
        <f t="shared" si="10"/>
        <v>1494.52</v>
      </c>
      <c r="M78" s="3"/>
      <c r="N78" s="8">
        <f t="shared" si="11"/>
        <v>4.2700571428571426</v>
      </c>
      <c r="O78" s="12"/>
      <c r="P78" s="7">
        <v>2800.91</v>
      </c>
      <c r="Q78" s="3"/>
      <c r="R78" s="8">
        <f t="shared" si="12"/>
        <v>1.4614048626952708E-2</v>
      </c>
      <c r="S78" s="3"/>
      <c r="T78" s="7">
        <v>6800</v>
      </c>
      <c r="U78" s="3"/>
      <c r="V78" s="8">
        <f t="shared" si="13"/>
        <v>2.5916905826349108E-2</v>
      </c>
      <c r="W78" s="3"/>
      <c r="X78" s="7">
        <f t="shared" si="14"/>
        <v>-3999.09</v>
      </c>
      <c r="Y78" s="3"/>
      <c r="Z78" s="8">
        <f t="shared" si="15"/>
        <v>-0.58810147058823536</v>
      </c>
    </row>
    <row r="79" spans="1:26" s="69" customFormat="1" ht="15" customHeight="1" outlineLevel="1" collapsed="1" x14ac:dyDescent="0.3">
      <c r="A79" s="25"/>
      <c r="B79" s="14" t="str">
        <f>CONCATENATE("     ","Telephone/Data Lines                              ")</f>
        <v xml:space="preserve">     Telephone/Data Lines                              </v>
      </c>
      <c r="C79" s="14"/>
      <c r="D79" s="2">
        <f>SUM(OSRRefD22_14x_0)</f>
        <v>97</v>
      </c>
      <c r="E79" s="2"/>
      <c r="F79" s="6">
        <f t="shared" si="8"/>
        <v>1.491148037948949E-3</v>
      </c>
      <c r="G79" s="2"/>
      <c r="H79" s="2">
        <f>SUM(OSRRefH22_14x_0)</f>
        <v>125</v>
      </c>
      <c r="I79" s="2"/>
      <c r="J79" s="6">
        <f t="shared" si="9"/>
        <v>1.934984520123839E-3</v>
      </c>
      <c r="K79" s="2"/>
      <c r="L79" s="2">
        <f t="shared" si="10"/>
        <v>-28</v>
      </c>
      <c r="M79" s="2"/>
      <c r="N79" s="6">
        <f t="shared" si="11"/>
        <v>-0.224</v>
      </c>
      <c r="O79" s="14"/>
      <c r="P79" s="2">
        <f>SUM(OSRRefP22_14x_0)</f>
        <v>508</v>
      </c>
      <c r="Q79" s="2"/>
      <c r="R79" s="6">
        <f t="shared" si="12"/>
        <v>2.6505445382007903E-3</v>
      </c>
      <c r="S79" s="2"/>
      <c r="T79" s="2">
        <f>SUM(OSRRefT22_14x_0)</f>
        <v>1125</v>
      </c>
      <c r="U79" s="2"/>
      <c r="V79" s="6">
        <f t="shared" si="13"/>
        <v>4.2877233903886392E-3</v>
      </c>
      <c r="W79" s="2"/>
      <c r="X79" s="2">
        <f t="shared" si="14"/>
        <v>-617</v>
      </c>
      <c r="Y79" s="2"/>
      <c r="Z79" s="6">
        <f t="shared" si="15"/>
        <v>-0.5484444444444444</v>
      </c>
    </row>
    <row r="80" spans="1:26" s="70" customFormat="1" ht="15" hidden="1" customHeight="1" outlineLevel="2" x14ac:dyDescent="0.3">
      <c r="A80" s="26"/>
      <c r="B80" s="12" t="str">
        <f>CONCATENATE("          ","6303"," - ","DATA PHONE LINES")</f>
        <v xml:space="preserve">          6303 - DATA PHONE LINES</v>
      </c>
      <c r="C80" s="12"/>
      <c r="D80" s="7"/>
      <c r="E80" s="3"/>
      <c r="F80" s="8">
        <f t="shared" si="8"/>
        <v>0</v>
      </c>
      <c r="G80" s="3"/>
      <c r="H80" s="7">
        <v>50</v>
      </c>
      <c r="I80" s="3"/>
      <c r="J80" s="8">
        <f t="shared" si="9"/>
        <v>7.7399380804953565E-4</v>
      </c>
      <c r="K80" s="3"/>
      <c r="L80" s="7">
        <f t="shared" si="10"/>
        <v>-50</v>
      </c>
      <c r="M80" s="3"/>
      <c r="N80" s="8">
        <f t="shared" si="11"/>
        <v>-1</v>
      </c>
      <c r="O80" s="12"/>
      <c r="P80" s="7"/>
      <c r="Q80" s="3"/>
      <c r="R80" s="8">
        <f t="shared" si="12"/>
        <v>0</v>
      </c>
      <c r="S80" s="3"/>
      <c r="T80" s="7">
        <v>450</v>
      </c>
      <c r="U80" s="3"/>
      <c r="V80" s="8">
        <f t="shared" si="13"/>
        <v>1.7150893561554558E-3</v>
      </c>
      <c r="W80" s="3"/>
      <c r="X80" s="7">
        <f t="shared" si="14"/>
        <v>-450</v>
      </c>
      <c r="Y80" s="3"/>
      <c r="Z80" s="8">
        <f t="shared" si="15"/>
        <v>-1</v>
      </c>
    </row>
    <row r="81" spans="1:26" s="70" customFormat="1" ht="15" hidden="1" customHeight="1" outlineLevel="2" x14ac:dyDescent="0.3">
      <c r="A81" s="26"/>
      <c r="B81" s="12" t="str">
        <f>CONCATENATE("          ","6309"," - ","TELEPHONE")</f>
        <v xml:space="preserve">          6309 - TELEPHONE</v>
      </c>
      <c r="C81" s="12"/>
      <c r="D81" s="7">
        <v>97</v>
      </c>
      <c r="E81" s="3"/>
      <c r="F81" s="8">
        <f t="shared" si="8"/>
        <v>1.491148037948949E-3</v>
      </c>
      <c r="G81" s="3"/>
      <c r="H81" s="7">
        <v>75</v>
      </c>
      <c r="I81" s="3"/>
      <c r="J81" s="8">
        <f t="shared" si="9"/>
        <v>1.1609907120743034E-3</v>
      </c>
      <c r="K81" s="3"/>
      <c r="L81" s="7">
        <f t="shared" si="10"/>
        <v>22</v>
      </c>
      <c r="M81" s="3"/>
      <c r="N81" s="8">
        <f t="shared" si="11"/>
        <v>0.29333333333333333</v>
      </c>
      <c r="O81" s="12"/>
      <c r="P81" s="7">
        <v>508</v>
      </c>
      <c r="Q81" s="3"/>
      <c r="R81" s="8">
        <f t="shared" si="12"/>
        <v>2.6505445382007903E-3</v>
      </c>
      <c r="S81" s="3"/>
      <c r="T81" s="7">
        <v>675</v>
      </c>
      <c r="U81" s="3"/>
      <c r="V81" s="8">
        <f t="shared" si="13"/>
        <v>2.5726340342331834E-3</v>
      </c>
      <c r="W81" s="3"/>
      <c r="X81" s="7">
        <f t="shared" si="14"/>
        <v>-167</v>
      </c>
      <c r="Y81" s="3"/>
      <c r="Z81" s="8">
        <f t="shared" si="15"/>
        <v>-0.24740740740740741</v>
      </c>
    </row>
    <row r="82" spans="1:26" s="69" customFormat="1" ht="15" customHeight="1" outlineLevel="1" collapsed="1" x14ac:dyDescent="0.3">
      <c r="A82" s="25"/>
      <c r="B82" s="14" t="str">
        <f>CONCATENATE("     ","Training                                          ")</f>
        <v xml:space="preserve">     Training                                          </v>
      </c>
      <c r="C82" s="14"/>
      <c r="D82" s="2">
        <f>SUM(OSRRefD22_15x_0)</f>
        <v>0</v>
      </c>
      <c r="E82" s="2"/>
      <c r="F82" s="6">
        <f t="shared" si="8"/>
        <v>0</v>
      </c>
      <c r="G82" s="2"/>
      <c r="H82" s="2">
        <f>SUM(OSRRefH22_15x_0)</f>
        <v>0</v>
      </c>
      <c r="I82" s="2"/>
      <c r="J82" s="6">
        <f t="shared" si="9"/>
        <v>0</v>
      </c>
      <c r="K82" s="2"/>
      <c r="L82" s="2">
        <f t="shared" si="10"/>
        <v>0</v>
      </c>
      <c r="M82" s="2"/>
      <c r="N82" s="6">
        <f t="shared" si="11"/>
        <v>0</v>
      </c>
      <c r="O82" s="14"/>
      <c r="P82" s="2">
        <f>SUM(OSRRefP22_15x_0)</f>
        <v>120</v>
      </c>
      <c r="Q82" s="2"/>
      <c r="R82" s="6">
        <f t="shared" si="12"/>
        <v>6.261128830395568E-4</v>
      </c>
      <c r="S82" s="2"/>
      <c r="T82" s="2">
        <f>SUM(OSRRefT22_15x_0)</f>
        <v>0</v>
      </c>
      <c r="U82" s="2"/>
      <c r="V82" s="6">
        <f t="shared" si="13"/>
        <v>0</v>
      </c>
      <c r="W82" s="2"/>
      <c r="X82" s="2">
        <f t="shared" si="14"/>
        <v>120</v>
      </c>
      <c r="Y82" s="2"/>
      <c r="Z82" s="6">
        <f t="shared" si="15"/>
        <v>0</v>
      </c>
    </row>
    <row r="83" spans="1:26" s="70" customFormat="1" ht="15" hidden="1" customHeight="1" outlineLevel="2" x14ac:dyDescent="0.3">
      <c r="A83" s="26"/>
      <c r="B83" s="12" t="str">
        <f>CONCATENATE("          ","6376"," - ","TRAINING")</f>
        <v xml:space="preserve">          6376 - TRAINING</v>
      </c>
      <c r="C83" s="12"/>
      <c r="D83" s="7"/>
      <c r="E83" s="3"/>
      <c r="F83" s="8">
        <f t="shared" si="8"/>
        <v>0</v>
      </c>
      <c r="G83" s="3"/>
      <c r="H83" s="7"/>
      <c r="I83" s="3"/>
      <c r="J83" s="8">
        <f t="shared" si="9"/>
        <v>0</v>
      </c>
      <c r="K83" s="3"/>
      <c r="L83" s="7">
        <f t="shared" si="10"/>
        <v>0</v>
      </c>
      <c r="M83" s="3"/>
      <c r="N83" s="8">
        <f t="shared" si="11"/>
        <v>0</v>
      </c>
      <c r="O83" s="12"/>
      <c r="P83" s="7">
        <v>120</v>
      </c>
      <c r="Q83" s="3"/>
      <c r="R83" s="8">
        <f t="shared" si="12"/>
        <v>6.261128830395568E-4</v>
      </c>
      <c r="S83" s="3"/>
      <c r="T83" s="7"/>
      <c r="U83" s="3"/>
      <c r="V83" s="8">
        <f t="shared" si="13"/>
        <v>0</v>
      </c>
      <c r="W83" s="3"/>
      <c r="X83" s="7">
        <f t="shared" si="14"/>
        <v>120</v>
      </c>
      <c r="Y83" s="3"/>
      <c r="Z83" s="8">
        <f t="shared" si="15"/>
        <v>0</v>
      </c>
    </row>
    <row r="84" spans="1:26" s="69" customFormat="1" ht="15" customHeight="1" outlineLevel="1" collapsed="1" x14ac:dyDescent="0.3">
      <c r="A84" s="25"/>
      <c r="B84" s="14" t="str">
        <f>CONCATENATE("     ","Utilities                                         ")</f>
        <v xml:space="preserve">     Utilities                                         </v>
      </c>
      <c r="C84" s="14"/>
      <c r="D84" s="2">
        <f>SUM(OSRRefD22_16x_0)</f>
        <v>100</v>
      </c>
      <c r="E84" s="2"/>
      <c r="F84" s="6">
        <f t="shared" si="8"/>
        <v>1.5372660185040711E-3</v>
      </c>
      <c r="G84" s="2"/>
      <c r="H84" s="2">
        <f>SUM(OSRRefH22_16x_0)</f>
        <v>0</v>
      </c>
      <c r="I84" s="2"/>
      <c r="J84" s="6">
        <f t="shared" si="9"/>
        <v>0</v>
      </c>
      <c r="K84" s="2"/>
      <c r="L84" s="2">
        <f t="shared" si="10"/>
        <v>100</v>
      </c>
      <c r="M84" s="2"/>
      <c r="N84" s="6">
        <f t="shared" si="11"/>
        <v>0</v>
      </c>
      <c r="O84" s="14"/>
      <c r="P84" s="2">
        <f>SUM(OSRRefP22_16x_0)</f>
        <v>900</v>
      </c>
      <c r="Q84" s="2"/>
      <c r="R84" s="6">
        <f t="shared" si="12"/>
        <v>4.6958466227966763E-3</v>
      </c>
      <c r="S84" s="2"/>
      <c r="T84" s="2">
        <f>SUM(OSRRefT22_16x_0)</f>
        <v>0</v>
      </c>
      <c r="U84" s="2"/>
      <c r="V84" s="6">
        <f t="shared" si="13"/>
        <v>0</v>
      </c>
      <c r="W84" s="2"/>
      <c r="X84" s="2">
        <f t="shared" si="14"/>
        <v>900</v>
      </c>
      <c r="Y84" s="2"/>
      <c r="Z84" s="6">
        <f t="shared" si="15"/>
        <v>0</v>
      </c>
    </row>
    <row r="85" spans="1:26" s="70" customFormat="1" ht="15" hidden="1" customHeight="1" outlineLevel="2" x14ac:dyDescent="0.3">
      <c r="A85" s="26"/>
      <c r="B85" s="12" t="str">
        <f>CONCATENATE("          ","6274"," - ","UTILITIES")</f>
        <v xml:space="preserve">          6274 - UTILITIES</v>
      </c>
      <c r="C85" s="12"/>
      <c r="D85" s="7">
        <v>100</v>
      </c>
      <c r="E85" s="3"/>
      <c r="F85" s="8">
        <f t="shared" si="8"/>
        <v>1.5372660185040711E-3</v>
      </c>
      <c r="G85" s="3"/>
      <c r="H85" s="7">
        <v>0</v>
      </c>
      <c r="I85" s="3"/>
      <c r="J85" s="8">
        <f t="shared" si="9"/>
        <v>0</v>
      </c>
      <c r="K85" s="3"/>
      <c r="L85" s="7">
        <f t="shared" si="10"/>
        <v>100</v>
      </c>
      <c r="M85" s="3"/>
      <c r="N85" s="8">
        <f t="shared" si="11"/>
        <v>0</v>
      </c>
      <c r="O85" s="12"/>
      <c r="P85" s="7">
        <v>900</v>
      </c>
      <c r="Q85" s="3"/>
      <c r="R85" s="8">
        <f t="shared" si="12"/>
        <v>4.6958466227966763E-3</v>
      </c>
      <c r="S85" s="3"/>
      <c r="T85" s="7">
        <v>0</v>
      </c>
      <c r="U85" s="3"/>
      <c r="V85" s="8">
        <f t="shared" si="13"/>
        <v>0</v>
      </c>
      <c r="W85" s="3"/>
      <c r="X85" s="7">
        <f t="shared" si="14"/>
        <v>900</v>
      </c>
      <c r="Y85" s="3"/>
      <c r="Z85" s="8">
        <f t="shared" si="15"/>
        <v>0</v>
      </c>
    </row>
    <row r="86" spans="1:26" s="65" customFormat="1" ht="15" customHeight="1" x14ac:dyDescent="0.3">
      <c r="A86" s="35"/>
      <c r="B86" s="35"/>
      <c r="C86" s="35"/>
      <c r="D86" s="2"/>
      <c r="E86" s="2"/>
      <c r="F86" s="6"/>
      <c r="G86" s="2"/>
      <c r="H86" s="2"/>
      <c r="I86" s="2"/>
      <c r="J86" s="6"/>
      <c r="K86" s="2"/>
      <c r="L86" s="2"/>
      <c r="M86" s="2"/>
      <c r="N86" s="6"/>
      <c r="O86" s="35"/>
      <c r="P86" s="2"/>
      <c r="Q86" s="2"/>
      <c r="R86" s="6"/>
      <c r="S86" s="2"/>
      <c r="T86" s="2"/>
      <c r="U86" s="2"/>
      <c r="V86" s="6"/>
      <c r="W86" s="2"/>
      <c r="X86" s="2"/>
      <c r="Y86" s="2"/>
      <c r="Z86" s="6"/>
    </row>
    <row r="87" spans="1:26" s="63" customFormat="1" ht="15" customHeight="1" x14ac:dyDescent="0.3">
      <c r="A87" s="11"/>
      <c r="B87" s="28" t="s">
        <v>291</v>
      </c>
      <c r="C87" s="11"/>
      <c r="D87" s="5">
        <f>SUM(0)</f>
        <v>0</v>
      </c>
      <c r="E87" s="5"/>
      <c r="F87" s="13">
        <f>IF(D$12=0,0,D87/D$12)</f>
        <v>0</v>
      </c>
      <c r="G87" s="5"/>
      <c r="H87" s="5">
        <f>SUM(0)</f>
        <v>0</v>
      </c>
      <c r="I87" s="5"/>
      <c r="J87" s="13">
        <f>IF(H$12=0,0,H87/H$12)</f>
        <v>0</v>
      </c>
      <c r="K87" s="5"/>
      <c r="L87" s="5">
        <f>+D87-H87</f>
        <v>0</v>
      </c>
      <c r="M87" s="5"/>
      <c r="N87" s="13">
        <f>IF(H87=0,0,L87/H87)</f>
        <v>0</v>
      </c>
      <c r="O87" s="11"/>
      <c r="P87" s="5">
        <f>SUM(0)</f>
        <v>0</v>
      </c>
      <c r="Q87" s="5"/>
      <c r="R87" s="13">
        <f>IF(P$12=0,0,P87/P$12)</f>
        <v>0</v>
      </c>
      <c r="S87" s="5"/>
      <c r="T87" s="5">
        <f>SUM(0)</f>
        <v>0</v>
      </c>
      <c r="U87" s="5"/>
      <c r="V87" s="13">
        <f>IF(T$12=0,0,T87/T$12)</f>
        <v>0</v>
      </c>
      <c r="W87" s="5"/>
      <c r="X87" s="5">
        <f>+P87-T87</f>
        <v>0</v>
      </c>
      <c r="Y87" s="5"/>
      <c r="Z87" s="13">
        <f>IF(T87=0,0,X87/T87)</f>
        <v>0</v>
      </c>
    </row>
    <row r="88" spans="1:26" ht="15" customHeight="1" x14ac:dyDescent="0.3">
      <c r="A88" s="10"/>
      <c r="B88" s="11"/>
      <c r="C88" s="11"/>
      <c r="D88" s="4"/>
      <c r="E88" s="4"/>
      <c r="F88" s="9"/>
      <c r="G88" s="4"/>
      <c r="H88" s="4"/>
      <c r="I88" s="4"/>
      <c r="J88" s="9"/>
      <c r="K88" s="4"/>
      <c r="L88" s="4"/>
      <c r="M88" s="4"/>
      <c r="N88" s="9"/>
      <c r="O88" s="11"/>
      <c r="P88" s="4"/>
      <c r="Q88" s="4"/>
      <c r="R88" s="9"/>
      <c r="S88" s="4"/>
      <c r="T88" s="4"/>
      <c r="U88" s="4"/>
      <c r="V88" s="9"/>
      <c r="W88" s="4"/>
      <c r="X88" s="4"/>
      <c r="Y88" s="4"/>
      <c r="Z88" s="9"/>
    </row>
    <row r="89" spans="1:26" s="63" customFormat="1" ht="15" customHeight="1" x14ac:dyDescent="0.3">
      <c r="A89" s="11"/>
      <c r="B89" s="27" t="s">
        <v>292</v>
      </c>
      <c r="C89" s="27"/>
      <c r="D89" s="21">
        <f>+D21-D23+D87</f>
        <v>16341.720000000008</v>
      </c>
      <c r="E89" s="15"/>
      <c r="F89" s="23">
        <f>IF(D$12=0,0,D89/D$12)</f>
        <v>0.25121570839908364</v>
      </c>
      <c r="G89" s="15"/>
      <c r="H89" s="21">
        <f>+H21-H23+H87</f>
        <v>1337.5914361923096</v>
      </c>
      <c r="I89" s="15"/>
      <c r="J89" s="23">
        <f>IF(H$12=0,0,H89/H$12)</f>
        <v>2.0705749786258661E-2</v>
      </c>
      <c r="K89" s="16"/>
      <c r="L89" s="21">
        <f>+D89-H89</f>
        <v>15004.128563807699</v>
      </c>
      <c r="M89" s="16"/>
      <c r="N89" s="23">
        <f>IF(H89=0,0,L89/H89)</f>
        <v>11.217273195557832</v>
      </c>
      <c r="O89" s="28"/>
      <c r="P89" s="21">
        <f>+P21-P23+P87</f>
        <v>-73709.860000000044</v>
      </c>
      <c r="Q89" s="15"/>
      <c r="R89" s="23">
        <f>IF(P$12=0,0,P89/P$12)</f>
        <v>-0.38458910794201778</v>
      </c>
      <c r="S89" s="15"/>
      <c r="T89" s="21">
        <f>+T21-T23+T87</f>
        <v>-121626.1994365</v>
      </c>
      <c r="U89" s="15"/>
      <c r="V89" s="23">
        <f>IF(T$12=0,0,T89/T$12)</f>
        <v>-0.46355511129595961</v>
      </c>
      <c r="W89" s="16"/>
      <c r="X89" s="21">
        <f>+P89-T89</f>
        <v>47916.339436499955</v>
      </c>
      <c r="Y89" s="16"/>
      <c r="Z89" s="23">
        <f>IF(T89=0,0,X89/T89)</f>
        <v>-0.39396396219316765</v>
      </c>
    </row>
    <row r="90" spans="1:26" ht="15" customHeight="1" x14ac:dyDescent="0.3">
      <c r="A90" s="10"/>
      <c r="B90" s="11"/>
      <c r="C90" s="10"/>
      <c r="D90" s="4"/>
      <c r="E90" s="4"/>
      <c r="F90" s="9"/>
      <c r="G90" s="4"/>
      <c r="H90" s="4"/>
      <c r="I90" s="4"/>
      <c r="J90" s="9"/>
      <c r="K90" s="4"/>
      <c r="L90" s="4"/>
      <c r="M90" s="4"/>
      <c r="N90" s="9"/>
      <c r="P90" s="4"/>
      <c r="Q90" s="4"/>
      <c r="R90" s="9"/>
      <c r="S90" s="4"/>
      <c r="T90" s="4"/>
      <c r="U90" s="4"/>
      <c r="V90" s="9"/>
      <c r="W90" s="4"/>
      <c r="X90" s="4"/>
      <c r="Y90" s="4"/>
      <c r="Z90" s="9"/>
    </row>
    <row r="91" spans="1:26" s="63" customFormat="1" ht="15" customHeight="1" x14ac:dyDescent="0.3">
      <c r="A91" s="49"/>
      <c r="B91" s="11" t="s">
        <v>293</v>
      </c>
      <c r="C91" s="11"/>
      <c r="D91" s="5">
        <v>7070.42</v>
      </c>
      <c r="E91" s="5"/>
      <c r="F91" s="13">
        <f>IF(D$12=0,0,D91/D$12)</f>
        <v>0.10869116402551555</v>
      </c>
      <c r="G91" s="5"/>
      <c r="H91" s="5">
        <v>7775</v>
      </c>
      <c r="I91" s="5"/>
      <c r="J91" s="13">
        <f>IF(H$12=0,0,H91/H$12)</f>
        <v>0.12035603715170279</v>
      </c>
      <c r="K91" s="5"/>
      <c r="L91" s="5">
        <f>+D91-H91</f>
        <v>-704.57999999999993</v>
      </c>
      <c r="M91" s="5"/>
      <c r="N91" s="13">
        <f>IF(H91=0,0,L91/H91)</f>
        <v>-9.0621221864951765E-2</v>
      </c>
      <c r="O91" s="11"/>
      <c r="P91" s="5">
        <v>22874</v>
      </c>
      <c r="Q91" s="5"/>
      <c r="R91" s="13">
        <f>IF(P$12=0,0,P91/P$12)</f>
        <v>0.11934755072205686</v>
      </c>
      <c r="S91" s="5"/>
      <c r="T91" s="5">
        <v>31953</v>
      </c>
      <c r="U91" s="5"/>
      <c r="V91" s="13">
        <f>IF(T$12=0,0,T91/T$12)</f>
        <v>0.12178277821607839</v>
      </c>
      <c r="W91" s="5"/>
      <c r="X91" s="5">
        <f>+P91-T91</f>
        <v>-9079</v>
      </c>
      <c r="Y91" s="5"/>
      <c r="Z91" s="13">
        <f>IF(T91=0,0,X91/T91)</f>
        <v>-0.28413607485995057</v>
      </c>
    </row>
    <row r="92" spans="1:26" ht="15" customHeight="1" x14ac:dyDescent="0.3">
      <c r="A92" s="10"/>
      <c r="B92" s="11"/>
      <c r="C92" s="11"/>
      <c r="D92" s="4"/>
      <c r="E92" s="4"/>
      <c r="F92" s="9"/>
      <c r="G92" s="4"/>
      <c r="H92" s="4"/>
      <c r="I92" s="4"/>
      <c r="J92" s="9"/>
      <c r="K92" s="4"/>
      <c r="L92" s="4"/>
      <c r="M92" s="4"/>
      <c r="N92" s="9"/>
      <c r="O92" s="11"/>
      <c r="P92" s="4"/>
      <c r="Q92" s="4"/>
      <c r="R92" s="9"/>
      <c r="S92" s="4"/>
      <c r="T92" s="4"/>
      <c r="U92" s="4"/>
      <c r="V92" s="9"/>
      <c r="W92" s="4"/>
      <c r="X92" s="4"/>
      <c r="Y92" s="4"/>
      <c r="Z92" s="9"/>
    </row>
    <row r="93" spans="1:26" s="63" customFormat="1" ht="15" customHeight="1" x14ac:dyDescent="0.3">
      <c r="A93" s="11"/>
      <c r="B93" s="27" t="s">
        <v>294</v>
      </c>
      <c r="C93" s="27"/>
      <c r="D93" s="34">
        <f>+D89-D91</f>
        <v>9271.3000000000084</v>
      </c>
      <c r="E93" s="15"/>
      <c r="F93" s="29">
        <f>IF(D$12=0,0,D93/D$12)</f>
        <v>0.14252454437356807</v>
      </c>
      <c r="G93" s="15"/>
      <c r="H93" s="34">
        <f>+H89-H91</f>
        <v>-6437.4085638076904</v>
      </c>
      <c r="I93" s="15"/>
      <c r="J93" s="29">
        <f>IF(H$12=0,0,H93/H$12)</f>
        <v>-9.9650287365444123E-2</v>
      </c>
      <c r="K93" s="16"/>
      <c r="L93" s="34">
        <f>D93-H93</f>
        <v>15708.708563807699</v>
      </c>
      <c r="M93" s="16"/>
      <c r="N93" s="29">
        <f>IF(H93=0,0,L93/H93)</f>
        <v>-2.4402223982061639</v>
      </c>
      <c r="O93" s="28"/>
      <c r="P93" s="34">
        <f>+P89-P91</f>
        <v>-96583.860000000044</v>
      </c>
      <c r="Q93" s="15"/>
      <c r="R93" s="29">
        <f>IF(P$12=0,0,P93/P$12)</f>
        <v>-0.50393665866407467</v>
      </c>
      <c r="S93" s="15"/>
      <c r="T93" s="34">
        <f>+T89-T91</f>
        <v>-153579.1994365</v>
      </c>
      <c r="U93" s="15"/>
      <c r="V93" s="29">
        <f>IF(T$12=0,0,T93/T$12)</f>
        <v>-0.58533788951203802</v>
      </c>
      <c r="W93" s="16"/>
      <c r="X93" s="34">
        <f>P93-T93</f>
        <v>56995.339436499955</v>
      </c>
      <c r="Y93" s="16"/>
      <c r="Z93" s="29">
        <f>IF(T93=0,0,X93/T93)</f>
        <v>-0.37111366412653868</v>
      </c>
    </row>
    <row r="94" spans="1:26" ht="15" customHeight="1" x14ac:dyDescent="0.3">
      <c r="A94" s="10"/>
      <c r="B94" s="10"/>
      <c r="C94" s="10"/>
      <c r="D94" s="4"/>
      <c r="E94" s="4"/>
      <c r="F94" s="9"/>
      <c r="G94" s="4"/>
      <c r="H94" s="4"/>
      <c r="I94" s="4"/>
      <c r="J94" s="9"/>
      <c r="K94" s="4"/>
      <c r="L94" s="4"/>
      <c r="M94" s="4"/>
      <c r="N94" s="9"/>
      <c r="P94" s="4"/>
      <c r="Q94" s="4"/>
      <c r="R94" s="9"/>
      <c r="S94" s="4"/>
      <c r="T94" s="4"/>
      <c r="U94" s="4"/>
      <c r="V94" s="9"/>
      <c r="W94" s="4"/>
      <c r="X94" s="4"/>
      <c r="Y94" s="4"/>
      <c r="Z94" s="9"/>
    </row>
    <row r="95" spans="1:26" ht="15" customHeight="1" x14ac:dyDescent="0.3">
      <c r="A95" s="10"/>
      <c r="B95" s="10"/>
      <c r="C95" s="10"/>
      <c r="D95" s="4"/>
      <c r="E95" s="4"/>
      <c r="F95" s="9"/>
      <c r="G95" s="4"/>
      <c r="H95" s="4"/>
      <c r="I95" s="4"/>
      <c r="J95" s="9"/>
      <c r="K95" s="4"/>
      <c r="L95" s="4"/>
      <c r="M95" s="4"/>
      <c r="N95" s="9"/>
      <c r="P95" s="4"/>
      <c r="Q95" s="4"/>
      <c r="R95" s="9"/>
      <c r="S95" s="4"/>
      <c r="T95" s="4"/>
      <c r="U95" s="4"/>
      <c r="V95" s="9"/>
      <c r="W95" s="4"/>
      <c r="X95" s="4"/>
      <c r="Y95" s="4"/>
      <c r="Z95" s="9"/>
    </row>
    <row r="96" spans="1:26" s="63" customFormat="1" ht="15" customHeight="1" x14ac:dyDescent="0.3">
      <c r="A96" s="11"/>
      <c r="B96" s="27" t="s">
        <v>297</v>
      </c>
      <c r="C96" s="27"/>
      <c r="D96" s="32">
        <f>SUM(D93:D95)</f>
        <v>9271.3000000000084</v>
      </c>
      <c r="E96" s="15"/>
      <c r="F96" s="31">
        <f>IF(D$12=0,0,D96/D$12)</f>
        <v>0.14252454437356807</v>
      </c>
      <c r="G96" s="15"/>
      <c r="H96" s="32">
        <f>SUM(H93:H95)</f>
        <v>-6437.4085638076904</v>
      </c>
      <c r="I96" s="15"/>
      <c r="J96" s="31">
        <f>IF(H$12=0,0,H96/H$12)</f>
        <v>-9.9650287365444123E-2</v>
      </c>
      <c r="K96" s="16"/>
      <c r="L96" s="32">
        <f>+D96-H96</f>
        <v>15708.708563807699</v>
      </c>
      <c r="M96" s="16"/>
      <c r="N96" s="31">
        <f>IF(H96=0,0,L96/H96)</f>
        <v>-2.4402223982061639</v>
      </c>
      <c r="O96" s="28"/>
      <c r="P96" s="32">
        <f>SUM(P93:P95)</f>
        <v>-96583.860000000044</v>
      </c>
      <c r="Q96" s="15"/>
      <c r="R96" s="31">
        <f>IF(P$12=0,0,P96/P$12)</f>
        <v>-0.50393665866407467</v>
      </c>
      <c r="S96" s="15"/>
      <c r="T96" s="32">
        <f>SUM(T93:T95)</f>
        <v>-153579.1994365</v>
      </c>
      <c r="U96" s="15"/>
      <c r="V96" s="31">
        <f>IF(T$12=0,0,T96/T$12)</f>
        <v>-0.58533788951203802</v>
      </c>
      <c r="W96" s="16"/>
      <c r="X96" s="32">
        <f>+P96-T96</f>
        <v>56995.339436499955</v>
      </c>
      <c r="Y96" s="16"/>
      <c r="Z96" s="31">
        <f>IF(T96=0,0,X96/T96)</f>
        <v>-0.37111366412653868</v>
      </c>
    </row>
    <row r="97" spans="1:24" ht="15" customHeight="1" x14ac:dyDescent="0.3">
      <c r="A97" s="10"/>
      <c r="C97" s="10"/>
      <c r="D97" s="19"/>
      <c r="E97" s="19"/>
      <c r="G97" s="19"/>
      <c r="H97" s="19"/>
      <c r="I97" s="19"/>
      <c r="J97" s="40"/>
      <c r="K97" s="19"/>
      <c r="L97" s="19"/>
      <c r="M97" s="19"/>
      <c r="P97" s="19"/>
      <c r="Q97" s="19"/>
      <c r="R97" s="40"/>
      <c r="S97" s="19"/>
      <c r="T97" s="19"/>
      <c r="U97" s="19"/>
      <c r="V97" s="40"/>
      <c r="W97" s="19"/>
      <c r="X97" s="19"/>
    </row>
    <row r="98" spans="1:24" ht="15" customHeight="1" x14ac:dyDescent="0.3">
      <c r="A98" s="10"/>
      <c r="B98" s="51">
        <v>44663.047665428239</v>
      </c>
      <c r="D98" s="19"/>
      <c r="E98" s="19"/>
      <c r="G98" s="19"/>
      <c r="H98" s="19"/>
      <c r="I98" s="19"/>
      <c r="J98" s="40"/>
      <c r="K98" s="19"/>
      <c r="L98" s="19"/>
      <c r="M98" s="19"/>
      <c r="P98" s="19"/>
      <c r="Q98" s="19"/>
      <c r="R98" s="40"/>
      <c r="S98" s="19"/>
      <c r="T98" s="19"/>
      <c r="U98" s="19"/>
      <c r="V98" s="40"/>
      <c r="W98" s="19"/>
      <c r="X98" s="19"/>
    </row>
    <row r="99" spans="1:24" ht="15" customHeight="1" x14ac:dyDescent="0.3">
      <c r="A99" s="10"/>
      <c r="B99" s="58" t="s">
        <v>298</v>
      </c>
      <c r="D99" s="19"/>
      <c r="E99" s="19"/>
      <c r="G99" s="19"/>
      <c r="H99" s="19"/>
      <c r="I99" s="19"/>
      <c r="J99" s="40"/>
      <c r="K99" s="19"/>
      <c r="L99" s="19"/>
      <c r="M99" s="19"/>
      <c r="P99" s="19"/>
      <c r="Q99" s="19"/>
      <c r="R99" s="40"/>
      <c r="S99" s="19"/>
      <c r="T99" s="19"/>
      <c r="U99" s="19"/>
      <c r="V99" s="40"/>
      <c r="W99" s="19"/>
      <c r="X99" s="19"/>
    </row>
    <row r="100" spans="1:24" ht="15" customHeight="1" x14ac:dyDescent="0.3">
      <c r="A100" s="10"/>
      <c r="B100" s="50"/>
      <c r="D100" s="19"/>
      <c r="E100" s="19"/>
      <c r="G100" s="19"/>
      <c r="H100" s="19"/>
      <c r="I100" s="19"/>
      <c r="J100" s="40"/>
      <c r="K100" s="19"/>
      <c r="L100" s="19"/>
      <c r="M100" s="19"/>
      <c r="P100" s="19"/>
      <c r="Q100" s="19"/>
      <c r="R100" s="40"/>
      <c r="S100" s="19"/>
      <c r="T100" s="19"/>
      <c r="U100" s="19"/>
      <c r="V100" s="40"/>
      <c r="W100" s="19"/>
      <c r="X100" s="19"/>
    </row>
    <row r="101" spans="1:24" ht="15" customHeight="1" x14ac:dyDescent="0.3">
      <c r="D101" s="19"/>
      <c r="E101" s="19"/>
      <c r="G101" s="19"/>
      <c r="H101" s="19"/>
      <c r="I101" s="19"/>
      <c r="J101" s="40"/>
      <c r="K101" s="19"/>
      <c r="L101" s="19"/>
      <c r="M101" s="19"/>
      <c r="P101" s="19"/>
      <c r="Q101" s="19"/>
      <c r="R101" s="40"/>
      <c r="S101" s="19"/>
      <c r="T101" s="19"/>
      <c r="U101" s="19"/>
      <c r="V101" s="40"/>
      <c r="W101" s="19"/>
      <c r="X101" s="19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76FAFE-4886-B915-C1B5-EECFC80D5019}">
  <sheetPr>
    <tabColor rgb="FF92D050"/>
    <outlinePr summaryBelow="0" summaryRight="0"/>
  </sheetPr>
  <dimension ref="A2:Z44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6" customWidth="1"/>
    <col min="2" max="2" width="33.44140625" style="66" customWidth="1"/>
    <col min="3" max="3" width="1.88671875" style="66" customWidth="1"/>
    <col min="4" max="4" width="15" style="66" customWidth="1"/>
    <col min="5" max="5" width="1.88671875" style="66" customWidth="1" outlineLevel="1"/>
    <col min="6" max="6" width="15" style="67" customWidth="1" outlineLevel="1"/>
    <col min="7" max="7" width="1.88671875" style="66" customWidth="1" outlineLevel="1"/>
    <col min="8" max="8" width="15" style="66" customWidth="1" outlineLevel="1"/>
    <col min="9" max="9" width="1.88671875" style="66" customWidth="1" outlineLevel="1"/>
    <col min="10" max="10" width="15" style="68" customWidth="1" outlineLevel="1"/>
    <col min="11" max="11" width="1.88671875" style="66" customWidth="1" outlineLevel="1"/>
    <col min="12" max="12" width="15" style="66" customWidth="1" outlineLevel="1"/>
    <col min="13" max="13" width="1.88671875" style="66" customWidth="1" outlineLevel="1"/>
    <col min="14" max="14" width="15" style="67" customWidth="1" outlineLevel="1"/>
    <col min="15" max="15" width="1.88671875" style="64" customWidth="1"/>
    <col min="16" max="16" width="15" style="66" customWidth="1"/>
    <col min="17" max="17" width="1.88671875" style="66" customWidth="1" outlineLevel="1"/>
    <col min="18" max="18" width="15" style="68" customWidth="1" outlineLevel="1"/>
    <col min="19" max="19" width="1.88671875" style="66" customWidth="1" outlineLevel="1"/>
    <col min="20" max="20" width="15" style="66" customWidth="1" outlineLevel="1"/>
    <col min="21" max="21" width="1.88671875" style="66" customWidth="1" outlineLevel="1"/>
    <col min="22" max="22" width="15" style="68" customWidth="1" outlineLevel="1"/>
    <col min="23" max="23" width="1.88671875" style="66" customWidth="1" outlineLevel="1"/>
    <col min="24" max="24" width="15" style="66" customWidth="1" outlineLevel="1"/>
    <col min="25" max="25" width="1.88671875" style="66" customWidth="1" outlineLevel="1"/>
    <col min="26" max="26" width="15" style="68" customWidth="1" outlineLevel="1"/>
  </cols>
  <sheetData>
    <row r="2" spans="1:26" ht="15" customHeight="1" x14ac:dyDescent="0.3">
      <c r="D2" s="54" t="s">
        <v>276</v>
      </c>
    </row>
    <row r="3" spans="1:26" ht="15" customHeight="1" x14ac:dyDescent="0.3">
      <c r="D3" s="54" t="s">
        <v>277</v>
      </c>
      <c r="E3" s="18"/>
      <c r="F3" s="44"/>
      <c r="G3" s="18"/>
      <c r="H3" s="18"/>
      <c r="I3" s="18"/>
      <c r="J3" s="38"/>
      <c r="K3" s="18"/>
      <c r="L3" s="18"/>
      <c r="M3" s="18"/>
      <c r="N3" s="44"/>
      <c r="O3" s="53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ht="15" customHeight="1" x14ac:dyDescent="0.3">
      <c r="D4" s="54" t="str">
        <f>CONCATENATE("Period ",RIGHT(202209,2),", ",2022)</f>
        <v>Period 09, 2022</v>
      </c>
      <c r="E4" s="18"/>
      <c r="F4" s="44"/>
      <c r="G4" s="18"/>
      <c r="H4" s="18"/>
      <c r="I4" s="18"/>
      <c r="J4" s="38"/>
      <c r="K4" s="18"/>
      <c r="L4" s="18"/>
      <c r="M4" s="18"/>
      <c r="N4" s="44"/>
      <c r="O4" s="53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ht="15" customHeight="1" x14ac:dyDescent="0.3">
      <c r="A5" s="24"/>
      <c r="D5" s="60">
        <v>44646</v>
      </c>
      <c r="E5" s="18"/>
      <c r="F5" s="44"/>
      <c r="G5" s="18"/>
      <c r="H5" s="18"/>
      <c r="I5" s="18"/>
      <c r="J5" s="38"/>
      <c r="K5" s="18"/>
      <c r="L5" s="18"/>
      <c r="M5" s="18"/>
      <c r="N5" s="44"/>
      <c r="O5" s="53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ht="15" customHeight="1" x14ac:dyDescent="0.3">
      <c r="A6" s="24"/>
      <c r="B6" s="47"/>
      <c r="C6" s="47"/>
      <c r="D6" s="24" t="str">
        <f>CONCATENATE("Department ","327"," - ","C-Store Vending Machine(s)")</f>
        <v>Department 327 - C-Store Vending Machine(s)</v>
      </c>
      <c r="E6" s="18"/>
      <c r="F6" s="44"/>
      <c r="G6" s="18"/>
      <c r="H6" s="18"/>
      <c r="I6" s="18"/>
      <c r="J6" s="38"/>
      <c r="K6" s="18"/>
      <c r="L6" s="18"/>
      <c r="M6" s="18"/>
      <c r="N6" s="44"/>
      <c r="O6" s="59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ht="15" customHeight="1" x14ac:dyDescent="0.3">
      <c r="B7" s="52"/>
    </row>
    <row r="8" spans="1:26" ht="15" customHeight="1" x14ac:dyDescent="0.3">
      <c r="B8" s="52"/>
    </row>
    <row r="9" spans="1:26" ht="15" customHeight="1" x14ac:dyDescent="0.3">
      <c r="B9" s="10"/>
      <c r="C9" s="10"/>
      <c r="D9" s="17" t="s">
        <v>279</v>
      </c>
      <c r="E9" s="17"/>
      <c r="F9" s="36"/>
      <c r="G9" s="17"/>
      <c r="H9" s="17"/>
      <c r="I9" s="17"/>
      <c r="J9" s="43"/>
      <c r="K9" s="17"/>
      <c r="L9" s="17"/>
      <c r="M9" s="17"/>
      <c r="N9" s="36"/>
      <c r="P9" s="17" t="s">
        <v>280</v>
      </c>
      <c r="Q9" s="17"/>
      <c r="R9" s="36"/>
      <c r="S9" s="17"/>
      <c r="T9" s="17"/>
      <c r="U9" s="17"/>
      <c r="V9" s="43"/>
      <c r="W9" s="17"/>
      <c r="X9" s="17"/>
      <c r="Y9" s="17"/>
      <c r="Z9" s="36"/>
    </row>
    <row r="10" spans="1:26" ht="15" customHeight="1" x14ac:dyDescent="0.3">
      <c r="A10" s="11"/>
      <c r="B10" s="57"/>
      <c r="C10" s="11"/>
      <c r="D10" s="41" t="s">
        <v>281</v>
      </c>
      <c r="E10" s="33"/>
      <c r="F10" s="37" t="s">
        <v>282</v>
      </c>
      <c r="G10" s="33"/>
      <c r="H10" s="48" t="s">
        <v>283</v>
      </c>
      <c r="I10" s="33"/>
      <c r="J10" s="45" t="s">
        <v>284</v>
      </c>
      <c r="K10" s="11"/>
      <c r="L10" s="41" t="s">
        <v>285</v>
      </c>
      <c r="M10" s="11"/>
      <c r="N10" s="37" t="s">
        <v>286</v>
      </c>
      <c r="O10" s="11"/>
      <c r="P10" s="56" t="s">
        <v>281</v>
      </c>
      <c r="Q10" s="33"/>
      <c r="R10" s="37" t="s">
        <v>282</v>
      </c>
      <c r="S10" s="33"/>
      <c r="T10" s="48" t="s">
        <v>283</v>
      </c>
      <c r="U10" s="33"/>
      <c r="V10" s="45" t="s">
        <v>284</v>
      </c>
      <c r="W10" s="11"/>
      <c r="X10" s="41" t="s">
        <v>285</v>
      </c>
      <c r="Y10" s="11"/>
      <c r="Z10" s="37" t="s">
        <v>286</v>
      </c>
    </row>
    <row r="11" spans="1:26" ht="16.5" customHeight="1" x14ac:dyDescent="0.3">
      <c r="A11" s="10"/>
      <c r="B11" s="55"/>
      <c r="C11" s="10"/>
      <c r="D11" s="10"/>
      <c r="E11" s="10"/>
      <c r="F11" s="9"/>
      <c r="G11" s="10"/>
      <c r="H11" s="10"/>
      <c r="I11" s="10"/>
      <c r="J11" s="46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6"/>
      <c r="W11" s="10"/>
      <c r="X11" s="10"/>
      <c r="Y11" s="10"/>
      <c r="Z11" s="9"/>
    </row>
    <row r="12" spans="1:26" s="63" customFormat="1" ht="15" customHeight="1" collapsed="1" x14ac:dyDescent="0.3">
      <c r="A12" s="11"/>
      <c r="B12" s="28" t="s">
        <v>287</v>
      </c>
      <c r="C12" s="11"/>
      <c r="D12" s="5">
        <f>SUM(OSRRefD13x_0)</f>
        <v>412.69</v>
      </c>
      <c r="E12" s="5"/>
      <c r="F12" s="13"/>
      <c r="G12" s="5"/>
      <c r="H12" s="5">
        <f>SUM(OSRRefH13x_0)</f>
        <v>125</v>
      </c>
      <c r="I12" s="5"/>
      <c r="J12" s="13"/>
      <c r="K12" s="5"/>
      <c r="L12" s="5">
        <f>+D12-H12</f>
        <v>287.69</v>
      </c>
      <c r="M12" s="5"/>
      <c r="N12" s="13">
        <f>IF(H12=0,0,L12/H12)</f>
        <v>2.30152</v>
      </c>
      <c r="O12" s="11"/>
      <c r="P12" s="5">
        <f>SUM(OSRRefP13x_0)</f>
        <v>1111.4100000000001</v>
      </c>
      <c r="Q12" s="5"/>
      <c r="R12" s="13"/>
      <c r="S12" s="5"/>
      <c r="T12" s="5">
        <f>SUM(OSRRefT13x_0)</f>
        <v>550</v>
      </c>
      <c r="U12" s="5"/>
      <c r="V12" s="13"/>
      <c r="W12" s="5"/>
      <c r="X12" s="5">
        <f>+P12-T12</f>
        <v>561.41000000000008</v>
      </c>
      <c r="Y12" s="5"/>
      <c r="Z12" s="13">
        <f>IF(T12=0,0,X12/T12)</f>
        <v>1.0207454545454546</v>
      </c>
    </row>
    <row r="13" spans="1:26" s="70" customFormat="1" ht="15" hidden="1" customHeight="1" outlineLevel="1" x14ac:dyDescent="0.3">
      <c r="A13" s="42"/>
      <c r="B13" s="12" t="str">
        <f>CONCATENATE("          ","4000"," - ","TAXABLE SALES")</f>
        <v xml:space="preserve">          4000 - TAXABLE SALES</v>
      </c>
      <c r="C13" s="12"/>
      <c r="D13" s="3">
        <f>0</f>
        <v>0</v>
      </c>
      <c r="E13" s="3"/>
      <c r="F13" s="20"/>
      <c r="G13" s="3"/>
      <c r="H13" s="3">
        <v>125</v>
      </c>
      <c r="I13" s="3"/>
      <c r="J13" s="20"/>
      <c r="K13" s="3"/>
      <c r="L13" s="3">
        <f>+D13-H13</f>
        <v>-125</v>
      </c>
      <c r="M13" s="3"/>
      <c r="N13" s="20">
        <f>IF(H13=0,0,L13/H13)</f>
        <v>-1</v>
      </c>
      <c r="O13" s="12"/>
      <c r="P13" s="3">
        <f>0</f>
        <v>0</v>
      </c>
      <c r="Q13" s="3"/>
      <c r="R13" s="20"/>
      <c r="S13" s="3"/>
      <c r="T13" s="3">
        <v>550</v>
      </c>
      <c r="U13" s="3"/>
      <c r="V13" s="20"/>
      <c r="W13" s="3"/>
      <c r="X13" s="3">
        <f>+P13-T13</f>
        <v>-550</v>
      </c>
      <c r="Y13" s="3"/>
      <c r="Z13" s="20">
        <f>IF(T13=0,0,X13/T13)</f>
        <v>-1</v>
      </c>
    </row>
    <row r="14" spans="1:26" s="70" customFormat="1" ht="15" hidden="1" customHeight="1" outlineLevel="1" x14ac:dyDescent="0.3">
      <c r="A14" s="42"/>
      <c r="B14" s="12" t="str">
        <f>CONCATENATE("          ","4053"," - ","TAXABLE SALES-FOOD")</f>
        <v xml:space="preserve">          4053 - TAXABLE SALES-FOOD</v>
      </c>
      <c r="C14" s="12"/>
      <c r="D14" s="3">
        <f>--412.69</f>
        <v>412.69</v>
      </c>
      <c r="E14" s="3"/>
      <c r="F14" s="20"/>
      <c r="G14" s="3"/>
      <c r="H14" s="3"/>
      <c r="I14" s="3"/>
      <c r="J14" s="20"/>
      <c r="K14" s="3"/>
      <c r="L14" s="3">
        <f>+D14-H14</f>
        <v>412.69</v>
      </c>
      <c r="M14" s="3"/>
      <c r="N14" s="20">
        <f>IF(H14=0,0,L14/H14)</f>
        <v>0</v>
      </c>
      <c r="O14" s="12"/>
      <c r="P14" s="3">
        <f>--1111.41</f>
        <v>1111.4100000000001</v>
      </c>
      <c r="Q14" s="3"/>
      <c r="R14" s="20"/>
      <c r="S14" s="3"/>
      <c r="T14" s="3"/>
      <c r="U14" s="3"/>
      <c r="V14" s="20"/>
      <c r="W14" s="3"/>
      <c r="X14" s="3">
        <f>+P14-T14</f>
        <v>1111.4100000000001</v>
      </c>
      <c r="Y14" s="3"/>
      <c r="Z14" s="20">
        <f>IF(T14=0,0,X14/T14)</f>
        <v>0</v>
      </c>
    </row>
    <row r="15" spans="1:26" s="70" customFormat="1" ht="15" hidden="1" customHeight="1" outlineLevel="1" x14ac:dyDescent="0.3">
      <c r="A15" s="42"/>
      <c r="B15" s="12" t="str">
        <f>CONCATENATE("          ","4153"," - ","NON-TAXABLE SALES-FOOD")</f>
        <v xml:space="preserve">          4153 - NON-TAXABLE SALES-FOOD</v>
      </c>
      <c r="C15" s="12"/>
      <c r="D15" s="3">
        <f>0</f>
        <v>0</v>
      </c>
      <c r="E15" s="3"/>
      <c r="F15" s="20"/>
      <c r="G15" s="3"/>
      <c r="H15" s="3"/>
      <c r="I15" s="3"/>
      <c r="J15" s="20"/>
      <c r="K15" s="3"/>
      <c r="L15" s="3">
        <f>+D15-H15</f>
        <v>0</v>
      </c>
      <c r="M15" s="3"/>
      <c r="N15" s="20">
        <f>IF(H15=0,0,L15/H15)</f>
        <v>0</v>
      </c>
      <c r="O15" s="12"/>
      <c r="P15" s="3">
        <f>0</f>
        <v>0</v>
      </c>
      <c r="Q15" s="3"/>
      <c r="R15" s="20"/>
      <c r="S15" s="3"/>
      <c r="T15" s="3"/>
      <c r="U15" s="3"/>
      <c r="V15" s="20"/>
      <c r="W15" s="3"/>
      <c r="X15" s="3">
        <f>+P15-T15</f>
        <v>0</v>
      </c>
      <c r="Y15" s="3"/>
      <c r="Z15" s="20">
        <f>IF(T15=0,0,X15/T15)</f>
        <v>0</v>
      </c>
    </row>
    <row r="16" spans="1:26" ht="15" customHeight="1" x14ac:dyDescent="0.3">
      <c r="A16" s="10"/>
      <c r="B16" s="11"/>
      <c r="C16" s="10"/>
      <c r="D16" s="4"/>
      <c r="E16" s="4"/>
      <c r="F16" s="9"/>
      <c r="G16" s="4"/>
      <c r="H16" s="4"/>
      <c r="I16" s="4"/>
      <c r="J16" s="9"/>
      <c r="K16" s="4"/>
      <c r="L16" s="4"/>
      <c r="M16" s="4"/>
      <c r="N16" s="9"/>
      <c r="P16" s="4"/>
      <c r="Q16" s="4"/>
      <c r="R16" s="9"/>
      <c r="S16" s="4"/>
      <c r="T16" s="4"/>
      <c r="U16" s="4"/>
      <c r="V16" s="9"/>
      <c r="W16" s="4"/>
      <c r="X16" s="4"/>
      <c r="Y16" s="4"/>
      <c r="Z16" s="9"/>
    </row>
    <row r="17" spans="1:26" s="63" customFormat="1" ht="15" customHeight="1" collapsed="1" x14ac:dyDescent="0.3">
      <c r="A17" s="11"/>
      <c r="B17" s="28" t="s">
        <v>288</v>
      </c>
      <c r="C17" s="11"/>
      <c r="D17" s="5">
        <f>SUM(OSRRefD16x_0)</f>
        <v>-52</v>
      </c>
      <c r="E17" s="5"/>
      <c r="F17" s="13">
        <f>IF(D$12=0,0,D17/D$12)</f>
        <v>-0.12600256851389663</v>
      </c>
      <c r="G17" s="5"/>
      <c r="H17" s="5">
        <f>SUM(OSRRefH16x_0)</f>
        <v>63</v>
      </c>
      <c r="I17" s="5"/>
      <c r="J17" s="13">
        <f>IF(H$12=0,0,H17/H$12)</f>
        <v>0.504</v>
      </c>
      <c r="K17" s="5"/>
      <c r="L17" s="5">
        <f>+D17-H17</f>
        <v>-115</v>
      </c>
      <c r="M17" s="5"/>
      <c r="N17" s="13">
        <f>IF(H17=0,0,L17/H17)</f>
        <v>-1.8253968253968254</v>
      </c>
      <c r="O17" s="11"/>
      <c r="P17" s="5">
        <f>SUM(OSRRefP16x_0)</f>
        <v>-60.8</v>
      </c>
      <c r="Q17" s="5"/>
      <c r="R17" s="13">
        <f>IF(P$12=0,0,P17/P$12)</f>
        <v>-5.4705284278529068E-2</v>
      </c>
      <c r="S17" s="5"/>
      <c r="T17" s="5">
        <f>SUM(OSRRefT16x_0)</f>
        <v>276</v>
      </c>
      <c r="U17" s="5"/>
      <c r="V17" s="13">
        <f>IF(T$12=0,0,T17/T$12)</f>
        <v>0.50181818181818183</v>
      </c>
      <c r="W17" s="5"/>
      <c r="X17" s="5">
        <f>+P17-T17</f>
        <v>-336.8</v>
      </c>
      <c r="Y17" s="5"/>
      <c r="Z17" s="13">
        <f>IF(T17=0,0,X17/T17)</f>
        <v>-1.2202898550724639</v>
      </c>
    </row>
    <row r="18" spans="1:26" s="70" customFormat="1" ht="15" hidden="1" customHeight="1" outlineLevel="1" x14ac:dyDescent="0.3">
      <c r="A18" s="42"/>
      <c r="B18" s="12" t="str">
        <f>CONCATENATE("          ","5000"," - ","PURCHASES @ COST")</f>
        <v xml:space="preserve">          5000 - PURCHASES @ COST</v>
      </c>
      <c r="C18" s="12"/>
      <c r="D18" s="3"/>
      <c r="E18" s="3"/>
      <c r="F18" s="20">
        <f>IF(D$12=0,0,D18/D$12)</f>
        <v>0</v>
      </c>
      <c r="G18" s="3"/>
      <c r="H18" s="3">
        <v>63</v>
      </c>
      <c r="I18" s="3"/>
      <c r="J18" s="20">
        <f>IF(H$12=0,0,H18/H$12)</f>
        <v>0.504</v>
      </c>
      <c r="K18" s="3"/>
      <c r="L18" s="3">
        <f>+D18-H18</f>
        <v>-63</v>
      </c>
      <c r="M18" s="3"/>
      <c r="N18" s="20">
        <f>IF(H18=0,0,L18/H18)</f>
        <v>-1</v>
      </c>
      <c r="O18" s="12"/>
      <c r="P18" s="3"/>
      <c r="Q18" s="3"/>
      <c r="R18" s="20">
        <f>IF(P$12=0,0,P18/P$12)</f>
        <v>0</v>
      </c>
      <c r="S18" s="3"/>
      <c r="T18" s="3">
        <v>276</v>
      </c>
      <c r="U18" s="3"/>
      <c r="V18" s="20">
        <f>IF(T$12=0,0,T18/T$12)</f>
        <v>0.50181818181818183</v>
      </c>
      <c r="W18" s="3"/>
      <c r="X18" s="3">
        <f>+P18-T18</f>
        <v>-276</v>
      </c>
      <c r="Y18" s="3"/>
      <c r="Z18" s="20">
        <f>IF(T18=0,0,X18/T18)</f>
        <v>-1</v>
      </c>
    </row>
    <row r="19" spans="1:26" s="70" customFormat="1" ht="15" hidden="1" customHeight="1" outlineLevel="1" x14ac:dyDescent="0.3">
      <c r="A19" s="42"/>
      <c r="B19" s="12" t="str">
        <f>CONCATENATE("          ","5053"," - ","PURCHASES @ COST-FOOD")</f>
        <v xml:space="preserve">          5053 - PURCHASES @ COST-FOOD</v>
      </c>
      <c r="C19" s="12"/>
      <c r="D19" s="3"/>
      <c r="E19" s="3"/>
      <c r="F19" s="20">
        <f>IF(D$12=0,0,D19/D$12)</f>
        <v>0</v>
      </c>
      <c r="G19" s="3"/>
      <c r="H19" s="3"/>
      <c r="I19" s="3"/>
      <c r="J19" s="20">
        <f>IF(H$12=0,0,H19/H$12)</f>
        <v>0</v>
      </c>
      <c r="K19" s="3"/>
      <c r="L19" s="3">
        <f>+D19-H19</f>
        <v>0</v>
      </c>
      <c r="M19" s="3"/>
      <c r="N19" s="20">
        <f>IF(H19=0,0,L19/H19)</f>
        <v>0</v>
      </c>
      <c r="O19" s="12"/>
      <c r="P19" s="3">
        <v>45</v>
      </c>
      <c r="Q19" s="3"/>
      <c r="R19" s="20">
        <f>IF(P$12=0,0,P19/P$12)</f>
        <v>4.0489108429832374E-2</v>
      </c>
      <c r="S19" s="3"/>
      <c r="T19" s="3"/>
      <c r="U19" s="3"/>
      <c r="V19" s="20">
        <f>IF(T$12=0,0,T19/T$12)</f>
        <v>0</v>
      </c>
      <c r="W19" s="3"/>
      <c r="X19" s="3">
        <f>+P19-T19</f>
        <v>45</v>
      </c>
      <c r="Y19" s="3"/>
      <c r="Z19" s="20">
        <f>IF(T19=0,0,X19/T19)</f>
        <v>0</v>
      </c>
    </row>
    <row r="20" spans="1:26" s="70" customFormat="1" ht="15" hidden="1" customHeight="1" outlineLevel="1" x14ac:dyDescent="0.3">
      <c r="A20" s="42"/>
      <c r="B20" s="12" t="str">
        <f>CONCATENATE("          ","5059"," - ","PURCHASES @ COST-FOOD")</f>
        <v xml:space="preserve">          5059 - PURCHASES @ COST-FOOD</v>
      </c>
      <c r="C20" s="12"/>
      <c r="D20" s="3">
        <v>-52</v>
      </c>
      <c r="E20" s="3"/>
      <c r="F20" s="20">
        <f>IF(D$12=0,0,D20/D$12)</f>
        <v>-0.12600256851389663</v>
      </c>
      <c r="G20" s="3"/>
      <c r="H20" s="3"/>
      <c r="I20" s="3"/>
      <c r="J20" s="20">
        <f>IF(H$12=0,0,H20/H$12)</f>
        <v>0</v>
      </c>
      <c r="K20" s="3"/>
      <c r="L20" s="3">
        <f>+D20-H20</f>
        <v>-52</v>
      </c>
      <c r="M20" s="3"/>
      <c r="N20" s="20">
        <f>IF(H20=0,0,L20/H20)</f>
        <v>0</v>
      </c>
      <c r="O20" s="12"/>
      <c r="P20" s="3">
        <v>-105.8</v>
      </c>
      <c r="Q20" s="3"/>
      <c r="R20" s="20">
        <f>IF(P$12=0,0,P20/P$12)</f>
        <v>-9.5194392708361442E-2</v>
      </c>
      <c r="S20" s="3"/>
      <c r="T20" s="3"/>
      <c r="U20" s="3"/>
      <c r="V20" s="20">
        <f>IF(T$12=0,0,T20/T$12)</f>
        <v>0</v>
      </c>
      <c r="W20" s="3"/>
      <c r="X20" s="3">
        <f>+P20-T20</f>
        <v>-105.8</v>
      </c>
      <c r="Y20" s="3"/>
      <c r="Z20" s="20">
        <f>IF(T20=0,0,X20/T20)</f>
        <v>0</v>
      </c>
    </row>
    <row r="21" spans="1:26" ht="15" customHeight="1" x14ac:dyDescent="0.3">
      <c r="A21" s="10"/>
      <c r="B21" s="11"/>
      <c r="C21" s="11"/>
      <c r="D21" s="4"/>
      <c r="E21" s="4"/>
      <c r="F21" s="9"/>
      <c r="G21" s="4"/>
      <c r="H21" s="4"/>
      <c r="I21" s="4"/>
      <c r="J21" s="9"/>
      <c r="K21" s="4"/>
      <c r="L21" s="4"/>
      <c r="M21" s="4"/>
      <c r="N21" s="9"/>
      <c r="O21" s="11"/>
      <c r="P21" s="4"/>
      <c r="Q21" s="4"/>
      <c r="R21" s="9"/>
      <c r="S21" s="4"/>
      <c r="T21" s="4"/>
      <c r="U21" s="4"/>
      <c r="V21" s="9"/>
      <c r="W21" s="4"/>
      <c r="X21" s="4"/>
      <c r="Y21" s="4"/>
      <c r="Z21" s="9"/>
    </row>
    <row r="22" spans="1:26" s="63" customFormat="1" ht="15" customHeight="1" x14ac:dyDescent="0.3">
      <c r="A22" s="11"/>
      <c r="B22" s="27" t="s">
        <v>289</v>
      </c>
      <c r="C22" s="27"/>
      <c r="D22" s="21">
        <f>D12-D17</f>
        <v>464.69</v>
      </c>
      <c r="E22" s="15"/>
      <c r="F22" s="23">
        <f>IF(D$12=0,0,D22/D$12)</f>
        <v>1.1260025685138966</v>
      </c>
      <c r="G22" s="15"/>
      <c r="H22" s="21">
        <f>H12-H17</f>
        <v>62</v>
      </c>
      <c r="I22" s="15"/>
      <c r="J22" s="23">
        <f>IF(H$12=0,0,H22/H$12)</f>
        <v>0.496</v>
      </c>
      <c r="K22" s="16"/>
      <c r="L22" s="21">
        <f>+D22-H22</f>
        <v>402.69</v>
      </c>
      <c r="M22" s="16"/>
      <c r="N22" s="23">
        <f>IF(H22=0,0,L22/H22)</f>
        <v>6.4950000000000001</v>
      </c>
      <c r="O22" s="28"/>
      <c r="P22" s="21">
        <f>P12-P17</f>
        <v>1172.21</v>
      </c>
      <c r="Q22" s="15"/>
      <c r="R22" s="23">
        <f>IF(P$12=0,0,P22/P$12)</f>
        <v>1.0547052842785289</v>
      </c>
      <c r="S22" s="15"/>
      <c r="T22" s="21">
        <f>T12-T17</f>
        <v>274</v>
      </c>
      <c r="U22" s="15"/>
      <c r="V22" s="23">
        <f>IF(T$12=0,0,T22/T$12)</f>
        <v>0.49818181818181817</v>
      </c>
      <c r="W22" s="16"/>
      <c r="X22" s="21">
        <f>+P22-T22</f>
        <v>898.21</v>
      </c>
      <c r="Y22" s="16"/>
      <c r="Z22" s="23">
        <f>IF(T22=0,0,X22/T22)</f>
        <v>3.278138686131387</v>
      </c>
    </row>
    <row r="23" spans="1:26" ht="15" customHeight="1" x14ac:dyDescent="0.3">
      <c r="A23" s="10"/>
      <c r="B23" s="11"/>
      <c r="C23" s="10"/>
      <c r="D23" s="2"/>
      <c r="E23" s="2"/>
      <c r="F23" s="6"/>
      <c r="G23" s="2"/>
      <c r="H23" s="2"/>
      <c r="I23" s="2"/>
      <c r="J23" s="6"/>
      <c r="K23" s="2"/>
      <c r="L23" s="2"/>
      <c r="M23" s="2"/>
      <c r="N23" s="6"/>
      <c r="O23" s="35"/>
      <c r="P23" s="2"/>
      <c r="Q23" s="2"/>
      <c r="R23" s="6"/>
      <c r="S23" s="2"/>
      <c r="T23" s="2"/>
      <c r="U23" s="2"/>
      <c r="V23" s="6"/>
      <c r="W23" s="2"/>
      <c r="X23" s="2"/>
      <c r="Y23" s="2"/>
      <c r="Z23" s="6"/>
    </row>
    <row r="24" spans="1:26" s="63" customFormat="1" ht="15" customHeight="1" x14ac:dyDescent="0.3">
      <c r="A24" s="11"/>
      <c r="B24" s="28" t="s">
        <v>290</v>
      </c>
      <c r="C24" s="11"/>
      <c r="D24" s="22" cm="1">
        <f t="array" ref="D24">SUM(OSRRefD22x_0)</f>
        <v>203.28</v>
      </c>
      <c r="E24" s="22"/>
      <c r="F24" s="30">
        <f>IF(D$12=0,0,D24/D$12)</f>
        <v>0.49257311783663282</v>
      </c>
      <c r="G24" s="22"/>
      <c r="H24" s="22" cm="1">
        <f t="array" ref="H24">SUM(OSRRefH22x_0)</f>
        <v>11.25</v>
      </c>
      <c r="I24" s="22"/>
      <c r="J24" s="30">
        <f>IF(H$12=0,0,H24/H$12)</f>
        <v>0.09</v>
      </c>
      <c r="K24" s="5"/>
      <c r="L24" s="22">
        <f>+D24-H24</f>
        <v>192.03</v>
      </c>
      <c r="M24" s="5"/>
      <c r="N24" s="30">
        <f>IF(H24=0,0,L24/H24)</f>
        <v>17.069333333333333</v>
      </c>
      <c r="O24" s="11"/>
      <c r="P24" s="22" cm="1">
        <f t="array" ref="P24">SUM(OSRRefP22x_0)</f>
        <v>1328.81</v>
      </c>
      <c r="Q24" s="22"/>
      <c r="R24" s="30">
        <f>IF(P$12=0,0,P24/P$12)</f>
        <v>1.1956073816143455</v>
      </c>
      <c r="S24" s="22"/>
      <c r="T24" s="22" cm="1">
        <f t="array" ref="T24">SUM(OSRRefT22x_0)</f>
        <v>49.5</v>
      </c>
      <c r="U24" s="22"/>
      <c r="V24" s="30">
        <f>IF(T$12=0,0,T24/T$12)</f>
        <v>0.09</v>
      </c>
      <c r="W24" s="5"/>
      <c r="X24" s="22">
        <f>+P24-T24</f>
        <v>1279.31</v>
      </c>
      <c r="Y24" s="5"/>
      <c r="Z24" s="30">
        <f>IF(T24=0,0,X24/T24)</f>
        <v>25.844646464646463</v>
      </c>
    </row>
    <row r="25" spans="1:26" s="69" customFormat="1" ht="15" customHeight="1" outlineLevel="1" collapsed="1" x14ac:dyDescent="0.3">
      <c r="A25" s="25"/>
      <c r="B25" s="14" t="str">
        <f>CONCATENATE("     ","Bank/card Fees                                    ")</f>
        <v xml:space="preserve">     Bank/card Fees                                    </v>
      </c>
      <c r="C25" s="14"/>
      <c r="D25" s="2">
        <f>SUM(OSRRefD22_0x_0)</f>
        <v>203.28</v>
      </c>
      <c r="E25" s="2"/>
      <c r="F25" s="6">
        <f>IF(D$12=0,0,D25/D$12)</f>
        <v>0.49257311783663282</v>
      </c>
      <c r="G25" s="2"/>
      <c r="H25" s="2">
        <f>SUM(OSRRefH22_0x_0)</f>
        <v>11.25</v>
      </c>
      <c r="I25" s="2"/>
      <c r="J25" s="6">
        <f>IF(H$12=0,0,H25/H$12)</f>
        <v>0.09</v>
      </c>
      <c r="K25" s="2"/>
      <c r="L25" s="2">
        <f>+D25-H25</f>
        <v>192.03</v>
      </c>
      <c r="M25" s="2"/>
      <c r="N25" s="6">
        <f>IF(H25=0,0,L25/H25)</f>
        <v>17.069333333333333</v>
      </c>
      <c r="O25" s="14"/>
      <c r="P25" s="2">
        <f>SUM(OSRRefP22_0x_0)</f>
        <v>569.92999999999995</v>
      </c>
      <c r="Q25" s="2"/>
      <c r="R25" s="6">
        <f>IF(P$12=0,0,P25/P$12)</f>
        <v>0.51279905705365247</v>
      </c>
      <c r="S25" s="2"/>
      <c r="T25" s="2">
        <f>SUM(OSRRefT22_0x_0)</f>
        <v>49.5</v>
      </c>
      <c r="U25" s="2"/>
      <c r="V25" s="6">
        <f>IF(T$12=0,0,T25/T$12)</f>
        <v>0.09</v>
      </c>
      <c r="W25" s="2"/>
      <c r="X25" s="2">
        <f>+P25-T25</f>
        <v>520.42999999999995</v>
      </c>
      <c r="Y25" s="2"/>
      <c r="Z25" s="6">
        <f>IF(T25=0,0,X25/T25)</f>
        <v>10.513737373737372</v>
      </c>
    </row>
    <row r="26" spans="1:26" s="70" customFormat="1" ht="15" hidden="1" customHeight="1" outlineLevel="2" x14ac:dyDescent="0.3">
      <c r="A26" s="26"/>
      <c r="B26" s="12" t="str">
        <f>CONCATENATE("          ","6381"," - ","BANK/CREDIT CARD FEES")</f>
        <v xml:space="preserve">          6381 - BANK/CREDIT CARD FEES</v>
      </c>
      <c r="C26" s="12"/>
      <c r="D26" s="7">
        <v>203.28</v>
      </c>
      <c r="E26" s="3"/>
      <c r="F26" s="8">
        <f>IF(D$12=0,0,D26/D$12)</f>
        <v>0.49257311783663282</v>
      </c>
      <c r="G26" s="3"/>
      <c r="H26" s="7">
        <v>11.25</v>
      </c>
      <c r="I26" s="3"/>
      <c r="J26" s="8">
        <f>IF(H$12=0,0,H26/H$12)</f>
        <v>0.09</v>
      </c>
      <c r="K26" s="3"/>
      <c r="L26" s="7">
        <f>+D26-H26</f>
        <v>192.03</v>
      </c>
      <c r="M26" s="3"/>
      <c r="N26" s="8">
        <f>IF(H26=0,0,L26/H26)</f>
        <v>17.069333333333333</v>
      </c>
      <c r="O26" s="12"/>
      <c r="P26" s="7">
        <v>569.92999999999995</v>
      </c>
      <c r="Q26" s="3"/>
      <c r="R26" s="8">
        <f>IF(P$12=0,0,P26/P$12)</f>
        <v>0.51279905705365247</v>
      </c>
      <c r="S26" s="3"/>
      <c r="T26" s="7">
        <v>49.5</v>
      </c>
      <c r="U26" s="3"/>
      <c r="V26" s="8">
        <f>IF(T$12=0,0,T26/T$12)</f>
        <v>0.09</v>
      </c>
      <c r="W26" s="3"/>
      <c r="X26" s="7">
        <f>+P26-T26</f>
        <v>520.42999999999995</v>
      </c>
      <c r="Y26" s="3"/>
      <c r="Z26" s="8">
        <f>IF(T26=0,0,X26/T26)</f>
        <v>10.513737373737372</v>
      </c>
    </row>
    <row r="27" spans="1:26" s="69" customFormat="1" ht="15" customHeight="1" outlineLevel="1" collapsed="1" x14ac:dyDescent="0.3">
      <c r="A27" s="25"/>
      <c r="B27" s="14" t="str">
        <f>CONCATENATE("     ","General                                           ")</f>
        <v xml:space="preserve">     General                                           </v>
      </c>
      <c r="C27" s="14"/>
      <c r="D27" s="2">
        <f>SUM(OSRRefD22_1x_0)</f>
        <v>0</v>
      </c>
      <c r="E27" s="2"/>
      <c r="F27" s="6">
        <f>IF(D$12=0,0,D27/D$12)</f>
        <v>0</v>
      </c>
      <c r="G27" s="2"/>
      <c r="H27" s="2">
        <f>SUM(OSRRefH22_1x_0)</f>
        <v>0</v>
      </c>
      <c r="I27" s="2"/>
      <c r="J27" s="6">
        <f>IF(H$12=0,0,H27/H$12)</f>
        <v>0</v>
      </c>
      <c r="K27" s="2"/>
      <c r="L27" s="2">
        <f>+D27-H27</f>
        <v>0</v>
      </c>
      <c r="M27" s="2"/>
      <c r="N27" s="6">
        <f>IF(H27=0,0,L27/H27)</f>
        <v>0</v>
      </c>
      <c r="O27" s="14"/>
      <c r="P27" s="2">
        <f>SUM(OSRRefP22_1x_0)</f>
        <v>758.88</v>
      </c>
      <c r="Q27" s="2"/>
      <c r="R27" s="6">
        <f>IF(P$12=0,0,P27/P$12)</f>
        <v>0.68280832456069307</v>
      </c>
      <c r="S27" s="2"/>
      <c r="T27" s="2">
        <f>SUM(OSRRefT22_1x_0)</f>
        <v>0</v>
      </c>
      <c r="U27" s="2"/>
      <c r="V27" s="6">
        <f>IF(T$12=0,0,T27/T$12)</f>
        <v>0</v>
      </c>
      <c r="W27" s="2"/>
      <c r="X27" s="2">
        <f>+P27-T27</f>
        <v>758.88</v>
      </c>
      <c r="Y27" s="2"/>
      <c r="Z27" s="6">
        <f>IF(T27=0,0,X27/T27)</f>
        <v>0</v>
      </c>
    </row>
    <row r="28" spans="1:26" s="70" customFormat="1" ht="15" hidden="1" customHeight="1" outlineLevel="2" x14ac:dyDescent="0.3">
      <c r="A28" s="26"/>
      <c r="B28" s="12" t="str">
        <f>CONCATENATE("          ","6279"," - ","GENERAL EXPENSE")</f>
        <v xml:space="preserve">          6279 - GENERAL EXPENSE</v>
      </c>
      <c r="C28" s="12"/>
      <c r="D28" s="7"/>
      <c r="E28" s="3"/>
      <c r="F28" s="8">
        <f>IF(D$12=0,0,D28/D$12)</f>
        <v>0</v>
      </c>
      <c r="G28" s="3"/>
      <c r="H28" s="7"/>
      <c r="I28" s="3"/>
      <c r="J28" s="8">
        <f>IF(H$12=0,0,H28/H$12)</f>
        <v>0</v>
      </c>
      <c r="K28" s="3"/>
      <c r="L28" s="7">
        <f>+D28-H28</f>
        <v>0</v>
      </c>
      <c r="M28" s="3"/>
      <c r="N28" s="8">
        <f>IF(H28=0,0,L28/H28)</f>
        <v>0</v>
      </c>
      <c r="O28" s="12"/>
      <c r="P28" s="7">
        <v>758.88</v>
      </c>
      <c r="Q28" s="3"/>
      <c r="R28" s="8">
        <f>IF(P$12=0,0,P28/P$12)</f>
        <v>0.68280832456069307</v>
      </c>
      <c r="S28" s="3"/>
      <c r="T28" s="7"/>
      <c r="U28" s="3"/>
      <c r="V28" s="8">
        <f>IF(T$12=0,0,T28/T$12)</f>
        <v>0</v>
      </c>
      <c r="W28" s="3"/>
      <c r="X28" s="7">
        <f>+P28-T28</f>
        <v>758.88</v>
      </c>
      <c r="Y28" s="3"/>
      <c r="Z28" s="8">
        <f>IF(T28=0,0,X28/T28)</f>
        <v>0</v>
      </c>
    </row>
    <row r="29" spans="1:26" s="65" customFormat="1" ht="15" customHeight="1" x14ac:dyDescent="0.3">
      <c r="A29" s="35"/>
      <c r="B29" s="35"/>
      <c r="C29" s="35"/>
      <c r="D29" s="2"/>
      <c r="E29" s="2"/>
      <c r="F29" s="6"/>
      <c r="G29" s="2"/>
      <c r="H29" s="2"/>
      <c r="I29" s="2"/>
      <c r="J29" s="6"/>
      <c r="K29" s="2"/>
      <c r="L29" s="2"/>
      <c r="M29" s="2"/>
      <c r="N29" s="6"/>
      <c r="O29" s="35"/>
      <c r="P29" s="2"/>
      <c r="Q29" s="2"/>
      <c r="R29" s="6"/>
      <c r="S29" s="2"/>
      <c r="T29" s="2"/>
      <c r="U29" s="2"/>
      <c r="V29" s="6"/>
      <c r="W29" s="2"/>
      <c r="X29" s="2"/>
      <c r="Y29" s="2"/>
      <c r="Z29" s="6"/>
    </row>
    <row r="30" spans="1:26" s="63" customFormat="1" ht="15" customHeight="1" x14ac:dyDescent="0.3">
      <c r="A30" s="11"/>
      <c r="B30" s="28" t="s">
        <v>291</v>
      </c>
      <c r="C30" s="11"/>
      <c r="D30" s="5">
        <f>SUM(0)</f>
        <v>0</v>
      </c>
      <c r="E30" s="5"/>
      <c r="F30" s="13">
        <f>IF(D$12=0,0,D30/D$12)</f>
        <v>0</v>
      </c>
      <c r="G30" s="5"/>
      <c r="H30" s="5">
        <f>SUM(0)</f>
        <v>0</v>
      </c>
      <c r="I30" s="5"/>
      <c r="J30" s="13">
        <f>IF(H$12=0,0,H30/H$12)</f>
        <v>0</v>
      </c>
      <c r="K30" s="5"/>
      <c r="L30" s="5">
        <f>+D30-H30</f>
        <v>0</v>
      </c>
      <c r="M30" s="5"/>
      <c r="N30" s="13">
        <f>IF(H30=0,0,L30/H30)</f>
        <v>0</v>
      </c>
      <c r="O30" s="11"/>
      <c r="P30" s="5">
        <f>SUM(0)</f>
        <v>0</v>
      </c>
      <c r="Q30" s="5"/>
      <c r="R30" s="13">
        <f>IF(P$12=0,0,P30/P$12)</f>
        <v>0</v>
      </c>
      <c r="S30" s="5"/>
      <c r="T30" s="5">
        <f>SUM(0)</f>
        <v>0</v>
      </c>
      <c r="U30" s="5"/>
      <c r="V30" s="13">
        <f>IF(T$12=0,0,T30/T$12)</f>
        <v>0</v>
      </c>
      <c r="W30" s="5"/>
      <c r="X30" s="5">
        <f>+P30-T30</f>
        <v>0</v>
      </c>
      <c r="Y30" s="5"/>
      <c r="Z30" s="13">
        <f>IF(T30=0,0,X30/T30)</f>
        <v>0</v>
      </c>
    </row>
    <row r="31" spans="1:26" ht="15" customHeight="1" x14ac:dyDescent="0.3">
      <c r="A31" s="10"/>
      <c r="B31" s="11"/>
      <c r="C31" s="11"/>
      <c r="D31" s="4"/>
      <c r="E31" s="4"/>
      <c r="F31" s="9"/>
      <c r="G31" s="4"/>
      <c r="H31" s="4"/>
      <c r="I31" s="4"/>
      <c r="J31" s="9"/>
      <c r="K31" s="4"/>
      <c r="L31" s="4"/>
      <c r="M31" s="4"/>
      <c r="N31" s="9"/>
      <c r="O31" s="11"/>
      <c r="P31" s="4"/>
      <c r="Q31" s="4"/>
      <c r="R31" s="9"/>
      <c r="S31" s="4"/>
      <c r="T31" s="4"/>
      <c r="U31" s="4"/>
      <c r="V31" s="9"/>
      <c r="W31" s="4"/>
      <c r="X31" s="4"/>
      <c r="Y31" s="4"/>
      <c r="Z31" s="9"/>
    </row>
    <row r="32" spans="1:26" s="63" customFormat="1" ht="15" customHeight="1" x14ac:dyDescent="0.3">
      <c r="A32" s="11"/>
      <c r="B32" s="27" t="s">
        <v>292</v>
      </c>
      <c r="C32" s="27"/>
      <c r="D32" s="21">
        <f>+D22-D24+D30</f>
        <v>261.40999999999997</v>
      </c>
      <c r="E32" s="15"/>
      <c r="F32" s="23">
        <f>IF(D$12=0,0,D32/D$12)</f>
        <v>0.63342945067726375</v>
      </c>
      <c r="G32" s="15"/>
      <c r="H32" s="21">
        <f>+H22-H24+H30</f>
        <v>50.75</v>
      </c>
      <c r="I32" s="15"/>
      <c r="J32" s="23">
        <f>IF(H$12=0,0,H32/H$12)</f>
        <v>0.40600000000000003</v>
      </c>
      <c r="K32" s="16"/>
      <c r="L32" s="21">
        <f>+D32-H32</f>
        <v>210.65999999999997</v>
      </c>
      <c r="M32" s="16"/>
      <c r="N32" s="23">
        <f>IF(H32=0,0,L32/H32)</f>
        <v>4.1509359605911325</v>
      </c>
      <c r="O32" s="28"/>
      <c r="P32" s="21">
        <f>+P22-P24+P30</f>
        <v>-156.59999999999991</v>
      </c>
      <c r="Q32" s="15"/>
      <c r="R32" s="23">
        <f>IF(P$12=0,0,P32/P$12)</f>
        <v>-0.14090209733581657</v>
      </c>
      <c r="S32" s="15"/>
      <c r="T32" s="21">
        <f>+T22-T24+T30</f>
        <v>224.5</v>
      </c>
      <c r="U32" s="15"/>
      <c r="V32" s="23">
        <f>IF(T$12=0,0,T32/T$12)</f>
        <v>0.4081818181818182</v>
      </c>
      <c r="W32" s="16"/>
      <c r="X32" s="21">
        <f>+P32-T32</f>
        <v>-381.09999999999991</v>
      </c>
      <c r="Y32" s="16"/>
      <c r="Z32" s="23">
        <f>IF(T32=0,0,X32/T32)</f>
        <v>-1.6975501113585743</v>
      </c>
    </row>
    <row r="33" spans="1:26" ht="15" customHeight="1" x14ac:dyDescent="0.3">
      <c r="A33" s="10"/>
      <c r="B33" s="11"/>
      <c r="C33" s="10"/>
      <c r="D33" s="4"/>
      <c r="E33" s="4"/>
      <c r="F33" s="9"/>
      <c r="G33" s="4"/>
      <c r="H33" s="4"/>
      <c r="I33" s="4"/>
      <c r="J33" s="9"/>
      <c r="K33" s="4"/>
      <c r="L33" s="4"/>
      <c r="M33" s="4"/>
      <c r="N33" s="9"/>
      <c r="P33" s="4"/>
      <c r="Q33" s="4"/>
      <c r="R33" s="9"/>
      <c r="S33" s="4"/>
      <c r="T33" s="4"/>
      <c r="U33" s="4"/>
      <c r="V33" s="9"/>
      <c r="W33" s="4"/>
      <c r="X33" s="4"/>
      <c r="Y33" s="4"/>
      <c r="Z33" s="9"/>
    </row>
    <row r="34" spans="1:26" s="63" customFormat="1" ht="15" customHeight="1" x14ac:dyDescent="0.3">
      <c r="A34" s="49"/>
      <c r="B34" s="11" t="s">
        <v>293</v>
      </c>
      <c r="C34" s="11"/>
      <c r="D34" s="5">
        <v>45.42</v>
      </c>
      <c r="E34" s="5"/>
      <c r="F34" s="13">
        <f>IF(D$12=0,0,D34/D$12)</f>
        <v>0.11005839734425356</v>
      </c>
      <c r="G34" s="5"/>
      <c r="H34" s="5">
        <v>15</v>
      </c>
      <c r="I34" s="5"/>
      <c r="J34" s="13">
        <f>IF(H$12=0,0,H34/H$12)</f>
        <v>0.12</v>
      </c>
      <c r="K34" s="5"/>
      <c r="L34" s="5">
        <f>+D34-H34</f>
        <v>30.42</v>
      </c>
      <c r="M34" s="5"/>
      <c r="N34" s="13">
        <f>IF(H34=0,0,L34/H34)</f>
        <v>2.028</v>
      </c>
      <c r="O34" s="11"/>
      <c r="P34" s="5">
        <v>132.63999999999999</v>
      </c>
      <c r="Q34" s="5"/>
      <c r="R34" s="13">
        <f>IF(P$12=0,0,P34/P$12)</f>
        <v>0.11934389649184367</v>
      </c>
      <c r="S34" s="5"/>
      <c r="T34" s="5">
        <v>67</v>
      </c>
      <c r="U34" s="5"/>
      <c r="V34" s="13">
        <f>IF(T$12=0,0,T34/T$12)</f>
        <v>0.12181818181818181</v>
      </c>
      <c r="W34" s="5"/>
      <c r="X34" s="5">
        <f>+P34-T34</f>
        <v>65.639999999999986</v>
      </c>
      <c r="Y34" s="5"/>
      <c r="Z34" s="13">
        <f>IF(T34=0,0,X34/T34)</f>
        <v>0.9797014925373132</v>
      </c>
    </row>
    <row r="35" spans="1:26" ht="15" customHeight="1" x14ac:dyDescent="0.3">
      <c r="A35" s="10"/>
      <c r="B35" s="11"/>
      <c r="C35" s="11"/>
      <c r="D35" s="4"/>
      <c r="E35" s="4"/>
      <c r="F35" s="9"/>
      <c r="G35" s="4"/>
      <c r="H35" s="4"/>
      <c r="I35" s="4"/>
      <c r="J35" s="9"/>
      <c r="K35" s="4"/>
      <c r="L35" s="4"/>
      <c r="M35" s="4"/>
      <c r="N35" s="9"/>
      <c r="O35" s="11"/>
      <c r="P35" s="4"/>
      <c r="Q35" s="4"/>
      <c r="R35" s="9"/>
      <c r="S35" s="4"/>
      <c r="T35" s="4"/>
      <c r="U35" s="4"/>
      <c r="V35" s="9"/>
      <c r="W35" s="4"/>
      <c r="X35" s="4"/>
      <c r="Y35" s="4"/>
      <c r="Z35" s="9"/>
    </row>
    <row r="36" spans="1:26" s="63" customFormat="1" ht="15" customHeight="1" x14ac:dyDescent="0.3">
      <c r="A36" s="11"/>
      <c r="B36" s="27" t="s">
        <v>294</v>
      </c>
      <c r="C36" s="27"/>
      <c r="D36" s="34">
        <f>+D32-D34</f>
        <v>215.98999999999995</v>
      </c>
      <c r="E36" s="15"/>
      <c r="F36" s="29">
        <f>IF(D$12=0,0,D36/D$12)</f>
        <v>0.52337105333301015</v>
      </c>
      <c r="G36" s="15"/>
      <c r="H36" s="34">
        <f>+H32-H34</f>
        <v>35.75</v>
      </c>
      <c r="I36" s="15"/>
      <c r="J36" s="29">
        <f>IF(H$12=0,0,H36/H$12)</f>
        <v>0.28599999999999998</v>
      </c>
      <c r="K36" s="16"/>
      <c r="L36" s="34">
        <f>D36-H36</f>
        <v>180.23999999999995</v>
      </c>
      <c r="M36" s="16"/>
      <c r="N36" s="29">
        <f>IF(H36=0,0,L36/H36)</f>
        <v>5.0416783216783205</v>
      </c>
      <c r="O36" s="28"/>
      <c r="P36" s="34">
        <f>+P32-P34</f>
        <v>-289.2399999999999</v>
      </c>
      <c r="Q36" s="15"/>
      <c r="R36" s="29">
        <f>IF(P$12=0,0,P36/P$12)</f>
        <v>-0.26024599382766023</v>
      </c>
      <c r="S36" s="15"/>
      <c r="T36" s="34">
        <f>+T32-T34</f>
        <v>157.5</v>
      </c>
      <c r="U36" s="15"/>
      <c r="V36" s="29">
        <f>IF(T$12=0,0,T36/T$12)</f>
        <v>0.28636363636363638</v>
      </c>
      <c r="W36" s="16"/>
      <c r="X36" s="34">
        <f>P36-T36</f>
        <v>-446.7399999999999</v>
      </c>
      <c r="Y36" s="16"/>
      <c r="Z36" s="29">
        <f>IF(T36=0,0,X36/T36)</f>
        <v>-2.8364444444444437</v>
      </c>
    </row>
    <row r="37" spans="1:26" ht="15" customHeight="1" x14ac:dyDescent="0.3">
      <c r="A37" s="10"/>
      <c r="B37" s="10"/>
      <c r="C37" s="10"/>
      <c r="D37" s="4"/>
      <c r="E37" s="4"/>
      <c r="F37" s="9"/>
      <c r="G37" s="4"/>
      <c r="H37" s="4"/>
      <c r="I37" s="4"/>
      <c r="J37" s="9"/>
      <c r="K37" s="4"/>
      <c r="L37" s="4"/>
      <c r="M37" s="4"/>
      <c r="N37" s="9"/>
      <c r="P37" s="4"/>
      <c r="Q37" s="4"/>
      <c r="R37" s="9"/>
      <c r="S37" s="4"/>
      <c r="T37" s="4"/>
      <c r="U37" s="4"/>
      <c r="V37" s="9"/>
      <c r="W37" s="4"/>
      <c r="X37" s="4"/>
      <c r="Y37" s="4"/>
      <c r="Z37" s="9"/>
    </row>
    <row r="38" spans="1:26" ht="15" customHeight="1" x14ac:dyDescent="0.3">
      <c r="A38" s="10"/>
      <c r="B38" s="10"/>
      <c r="C38" s="10"/>
      <c r="D38" s="4"/>
      <c r="E38" s="4"/>
      <c r="F38" s="9"/>
      <c r="G38" s="4"/>
      <c r="H38" s="4"/>
      <c r="I38" s="4"/>
      <c r="J38" s="9"/>
      <c r="K38" s="4"/>
      <c r="L38" s="4"/>
      <c r="M38" s="4"/>
      <c r="N38" s="9"/>
      <c r="P38" s="4"/>
      <c r="Q38" s="4"/>
      <c r="R38" s="9"/>
      <c r="S38" s="4"/>
      <c r="T38" s="4"/>
      <c r="U38" s="4"/>
      <c r="V38" s="9"/>
      <c r="W38" s="4"/>
      <c r="X38" s="4"/>
      <c r="Y38" s="4"/>
      <c r="Z38" s="9"/>
    </row>
    <row r="39" spans="1:26" s="63" customFormat="1" ht="15" customHeight="1" x14ac:dyDescent="0.3">
      <c r="A39" s="11"/>
      <c r="B39" s="27" t="s">
        <v>297</v>
      </c>
      <c r="C39" s="27"/>
      <c r="D39" s="32">
        <f>SUM(D36:D38)</f>
        <v>215.98999999999995</v>
      </c>
      <c r="E39" s="15"/>
      <c r="F39" s="31">
        <f>IF(D$12=0,0,D39/D$12)</f>
        <v>0.52337105333301015</v>
      </c>
      <c r="G39" s="15"/>
      <c r="H39" s="32">
        <f>SUM(H36:H38)</f>
        <v>35.75</v>
      </c>
      <c r="I39" s="15"/>
      <c r="J39" s="31">
        <f>IF(H$12=0,0,H39/H$12)</f>
        <v>0.28599999999999998</v>
      </c>
      <c r="K39" s="16"/>
      <c r="L39" s="32">
        <f>+D39-H39</f>
        <v>180.23999999999995</v>
      </c>
      <c r="M39" s="16"/>
      <c r="N39" s="31">
        <f>IF(H39=0,0,L39/H39)</f>
        <v>5.0416783216783205</v>
      </c>
      <c r="O39" s="28"/>
      <c r="P39" s="32">
        <f>SUM(P36:P38)</f>
        <v>-289.2399999999999</v>
      </c>
      <c r="Q39" s="15"/>
      <c r="R39" s="31">
        <f>IF(P$12=0,0,P39/P$12)</f>
        <v>-0.26024599382766023</v>
      </c>
      <c r="S39" s="15"/>
      <c r="T39" s="32">
        <f>SUM(T36:T38)</f>
        <v>157.5</v>
      </c>
      <c r="U39" s="15"/>
      <c r="V39" s="31">
        <f>IF(T$12=0,0,T39/T$12)</f>
        <v>0.28636363636363638</v>
      </c>
      <c r="W39" s="16"/>
      <c r="X39" s="32">
        <f>+P39-T39</f>
        <v>-446.7399999999999</v>
      </c>
      <c r="Y39" s="16"/>
      <c r="Z39" s="31">
        <f>IF(T39=0,0,X39/T39)</f>
        <v>-2.8364444444444437</v>
      </c>
    </row>
    <row r="40" spans="1:26" ht="15" customHeight="1" x14ac:dyDescent="0.3">
      <c r="A40" s="10"/>
      <c r="C40" s="10"/>
      <c r="D40" s="19"/>
      <c r="E40" s="19"/>
      <c r="G40" s="19"/>
      <c r="H40" s="19"/>
      <c r="I40" s="19"/>
      <c r="J40" s="40"/>
      <c r="K40" s="19"/>
      <c r="L40" s="19"/>
      <c r="M40" s="19"/>
      <c r="P40" s="19"/>
      <c r="Q40" s="19"/>
      <c r="R40" s="40"/>
      <c r="S40" s="19"/>
      <c r="T40" s="19"/>
      <c r="U40" s="19"/>
      <c r="V40" s="40"/>
      <c r="W40" s="19"/>
      <c r="X40" s="19"/>
    </row>
    <row r="41" spans="1:26" ht="15" customHeight="1" x14ac:dyDescent="0.3">
      <c r="A41" s="10"/>
      <c r="B41" s="51">
        <v>44663.047665428239</v>
      </c>
      <c r="D41" s="19"/>
      <c r="E41" s="19"/>
      <c r="G41" s="19"/>
      <c r="H41" s="19"/>
      <c r="I41" s="19"/>
      <c r="J41" s="40"/>
      <c r="K41" s="19"/>
      <c r="L41" s="19"/>
      <c r="M41" s="19"/>
      <c r="P41" s="19"/>
      <c r="Q41" s="19"/>
      <c r="R41" s="40"/>
      <c r="S41" s="19"/>
      <c r="T41" s="19"/>
      <c r="U41" s="19"/>
      <c r="V41" s="40"/>
      <c r="W41" s="19"/>
      <c r="X41" s="19"/>
    </row>
    <row r="42" spans="1:26" ht="15" customHeight="1" x14ac:dyDescent="0.3">
      <c r="A42" s="10"/>
      <c r="B42" s="58" t="s">
        <v>298</v>
      </c>
      <c r="D42" s="19"/>
      <c r="E42" s="19"/>
      <c r="G42" s="19"/>
      <c r="H42" s="19"/>
      <c r="I42" s="19"/>
      <c r="J42" s="40"/>
      <c r="K42" s="19"/>
      <c r="L42" s="19"/>
      <c r="M42" s="19"/>
      <c r="P42" s="19"/>
      <c r="Q42" s="19"/>
      <c r="R42" s="40"/>
      <c r="S42" s="19"/>
      <c r="T42" s="19"/>
      <c r="U42" s="19"/>
      <c r="V42" s="40"/>
      <c r="W42" s="19"/>
      <c r="X42" s="19"/>
    </row>
    <row r="43" spans="1:26" ht="15" customHeight="1" x14ac:dyDescent="0.3">
      <c r="A43" s="10"/>
      <c r="B43" s="50"/>
      <c r="D43" s="19"/>
      <c r="E43" s="19"/>
      <c r="G43" s="19"/>
      <c r="H43" s="19"/>
      <c r="I43" s="19"/>
      <c r="J43" s="40"/>
      <c r="K43" s="19"/>
      <c r="L43" s="19"/>
      <c r="M43" s="19"/>
      <c r="P43" s="19"/>
      <c r="Q43" s="19"/>
      <c r="R43" s="40"/>
      <c r="S43" s="19"/>
      <c r="T43" s="19"/>
      <c r="U43" s="19"/>
      <c r="V43" s="40"/>
      <c r="W43" s="19"/>
      <c r="X43" s="19"/>
    </row>
    <row r="44" spans="1:26" ht="15" customHeight="1" x14ac:dyDescent="0.3">
      <c r="D44" s="19"/>
      <c r="E44" s="19"/>
      <c r="G44" s="19"/>
      <c r="H44" s="19"/>
      <c r="I44" s="19"/>
      <c r="J44" s="40"/>
      <c r="K44" s="19"/>
      <c r="L44" s="19"/>
      <c r="M44" s="19"/>
      <c r="P44" s="19"/>
      <c r="Q44" s="19"/>
      <c r="R44" s="40"/>
      <c r="S44" s="19"/>
      <c r="T44" s="19"/>
      <c r="U44" s="19"/>
      <c r="V44" s="40"/>
      <c r="W44" s="19"/>
      <c r="X44" s="19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76E976-94BF-B7E1-7F87-EC4A314DE3C9}">
  <sheetPr>
    <tabColor rgb="FFFFC000"/>
    <outlinePr summaryBelow="0" summaryRight="0"/>
  </sheetPr>
  <dimension ref="A2:Z134"/>
  <sheetViews>
    <sheetView showGridLines="0" defaultGridColor="0" colorId="8"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6" customWidth="1"/>
    <col min="2" max="2" width="33.44140625" style="66" customWidth="1"/>
    <col min="3" max="3" width="1.88671875" style="66" customWidth="1"/>
    <col min="4" max="4" width="15" style="66" customWidth="1"/>
    <col min="5" max="5" width="1.88671875" style="66" customWidth="1" outlineLevel="1"/>
    <col min="6" max="6" width="15" style="67" customWidth="1" outlineLevel="1"/>
    <col min="7" max="7" width="1.88671875" style="66" customWidth="1" outlineLevel="1"/>
    <col min="8" max="8" width="15" style="66" customWidth="1" outlineLevel="1"/>
    <col min="9" max="9" width="1.88671875" style="66" customWidth="1" outlineLevel="1"/>
    <col min="10" max="10" width="15" style="68" customWidth="1" outlineLevel="1"/>
    <col min="11" max="11" width="1.88671875" style="66" customWidth="1" outlineLevel="1"/>
    <col min="12" max="12" width="15" style="66" customWidth="1" outlineLevel="1"/>
    <col min="13" max="13" width="1.88671875" style="66" customWidth="1" outlineLevel="1"/>
    <col min="14" max="14" width="15" style="67" customWidth="1" outlineLevel="1"/>
    <col min="15" max="15" width="1.88671875" style="64" customWidth="1"/>
    <col min="16" max="16" width="15" style="66" customWidth="1"/>
    <col min="17" max="17" width="1.88671875" style="66" customWidth="1" outlineLevel="1"/>
    <col min="18" max="18" width="15" style="68" customWidth="1" outlineLevel="1"/>
    <col min="19" max="19" width="1.88671875" style="66" customWidth="1" outlineLevel="1"/>
    <col min="20" max="20" width="15" style="66" customWidth="1" outlineLevel="1"/>
    <col min="21" max="21" width="1.88671875" style="66" customWidth="1" outlineLevel="1"/>
    <col min="22" max="22" width="15" style="68" customWidth="1" outlineLevel="1"/>
    <col min="23" max="23" width="1.88671875" style="66" customWidth="1" outlineLevel="1"/>
    <col min="24" max="24" width="15" style="66" customWidth="1" outlineLevel="1"/>
    <col min="25" max="25" width="1.88671875" style="66" customWidth="1" outlineLevel="1"/>
    <col min="26" max="26" width="15" style="68" customWidth="1" outlineLevel="1"/>
  </cols>
  <sheetData>
    <row r="2" spans="1:26" ht="15" customHeight="1" x14ac:dyDescent="0.3">
      <c r="D2" s="54" t="s">
        <v>276</v>
      </c>
    </row>
    <row r="3" spans="1:26" ht="15" customHeight="1" x14ac:dyDescent="0.3">
      <c r="D3" s="54" t="s">
        <v>277</v>
      </c>
      <c r="E3" s="18"/>
      <c r="F3" s="44"/>
      <c r="G3" s="18"/>
      <c r="H3" s="18"/>
      <c r="I3" s="18"/>
      <c r="J3" s="38"/>
      <c r="K3" s="18"/>
      <c r="L3" s="18"/>
      <c r="M3" s="18"/>
      <c r="N3" s="44"/>
      <c r="O3" s="53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ht="15" customHeight="1" x14ac:dyDescent="0.3">
      <c r="D4" s="54" t="str">
        <f>CONCATENATE("Period ",RIGHT(202209,2),", ",2022)</f>
        <v>Period 09, 2022</v>
      </c>
      <c r="E4" s="18"/>
      <c r="F4" s="44"/>
      <c r="G4" s="18"/>
      <c r="H4" s="18"/>
      <c r="I4" s="18"/>
      <c r="J4" s="38"/>
      <c r="K4" s="18"/>
      <c r="L4" s="18"/>
      <c r="M4" s="18"/>
      <c r="N4" s="44"/>
      <c r="O4" s="53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ht="15" customHeight="1" x14ac:dyDescent="0.3">
      <c r="A5" s="24"/>
      <c r="D5" s="60">
        <v>44646</v>
      </c>
      <c r="E5" s="18"/>
      <c r="F5" s="44"/>
      <c r="G5" s="18"/>
      <c r="H5" s="18"/>
      <c r="I5" s="18"/>
      <c r="J5" s="38"/>
      <c r="K5" s="18"/>
      <c r="L5" s="18"/>
      <c r="M5" s="18"/>
      <c r="N5" s="44"/>
      <c r="O5" s="53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ht="15" customHeight="1" x14ac:dyDescent="0.3">
      <c r="A6" s="24"/>
      <c r="B6" s="47"/>
      <c r="C6" s="47"/>
      <c r="D6" s="24" t="s">
        <v>310</v>
      </c>
      <c r="E6" s="18"/>
      <c r="F6" s="44"/>
      <c r="G6" s="18"/>
      <c r="H6" s="18"/>
      <c r="I6" s="18"/>
      <c r="J6" s="38"/>
      <c r="K6" s="18"/>
      <c r="L6" s="18"/>
      <c r="M6" s="18"/>
      <c r="N6" s="44"/>
      <c r="O6" s="59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ht="15" customHeight="1" x14ac:dyDescent="0.3">
      <c r="B7" s="52"/>
    </row>
    <row r="8" spans="1:26" ht="15" customHeight="1" x14ac:dyDescent="0.3">
      <c r="B8" s="52"/>
    </row>
    <row r="9" spans="1:26" ht="15" customHeight="1" x14ac:dyDescent="0.3">
      <c r="B9" s="10"/>
      <c r="C9" s="10"/>
      <c r="D9" s="17" t="s">
        <v>279</v>
      </c>
      <c r="E9" s="17"/>
      <c r="F9" s="36"/>
      <c r="G9" s="17"/>
      <c r="H9" s="17"/>
      <c r="I9" s="17"/>
      <c r="J9" s="43"/>
      <c r="K9" s="17"/>
      <c r="L9" s="17"/>
      <c r="M9" s="17"/>
      <c r="N9" s="36"/>
      <c r="P9" s="17" t="s">
        <v>280</v>
      </c>
      <c r="Q9" s="17"/>
      <c r="R9" s="36"/>
      <c r="S9" s="17"/>
      <c r="T9" s="17"/>
      <c r="U9" s="17"/>
      <c r="V9" s="43"/>
      <c r="W9" s="17"/>
      <c r="X9" s="17"/>
      <c r="Y9" s="17"/>
      <c r="Z9" s="36"/>
    </row>
    <row r="10" spans="1:26" ht="15" customHeight="1" x14ac:dyDescent="0.3">
      <c r="A10" s="11"/>
      <c r="B10" s="57"/>
      <c r="C10" s="11"/>
      <c r="D10" s="41" t="s">
        <v>281</v>
      </c>
      <c r="E10" s="33"/>
      <c r="F10" s="37" t="s">
        <v>282</v>
      </c>
      <c r="G10" s="33"/>
      <c r="H10" s="48" t="s">
        <v>283</v>
      </c>
      <c r="I10" s="33"/>
      <c r="J10" s="45" t="s">
        <v>284</v>
      </c>
      <c r="K10" s="11"/>
      <c r="L10" s="41" t="s">
        <v>285</v>
      </c>
      <c r="M10" s="11"/>
      <c r="N10" s="37" t="s">
        <v>286</v>
      </c>
      <c r="O10" s="11"/>
      <c r="P10" s="56" t="s">
        <v>281</v>
      </c>
      <c r="Q10" s="33"/>
      <c r="R10" s="37" t="s">
        <v>282</v>
      </c>
      <c r="S10" s="33"/>
      <c r="T10" s="48" t="s">
        <v>283</v>
      </c>
      <c r="U10" s="33"/>
      <c r="V10" s="45" t="s">
        <v>284</v>
      </c>
      <c r="W10" s="11"/>
      <c r="X10" s="41" t="s">
        <v>285</v>
      </c>
      <c r="Y10" s="11"/>
      <c r="Z10" s="37" t="s">
        <v>286</v>
      </c>
    </row>
    <row r="11" spans="1:26" ht="16.5" customHeight="1" x14ac:dyDescent="0.3">
      <c r="A11" s="10"/>
      <c r="B11" s="55"/>
      <c r="C11" s="10"/>
      <c r="D11" s="10"/>
      <c r="E11" s="10"/>
      <c r="F11" s="9"/>
      <c r="G11" s="10"/>
      <c r="H11" s="10"/>
      <c r="I11" s="10"/>
      <c r="J11" s="46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6"/>
      <c r="W11" s="10"/>
      <c r="X11" s="10"/>
      <c r="Y11" s="10"/>
      <c r="Z11" s="9"/>
    </row>
    <row r="12" spans="1:26" s="63" customFormat="1" ht="15" customHeight="1" collapsed="1" x14ac:dyDescent="0.3">
      <c r="A12" s="11"/>
      <c r="B12" s="28" t="s">
        <v>287</v>
      </c>
      <c r="C12" s="11"/>
      <c r="D12" s="5">
        <f>SUM(OSRRefD13x_0)</f>
        <v>1657738.8299999998</v>
      </c>
      <c r="E12" s="5"/>
      <c r="F12" s="13"/>
      <c r="G12" s="5"/>
      <c r="H12" s="5">
        <f>SUM(OSRRefH13x_0)</f>
        <v>1462369</v>
      </c>
      <c r="I12" s="5"/>
      <c r="J12" s="13"/>
      <c r="K12" s="5"/>
      <c r="L12" s="5">
        <f t="shared" ref="L12:L20" si="0">+D12-H12</f>
        <v>195369.82999999984</v>
      </c>
      <c r="M12" s="5"/>
      <c r="N12" s="13">
        <f t="shared" ref="N12:N20" si="1">IF(H12=0,0,L12/H12)</f>
        <v>0.13359817528954721</v>
      </c>
      <c r="O12" s="11"/>
      <c r="P12" s="5">
        <f>SUM(OSRRefP13x_0)</f>
        <v>10293492.370000003</v>
      </c>
      <c r="Q12" s="5"/>
      <c r="R12" s="13"/>
      <c r="S12" s="5"/>
      <c r="T12" s="5">
        <f>SUM(OSRRefT13x_0)</f>
        <v>8596894</v>
      </c>
      <c r="U12" s="5"/>
      <c r="V12" s="13"/>
      <c r="W12" s="5"/>
      <c r="X12" s="5">
        <f t="shared" ref="X12:X20" si="2">+P12-T12</f>
        <v>1696598.3700000029</v>
      </c>
      <c r="Y12" s="5"/>
      <c r="Z12" s="13">
        <f t="shared" ref="Z12:Z20" si="3">IF(T12=0,0,X12/T12)</f>
        <v>0.19735015576555939</v>
      </c>
    </row>
    <row r="13" spans="1:26" s="70" customFormat="1" ht="15" hidden="1" customHeight="1" outlineLevel="1" x14ac:dyDescent="0.3">
      <c r="A13" s="42"/>
      <c r="B13" s="12" t="str">
        <f>CONCATENATE("          ","4000"," - ","TAXABLE SALES")</f>
        <v xml:space="preserve">          4000 - TAXABLE SALES</v>
      </c>
      <c r="C13" s="12"/>
      <c r="D13" s="3">
        <f>0</f>
        <v>0</v>
      </c>
      <c r="E13" s="3"/>
      <c r="F13" s="20"/>
      <c r="G13" s="3"/>
      <c r="H13" s="3">
        <v>161911</v>
      </c>
      <c r="I13" s="3"/>
      <c r="J13" s="20"/>
      <c r="K13" s="3"/>
      <c r="L13" s="3">
        <f t="shared" si="0"/>
        <v>-161911</v>
      </c>
      <c r="M13" s="3"/>
      <c r="N13" s="20">
        <f t="shared" si="1"/>
        <v>-1</v>
      </c>
      <c r="O13" s="12"/>
      <c r="P13" s="3">
        <f>0</f>
        <v>0</v>
      </c>
      <c r="Q13" s="3"/>
      <c r="R13" s="20"/>
      <c r="S13" s="3"/>
      <c r="T13" s="3">
        <v>552635</v>
      </c>
      <c r="U13" s="3"/>
      <c r="V13" s="20"/>
      <c r="W13" s="3"/>
      <c r="X13" s="3">
        <f t="shared" si="2"/>
        <v>-552635</v>
      </c>
      <c r="Y13" s="3"/>
      <c r="Z13" s="20">
        <f t="shared" si="3"/>
        <v>-1</v>
      </c>
    </row>
    <row r="14" spans="1:26" s="70" customFormat="1" ht="15" hidden="1" customHeight="1" outlineLevel="1" x14ac:dyDescent="0.3">
      <c r="A14" s="42"/>
      <c r="B14" s="12" t="str">
        <f>CONCATENATE("          ","4051"," - ","TAXABLE SALES-FOOD")</f>
        <v xml:space="preserve">          4051 - TAXABLE SALES-FOOD</v>
      </c>
      <c r="C14" s="12"/>
      <c r="D14" s="3">
        <f>--58129.76</f>
        <v>58129.760000000002</v>
      </c>
      <c r="E14" s="3"/>
      <c r="F14" s="20"/>
      <c r="G14" s="3"/>
      <c r="H14" s="3"/>
      <c r="I14" s="3"/>
      <c r="J14" s="20"/>
      <c r="K14" s="3"/>
      <c r="L14" s="3">
        <f t="shared" si="0"/>
        <v>58129.760000000002</v>
      </c>
      <c r="M14" s="3"/>
      <c r="N14" s="20">
        <f t="shared" si="1"/>
        <v>0</v>
      </c>
      <c r="O14" s="12"/>
      <c r="P14" s="3">
        <f>--263794.88</f>
        <v>263794.88</v>
      </c>
      <c r="Q14" s="3"/>
      <c r="R14" s="20"/>
      <c r="S14" s="3"/>
      <c r="T14" s="3"/>
      <c r="U14" s="3"/>
      <c r="V14" s="20"/>
      <c r="W14" s="3"/>
      <c r="X14" s="3">
        <f t="shared" si="2"/>
        <v>263794.88</v>
      </c>
      <c r="Y14" s="3"/>
      <c r="Z14" s="20">
        <f t="shared" si="3"/>
        <v>0</v>
      </c>
    </row>
    <row r="15" spans="1:26" s="70" customFormat="1" ht="15" hidden="1" customHeight="1" outlineLevel="1" x14ac:dyDescent="0.3">
      <c r="A15" s="42"/>
      <c r="B15" s="12" t="str">
        <f>CONCATENATE("          ","4053"," - ","TAXABLE SALES-FOOD")</f>
        <v xml:space="preserve">          4053 - TAXABLE SALES-FOOD</v>
      </c>
      <c r="C15" s="12"/>
      <c r="D15" s="3">
        <f>--2840.91</f>
        <v>2840.91</v>
      </c>
      <c r="E15" s="3"/>
      <c r="F15" s="20"/>
      <c r="G15" s="3"/>
      <c r="H15" s="3"/>
      <c r="I15" s="3"/>
      <c r="J15" s="20"/>
      <c r="K15" s="3"/>
      <c r="L15" s="3">
        <f t="shared" si="0"/>
        <v>2840.91</v>
      </c>
      <c r="M15" s="3"/>
      <c r="N15" s="20">
        <f t="shared" si="1"/>
        <v>0</v>
      </c>
      <c r="O15" s="12"/>
      <c r="P15" s="3">
        <f>--20488.89</f>
        <v>20488.89</v>
      </c>
      <c r="Q15" s="3"/>
      <c r="R15" s="20"/>
      <c r="S15" s="3"/>
      <c r="T15" s="3"/>
      <c r="U15" s="3"/>
      <c r="V15" s="20"/>
      <c r="W15" s="3"/>
      <c r="X15" s="3">
        <f t="shared" si="2"/>
        <v>20488.89</v>
      </c>
      <c r="Y15" s="3"/>
      <c r="Z15" s="20">
        <f t="shared" si="3"/>
        <v>0</v>
      </c>
    </row>
    <row r="16" spans="1:26" s="70" customFormat="1" ht="15" hidden="1" customHeight="1" outlineLevel="1" x14ac:dyDescent="0.3">
      <c r="A16" s="42"/>
      <c r="B16" s="12" t="str">
        <f>CONCATENATE("          ","4055"," - ","TAXABLE SALES-FOOD")</f>
        <v xml:space="preserve">          4055 - TAXABLE SALES-FOOD</v>
      </c>
      <c r="C16" s="12"/>
      <c r="D16" s="3">
        <f>--541.27</f>
        <v>541.27</v>
      </c>
      <c r="E16" s="3"/>
      <c r="F16" s="20"/>
      <c r="G16" s="3"/>
      <c r="H16" s="3"/>
      <c r="I16" s="3"/>
      <c r="J16" s="20"/>
      <c r="K16" s="3"/>
      <c r="L16" s="3">
        <f t="shared" si="0"/>
        <v>541.27</v>
      </c>
      <c r="M16" s="3"/>
      <c r="N16" s="20">
        <f t="shared" si="1"/>
        <v>0</v>
      </c>
      <c r="O16" s="12"/>
      <c r="P16" s="3">
        <f>--541.27</f>
        <v>541.27</v>
      </c>
      <c r="Q16" s="3"/>
      <c r="R16" s="20"/>
      <c r="S16" s="3"/>
      <c r="T16" s="3"/>
      <c r="U16" s="3"/>
      <c r="V16" s="20"/>
      <c r="W16" s="3"/>
      <c r="X16" s="3">
        <f t="shared" si="2"/>
        <v>541.27</v>
      </c>
      <c r="Y16" s="3"/>
      <c r="Z16" s="20">
        <f t="shared" si="3"/>
        <v>0</v>
      </c>
    </row>
    <row r="17" spans="1:26" s="70" customFormat="1" ht="15" hidden="1" customHeight="1" outlineLevel="1" x14ac:dyDescent="0.3">
      <c r="A17" s="42"/>
      <c r="B17" s="12" t="str">
        <f>CONCATENATE("          ","4100"," - ","NON-TAXABLE SALES")</f>
        <v xml:space="preserve">          4100 - NON-TAXABLE SALES</v>
      </c>
      <c r="C17" s="12"/>
      <c r="D17" s="3">
        <f>0</f>
        <v>0</v>
      </c>
      <c r="E17" s="3"/>
      <c r="F17" s="20"/>
      <c r="G17" s="3"/>
      <c r="H17" s="3">
        <v>1300458</v>
      </c>
      <c r="I17" s="3"/>
      <c r="J17" s="20"/>
      <c r="K17" s="3"/>
      <c r="L17" s="3">
        <f t="shared" si="0"/>
        <v>-1300458</v>
      </c>
      <c r="M17" s="3"/>
      <c r="N17" s="20">
        <f t="shared" si="1"/>
        <v>-1</v>
      </c>
      <c r="O17" s="12"/>
      <c r="P17" s="3">
        <f>0</f>
        <v>0</v>
      </c>
      <c r="Q17" s="3"/>
      <c r="R17" s="20"/>
      <c r="S17" s="3"/>
      <c r="T17" s="3">
        <v>8044259</v>
      </c>
      <c r="U17" s="3"/>
      <c r="V17" s="20"/>
      <c r="W17" s="3"/>
      <c r="X17" s="3">
        <f t="shared" si="2"/>
        <v>-8044259</v>
      </c>
      <c r="Y17" s="3"/>
      <c r="Z17" s="20">
        <f t="shared" si="3"/>
        <v>-1</v>
      </c>
    </row>
    <row r="18" spans="1:26" s="70" customFormat="1" ht="15" hidden="1" customHeight="1" outlineLevel="1" x14ac:dyDescent="0.3">
      <c r="A18" s="42"/>
      <c r="B18" s="12" t="str">
        <f>CONCATENATE("          ","4151"," - ","NON-TAXABLE SALES-FOOD")</f>
        <v xml:space="preserve">          4151 - NON-TAXABLE SALES-FOOD</v>
      </c>
      <c r="C18" s="12"/>
      <c r="D18" s="3">
        <f>--1578769.24</f>
        <v>1578769.24</v>
      </c>
      <c r="E18" s="3"/>
      <c r="F18" s="20"/>
      <c r="G18" s="3"/>
      <c r="H18" s="3"/>
      <c r="I18" s="3"/>
      <c r="J18" s="20"/>
      <c r="K18" s="3"/>
      <c r="L18" s="3">
        <f t="shared" si="0"/>
        <v>1578769.24</v>
      </c>
      <c r="M18" s="3"/>
      <c r="N18" s="20">
        <f t="shared" si="1"/>
        <v>0</v>
      </c>
      <c r="O18" s="12"/>
      <c r="P18" s="3">
        <f>--9910422.4</f>
        <v>9910422.4000000004</v>
      </c>
      <c r="Q18" s="3"/>
      <c r="R18" s="20"/>
      <c r="S18" s="3"/>
      <c r="T18" s="3"/>
      <c r="U18" s="3"/>
      <c r="V18" s="20"/>
      <c r="W18" s="3"/>
      <c r="X18" s="3">
        <f t="shared" si="2"/>
        <v>9910422.4000000004</v>
      </c>
      <c r="Y18" s="3"/>
      <c r="Z18" s="20">
        <f t="shared" si="3"/>
        <v>0</v>
      </c>
    </row>
    <row r="19" spans="1:26" s="70" customFormat="1" ht="15" hidden="1" customHeight="1" outlineLevel="1" x14ac:dyDescent="0.3">
      <c r="A19" s="42"/>
      <c r="B19" s="12" t="str">
        <f>CONCATENATE("          ","4153"," - ","NON-TAXABLE SALES-FOOD")</f>
        <v xml:space="preserve">          4153 - NON-TAXABLE SALES-FOOD</v>
      </c>
      <c r="C19" s="12"/>
      <c r="D19" s="3">
        <f>--15712.94</f>
        <v>15712.94</v>
      </c>
      <c r="E19" s="3"/>
      <c r="F19" s="20"/>
      <c r="G19" s="3"/>
      <c r="H19" s="3"/>
      <c r="I19" s="3"/>
      <c r="J19" s="20"/>
      <c r="K19" s="3"/>
      <c r="L19" s="3">
        <f t="shared" si="0"/>
        <v>15712.94</v>
      </c>
      <c r="M19" s="3"/>
      <c r="N19" s="20">
        <f t="shared" si="1"/>
        <v>0</v>
      </c>
      <c r="O19" s="12"/>
      <c r="P19" s="3">
        <f>--96500.22</f>
        <v>96500.22</v>
      </c>
      <c r="Q19" s="3"/>
      <c r="R19" s="20"/>
      <c r="S19" s="3"/>
      <c r="T19" s="3"/>
      <c r="U19" s="3"/>
      <c r="V19" s="20"/>
      <c r="W19" s="3"/>
      <c r="X19" s="3">
        <f t="shared" si="2"/>
        <v>96500.22</v>
      </c>
      <c r="Y19" s="3"/>
      <c r="Z19" s="20">
        <f t="shared" si="3"/>
        <v>0</v>
      </c>
    </row>
    <row r="20" spans="1:26" s="70" customFormat="1" ht="15" hidden="1" customHeight="1" outlineLevel="1" x14ac:dyDescent="0.3">
      <c r="A20" s="42"/>
      <c r="B20" s="12" t="str">
        <f>CONCATENATE("          ","4155"," - ","NON-TAXABLE SALES-FOOD")</f>
        <v xml:space="preserve">          4155 - NON-TAXABLE SALES-FOOD</v>
      </c>
      <c r="C20" s="12"/>
      <c r="D20" s="3">
        <f>--1744.71</f>
        <v>1744.71</v>
      </c>
      <c r="E20" s="3"/>
      <c r="F20" s="20"/>
      <c r="G20" s="3"/>
      <c r="H20" s="3"/>
      <c r="I20" s="3"/>
      <c r="J20" s="20"/>
      <c r="K20" s="3"/>
      <c r="L20" s="3">
        <f t="shared" si="0"/>
        <v>1744.71</v>
      </c>
      <c r="M20" s="3"/>
      <c r="N20" s="20">
        <f t="shared" si="1"/>
        <v>0</v>
      </c>
      <c r="O20" s="12"/>
      <c r="P20" s="3">
        <f>--1744.71</f>
        <v>1744.71</v>
      </c>
      <c r="Q20" s="3"/>
      <c r="R20" s="20"/>
      <c r="S20" s="3"/>
      <c r="T20" s="3"/>
      <c r="U20" s="3"/>
      <c r="V20" s="20"/>
      <c r="W20" s="3"/>
      <c r="X20" s="3">
        <f t="shared" si="2"/>
        <v>1744.71</v>
      </c>
      <c r="Y20" s="3"/>
      <c r="Z20" s="20">
        <f t="shared" si="3"/>
        <v>0</v>
      </c>
    </row>
    <row r="21" spans="1:26" ht="15" customHeight="1" x14ac:dyDescent="0.3">
      <c r="A21" s="10"/>
      <c r="B21" s="11"/>
      <c r="C21" s="10"/>
      <c r="D21" s="4"/>
      <c r="E21" s="4"/>
      <c r="F21" s="9"/>
      <c r="G21" s="4"/>
      <c r="H21" s="4"/>
      <c r="I21" s="4"/>
      <c r="J21" s="9"/>
      <c r="K21" s="4"/>
      <c r="L21" s="4"/>
      <c r="M21" s="4"/>
      <c r="N21" s="9"/>
      <c r="P21" s="4"/>
      <c r="Q21" s="4"/>
      <c r="R21" s="9"/>
      <c r="S21" s="4"/>
      <c r="T21" s="4"/>
      <c r="U21" s="4"/>
      <c r="V21" s="9"/>
      <c r="W21" s="4"/>
      <c r="X21" s="4"/>
      <c r="Y21" s="4"/>
      <c r="Z21" s="9"/>
    </row>
    <row r="22" spans="1:26" s="63" customFormat="1" ht="15" customHeight="1" collapsed="1" x14ac:dyDescent="0.3">
      <c r="A22" s="11"/>
      <c r="B22" s="28" t="s">
        <v>288</v>
      </c>
      <c r="C22" s="11"/>
      <c r="D22" s="5">
        <f>SUM(OSRRefD16x_0)</f>
        <v>428711.98</v>
      </c>
      <c r="E22" s="5"/>
      <c r="F22" s="13">
        <f>IF(D$12=0,0,D22/D$12)</f>
        <v>0.25861249808572079</v>
      </c>
      <c r="G22" s="5"/>
      <c r="H22" s="5">
        <f>SUM(OSRRefH16x_0)</f>
        <v>419319</v>
      </c>
      <c r="I22" s="5"/>
      <c r="J22" s="13">
        <f>IF(H$12=0,0,H22/H$12)</f>
        <v>0.286739530173301</v>
      </c>
      <c r="K22" s="5"/>
      <c r="L22" s="5">
        <f>+D22-H22</f>
        <v>9392.9799999999814</v>
      </c>
      <c r="M22" s="5"/>
      <c r="N22" s="13">
        <f>IF(H22=0,0,L22/H22)</f>
        <v>2.2400559001619247E-2</v>
      </c>
      <c r="O22" s="11"/>
      <c r="P22" s="5">
        <f>SUM(OSRRefP16x_0)</f>
        <v>2660935.5300000003</v>
      </c>
      <c r="Q22" s="5"/>
      <c r="R22" s="13">
        <f>IF(P$12=0,0,P22/P$12)</f>
        <v>0.25850658205714488</v>
      </c>
      <c r="S22" s="5"/>
      <c r="T22" s="5">
        <f>SUM(OSRRefT16x_0)</f>
        <v>2486160</v>
      </c>
      <c r="U22" s="5"/>
      <c r="V22" s="13">
        <f>IF(T$12=0,0,T22/T$12)</f>
        <v>0.28919281777814171</v>
      </c>
      <c r="W22" s="5"/>
      <c r="X22" s="5">
        <f>+P22-T22</f>
        <v>174775.53000000026</v>
      </c>
      <c r="Y22" s="5"/>
      <c r="Z22" s="13">
        <f>IF(T22=0,0,X22/T22)</f>
        <v>7.0299389419828273E-2</v>
      </c>
    </row>
    <row r="23" spans="1:26" s="70" customFormat="1" ht="15" hidden="1" customHeight="1" outlineLevel="1" x14ac:dyDescent="0.3">
      <c r="A23" s="42"/>
      <c r="B23" s="12" t="str">
        <f>CONCATENATE("          ","5000"," - ","PURCHASES @ COST")</f>
        <v xml:space="preserve">          5000 - PURCHASES @ COST</v>
      </c>
      <c r="C23" s="12"/>
      <c r="D23" s="3"/>
      <c r="E23" s="3"/>
      <c r="F23" s="20">
        <f>IF(D$12=0,0,D23/D$12)</f>
        <v>0</v>
      </c>
      <c r="G23" s="3"/>
      <c r="H23" s="3">
        <v>419319</v>
      </c>
      <c r="I23" s="3"/>
      <c r="J23" s="20">
        <f>IF(H$12=0,0,H23/H$12)</f>
        <v>0.286739530173301</v>
      </c>
      <c r="K23" s="3"/>
      <c r="L23" s="3">
        <f>+D23-H23</f>
        <v>-419319</v>
      </c>
      <c r="M23" s="3"/>
      <c r="N23" s="20">
        <f>IF(H23=0,0,L23/H23)</f>
        <v>-1</v>
      </c>
      <c r="O23" s="12"/>
      <c r="P23" s="3"/>
      <c r="Q23" s="3"/>
      <c r="R23" s="20">
        <f>IF(P$12=0,0,P23/P$12)</f>
        <v>0</v>
      </c>
      <c r="S23" s="3"/>
      <c r="T23" s="3">
        <v>2486160</v>
      </c>
      <c r="U23" s="3"/>
      <c r="V23" s="20">
        <f>IF(T$12=0,0,T23/T$12)</f>
        <v>0.28919281777814171</v>
      </c>
      <c r="W23" s="3"/>
      <c r="X23" s="3">
        <f>+P23-T23</f>
        <v>-2486160</v>
      </c>
      <c r="Y23" s="3"/>
      <c r="Z23" s="20">
        <f>IF(T23=0,0,X23/T23)</f>
        <v>-1</v>
      </c>
    </row>
    <row r="24" spans="1:26" s="70" customFormat="1" ht="15" hidden="1" customHeight="1" outlineLevel="1" x14ac:dyDescent="0.3">
      <c r="A24" s="42"/>
      <c r="B24" s="12" t="str">
        <f>CONCATENATE("          ","5053"," - ","PURCHASES @ COST-FOOD")</f>
        <v xml:space="preserve">          5053 - PURCHASES @ COST-FOOD</v>
      </c>
      <c r="C24" s="12"/>
      <c r="D24" s="3">
        <v>393383.23</v>
      </c>
      <c r="E24" s="3"/>
      <c r="F24" s="20">
        <f>IF(D$12=0,0,D24/D$12)</f>
        <v>0.2373010892192228</v>
      </c>
      <c r="G24" s="3"/>
      <c r="H24" s="3"/>
      <c r="I24" s="3"/>
      <c r="J24" s="20">
        <f>IF(H$12=0,0,H24/H$12)</f>
        <v>0</v>
      </c>
      <c r="K24" s="3"/>
      <c r="L24" s="3">
        <f>+D24-H24</f>
        <v>393383.23</v>
      </c>
      <c r="M24" s="3"/>
      <c r="N24" s="20">
        <f>IF(H24=0,0,L24/H24)</f>
        <v>0</v>
      </c>
      <c r="O24" s="12"/>
      <c r="P24" s="3">
        <v>2655642.35</v>
      </c>
      <c r="Q24" s="3"/>
      <c r="R24" s="20">
        <f>IF(P$12=0,0,P24/P$12)</f>
        <v>0.25799235619387739</v>
      </c>
      <c r="S24" s="3"/>
      <c r="T24" s="3"/>
      <c r="U24" s="3"/>
      <c r="V24" s="20">
        <f>IF(T$12=0,0,T24/T$12)</f>
        <v>0</v>
      </c>
      <c r="W24" s="3"/>
      <c r="X24" s="3">
        <f>+P24-T24</f>
        <v>2655642.35</v>
      </c>
      <c r="Y24" s="3"/>
      <c r="Z24" s="20">
        <f>IF(T24=0,0,X24/T24)</f>
        <v>0</v>
      </c>
    </row>
    <row r="25" spans="1:26" s="70" customFormat="1" ht="15" hidden="1" customHeight="1" outlineLevel="1" x14ac:dyDescent="0.3">
      <c r="A25" s="42"/>
      <c r="B25" s="12" t="str">
        <f>CONCATENATE("          ","5059"," - ","PURCHASES @ COST-FOOD")</f>
        <v xml:space="preserve">          5059 - PURCHASES @ COST-FOOD</v>
      </c>
      <c r="C25" s="12"/>
      <c r="D25" s="3">
        <v>35328.75</v>
      </c>
      <c r="E25" s="3"/>
      <c r="F25" s="20">
        <f>IF(D$12=0,0,D25/D$12)</f>
        <v>2.1311408866497988E-2</v>
      </c>
      <c r="G25" s="3"/>
      <c r="H25" s="3"/>
      <c r="I25" s="3"/>
      <c r="J25" s="20">
        <f>IF(H$12=0,0,H25/H$12)</f>
        <v>0</v>
      </c>
      <c r="K25" s="3"/>
      <c r="L25" s="3">
        <f>+D25-H25</f>
        <v>35328.75</v>
      </c>
      <c r="M25" s="3"/>
      <c r="N25" s="20">
        <f>IF(H25=0,0,L25/H25)</f>
        <v>0</v>
      </c>
      <c r="O25" s="12"/>
      <c r="P25" s="3">
        <v>5293.18</v>
      </c>
      <c r="Q25" s="3"/>
      <c r="R25" s="20">
        <f>IF(P$12=0,0,P25/P$12)</f>
        <v>5.1422586326743431E-4</v>
      </c>
      <c r="S25" s="3"/>
      <c r="T25" s="3"/>
      <c r="U25" s="3"/>
      <c r="V25" s="20">
        <f>IF(T$12=0,0,T25/T$12)</f>
        <v>0</v>
      </c>
      <c r="W25" s="3"/>
      <c r="X25" s="3">
        <f>+P25-T25</f>
        <v>5293.18</v>
      </c>
      <c r="Y25" s="3"/>
      <c r="Z25" s="20">
        <f>IF(T25=0,0,X25/T25)</f>
        <v>0</v>
      </c>
    </row>
    <row r="26" spans="1:26" ht="15" customHeight="1" x14ac:dyDescent="0.3">
      <c r="A26" s="10"/>
      <c r="B26" s="11"/>
      <c r="C26" s="11"/>
      <c r="D26" s="4"/>
      <c r="E26" s="4"/>
      <c r="F26" s="9"/>
      <c r="G26" s="4"/>
      <c r="H26" s="4"/>
      <c r="I26" s="4"/>
      <c r="J26" s="9"/>
      <c r="K26" s="4"/>
      <c r="L26" s="4"/>
      <c r="M26" s="4"/>
      <c r="N26" s="9"/>
      <c r="O26" s="11"/>
      <c r="P26" s="4"/>
      <c r="Q26" s="4"/>
      <c r="R26" s="9"/>
      <c r="S26" s="4"/>
      <c r="T26" s="4"/>
      <c r="U26" s="4"/>
      <c r="V26" s="9"/>
      <c r="W26" s="4"/>
      <c r="X26" s="4"/>
      <c r="Y26" s="4"/>
      <c r="Z26" s="9"/>
    </row>
    <row r="27" spans="1:26" s="63" customFormat="1" ht="15" customHeight="1" x14ac:dyDescent="0.3">
      <c r="A27" s="11"/>
      <c r="B27" s="27" t="s">
        <v>289</v>
      </c>
      <c r="C27" s="27"/>
      <c r="D27" s="21">
        <f>D12-D22</f>
        <v>1229026.8499999999</v>
      </c>
      <c r="E27" s="15"/>
      <c r="F27" s="23">
        <f>IF(D$12=0,0,D27/D$12)</f>
        <v>0.74138750191427916</v>
      </c>
      <c r="G27" s="15"/>
      <c r="H27" s="21">
        <f>H12-H22</f>
        <v>1043050</v>
      </c>
      <c r="I27" s="15"/>
      <c r="J27" s="23">
        <f>IF(H$12=0,0,H27/H$12)</f>
        <v>0.713260469826699</v>
      </c>
      <c r="K27" s="16"/>
      <c r="L27" s="21">
        <f>+D27-H27</f>
        <v>185976.84999999986</v>
      </c>
      <c r="M27" s="16"/>
      <c r="N27" s="23">
        <f>IF(H27=0,0,L27/H27)</f>
        <v>0.17830099228224905</v>
      </c>
      <c r="O27" s="28"/>
      <c r="P27" s="21">
        <f>P12-P22</f>
        <v>7632556.8400000026</v>
      </c>
      <c r="Q27" s="15"/>
      <c r="R27" s="23">
        <f>IF(P$12=0,0,P27/P$12)</f>
        <v>0.74149341794285517</v>
      </c>
      <c r="S27" s="15"/>
      <c r="T27" s="21">
        <f>T12-T22</f>
        <v>6110734</v>
      </c>
      <c r="U27" s="15"/>
      <c r="V27" s="23">
        <f>IF(T$12=0,0,T27/T$12)</f>
        <v>0.71080718222185824</v>
      </c>
      <c r="W27" s="16"/>
      <c r="X27" s="21">
        <f>+P27-T27</f>
        <v>1521822.8400000026</v>
      </c>
      <c r="Y27" s="16"/>
      <c r="Z27" s="23">
        <f>IF(T27=0,0,X27/T27)</f>
        <v>0.24904092372536632</v>
      </c>
    </row>
    <row r="28" spans="1:26" ht="15" customHeight="1" x14ac:dyDescent="0.3">
      <c r="A28" s="10"/>
      <c r="B28" s="11"/>
      <c r="C28" s="10"/>
      <c r="D28" s="2"/>
      <c r="E28" s="2"/>
      <c r="F28" s="6"/>
      <c r="G28" s="2"/>
      <c r="H28" s="2"/>
      <c r="I28" s="2"/>
      <c r="J28" s="6"/>
      <c r="K28" s="2"/>
      <c r="L28" s="2"/>
      <c r="M28" s="2"/>
      <c r="N28" s="6"/>
      <c r="O28" s="35"/>
      <c r="P28" s="2"/>
      <c r="Q28" s="2"/>
      <c r="R28" s="6"/>
      <c r="S28" s="2"/>
      <c r="T28" s="2"/>
      <c r="U28" s="2"/>
      <c r="V28" s="6"/>
      <c r="W28" s="2"/>
      <c r="X28" s="2"/>
      <c r="Y28" s="2"/>
      <c r="Z28" s="6"/>
    </row>
    <row r="29" spans="1:26" s="63" customFormat="1" ht="15" customHeight="1" x14ac:dyDescent="0.3">
      <c r="A29" s="11"/>
      <c r="B29" s="28" t="s">
        <v>290</v>
      </c>
      <c r="C29" s="11"/>
      <c r="D29" s="22" cm="1">
        <f t="array" ref="D29">SUM(OSRRefD22x_0)</f>
        <v>763908.55</v>
      </c>
      <c r="E29" s="22"/>
      <c r="F29" s="30">
        <f t="shared" ref="F29:F60" si="4">IF(D$12=0,0,D29/D$12)</f>
        <v>0.46081357097728121</v>
      </c>
      <c r="G29" s="22"/>
      <c r="H29" s="22" cm="1">
        <f t="array" ref="H29">SUM(OSRRefH22x_0)</f>
        <v>769299.55216079124</v>
      </c>
      <c r="I29" s="22"/>
      <c r="J29" s="30">
        <f t="shared" ref="J29:J60" si="5">IF(H$12=0,0,H29/H$12)</f>
        <v>0.52606390874040088</v>
      </c>
      <c r="K29" s="5"/>
      <c r="L29" s="22">
        <f t="shared" ref="L29:L60" si="6">+D29-H29</f>
        <v>-5391.0021607911913</v>
      </c>
      <c r="M29" s="5"/>
      <c r="N29" s="30">
        <f t="shared" ref="N29:N60" si="7">IF(H29=0,0,L29/H29)</f>
        <v>-7.007676197976544E-3</v>
      </c>
      <c r="O29" s="11"/>
      <c r="P29" s="22" cm="1">
        <f t="array" ref="P29">SUM(OSRRefP22x_0)</f>
        <v>5789980.9099999992</v>
      </c>
      <c r="Q29" s="22"/>
      <c r="R29" s="30">
        <f t="shared" ref="R29:R60" si="8">IF(P$12=0,0,P29/P$12)</f>
        <v>0.56248945468446465</v>
      </c>
      <c r="S29" s="22"/>
      <c r="T29" s="22" cm="1">
        <f t="array" ref="T29">SUM(OSRRefT22x_0)</f>
        <v>6271496.1656718263</v>
      </c>
      <c r="U29" s="22"/>
      <c r="V29" s="30">
        <f t="shared" ref="V29:V60" si="9">IF(T$12=0,0,T29/T$12)</f>
        <v>0.72950721105457694</v>
      </c>
      <c r="W29" s="5"/>
      <c r="X29" s="22">
        <f t="shared" ref="X29:X60" si="10">+P29-T29</f>
        <v>-481515.25567182712</v>
      </c>
      <c r="Y29" s="5"/>
      <c r="Z29" s="30">
        <f t="shared" ref="Z29:Z60" si="11">IF(T29=0,0,X29/T29)</f>
        <v>-7.6778370416215574E-2</v>
      </c>
    </row>
    <row r="30" spans="1:26" s="69" customFormat="1" ht="15" customHeight="1" outlineLevel="1" collapsed="1" x14ac:dyDescent="0.3">
      <c r="A30" s="25"/>
      <c r="B30" s="14" t="str">
        <f>CONCATENATE("     ","*Benefits                                         ")</f>
        <v xml:space="preserve">     *Benefits                                         </v>
      </c>
      <c r="C30" s="14"/>
      <c r="D30" s="2">
        <f>SUM(OSRRefD22_0x_0)</f>
        <v>117341.59000000003</v>
      </c>
      <c r="E30" s="2"/>
      <c r="F30" s="6">
        <f t="shared" si="4"/>
        <v>7.0784123455683329E-2</v>
      </c>
      <c r="G30" s="2"/>
      <c r="H30" s="2">
        <f>SUM(OSRRefH22_0x_0)</f>
        <v>139201.76016694517</v>
      </c>
      <c r="I30" s="2"/>
      <c r="J30" s="6">
        <f t="shared" si="5"/>
        <v>9.5189217062824211E-2</v>
      </c>
      <c r="K30" s="2"/>
      <c r="L30" s="2">
        <f t="shared" si="6"/>
        <v>-21860.170166945143</v>
      </c>
      <c r="M30" s="2"/>
      <c r="N30" s="6">
        <f t="shared" si="7"/>
        <v>-0.15703946660392917</v>
      </c>
      <c r="O30" s="14"/>
      <c r="P30" s="2">
        <f>SUM(OSRRefP22_0x_0)</f>
        <v>1049538.96</v>
      </c>
      <c r="Q30" s="2"/>
      <c r="R30" s="6">
        <f t="shared" si="8"/>
        <v>0.10196140651532826</v>
      </c>
      <c r="S30" s="2"/>
      <c r="T30" s="2">
        <f>SUM(OSRRefT22_0x_0)</f>
        <v>1273057.4224568279</v>
      </c>
      <c r="U30" s="2"/>
      <c r="V30" s="6">
        <f t="shared" si="9"/>
        <v>0.14808341506325748</v>
      </c>
      <c r="W30" s="2"/>
      <c r="X30" s="2">
        <f t="shared" si="10"/>
        <v>-223518.46245682798</v>
      </c>
      <c r="Y30" s="2"/>
      <c r="Z30" s="6">
        <f t="shared" si="11"/>
        <v>-0.17557610404208454</v>
      </c>
    </row>
    <row r="31" spans="1:26" s="70" customFormat="1" ht="15" hidden="1" customHeight="1" outlineLevel="2" x14ac:dyDescent="0.3">
      <c r="A31" s="26"/>
      <c r="B31" s="12" t="str">
        <f>CONCATENATE("          ","6111"," - ","F.I.C.A.")</f>
        <v xml:space="preserve">          6111 - F.I.C.A.</v>
      </c>
      <c r="C31" s="12"/>
      <c r="D31" s="7">
        <v>17729.97</v>
      </c>
      <c r="E31" s="3"/>
      <c r="F31" s="8">
        <f t="shared" si="4"/>
        <v>1.0695273392371465E-2</v>
      </c>
      <c r="G31" s="3"/>
      <c r="H31" s="7">
        <v>15323.0763720222</v>
      </c>
      <c r="I31" s="3"/>
      <c r="J31" s="8">
        <f t="shared" si="5"/>
        <v>1.0478255742580839E-2</v>
      </c>
      <c r="K31" s="3"/>
      <c r="L31" s="7">
        <f t="shared" si="6"/>
        <v>2406.8936279778009</v>
      </c>
      <c r="M31" s="3"/>
      <c r="N31" s="8">
        <f t="shared" si="7"/>
        <v>0.15707639703293869</v>
      </c>
      <c r="O31" s="12"/>
      <c r="P31" s="7">
        <v>146597.35</v>
      </c>
      <c r="Q31" s="3"/>
      <c r="R31" s="8">
        <f t="shared" si="8"/>
        <v>1.4241750489586263E-2</v>
      </c>
      <c r="S31" s="3"/>
      <c r="T31" s="7">
        <v>147770.95898613599</v>
      </c>
      <c r="U31" s="3"/>
      <c r="V31" s="8">
        <f t="shared" si="9"/>
        <v>1.7188877632565436E-2</v>
      </c>
      <c r="W31" s="3"/>
      <c r="X31" s="7">
        <f t="shared" si="10"/>
        <v>-1173.6089861359796</v>
      </c>
      <c r="Y31" s="3"/>
      <c r="Z31" s="8">
        <f t="shared" si="11"/>
        <v>-7.9420814088787817E-3</v>
      </c>
    </row>
    <row r="32" spans="1:26" s="70" customFormat="1" ht="15" hidden="1" customHeight="1" outlineLevel="2" x14ac:dyDescent="0.3">
      <c r="A32" s="26"/>
      <c r="B32" s="12" t="str">
        <f>CONCATENATE("          ","6112"," - ","COMPENSATION INSURANCE")</f>
        <v xml:space="preserve">          6112 - COMPENSATION INSURANCE</v>
      </c>
      <c r="C32" s="12"/>
      <c r="D32" s="7">
        <v>13540.5</v>
      </c>
      <c r="E32" s="3"/>
      <c r="F32" s="8">
        <f t="shared" si="4"/>
        <v>8.1680538302888166E-3</v>
      </c>
      <c r="G32" s="3"/>
      <c r="H32" s="7">
        <v>14806.7264459492</v>
      </c>
      <c r="I32" s="3"/>
      <c r="J32" s="8">
        <f t="shared" si="5"/>
        <v>1.0125164336736624E-2</v>
      </c>
      <c r="K32" s="3"/>
      <c r="L32" s="7">
        <f t="shared" si="6"/>
        <v>-1266.2264459491998</v>
      </c>
      <c r="M32" s="3"/>
      <c r="N32" s="8">
        <f t="shared" si="7"/>
        <v>-8.5516974367795665E-2</v>
      </c>
      <c r="O32" s="12"/>
      <c r="P32" s="7">
        <v>88159.66</v>
      </c>
      <c r="Q32" s="3"/>
      <c r="R32" s="8">
        <f t="shared" si="8"/>
        <v>8.564601481314351E-3</v>
      </c>
      <c r="S32" s="3"/>
      <c r="T32" s="7">
        <v>118451.19331548001</v>
      </c>
      <c r="U32" s="3"/>
      <c r="V32" s="8">
        <f t="shared" si="9"/>
        <v>1.3778370806419157E-2</v>
      </c>
      <c r="W32" s="3"/>
      <c r="X32" s="7">
        <f t="shared" si="10"/>
        <v>-30291.533315480003</v>
      </c>
      <c r="Y32" s="3"/>
      <c r="Z32" s="8">
        <f t="shared" si="11"/>
        <v>-0.2557300814589708</v>
      </c>
    </row>
    <row r="33" spans="1:26" s="70" customFormat="1" ht="15" hidden="1" customHeight="1" outlineLevel="2" x14ac:dyDescent="0.3">
      <c r="A33" s="26"/>
      <c r="B33" s="12" t="str">
        <f>CONCATENATE("          ","6113"," - ","GROUP INSURANCE")</f>
        <v xml:space="preserve">          6113 - GROUP INSURANCE</v>
      </c>
      <c r="C33" s="12"/>
      <c r="D33" s="7">
        <v>52740.55</v>
      </c>
      <c r="E33" s="3"/>
      <c r="F33" s="8">
        <f t="shared" si="4"/>
        <v>3.1814752146452407E-2</v>
      </c>
      <c r="G33" s="3"/>
      <c r="H33" s="7">
        <v>75943.399999999994</v>
      </c>
      <c r="I33" s="3"/>
      <c r="J33" s="8">
        <f t="shared" si="5"/>
        <v>5.1931762776699995E-2</v>
      </c>
      <c r="K33" s="3"/>
      <c r="L33" s="7">
        <f t="shared" si="6"/>
        <v>-23202.849999999991</v>
      </c>
      <c r="M33" s="3"/>
      <c r="N33" s="8">
        <f t="shared" si="7"/>
        <v>-0.30552819599859887</v>
      </c>
      <c r="O33" s="12"/>
      <c r="P33" s="7">
        <v>495559.01</v>
      </c>
      <c r="Q33" s="3"/>
      <c r="R33" s="8">
        <f t="shared" si="8"/>
        <v>4.8142942374377051E-2</v>
      </c>
      <c r="S33" s="3"/>
      <c r="T33" s="7">
        <v>714524.042307692</v>
      </c>
      <c r="U33" s="3"/>
      <c r="V33" s="8">
        <f t="shared" si="9"/>
        <v>8.311420872558066E-2</v>
      </c>
      <c r="W33" s="3"/>
      <c r="X33" s="7">
        <f t="shared" si="10"/>
        <v>-218965.03230769199</v>
      </c>
      <c r="Y33" s="3"/>
      <c r="Z33" s="8">
        <f t="shared" si="11"/>
        <v>-0.30644879576130502</v>
      </c>
    </row>
    <row r="34" spans="1:26" s="70" customFormat="1" ht="15" hidden="1" customHeight="1" outlineLevel="2" x14ac:dyDescent="0.3">
      <c r="A34" s="26"/>
      <c r="B34" s="12" t="str">
        <f>CONCATENATE("          ","6114"," - ","STATE UNEMPLOYMENT INSURANCE")</f>
        <v xml:space="preserve">          6114 - STATE UNEMPLOYMENT INSURANCE</v>
      </c>
      <c r="C34" s="12"/>
      <c r="D34" s="7">
        <v>1008.02</v>
      </c>
      <c r="E34" s="3"/>
      <c r="F34" s="8">
        <f t="shared" si="4"/>
        <v>6.0806924574481982E-4</v>
      </c>
      <c r="G34" s="3"/>
      <c r="H34" s="7">
        <v>820.42547589692299</v>
      </c>
      <c r="I34" s="3"/>
      <c r="J34" s="8">
        <f t="shared" si="5"/>
        <v>5.6102493686403571E-4</v>
      </c>
      <c r="K34" s="3"/>
      <c r="L34" s="7">
        <f t="shared" si="6"/>
        <v>187.59452410307699</v>
      </c>
      <c r="M34" s="3"/>
      <c r="N34" s="8">
        <f t="shared" si="7"/>
        <v>0.22865516687910126</v>
      </c>
      <c r="O34" s="12"/>
      <c r="P34" s="7">
        <v>6649.05</v>
      </c>
      <c r="Q34" s="3"/>
      <c r="R34" s="8">
        <f t="shared" si="8"/>
        <v>6.4594694987858605E-4</v>
      </c>
      <c r="S34" s="3"/>
      <c r="T34" s="7">
        <v>6563.2587325200002</v>
      </c>
      <c r="U34" s="3"/>
      <c r="V34" s="8">
        <f t="shared" si="9"/>
        <v>7.6344534811293471E-4</v>
      </c>
      <c r="W34" s="3"/>
      <c r="X34" s="7">
        <f t="shared" si="10"/>
        <v>85.791267479999988</v>
      </c>
      <c r="Y34" s="3"/>
      <c r="Z34" s="8">
        <f t="shared" si="11"/>
        <v>1.3071443771508906E-2</v>
      </c>
    </row>
    <row r="35" spans="1:26" s="70" customFormat="1" ht="15" hidden="1" customHeight="1" outlineLevel="2" x14ac:dyDescent="0.3">
      <c r="A35" s="26"/>
      <c r="B35" s="12" t="str">
        <f>CONCATENATE("          ","6115"," - ","P.E.R.S.")</f>
        <v xml:space="preserve">          6115 - P.E.R.S.</v>
      </c>
      <c r="C35" s="12"/>
      <c r="D35" s="7">
        <v>7151.07</v>
      </c>
      <c r="E35" s="3"/>
      <c r="F35" s="8">
        <f t="shared" si="4"/>
        <v>4.3137494704156747E-3</v>
      </c>
      <c r="G35" s="3"/>
      <c r="H35" s="7">
        <v>6656.33067076923</v>
      </c>
      <c r="I35" s="3"/>
      <c r="J35" s="8">
        <f t="shared" si="5"/>
        <v>4.5517449226352789E-3</v>
      </c>
      <c r="K35" s="3"/>
      <c r="L35" s="7">
        <f t="shared" si="6"/>
        <v>494.73932923076973</v>
      </c>
      <c r="M35" s="3"/>
      <c r="N35" s="8">
        <f t="shared" si="7"/>
        <v>7.4326134577925917E-2</v>
      </c>
      <c r="O35" s="12"/>
      <c r="P35" s="7">
        <v>67935.53</v>
      </c>
      <c r="Q35" s="3"/>
      <c r="R35" s="8">
        <f t="shared" si="8"/>
        <v>6.5998523686669796E-3</v>
      </c>
      <c r="S35" s="3"/>
      <c r="T35" s="7">
        <v>61808.2111800001</v>
      </c>
      <c r="U35" s="3"/>
      <c r="V35" s="8">
        <f t="shared" si="9"/>
        <v>7.1895979152470767E-3</v>
      </c>
      <c r="W35" s="3"/>
      <c r="X35" s="7">
        <f t="shared" si="10"/>
        <v>6127.3188199998986</v>
      </c>
      <c r="Y35" s="3"/>
      <c r="Z35" s="8">
        <f t="shared" si="11"/>
        <v>9.9134382034705704E-2</v>
      </c>
    </row>
    <row r="36" spans="1:26" s="70" customFormat="1" ht="15" hidden="1" customHeight="1" outlineLevel="2" x14ac:dyDescent="0.3">
      <c r="A36" s="26"/>
      <c r="B36" s="12" t="str">
        <f>CONCATENATE("          ","6116"," - ","EDUCATIONAL BENEFITS")</f>
        <v xml:space="preserve">          6116 - EDUCATIONAL BENEFITS</v>
      </c>
      <c r="C36" s="12"/>
      <c r="D36" s="7"/>
      <c r="E36" s="3"/>
      <c r="F36" s="8">
        <f t="shared" si="4"/>
        <v>0</v>
      </c>
      <c r="G36" s="3"/>
      <c r="H36" s="7">
        <v>0</v>
      </c>
      <c r="I36" s="3"/>
      <c r="J36" s="8">
        <f t="shared" si="5"/>
        <v>0</v>
      </c>
      <c r="K36" s="3"/>
      <c r="L36" s="7">
        <f t="shared" si="6"/>
        <v>0</v>
      </c>
      <c r="M36" s="3"/>
      <c r="N36" s="8">
        <f t="shared" si="7"/>
        <v>0</v>
      </c>
      <c r="O36" s="12"/>
      <c r="P36" s="7"/>
      <c r="Q36" s="3"/>
      <c r="R36" s="8">
        <f t="shared" si="8"/>
        <v>0</v>
      </c>
      <c r="S36" s="3"/>
      <c r="T36" s="7">
        <v>0</v>
      </c>
      <c r="U36" s="3"/>
      <c r="V36" s="8">
        <f t="shared" si="9"/>
        <v>0</v>
      </c>
      <c r="W36" s="3"/>
      <c r="X36" s="7">
        <f t="shared" si="10"/>
        <v>0</v>
      </c>
      <c r="Y36" s="3"/>
      <c r="Z36" s="8">
        <f t="shared" si="11"/>
        <v>0</v>
      </c>
    </row>
    <row r="37" spans="1:26" s="70" customFormat="1" ht="15" hidden="1" customHeight="1" outlineLevel="2" x14ac:dyDescent="0.3">
      <c r="A37" s="26"/>
      <c r="B37" s="12" t="str">
        <f>CONCATENATE("          ","6117"," - ","RETIREMENT STAFF HOURLY")</f>
        <v xml:space="preserve">          6117 - RETIREMENT STAFF HOURLY</v>
      </c>
      <c r="C37" s="12"/>
      <c r="D37" s="7">
        <v>1704.21</v>
      </c>
      <c r="E37" s="3"/>
      <c r="F37" s="8">
        <f t="shared" si="4"/>
        <v>1.0280328657078029E-3</v>
      </c>
      <c r="G37" s="3"/>
      <c r="H37" s="7"/>
      <c r="I37" s="3"/>
      <c r="J37" s="8">
        <f t="shared" si="5"/>
        <v>0</v>
      </c>
      <c r="K37" s="3"/>
      <c r="L37" s="7">
        <f t="shared" si="6"/>
        <v>1704.21</v>
      </c>
      <c r="M37" s="3"/>
      <c r="N37" s="8">
        <f t="shared" si="7"/>
        <v>0</v>
      </c>
      <c r="O37" s="12"/>
      <c r="P37" s="7">
        <v>15559.71</v>
      </c>
      <c r="Q37" s="3"/>
      <c r="R37" s="8">
        <f t="shared" si="8"/>
        <v>1.5116065025071754E-3</v>
      </c>
      <c r="S37" s="3"/>
      <c r="T37" s="7"/>
      <c r="U37" s="3"/>
      <c r="V37" s="8">
        <f t="shared" si="9"/>
        <v>0</v>
      </c>
      <c r="W37" s="3"/>
      <c r="X37" s="7">
        <f t="shared" si="10"/>
        <v>15559.71</v>
      </c>
      <c r="Y37" s="3"/>
      <c r="Z37" s="8">
        <f t="shared" si="11"/>
        <v>0</v>
      </c>
    </row>
    <row r="38" spans="1:26" s="70" customFormat="1" ht="15" hidden="1" customHeight="1" outlineLevel="2" x14ac:dyDescent="0.3">
      <c r="A38" s="26"/>
      <c r="B38" s="12" t="str">
        <f>CONCATENATE("          ","6118"," - ","VACATION")</f>
        <v xml:space="preserve">          6118 - VACATION</v>
      </c>
      <c r="C38" s="12"/>
      <c r="D38" s="7">
        <v>9883.7999999999993</v>
      </c>
      <c r="E38" s="3"/>
      <c r="F38" s="8">
        <f t="shared" si="4"/>
        <v>5.9622178241430226E-3</v>
      </c>
      <c r="G38" s="3"/>
      <c r="H38" s="7">
        <v>8104.6757021538397</v>
      </c>
      <c r="I38" s="3"/>
      <c r="J38" s="8">
        <f t="shared" si="5"/>
        <v>5.5421550252732652E-3</v>
      </c>
      <c r="K38" s="3"/>
      <c r="L38" s="7">
        <f t="shared" si="6"/>
        <v>1779.1242978461596</v>
      </c>
      <c r="M38" s="3"/>
      <c r="N38" s="8">
        <f t="shared" si="7"/>
        <v>0.21951825874702827</v>
      </c>
      <c r="O38" s="12"/>
      <c r="P38" s="7">
        <v>102482.29</v>
      </c>
      <c r="Q38" s="3"/>
      <c r="R38" s="8">
        <f t="shared" si="8"/>
        <v>9.9560271981821036E-3</v>
      </c>
      <c r="S38" s="3"/>
      <c r="T38" s="7">
        <v>77790.100716000001</v>
      </c>
      <c r="U38" s="3"/>
      <c r="V38" s="8">
        <f t="shared" si="9"/>
        <v>9.0486285763207042E-3</v>
      </c>
      <c r="W38" s="3"/>
      <c r="X38" s="7">
        <f t="shared" si="10"/>
        <v>24692.189283999993</v>
      </c>
      <c r="Y38" s="3"/>
      <c r="Z38" s="8">
        <f t="shared" si="11"/>
        <v>0.31742071364771046</v>
      </c>
    </row>
    <row r="39" spans="1:26" s="70" customFormat="1" ht="15" hidden="1" customHeight="1" outlineLevel="2" x14ac:dyDescent="0.3">
      <c r="A39" s="26"/>
      <c r="B39" s="12" t="str">
        <f>CONCATENATE("          ","6119"," - ","SICK LEAVE")</f>
        <v xml:space="preserve">          6119 - SICK LEAVE</v>
      </c>
      <c r="C39" s="12"/>
      <c r="D39" s="7">
        <v>7534.31</v>
      </c>
      <c r="E39" s="3"/>
      <c r="F39" s="8">
        <f t="shared" si="4"/>
        <v>4.5449318455066902E-3</v>
      </c>
      <c r="G39" s="3"/>
      <c r="H39" s="7">
        <v>11226.125500153799</v>
      </c>
      <c r="I39" s="3"/>
      <c r="J39" s="8">
        <f t="shared" si="5"/>
        <v>7.6766708677179288E-3</v>
      </c>
      <c r="K39" s="3"/>
      <c r="L39" s="7">
        <f t="shared" si="6"/>
        <v>-3691.8155001537989</v>
      </c>
      <c r="M39" s="3"/>
      <c r="N39" s="8">
        <f t="shared" si="7"/>
        <v>-0.32885927563371892</v>
      </c>
      <c r="O39" s="12"/>
      <c r="P39" s="7">
        <v>82481.429999999993</v>
      </c>
      <c r="Q39" s="3"/>
      <c r="R39" s="8">
        <f t="shared" si="8"/>
        <v>8.0129684887501381E-3</v>
      </c>
      <c r="S39" s="3"/>
      <c r="T39" s="7">
        <v>89924.657219000001</v>
      </c>
      <c r="U39" s="3"/>
      <c r="V39" s="8">
        <f t="shared" si="9"/>
        <v>1.0460133301515641E-2</v>
      </c>
      <c r="W39" s="3"/>
      <c r="X39" s="7">
        <f t="shared" si="10"/>
        <v>-7443.2272190000076</v>
      </c>
      <c r="Y39" s="3"/>
      <c r="Z39" s="8">
        <f t="shared" si="11"/>
        <v>-8.2771816420417144E-2</v>
      </c>
    </row>
    <row r="40" spans="1:26" s="70" customFormat="1" ht="15" hidden="1" customHeight="1" outlineLevel="2" x14ac:dyDescent="0.3">
      <c r="A40" s="26"/>
      <c r="B40" s="12" t="str">
        <f>CONCATENATE("          ","6156"," - ","EMPLOYEE MEALS")</f>
        <v xml:space="preserve">          6156 - EMPLOYEE MEALS</v>
      </c>
      <c r="C40" s="12"/>
      <c r="D40" s="7">
        <v>6049.16</v>
      </c>
      <c r="E40" s="3"/>
      <c r="F40" s="8">
        <f t="shared" si="4"/>
        <v>3.6490428350526125E-3</v>
      </c>
      <c r="G40" s="3"/>
      <c r="H40" s="7">
        <v>6321</v>
      </c>
      <c r="I40" s="3"/>
      <c r="J40" s="8">
        <f t="shared" si="5"/>
        <v>4.32243845431625E-3</v>
      </c>
      <c r="K40" s="3"/>
      <c r="L40" s="7">
        <f t="shared" si="6"/>
        <v>-271.84000000000015</v>
      </c>
      <c r="M40" s="3"/>
      <c r="N40" s="8">
        <f t="shared" si="7"/>
        <v>-4.30058535041924E-2</v>
      </c>
      <c r="O40" s="12"/>
      <c r="P40" s="7">
        <v>44114.93</v>
      </c>
      <c r="Q40" s="3"/>
      <c r="R40" s="8">
        <f t="shared" si="8"/>
        <v>4.2857106620656079E-3</v>
      </c>
      <c r="S40" s="3"/>
      <c r="T40" s="7">
        <v>56225</v>
      </c>
      <c r="U40" s="3"/>
      <c r="V40" s="8">
        <f t="shared" si="9"/>
        <v>6.540152757495905E-3</v>
      </c>
      <c r="W40" s="3"/>
      <c r="X40" s="7">
        <f t="shared" si="10"/>
        <v>-12110.07</v>
      </c>
      <c r="Y40" s="3"/>
      <c r="Z40" s="8">
        <f t="shared" si="11"/>
        <v>-0.21538586038239216</v>
      </c>
    </row>
    <row r="41" spans="1:26" s="69" customFormat="1" ht="15" customHeight="1" outlineLevel="1" collapsed="1" x14ac:dyDescent="0.3">
      <c r="A41" s="25"/>
      <c r="B41" s="14" t="str">
        <f>CONCATENATE("     ","*Payroll                                          ")</f>
        <v xml:space="preserve">     *Payroll                                          </v>
      </c>
      <c r="C41" s="14"/>
      <c r="D41" s="2">
        <f>SUM(OSRRefD22_1x_0)</f>
        <v>385919.92</v>
      </c>
      <c r="E41" s="2"/>
      <c r="F41" s="6">
        <f t="shared" si="4"/>
        <v>0.23279898679817979</v>
      </c>
      <c r="G41" s="2"/>
      <c r="H41" s="2">
        <f>SUM(OSRRefH22_1x_0)</f>
        <v>372626.79199384607</v>
      </c>
      <c r="I41" s="2"/>
      <c r="J41" s="6">
        <f t="shared" si="5"/>
        <v>0.25481037412161095</v>
      </c>
      <c r="K41" s="2"/>
      <c r="L41" s="2">
        <f t="shared" si="6"/>
        <v>13293.128006153915</v>
      </c>
      <c r="M41" s="2"/>
      <c r="N41" s="6">
        <f t="shared" si="7"/>
        <v>3.5674106885941394E-2</v>
      </c>
      <c r="O41" s="14"/>
      <c r="P41" s="2">
        <f>SUM(OSRRefP22_1x_0)</f>
        <v>2698755.5100000002</v>
      </c>
      <c r="Q41" s="2"/>
      <c r="R41" s="6">
        <f t="shared" si="8"/>
        <v>0.26218074614456621</v>
      </c>
      <c r="S41" s="2"/>
      <c r="T41" s="2">
        <f>SUM(OSRRefT22_1x_0)</f>
        <v>2967791.7432149989</v>
      </c>
      <c r="U41" s="2"/>
      <c r="V41" s="6">
        <f t="shared" si="9"/>
        <v>0.34521674260669016</v>
      </c>
      <c r="W41" s="2"/>
      <c r="X41" s="2">
        <f t="shared" si="10"/>
        <v>-269036.23321499862</v>
      </c>
      <c r="Y41" s="2"/>
      <c r="Z41" s="6">
        <f t="shared" si="11"/>
        <v>-9.0651991949931288E-2</v>
      </c>
    </row>
    <row r="42" spans="1:26" s="70" customFormat="1" ht="15" hidden="1" customHeight="1" outlineLevel="2" x14ac:dyDescent="0.3">
      <c r="A42" s="26"/>
      <c r="B42" s="12" t="str">
        <f>CONCATENATE("          ","6001"," - ","ADMINISTRATIVE SALARIES")</f>
        <v xml:space="preserve">          6001 - ADMINISTRATIVE SALARIES</v>
      </c>
      <c r="C42" s="12"/>
      <c r="D42" s="7">
        <v>20829.98</v>
      </c>
      <c r="E42" s="3"/>
      <c r="F42" s="8">
        <f t="shared" si="4"/>
        <v>1.2565296549155456E-2</v>
      </c>
      <c r="G42" s="3"/>
      <c r="H42" s="7">
        <v>10268.307692307701</v>
      </c>
      <c r="I42" s="3"/>
      <c r="J42" s="8">
        <f t="shared" si="5"/>
        <v>7.0216940404970981E-3</v>
      </c>
      <c r="K42" s="3"/>
      <c r="L42" s="7">
        <f t="shared" si="6"/>
        <v>10561.672307692299</v>
      </c>
      <c r="M42" s="3"/>
      <c r="N42" s="8">
        <f t="shared" si="7"/>
        <v>1.0285699089056677</v>
      </c>
      <c r="O42" s="12"/>
      <c r="P42" s="7">
        <v>184873.72</v>
      </c>
      <c r="Q42" s="3"/>
      <c r="R42" s="8">
        <f t="shared" si="8"/>
        <v>1.7960252298705494E-2</v>
      </c>
      <c r="S42" s="3"/>
      <c r="T42" s="7">
        <v>100116</v>
      </c>
      <c r="U42" s="3"/>
      <c r="V42" s="8">
        <f t="shared" si="9"/>
        <v>1.1645601306704492E-2</v>
      </c>
      <c r="W42" s="3"/>
      <c r="X42" s="7">
        <f t="shared" si="10"/>
        <v>84757.72</v>
      </c>
      <c r="Y42" s="3"/>
      <c r="Z42" s="8">
        <f t="shared" si="11"/>
        <v>0.84659514962643334</v>
      </c>
    </row>
    <row r="43" spans="1:26" s="70" customFormat="1" ht="15" hidden="1" customHeight="1" outlineLevel="2" x14ac:dyDescent="0.3">
      <c r="A43" s="26"/>
      <c r="B43" s="12" t="str">
        <f>CONCATENATE("          ","6002"," - ","STAFF SALARIES")</f>
        <v xml:space="preserve">          6002 - STAFF SALARIES</v>
      </c>
      <c r="C43" s="12"/>
      <c r="D43" s="7">
        <v>61719.6</v>
      </c>
      <c r="E43" s="3"/>
      <c r="F43" s="8">
        <f t="shared" si="4"/>
        <v>3.7231196424348703E-2</v>
      </c>
      <c r="G43" s="3"/>
      <c r="H43" s="7">
        <v>62017.5431615384</v>
      </c>
      <c r="I43" s="3"/>
      <c r="J43" s="8">
        <f t="shared" si="5"/>
        <v>4.2408956399881563E-2</v>
      </c>
      <c r="K43" s="3"/>
      <c r="L43" s="7">
        <f t="shared" si="6"/>
        <v>-297.94316153840191</v>
      </c>
      <c r="M43" s="3"/>
      <c r="N43" s="8">
        <f t="shared" si="7"/>
        <v>-4.8041755017986295E-3</v>
      </c>
      <c r="O43" s="12"/>
      <c r="P43" s="7">
        <v>539653.57999999996</v>
      </c>
      <c r="Q43" s="3"/>
      <c r="R43" s="8">
        <f t="shared" si="8"/>
        <v>5.2426675087728247E-2</v>
      </c>
      <c r="S43" s="3"/>
      <c r="T43" s="7">
        <v>570526.13632499904</v>
      </c>
      <c r="U43" s="3"/>
      <c r="V43" s="8">
        <f t="shared" si="9"/>
        <v>6.6364216695587855E-2</v>
      </c>
      <c r="W43" s="3"/>
      <c r="X43" s="7">
        <f t="shared" si="10"/>
        <v>-30872.556324999081</v>
      </c>
      <c r="Y43" s="3"/>
      <c r="Z43" s="8">
        <f t="shared" si="11"/>
        <v>-5.4112431244363872E-2</v>
      </c>
    </row>
    <row r="44" spans="1:26" s="70" customFormat="1" ht="15" hidden="1" customHeight="1" outlineLevel="2" x14ac:dyDescent="0.3">
      <c r="A44" s="26"/>
      <c r="B44" s="12" t="str">
        <f>CONCATENATE("          ","6003"," - ","STAFF HOURLY-9 MONTH")</f>
        <v xml:space="preserve">          6003 - STAFF HOURLY-9 MONTH</v>
      </c>
      <c r="C44" s="12"/>
      <c r="D44" s="7"/>
      <c r="E44" s="3"/>
      <c r="F44" s="8">
        <f t="shared" si="4"/>
        <v>0</v>
      </c>
      <c r="G44" s="3"/>
      <c r="H44" s="7">
        <v>0</v>
      </c>
      <c r="I44" s="3"/>
      <c r="J44" s="8">
        <f t="shared" si="5"/>
        <v>0</v>
      </c>
      <c r="K44" s="3"/>
      <c r="L44" s="7">
        <f t="shared" si="6"/>
        <v>0</v>
      </c>
      <c r="M44" s="3"/>
      <c r="N44" s="8">
        <f t="shared" si="7"/>
        <v>0</v>
      </c>
      <c r="O44" s="12"/>
      <c r="P44" s="7"/>
      <c r="Q44" s="3"/>
      <c r="R44" s="8">
        <f t="shared" si="8"/>
        <v>0</v>
      </c>
      <c r="S44" s="3"/>
      <c r="T44" s="7">
        <v>0</v>
      </c>
      <c r="U44" s="3"/>
      <c r="V44" s="8">
        <f t="shared" si="9"/>
        <v>0</v>
      </c>
      <c r="W44" s="3"/>
      <c r="X44" s="7">
        <f t="shared" si="10"/>
        <v>0</v>
      </c>
      <c r="Y44" s="3"/>
      <c r="Z44" s="8">
        <f t="shared" si="11"/>
        <v>0</v>
      </c>
    </row>
    <row r="45" spans="1:26" s="70" customFormat="1" ht="15" hidden="1" customHeight="1" outlineLevel="2" x14ac:dyDescent="0.3">
      <c r="A45" s="26"/>
      <c r="B45" s="12" t="str">
        <f>CONCATENATE("          ","6004"," - ","STAFF HOURLY")</f>
        <v xml:space="preserve">          6004 - STAFF HOURLY</v>
      </c>
      <c r="C45" s="12"/>
      <c r="D45" s="7">
        <v>71880.73</v>
      </c>
      <c r="E45" s="3"/>
      <c r="F45" s="8">
        <f t="shared" si="4"/>
        <v>4.3360708393372194E-2</v>
      </c>
      <c r="G45" s="3"/>
      <c r="H45" s="7">
        <v>113402.75504</v>
      </c>
      <c r="I45" s="3"/>
      <c r="J45" s="8">
        <f t="shared" si="5"/>
        <v>7.7547291442857449E-2</v>
      </c>
      <c r="K45" s="3"/>
      <c r="L45" s="7">
        <f t="shared" si="6"/>
        <v>-41522.025040000008</v>
      </c>
      <c r="M45" s="3"/>
      <c r="N45" s="8">
        <f t="shared" si="7"/>
        <v>-0.36614652814523019</v>
      </c>
      <c r="O45" s="12"/>
      <c r="P45" s="7">
        <v>764615.91</v>
      </c>
      <c r="Q45" s="3"/>
      <c r="R45" s="8">
        <f t="shared" si="8"/>
        <v>7.4281486060886817E-2</v>
      </c>
      <c r="S45" s="3"/>
      <c r="T45" s="7">
        <v>1074631.8374399999</v>
      </c>
      <c r="U45" s="3"/>
      <c r="V45" s="8">
        <f t="shared" si="9"/>
        <v>0.12500233659272755</v>
      </c>
      <c r="W45" s="3"/>
      <c r="X45" s="7">
        <f t="shared" si="10"/>
        <v>-310015.92743999988</v>
      </c>
      <c r="Y45" s="3"/>
      <c r="Z45" s="8">
        <f t="shared" si="11"/>
        <v>-0.28848570890894443</v>
      </c>
    </row>
    <row r="46" spans="1:26" s="70" customFormat="1" ht="15" hidden="1" customHeight="1" outlineLevel="2" x14ac:dyDescent="0.3">
      <c r="A46" s="26"/>
      <c r="B46" s="12" t="str">
        <f>CONCATENATE("          ","6005"," - ","TEMPORARY WAGES-HOURLY")</f>
        <v xml:space="preserve">          6005 - TEMPORARY WAGES-HOURLY</v>
      </c>
      <c r="C46" s="12"/>
      <c r="D46" s="7">
        <v>40053.61</v>
      </c>
      <c r="E46" s="3"/>
      <c r="F46" s="8">
        <f t="shared" si="4"/>
        <v>2.4161592450603335E-2</v>
      </c>
      <c r="G46" s="3"/>
      <c r="H46" s="7">
        <v>38094.368649999997</v>
      </c>
      <c r="I46" s="3"/>
      <c r="J46" s="8">
        <f t="shared" si="5"/>
        <v>2.6049764902018571E-2</v>
      </c>
      <c r="K46" s="3"/>
      <c r="L46" s="7">
        <f t="shared" si="6"/>
        <v>1959.2413500000039</v>
      </c>
      <c r="M46" s="3"/>
      <c r="N46" s="8">
        <f t="shared" si="7"/>
        <v>5.1431259249915512E-2</v>
      </c>
      <c r="O46" s="12"/>
      <c r="P46" s="7">
        <v>426766.32</v>
      </c>
      <c r="Q46" s="3"/>
      <c r="R46" s="8">
        <f t="shared" si="8"/>
        <v>4.1459817976238503E-2</v>
      </c>
      <c r="S46" s="3"/>
      <c r="T46" s="7">
        <v>276433.43725000002</v>
      </c>
      <c r="U46" s="3"/>
      <c r="V46" s="8">
        <f t="shared" si="9"/>
        <v>3.2155036138633325E-2</v>
      </c>
      <c r="W46" s="3"/>
      <c r="X46" s="7">
        <f t="shared" si="10"/>
        <v>150332.88274999999</v>
      </c>
      <c r="Y46" s="3"/>
      <c r="Z46" s="8">
        <f t="shared" si="11"/>
        <v>0.5438303131688168</v>
      </c>
    </row>
    <row r="47" spans="1:26" s="70" customFormat="1" ht="15" hidden="1" customHeight="1" outlineLevel="2" x14ac:dyDescent="0.3">
      <c r="A47" s="26"/>
      <c r="B47" s="12" t="str">
        <f>CONCATENATE("          ","6006"," - ","TEMPORARY PART TIME")</f>
        <v xml:space="preserve">          6006 - TEMPORARY PART TIME</v>
      </c>
      <c r="C47" s="12"/>
      <c r="D47" s="7">
        <v>2919.2</v>
      </c>
      <c r="E47" s="3"/>
      <c r="F47" s="8">
        <f t="shared" si="4"/>
        <v>1.7609528999209122E-3</v>
      </c>
      <c r="G47" s="3"/>
      <c r="H47" s="7">
        <v>0</v>
      </c>
      <c r="I47" s="3"/>
      <c r="J47" s="8">
        <f t="shared" si="5"/>
        <v>0</v>
      </c>
      <c r="K47" s="3"/>
      <c r="L47" s="7">
        <f t="shared" si="6"/>
        <v>2919.2</v>
      </c>
      <c r="M47" s="3"/>
      <c r="N47" s="8">
        <f t="shared" si="7"/>
        <v>0</v>
      </c>
      <c r="O47" s="12"/>
      <c r="P47" s="7">
        <v>3563.8</v>
      </c>
      <c r="Q47" s="3"/>
      <c r="R47" s="8">
        <f t="shared" si="8"/>
        <v>3.4621874402768893E-4</v>
      </c>
      <c r="S47" s="3"/>
      <c r="T47" s="7">
        <v>0</v>
      </c>
      <c r="U47" s="3"/>
      <c r="V47" s="8">
        <f t="shared" si="9"/>
        <v>0</v>
      </c>
      <c r="W47" s="3"/>
      <c r="X47" s="7">
        <f t="shared" si="10"/>
        <v>3563.8</v>
      </c>
      <c r="Y47" s="3"/>
      <c r="Z47" s="8">
        <f t="shared" si="11"/>
        <v>0</v>
      </c>
    </row>
    <row r="48" spans="1:26" s="70" customFormat="1" ht="15" hidden="1" customHeight="1" outlineLevel="2" x14ac:dyDescent="0.3">
      <c r="A48" s="26"/>
      <c r="B48" s="12" t="str">
        <f>CONCATENATE("          ","6007"," - ","STUDENT HOURLY")</f>
        <v xml:space="preserve">          6007 - STUDENT HOURLY</v>
      </c>
      <c r="C48" s="12"/>
      <c r="D48" s="7">
        <v>153343</v>
      </c>
      <c r="E48" s="3"/>
      <c r="F48" s="8">
        <f t="shared" si="4"/>
        <v>9.2501301908938224E-2</v>
      </c>
      <c r="G48" s="3"/>
      <c r="H48" s="7">
        <v>1415.6956</v>
      </c>
      <c r="I48" s="3"/>
      <c r="J48" s="8">
        <f t="shared" si="5"/>
        <v>9.6808370527548114E-4</v>
      </c>
      <c r="K48" s="3"/>
      <c r="L48" s="7">
        <f t="shared" si="6"/>
        <v>151927.30439999999</v>
      </c>
      <c r="M48" s="3"/>
      <c r="N48" s="8">
        <f t="shared" si="7"/>
        <v>107.31636405453263</v>
      </c>
      <c r="O48" s="12"/>
      <c r="P48" s="7">
        <v>608887.53</v>
      </c>
      <c r="Q48" s="3"/>
      <c r="R48" s="8">
        <f t="shared" si="8"/>
        <v>5.9152667346854974E-2</v>
      </c>
      <c r="S48" s="3"/>
      <c r="T48" s="7">
        <v>58402.846799999999</v>
      </c>
      <c r="U48" s="3"/>
      <c r="V48" s="8">
        <f t="shared" si="9"/>
        <v>6.79348225068263E-3</v>
      </c>
      <c r="W48" s="3"/>
      <c r="X48" s="7">
        <f t="shared" si="10"/>
        <v>550484.68320000009</v>
      </c>
      <c r="Y48" s="3"/>
      <c r="Z48" s="8">
        <f t="shared" si="11"/>
        <v>9.4256481209748166</v>
      </c>
    </row>
    <row r="49" spans="1:26" s="70" customFormat="1" ht="15" hidden="1" customHeight="1" outlineLevel="2" x14ac:dyDescent="0.3">
      <c r="A49" s="26"/>
      <c r="B49" s="12" t="str">
        <f>CONCATENATE("          ","6008"," - ","STUDENT HOURLY-FICA EXEMPT")</f>
        <v xml:space="preserve">          6008 - STUDENT HOURLY-FICA EXEMPT</v>
      </c>
      <c r="C49" s="12"/>
      <c r="D49" s="7">
        <v>35173.800000000003</v>
      </c>
      <c r="E49" s="3"/>
      <c r="F49" s="8">
        <f t="shared" si="4"/>
        <v>2.1217938171840981E-2</v>
      </c>
      <c r="G49" s="3"/>
      <c r="H49" s="7">
        <v>147428.12185</v>
      </c>
      <c r="I49" s="3"/>
      <c r="J49" s="8">
        <f t="shared" si="5"/>
        <v>0.1008145836310808</v>
      </c>
      <c r="K49" s="3"/>
      <c r="L49" s="7">
        <f t="shared" si="6"/>
        <v>-112254.32184999999</v>
      </c>
      <c r="M49" s="3"/>
      <c r="N49" s="8">
        <f t="shared" si="7"/>
        <v>-0.76141729570571748</v>
      </c>
      <c r="O49" s="12"/>
      <c r="P49" s="7">
        <v>170394.65</v>
      </c>
      <c r="Q49" s="3"/>
      <c r="R49" s="8">
        <f t="shared" si="8"/>
        <v>1.6553628630124485E-2</v>
      </c>
      <c r="S49" s="3"/>
      <c r="T49" s="7">
        <v>887681.48540000001</v>
      </c>
      <c r="U49" s="3"/>
      <c r="V49" s="8">
        <f t="shared" si="9"/>
        <v>0.10325606962235431</v>
      </c>
      <c r="W49" s="3"/>
      <c r="X49" s="7">
        <f t="shared" si="10"/>
        <v>-717286.83539999998</v>
      </c>
      <c r="Y49" s="3"/>
      <c r="Z49" s="8">
        <f t="shared" si="11"/>
        <v>-0.80804528110303198</v>
      </c>
    </row>
    <row r="50" spans="1:26" s="70" customFormat="1" ht="15" hidden="1" customHeight="1" outlineLevel="2" x14ac:dyDescent="0.3">
      <c r="A50" s="26"/>
      <c r="B50" s="12" t="str">
        <f>CONCATENATE("          ","6009"," - ","TEMPORARY-SEASONAL")</f>
        <v xml:space="preserve">          6009 - TEMPORARY-SEASONAL</v>
      </c>
      <c r="C50" s="12"/>
      <c r="D50" s="7"/>
      <c r="E50" s="3"/>
      <c r="F50" s="8">
        <f t="shared" si="4"/>
        <v>0</v>
      </c>
      <c r="G50" s="3"/>
      <c r="H50" s="7">
        <v>0</v>
      </c>
      <c r="I50" s="3"/>
      <c r="J50" s="8">
        <f t="shared" si="5"/>
        <v>0</v>
      </c>
      <c r="K50" s="3"/>
      <c r="L50" s="7">
        <f t="shared" si="6"/>
        <v>0</v>
      </c>
      <c r="M50" s="3"/>
      <c r="N50" s="8">
        <f t="shared" si="7"/>
        <v>0</v>
      </c>
      <c r="O50" s="12"/>
      <c r="P50" s="7"/>
      <c r="Q50" s="3"/>
      <c r="R50" s="8">
        <f t="shared" si="8"/>
        <v>0</v>
      </c>
      <c r="S50" s="3"/>
      <c r="T50" s="7">
        <v>0</v>
      </c>
      <c r="U50" s="3"/>
      <c r="V50" s="8">
        <f t="shared" si="9"/>
        <v>0</v>
      </c>
      <c r="W50" s="3"/>
      <c r="X50" s="7">
        <f t="shared" si="10"/>
        <v>0</v>
      </c>
      <c r="Y50" s="3"/>
      <c r="Z50" s="8">
        <f t="shared" si="11"/>
        <v>0</v>
      </c>
    </row>
    <row r="51" spans="1:26" s="70" customFormat="1" ht="15" hidden="1" customHeight="1" outlineLevel="2" x14ac:dyDescent="0.3">
      <c r="A51" s="26"/>
      <c r="B51" s="12" t="str">
        <f>CONCATENATE("          ","6010"," - ","GRATUITY")</f>
        <v xml:space="preserve">          6010 - GRATUITY</v>
      </c>
      <c r="C51" s="12"/>
      <c r="D51" s="7"/>
      <c r="E51" s="3"/>
      <c r="F51" s="8">
        <f t="shared" si="4"/>
        <v>0</v>
      </c>
      <c r="G51" s="3"/>
      <c r="H51" s="7">
        <v>0</v>
      </c>
      <c r="I51" s="3"/>
      <c r="J51" s="8">
        <f t="shared" si="5"/>
        <v>0</v>
      </c>
      <c r="K51" s="3"/>
      <c r="L51" s="7">
        <f t="shared" si="6"/>
        <v>0</v>
      </c>
      <c r="M51" s="3"/>
      <c r="N51" s="8">
        <f t="shared" si="7"/>
        <v>0</v>
      </c>
      <c r="O51" s="12"/>
      <c r="P51" s="7"/>
      <c r="Q51" s="3"/>
      <c r="R51" s="8">
        <f t="shared" si="8"/>
        <v>0</v>
      </c>
      <c r="S51" s="3"/>
      <c r="T51" s="7">
        <v>0</v>
      </c>
      <c r="U51" s="3"/>
      <c r="V51" s="8">
        <f t="shared" si="9"/>
        <v>0</v>
      </c>
      <c r="W51" s="3"/>
      <c r="X51" s="7">
        <f t="shared" si="10"/>
        <v>0</v>
      </c>
      <c r="Y51" s="3"/>
      <c r="Z51" s="8">
        <f t="shared" si="11"/>
        <v>0</v>
      </c>
    </row>
    <row r="52" spans="1:26" s="69" customFormat="1" ht="15" customHeight="1" outlineLevel="1" collapsed="1" x14ac:dyDescent="0.3">
      <c r="A52" s="25"/>
      <c r="B52" s="14" t="str">
        <f>CONCATENATE("     ","Advertising/Promo                                 ")</f>
        <v xml:space="preserve">     Advertising/Promo                                 </v>
      </c>
      <c r="C52" s="14"/>
      <c r="D52" s="2">
        <f>SUM(OSRRefD22_2x_0)</f>
        <v>418.36</v>
      </c>
      <c r="E52" s="2"/>
      <c r="F52" s="6">
        <f t="shared" si="4"/>
        <v>2.5236785941727625E-4</v>
      </c>
      <c r="G52" s="2"/>
      <c r="H52" s="2">
        <f>SUM(OSRRefH22_2x_0)</f>
        <v>1319</v>
      </c>
      <c r="I52" s="2"/>
      <c r="J52" s="6">
        <f t="shared" si="5"/>
        <v>9.019611329288299E-4</v>
      </c>
      <c r="K52" s="2"/>
      <c r="L52" s="2">
        <f t="shared" si="6"/>
        <v>-900.64</v>
      </c>
      <c r="M52" s="2"/>
      <c r="N52" s="6">
        <f t="shared" si="7"/>
        <v>-0.6828203184230478</v>
      </c>
      <c r="O52" s="14"/>
      <c r="P52" s="2">
        <f>SUM(OSRRefP22_2x_0)</f>
        <v>5168.2700000000004</v>
      </c>
      <c r="Q52" s="2"/>
      <c r="R52" s="6">
        <f t="shared" si="8"/>
        <v>5.0209101189628601E-4</v>
      </c>
      <c r="S52" s="2"/>
      <c r="T52" s="2">
        <f>SUM(OSRRefT22_2x_0)</f>
        <v>11871</v>
      </c>
      <c r="U52" s="2"/>
      <c r="V52" s="6">
        <f t="shared" si="9"/>
        <v>1.3808475479632528E-3</v>
      </c>
      <c r="W52" s="2"/>
      <c r="X52" s="2">
        <f t="shared" si="10"/>
        <v>-6702.73</v>
      </c>
      <c r="Y52" s="2"/>
      <c r="Z52" s="6">
        <f t="shared" si="11"/>
        <v>-0.564630612416814</v>
      </c>
    </row>
    <row r="53" spans="1:26" s="70" customFormat="1" ht="15" hidden="1" customHeight="1" outlineLevel="2" x14ac:dyDescent="0.3">
      <c r="A53" s="26"/>
      <c r="B53" s="12" t="str">
        <f>CONCATENATE("          ","6362"," - ","ADVERTISING EXPENSE")</f>
        <v xml:space="preserve">          6362 - ADVERTISING EXPENSE</v>
      </c>
      <c r="C53" s="12"/>
      <c r="D53" s="7">
        <v>418.36</v>
      </c>
      <c r="E53" s="3"/>
      <c r="F53" s="8">
        <f t="shared" si="4"/>
        <v>2.5236785941727625E-4</v>
      </c>
      <c r="G53" s="3"/>
      <c r="H53" s="7">
        <v>1319</v>
      </c>
      <c r="I53" s="3"/>
      <c r="J53" s="8">
        <f t="shared" si="5"/>
        <v>9.019611329288299E-4</v>
      </c>
      <c r="K53" s="3"/>
      <c r="L53" s="7">
        <f t="shared" si="6"/>
        <v>-900.64</v>
      </c>
      <c r="M53" s="3"/>
      <c r="N53" s="8">
        <f t="shared" si="7"/>
        <v>-0.6828203184230478</v>
      </c>
      <c r="O53" s="12"/>
      <c r="P53" s="7">
        <v>5168.2700000000004</v>
      </c>
      <c r="Q53" s="3"/>
      <c r="R53" s="8">
        <f t="shared" si="8"/>
        <v>5.0209101189628601E-4</v>
      </c>
      <c r="S53" s="3"/>
      <c r="T53" s="7">
        <v>11871</v>
      </c>
      <c r="U53" s="3"/>
      <c r="V53" s="8">
        <f t="shared" si="9"/>
        <v>1.3808475479632528E-3</v>
      </c>
      <c r="W53" s="3"/>
      <c r="X53" s="7">
        <f t="shared" si="10"/>
        <v>-6702.73</v>
      </c>
      <c r="Y53" s="3"/>
      <c r="Z53" s="8">
        <f t="shared" si="11"/>
        <v>-0.564630612416814</v>
      </c>
    </row>
    <row r="54" spans="1:26" s="69" customFormat="1" ht="15" customHeight="1" outlineLevel="1" collapsed="1" x14ac:dyDescent="0.3">
      <c r="A54" s="25"/>
      <c r="B54" s="14" t="str">
        <f>CONCATENATE("     ","Bad Debts/Over/Short                              ")</f>
        <v xml:space="preserve">     Bad Debts/Over/Short                              </v>
      </c>
      <c r="C54" s="14"/>
      <c r="D54" s="2">
        <f>SUM(OSRRefD22_3x_0)</f>
        <v>52.57</v>
      </c>
      <c r="E54" s="2"/>
      <c r="F54" s="6">
        <f t="shared" si="4"/>
        <v>3.1711871043039998E-5</v>
      </c>
      <c r="G54" s="2"/>
      <c r="H54" s="2">
        <f>SUM(OSRRefH22_3x_0)</f>
        <v>33</v>
      </c>
      <c r="I54" s="2"/>
      <c r="J54" s="6">
        <f t="shared" si="5"/>
        <v>2.2566123871608328E-5</v>
      </c>
      <c r="K54" s="2"/>
      <c r="L54" s="2">
        <f t="shared" si="6"/>
        <v>19.57</v>
      </c>
      <c r="M54" s="2"/>
      <c r="N54" s="6">
        <f t="shared" si="7"/>
        <v>0.59303030303030302</v>
      </c>
      <c r="O54" s="14"/>
      <c r="P54" s="2">
        <f>SUM(OSRRefP22_3x_0)</f>
        <v>-44.72</v>
      </c>
      <c r="Q54" s="2"/>
      <c r="R54" s="6">
        <f t="shared" si="8"/>
        <v>-4.3444924611140489E-6</v>
      </c>
      <c r="S54" s="2"/>
      <c r="T54" s="2">
        <f>SUM(OSRRefT22_3x_0)</f>
        <v>339</v>
      </c>
      <c r="U54" s="2"/>
      <c r="V54" s="6">
        <f t="shared" si="9"/>
        <v>3.9432846327987758E-5</v>
      </c>
      <c r="W54" s="2"/>
      <c r="X54" s="2">
        <f t="shared" si="10"/>
        <v>-383.72</v>
      </c>
      <c r="Y54" s="2"/>
      <c r="Z54" s="6">
        <f t="shared" si="11"/>
        <v>-1.1319174041297937</v>
      </c>
    </row>
    <row r="55" spans="1:26" s="70" customFormat="1" ht="15" hidden="1" customHeight="1" outlineLevel="2" x14ac:dyDescent="0.3">
      <c r="A55" s="26"/>
      <c r="B55" s="12" t="str">
        <f>CONCATENATE("          ","6272"," - ","CASH (OVER/SHORT)")</f>
        <v xml:space="preserve">          6272 - CASH (OVER/SHORT)</v>
      </c>
      <c r="C55" s="12"/>
      <c r="D55" s="7">
        <v>52.57</v>
      </c>
      <c r="E55" s="3"/>
      <c r="F55" s="8">
        <f t="shared" si="4"/>
        <v>3.1711871043039998E-5</v>
      </c>
      <c r="G55" s="3"/>
      <c r="H55" s="7">
        <v>33</v>
      </c>
      <c r="I55" s="3"/>
      <c r="J55" s="8">
        <f t="shared" si="5"/>
        <v>2.2566123871608328E-5</v>
      </c>
      <c r="K55" s="3"/>
      <c r="L55" s="7">
        <f t="shared" si="6"/>
        <v>19.57</v>
      </c>
      <c r="M55" s="3"/>
      <c r="N55" s="8">
        <f t="shared" si="7"/>
        <v>0.59303030303030302</v>
      </c>
      <c r="O55" s="12"/>
      <c r="P55" s="7">
        <v>-44.72</v>
      </c>
      <c r="Q55" s="3"/>
      <c r="R55" s="8">
        <f t="shared" si="8"/>
        <v>-4.3444924611140489E-6</v>
      </c>
      <c r="S55" s="3"/>
      <c r="T55" s="7">
        <v>339</v>
      </c>
      <c r="U55" s="3"/>
      <c r="V55" s="8">
        <f t="shared" si="9"/>
        <v>3.9432846327987758E-5</v>
      </c>
      <c r="W55" s="3"/>
      <c r="X55" s="7">
        <f t="shared" si="10"/>
        <v>-383.72</v>
      </c>
      <c r="Y55" s="3"/>
      <c r="Z55" s="8">
        <f t="shared" si="11"/>
        <v>-1.1319174041297937</v>
      </c>
    </row>
    <row r="56" spans="1:26" s="69" customFormat="1" ht="15" customHeight="1" outlineLevel="1" collapsed="1" x14ac:dyDescent="0.3">
      <c r="A56" s="25"/>
      <c r="B56" s="14" t="str">
        <f>CONCATENATE("     ","Bank/card Fees                                    ")</f>
        <v xml:space="preserve">     Bank/card Fees                                    </v>
      </c>
      <c r="C56" s="14"/>
      <c r="D56" s="2">
        <f>SUM(OSRRefD22_4x_0)</f>
        <v>9713.94</v>
      </c>
      <c r="E56" s="2"/>
      <c r="F56" s="6">
        <f t="shared" si="4"/>
        <v>5.8597529503486394E-3</v>
      </c>
      <c r="G56" s="2"/>
      <c r="H56" s="2">
        <f>SUM(OSRRefH22_4x_0)</f>
        <v>17322</v>
      </c>
      <c r="I56" s="2"/>
      <c r="J56" s="6">
        <f t="shared" si="5"/>
        <v>1.1845163566787862E-2</v>
      </c>
      <c r="K56" s="2"/>
      <c r="L56" s="2">
        <f t="shared" si="6"/>
        <v>-7608.0599999999995</v>
      </c>
      <c r="M56" s="2"/>
      <c r="N56" s="6">
        <f t="shared" si="7"/>
        <v>-0.43921371666089365</v>
      </c>
      <c r="O56" s="14"/>
      <c r="P56" s="2">
        <f>SUM(OSRRefP22_4x_0)</f>
        <v>40168.79</v>
      </c>
      <c r="Q56" s="2"/>
      <c r="R56" s="6">
        <f t="shared" si="8"/>
        <v>3.9023480618755237E-3</v>
      </c>
      <c r="S56" s="2"/>
      <c r="T56" s="2">
        <f>SUM(OSRRefT22_4x_0)</f>
        <v>71967</v>
      </c>
      <c r="U56" s="2"/>
      <c r="V56" s="6">
        <f t="shared" si="9"/>
        <v>8.371279208514144E-3</v>
      </c>
      <c r="W56" s="2"/>
      <c r="X56" s="2">
        <f t="shared" si="10"/>
        <v>-31798.21</v>
      </c>
      <c r="Y56" s="2"/>
      <c r="Z56" s="6">
        <f t="shared" si="11"/>
        <v>-0.44184431753442549</v>
      </c>
    </row>
    <row r="57" spans="1:26" s="70" customFormat="1" ht="15" hidden="1" customHeight="1" outlineLevel="2" x14ac:dyDescent="0.3">
      <c r="A57" s="26"/>
      <c r="B57" s="12" t="str">
        <f>CONCATENATE("          ","6381"," - ","BANK/CREDIT CARD FEES")</f>
        <v xml:space="preserve">          6381 - BANK/CREDIT CARD FEES</v>
      </c>
      <c r="C57" s="12"/>
      <c r="D57" s="7">
        <v>9713.94</v>
      </c>
      <c r="E57" s="3"/>
      <c r="F57" s="8">
        <f t="shared" si="4"/>
        <v>5.8597529503486394E-3</v>
      </c>
      <c r="G57" s="3"/>
      <c r="H57" s="7">
        <v>17322</v>
      </c>
      <c r="I57" s="3"/>
      <c r="J57" s="8">
        <f t="shared" si="5"/>
        <v>1.1845163566787862E-2</v>
      </c>
      <c r="K57" s="3"/>
      <c r="L57" s="7">
        <f t="shared" si="6"/>
        <v>-7608.0599999999995</v>
      </c>
      <c r="M57" s="3"/>
      <c r="N57" s="8">
        <f t="shared" si="7"/>
        <v>-0.43921371666089365</v>
      </c>
      <c r="O57" s="12"/>
      <c r="P57" s="7">
        <v>40168.79</v>
      </c>
      <c r="Q57" s="3"/>
      <c r="R57" s="8">
        <f t="shared" si="8"/>
        <v>3.9023480618755237E-3</v>
      </c>
      <c r="S57" s="3"/>
      <c r="T57" s="7">
        <v>71967</v>
      </c>
      <c r="U57" s="3"/>
      <c r="V57" s="8">
        <f t="shared" si="9"/>
        <v>8.371279208514144E-3</v>
      </c>
      <c r="W57" s="3"/>
      <c r="X57" s="7">
        <f t="shared" si="10"/>
        <v>-31798.21</v>
      </c>
      <c r="Y57" s="3"/>
      <c r="Z57" s="8">
        <f t="shared" si="11"/>
        <v>-0.44184431753442549</v>
      </c>
    </row>
    <row r="58" spans="1:26" s="69" customFormat="1" ht="15" customHeight="1" outlineLevel="1" collapsed="1" x14ac:dyDescent="0.3">
      <c r="A58" s="25"/>
      <c r="B58" s="14" t="str">
        <f>CONCATENATE("     ","Depreciation                                      ")</f>
        <v xml:space="preserve">     Depreciation                                      </v>
      </c>
      <c r="C58" s="14"/>
      <c r="D58" s="2">
        <f>SUM(OSRRefD22_5x_0)</f>
        <v>32967.279999999999</v>
      </c>
      <c r="E58" s="2"/>
      <c r="F58" s="6">
        <f t="shared" si="4"/>
        <v>1.9886896176522572E-2</v>
      </c>
      <c r="G58" s="2"/>
      <c r="H58" s="2">
        <f>SUM(OSRRefH22_5x_0)</f>
        <v>32694</v>
      </c>
      <c r="I58" s="2"/>
      <c r="J58" s="6">
        <f t="shared" si="5"/>
        <v>2.2356874359344324E-2</v>
      </c>
      <c r="K58" s="2"/>
      <c r="L58" s="2">
        <f t="shared" si="6"/>
        <v>273.27999999999884</v>
      </c>
      <c r="M58" s="2"/>
      <c r="N58" s="6">
        <f t="shared" si="7"/>
        <v>8.3587202544809086E-3</v>
      </c>
      <c r="O58" s="14"/>
      <c r="P58" s="2">
        <f>SUM(OSRRefP22_5x_0)</f>
        <v>301392.06</v>
      </c>
      <c r="Q58" s="2"/>
      <c r="R58" s="6">
        <f t="shared" si="8"/>
        <v>2.9279864322666216E-2</v>
      </c>
      <c r="S58" s="2"/>
      <c r="T58" s="2">
        <f>SUM(OSRRefT22_5x_0)</f>
        <v>298934</v>
      </c>
      <c r="U58" s="2"/>
      <c r="V58" s="6">
        <f t="shared" si="9"/>
        <v>3.4772325912125937E-2</v>
      </c>
      <c r="W58" s="2"/>
      <c r="X58" s="2">
        <f t="shared" si="10"/>
        <v>2458.0599999999977</v>
      </c>
      <c r="Y58" s="2"/>
      <c r="Z58" s="6">
        <f t="shared" si="11"/>
        <v>8.222751510366829E-3</v>
      </c>
    </row>
    <row r="59" spans="1:26" s="70" customFormat="1" ht="15" hidden="1" customHeight="1" outlineLevel="2" x14ac:dyDescent="0.3">
      <c r="A59" s="26"/>
      <c r="B59" s="12" t="str">
        <f>CONCATENATE("          ","6321"," - ","BUILDING DEPRECIATION")</f>
        <v xml:space="preserve">          6321 - BUILDING DEPRECIATION</v>
      </c>
      <c r="C59" s="12"/>
      <c r="D59" s="7">
        <v>23539.4</v>
      </c>
      <c r="E59" s="3"/>
      <c r="F59" s="8">
        <f t="shared" si="4"/>
        <v>1.4199703580569446E-2</v>
      </c>
      <c r="G59" s="3"/>
      <c r="H59" s="7"/>
      <c r="I59" s="3"/>
      <c r="J59" s="8">
        <f t="shared" si="5"/>
        <v>0</v>
      </c>
      <c r="K59" s="3"/>
      <c r="L59" s="7">
        <f t="shared" si="6"/>
        <v>23539.4</v>
      </c>
      <c r="M59" s="3"/>
      <c r="N59" s="8">
        <f t="shared" si="7"/>
        <v>0</v>
      </c>
      <c r="O59" s="12"/>
      <c r="P59" s="7">
        <v>211942.74</v>
      </c>
      <c r="Q59" s="3"/>
      <c r="R59" s="8">
        <f t="shared" si="8"/>
        <v>2.0589973974012857E-2</v>
      </c>
      <c r="S59" s="3"/>
      <c r="T59" s="7"/>
      <c r="U59" s="3"/>
      <c r="V59" s="8">
        <f t="shared" si="9"/>
        <v>0</v>
      </c>
      <c r="W59" s="3"/>
      <c r="X59" s="7">
        <f t="shared" si="10"/>
        <v>211942.74</v>
      </c>
      <c r="Y59" s="3"/>
      <c r="Z59" s="8">
        <f t="shared" si="11"/>
        <v>0</v>
      </c>
    </row>
    <row r="60" spans="1:26" s="70" customFormat="1" ht="15" hidden="1" customHeight="1" outlineLevel="2" x14ac:dyDescent="0.3">
      <c r="A60" s="26"/>
      <c r="B60" s="12" t="str">
        <f>CONCATENATE("          ","6322"," - ","EQUIPMENT DEPRECIATION EXPENSE")</f>
        <v xml:space="preserve">          6322 - EQUIPMENT DEPRECIATION EXPENSE</v>
      </c>
      <c r="C60" s="12"/>
      <c r="D60" s="7">
        <v>9427.8799999999992</v>
      </c>
      <c r="E60" s="3"/>
      <c r="F60" s="8">
        <f t="shared" si="4"/>
        <v>5.6871925959531278E-3</v>
      </c>
      <c r="G60" s="3"/>
      <c r="H60" s="7">
        <v>32694</v>
      </c>
      <c r="I60" s="3"/>
      <c r="J60" s="8">
        <f t="shared" si="5"/>
        <v>2.2356874359344324E-2</v>
      </c>
      <c r="K60" s="3"/>
      <c r="L60" s="7">
        <f t="shared" si="6"/>
        <v>-23266.120000000003</v>
      </c>
      <c r="M60" s="3"/>
      <c r="N60" s="8">
        <f t="shared" si="7"/>
        <v>-0.71163271548296336</v>
      </c>
      <c r="O60" s="12"/>
      <c r="P60" s="7">
        <v>89449.32</v>
      </c>
      <c r="Q60" s="3"/>
      <c r="R60" s="8">
        <f t="shared" si="8"/>
        <v>8.6898903486533584E-3</v>
      </c>
      <c r="S60" s="3"/>
      <c r="T60" s="7">
        <v>298934</v>
      </c>
      <c r="U60" s="3"/>
      <c r="V60" s="8">
        <f t="shared" si="9"/>
        <v>3.4772325912125937E-2</v>
      </c>
      <c r="W60" s="3"/>
      <c r="X60" s="7">
        <f t="shared" si="10"/>
        <v>-209484.68</v>
      </c>
      <c r="Y60" s="3"/>
      <c r="Z60" s="8">
        <f t="shared" si="11"/>
        <v>-0.70077234439709102</v>
      </c>
    </row>
    <row r="61" spans="1:26" s="69" customFormat="1" ht="15" customHeight="1" outlineLevel="1" collapsed="1" x14ac:dyDescent="0.3">
      <c r="A61" s="25"/>
      <c r="B61" s="14" t="str">
        <f>CONCATENATE("     ","Donations                                         ")</f>
        <v xml:space="preserve">     Donations                                         </v>
      </c>
      <c r="C61" s="14"/>
      <c r="D61" s="2">
        <f>SUM(OSRRefD22_6x_0)</f>
        <v>7724.92</v>
      </c>
      <c r="E61" s="2"/>
      <c r="F61" s="6">
        <f t="shared" ref="F61:F92" si="12">IF(D$12=0,0,D61/D$12)</f>
        <v>4.659913769408418E-3</v>
      </c>
      <c r="G61" s="2"/>
      <c r="H61" s="2">
        <f>SUM(OSRRefH22_6x_0)</f>
        <v>15500</v>
      </c>
      <c r="I61" s="2"/>
      <c r="J61" s="6">
        <f t="shared" ref="J61:J92" si="13">IF(H$12=0,0,H61/H$12)</f>
        <v>1.0599240000300882E-2</v>
      </c>
      <c r="K61" s="2"/>
      <c r="L61" s="2">
        <f t="shared" ref="L61:L92" si="14">+D61-H61</f>
        <v>-7775.08</v>
      </c>
      <c r="M61" s="2"/>
      <c r="N61" s="6">
        <f t="shared" ref="N61:N92" si="15">IF(H61=0,0,L61/H61)</f>
        <v>-0.501618064516129</v>
      </c>
      <c r="O61" s="14"/>
      <c r="P61" s="2">
        <f>SUM(OSRRefP22_6x_0)</f>
        <v>57035.13</v>
      </c>
      <c r="Q61" s="2"/>
      <c r="R61" s="6">
        <f t="shared" ref="R61:R92" si="16">IF(P$12=0,0,P61/P$12)</f>
        <v>5.5408920461462374E-3</v>
      </c>
      <c r="S61" s="2"/>
      <c r="T61" s="2">
        <f>SUM(OSRRefT22_6x_0)</f>
        <v>124000</v>
      </c>
      <c r="U61" s="2"/>
      <c r="V61" s="6">
        <f t="shared" ref="V61:V92" si="17">IF(T$12=0,0,T61/T$12)</f>
        <v>1.4423813996078118E-2</v>
      </c>
      <c r="W61" s="2"/>
      <c r="X61" s="2">
        <f t="shared" ref="X61:X92" si="18">+P61-T61</f>
        <v>-66964.87</v>
      </c>
      <c r="Y61" s="2"/>
      <c r="Z61" s="6">
        <f t="shared" ref="Z61:Z92" si="19">IF(T61=0,0,X61/T61)</f>
        <v>-0.54003927419354836</v>
      </c>
    </row>
    <row r="62" spans="1:26" s="70" customFormat="1" ht="15" hidden="1" customHeight="1" outlineLevel="2" x14ac:dyDescent="0.3">
      <c r="A62" s="26"/>
      <c r="B62" s="12" t="str">
        <f>CONCATENATE("          ","6399"," - ","DONATION-ON CAMPUS")</f>
        <v xml:space="preserve">          6399 - DONATION-ON CAMPUS</v>
      </c>
      <c r="C62" s="12"/>
      <c r="D62" s="7">
        <v>7724.92</v>
      </c>
      <c r="E62" s="3"/>
      <c r="F62" s="8">
        <f t="shared" si="12"/>
        <v>4.659913769408418E-3</v>
      </c>
      <c r="G62" s="3"/>
      <c r="H62" s="7">
        <v>15500</v>
      </c>
      <c r="I62" s="3"/>
      <c r="J62" s="8">
        <f t="shared" si="13"/>
        <v>1.0599240000300882E-2</v>
      </c>
      <c r="K62" s="3"/>
      <c r="L62" s="7">
        <f t="shared" si="14"/>
        <v>-7775.08</v>
      </c>
      <c r="M62" s="3"/>
      <c r="N62" s="8">
        <f t="shared" si="15"/>
        <v>-0.501618064516129</v>
      </c>
      <c r="O62" s="12"/>
      <c r="P62" s="7">
        <v>57035.13</v>
      </c>
      <c r="Q62" s="3"/>
      <c r="R62" s="8">
        <f t="shared" si="16"/>
        <v>5.5408920461462374E-3</v>
      </c>
      <c r="S62" s="3"/>
      <c r="T62" s="7">
        <v>124000</v>
      </c>
      <c r="U62" s="3"/>
      <c r="V62" s="8">
        <f t="shared" si="17"/>
        <v>1.4423813996078118E-2</v>
      </c>
      <c r="W62" s="3"/>
      <c r="X62" s="7">
        <f t="shared" si="18"/>
        <v>-66964.87</v>
      </c>
      <c r="Y62" s="3"/>
      <c r="Z62" s="8">
        <f t="shared" si="19"/>
        <v>-0.54003927419354836</v>
      </c>
    </row>
    <row r="63" spans="1:26" s="69" customFormat="1" ht="15" customHeight="1" outlineLevel="1" collapsed="1" x14ac:dyDescent="0.3">
      <c r="A63" s="25"/>
      <c r="B63" s="14" t="str">
        <f>CONCATENATE("     ","Employees' Appreciation                           ")</f>
        <v xml:space="preserve">     Employees' Appreciation                           </v>
      </c>
      <c r="C63" s="14"/>
      <c r="D63" s="2">
        <f>SUM(OSRRefD22_7x_0)</f>
        <v>0</v>
      </c>
      <c r="E63" s="2"/>
      <c r="F63" s="6">
        <f t="shared" si="12"/>
        <v>0</v>
      </c>
      <c r="G63" s="2"/>
      <c r="H63" s="2">
        <f>SUM(OSRRefH22_7x_0)</f>
        <v>240</v>
      </c>
      <c r="I63" s="2"/>
      <c r="J63" s="6">
        <f t="shared" si="13"/>
        <v>1.6411726452078784E-4</v>
      </c>
      <c r="K63" s="2"/>
      <c r="L63" s="2">
        <f t="shared" si="14"/>
        <v>-240</v>
      </c>
      <c r="M63" s="2"/>
      <c r="N63" s="6">
        <f t="shared" si="15"/>
        <v>-1</v>
      </c>
      <c r="O63" s="14"/>
      <c r="P63" s="2">
        <f>SUM(OSRRefP22_7x_0)</f>
        <v>640.58000000000004</v>
      </c>
      <c r="Q63" s="2"/>
      <c r="R63" s="6">
        <f t="shared" si="16"/>
        <v>6.2231551447684209E-5</v>
      </c>
      <c r="S63" s="2"/>
      <c r="T63" s="2">
        <f>SUM(OSRRefT22_7x_0)</f>
        <v>2570</v>
      </c>
      <c r="U63" s="2"/>
      <c r="V63" s="6">
        <f t="shared" si="17"/>
        <v>2.9894517717678036E-4</v>
      </c>
      <c r="W63" s="2"/>
      <c r="X63" s="2">
        <f t="shared" si="18"/>
        <v>-1929.42</v>
      </c>
      <c r="Y63" s="2"/>
      <c r="Z63" s="6">
        <f t="shared" si="19"/>
        <v>-0.75074708171206228</v>
      </c>
    </row>
    <row r="64" spans="1:26" s="70" customFormat="1" ht="15" hidden="1" customHeight="1" outlineLevel="2" x14ac:dyDescent="0.3">
      <c r="A64" s="26"/>
      <c r="B64" s="12" t="str">
        <f>CONCATENATE("          ","6277"," - ","EMPLOYEE APPRECIATION")</f>
        <v xml:space="preserve">          6277 - EMPLOYEE APPRECIATION</v>
      </c>
      <c r="C64" s="12"/>
      <c r="D64" s="7"/>
      <c r="E64" s="3"/>
      <c r="F64" s="8">
        <f t="shared" si="12"/>
        <v>0</v>
      </c>
      <c r="G64" s="3"/>
      <c r="H64" s="7">
        <v>240</v>
      </c>
      <c r="I64" s="3"/>
      <c r="J64" s="8">
        <f t="shared" si="13"/>
        <v>1.6411726452078784E-4</v>
      </c>
      <c r="K64" s="3"/>
      <c r="L64" s="7">
        <f t="shared" si="14"/>
        <v>-240</v>
      </c>
      <c r="M64" s="3"/>
      <c r="N64" s="8">
        <f t="shared" si="15"/>
        <v>-1</v>
      </c>
      <c r="O64" s="12"/>
      <c r="P64" s="7">
        <v>640.58000000000004</v>
      </c>
      <c r="Q64" s="3"/>
      <c r="R64" s="8">
        <f t="shared" si="16"/>
        <v>6.2231551447684209E-5</v>
      </c>
      <c r="S64" s="3"/>
      <c r="T64" s="7">
        <v>2570</v>
      </c>
      <c r="U64" s="3"/>
      <c r="V64" s="8">
        <f t="shared" si="17"/>
        <v>2.9894517717678036E-4</v>
      </c>
      <c r="W64" s="3"/>
      <c r="X64" s="7">
        <f t="shared" si="18"/>
        <v>-1929.42</v>
      </c>
      <c r="Y64" s="3"/>
      <c r="Z64" s="8">
        <f t="shared" si="19"/>
        <v>-0.75074708171206228</v>
      </c>
    </row>
    <row r="65" spans="1:26" s="69" customFormat="1" ht="15" customHeight="1" outlineLevel="1" collapsed="1" x14ac:dyDescent="0.3">
      <c r="A65" s="25"/>
      <c r="B65" s="14" t="str">
        <f>CONCATENATE("     ","Equipment Rental                                  ")</f>
        <v xml:space="preserve">     Equipment Rental                                  </v>
      </c>
      <c r="C65" s="14"/>
      <c r="D65" s="2">
        <f>SUM(OSRRefD22_8x_0)</f>
        <v>1122.8</v>
      </c>
      <c r="E65" s="2"/>
      <c r="F65" s="6">
        <f t="shared" si="12"/>
        <v>6.7730813785667318E-4</v>
      </c>
      <c r="G65" s="2"/>
      <c r="H65" s="2">
        <f>SUM(OSRRefH22_8x_0)</f>
        <v>1570</v>
      </c>
      <c r="I65" s="2"/>
      <c r="J65" s="6">
        <f t="shared" si="13"/>
        <v>1.0736004387401539E-3</v>
      </c>
      <c r="K65" s="2"/>
      <c r="L65" s="2">
        <f t="shared" si="14"/>
        <v>-447.20000000000005</v>
      </c>
      <c r="M65" s="2"/>
      <c r="N65" s="6">
        <f t="shared" si="15"/>
        <v>-0.28484076433121019</v>
      </c>
      <c r="O65" s="14"/>
      <c r="P65" s="2">
        <f>SUM(OSRRefP22_8x_0)</f>
        <v>17642.71</v>
      </c>
      <c r="Q65" s="2"/>
      <c r="R65" s="6">
        <f t="shared" si="16"/>
        <v>1.7139673655774026E-3</v>
      </c>
      <c r="S65" s="2"/>
      <c r="T65" s="2">
        <f>SUM(OSRRefT22_8x_0)</f>
        <v>14130</v>
      </c>
      <c r="U65" s="2"/>
      <c r="V65" s="6">
        <f t="shared" si="17"/>
        <v>1.6436168690692242E-3</v>
      </c>
      <c r="W65" s="2"/>
      <c r="X65" s="2">
        <f t="shared" si="18"/>
        <v>3512.7099999999991</v>
      </c>
      <c r="Y65" s="2"/>
      <c r="Z65" s="6">
        <f t="shared" si="19"/>
        <v>0.24859943382873312</v>
      </c>
    </row>
    <row r="66" spans="1:26" s="70" customFormat="1" ht="15" hidden="1" customHeight="1" outlineLevel="2" x14ac:dyDescent="0.3">
      <c r="A66" s="26"/>
      <c r="B66" s="12" t="str">
        <f>CONCATENATE("          ","6351"," - ","EQUIPMENT RENTAL")</f>
        <v xml:space="preserve">          6351 - EQUIPMENT RENTAL</v>
      </c>
      <c r="C66" s="12"/>
      <c r="D66" s="7">
        <v>1122.8</v>
      </c>
      <c r="E66" s="3"/>
      <c r="F66" s="8">
        <f t="shared" si="12"/>
        <v>6.7730813785667318E-4</v>
      </c>
      <c r="G66" s="3"/>
      <c r="H66" s="7">
        <v>1570</v>
      </c>
      <c r="I66" s="3"/>
      <c r="J66" s="8">
        <f t="shared" si="13"/>
        <v>1.0736004387401539E-3</v>
      </c>
      <c r="K66" s="3"/>
      <c r="L66" s="7">
        <f t="shared" si="14"/>
        <v>-447.20000000000005</v>
      </c>
      <c r="M66" s="3"/>
      <c r="N66" s="8">
        <f t="shared" si="15"/>
        <v>-0.28484076433121019</v>
      </c>
      <c r="O66" s="12"/>
      <c r="P66" s="7">
        <v>17642.71</v>
      </c>
      <c r="Q66" s="3"/>
      <c r="R66" s="8">
        <f t="shared" si="16"/>
        <v>1.7139673655774026E-3</v>
      </c>
      <c r="S66" s="3"/>
      <c r="T66" s="7">
        <v>14130</v>
      </c>
      <c r="U66" s="3"/>
      <c r="V66" s="8">
        <f t="shared" si="17"/>
        <v>1.6436168690692242E-3</v>
      </c>
      <c r="W66" s="3"/>
      <c r="X66" s="7">
        <f t="shared" si="18"/>
        <v>3512.7099999999991</v>
      </c>
      <c r="Y66" s="3"/>
      <c r="Z66" s="8">
        <f t="shared" si="19"/>
        <v>0.24859943382873312</v>
      </c>
    </row>
    <row r="67" spans="1:26" s="69" customFormat="1" ht="15" customHeight="1" outlineLevel="1" collapsed="1" x14ac:dyDescent="0.3">
      <c r="A67" s="25"/>
      <c r="B67" s="14" t="str">
        <f>CONCATENATE("     ","General                                           ")</f>
        <v xml:space="preserve">     General                                           </v>
      </c>
      <c r="C67" s="14"/>
      <c r="D67" s="2">
        <f>SUM(OSRRefD22_9x_0)</f>
        <v>3611.24</v>
      </c>
      <c r="E67" s="2"/>
      <c r="F67" s="6">
        <f t="shared" si="12"/>
        <v>2.1784131098624262E-3</v>
      </c>
      <c r="G67" s="2"/>
      <c r="H67" s="2">
        <f>SUM(OSRRefH22_9x_0)</f>
        <v>1390</v>
      </c>
      <c r="I67" s="2"/>
      <c r="J67" s="6">
        <f t="shared" si="13"/>
        <v>9.5051249034956297E-4</v>
      </c>
      <c r="K67" s="2"/>
      <c r="L67" s="2">
        <f t="shared" si="14"/>
        <v>2221.2399999999998</v>
      </c>
      <c r="M67" s="2"/>
      <c r="N67" s="6">
        <f t="shared" si="15"/>
        <v>1.5980143884892084</v>
      </c>
      <c r="O67" s="14"/>
      <c r="P67" s="2">
        <f>SUM(OSRRefP22_9x_0)</f>
        <v>34438.519999999997</v>
      </c>
      <c r="Q67" s="2"/>
      <c r="R67" s="6">
        <f t="shared" si="16"/>
        <v>3.3456594479410865E-3</v>
      </c>
      <c r="S67" s="2"/>
      <c r="T67" s="2">
        <f>SUM(OSRRefT22_9x_0)</f>
        <v>16020</v>
      </c>
      <c r="U67" s="2"/>
      <c r="V67" s="6">
        <f t="shared" si="17"/>
        <v>1.863463711428802E-3</v>
      </c>
      <c r="W67" s="2"/>
      <c r="X67" s="2">
        <f t="shared" si="18"/>
        <v>18418.519999999997</v>
      </c>
      <c r="Y67" s="2"/>
      <c r="Z67" s="6">
        <f t="shared" si="19"/>
        <v>1.1497203495630459</v>
      </c>
    </row>
    <row r="68" spans="1:26" s="70" customFormat="1" ht="15" hidden="1" customHeight="1" outlineLevel="2" x14ac:dyDescent="0.3">
      <c r="A68" s="26"/>
      <c r="B68" s="12" t="str">
        <f>CONCATENATE("          ","6269"," - ","ENTERTAINMENT")</f>
        <v xml:space="preserve">          6269 - ENTERTAINMENT</v>
      </c>
      <c r="C68" s="12"/>
      <c r="D68" s="7"/>
      <c r="E68" s="3"/>
      <c r="F68" s="8">
        <f t="shared" si="12"/>
        <v>0</v>
      </c>
      <c r="G68" s="3"/>
      <c r="H68" s="7">
        <v>250</v>
      </c>
      <c r="I68" s="3"/>
      <c r="J68" s="8">
        <f t="shared" si="13"/>
        <v>1.7095548387582068E-4</v>
      </c>
      <c r="K68" s="3"/>
      <c r="L68" s="7">
        <f t="shared" si="14"/>
        <v>-250</v>
      </c>
      <c r="M68" s="3"/>
      <c r="N68" s="8">
        <f t="shared" si="15"/>
        <v>-1</v>
      </c>
      <c r="O68" s="12"/>
      <c r="P68" s="7"/>
      <c r="Q68" s="3"/>
      <c r="R68" s="8">
        <f t="shared" si="16"/>
        <v>0</v>
      </c>
      <c r="S68" s="3"/>
      <c r="T68" s="7">
        <v>500</v>
      </c>
      <c r="U68" s="3"/>
      <c r="V68" s="8">
        <f t="shared" si="17"/>
        <v>5.8160540306766605E-5</v>
      </c>
      <c r="W68" s="3"/>
      <c r="X68" s="7">
        <f t="shared" si="18"/>
        <v>-500</v>
      </c>
      <c r="Y68" s="3"/>
      <c r="Z68" s="8">
        <f t="shared" si="19"/>
        <v>-1</v>
      </c>
    </row>
    <row r="69" spans="1:26" s="70" customFormat="1" ht="15" hidden="1" customHeight="1" outlineLevel="2" x14ac:dyDescent="0.3">
      <c r="A69" s="26"/>
      <c r="B69" s="12" t="str">
        <f>CONCATENATE("          ","6279"," - ","GENERAL EXPENSE")</f>
        <v xml:space="preserve">          6279 - GENERAL EXPENSE</v>
      </c>
      <c r="C69" s="12"/>
      <c r="D69" s="7">
        <v>3611.24</v>
      </c>
      <c r="E69" s="3"/>
      <c r="F69" s="8">
        <f t="shared" si="12"/>
        <v>2.1784131098624262E-3</v>
      </c>
      <c r="G69" s="3"/>
      <c r="H69" s="7">
        <v>1140</v>
      </c>
      <c r="I69" s="3"/>
      <c r="J69" s="8">
        <f t="shared" si="13"/>
        <v>7.7955700647374228E-4</v>
      </c>
      <c r="K69" s="3"/>
      <c r="L69" s="7">
        <f t="shared" si="14"/>
        <v>2471.2399999999998</v>
      </c>
      <c r="M69" s="3"/>
      <c r="N69" s="8">
        <f t="shared" si="15"/>
        <v>2.167754385964912</v>
      </c>
      <c r="O69" s="12"/>
      <c r="P69" s="7">
        <v>34438.519999999997</v>
      </c>
      <c r="Q69" s="3"/>
      <c r="R69" s="8">
        <f t="shared" si="16"/>
        <v>3.3456594479410865E-3</v>
      </c>
      <c r="S69" s="3"/>
      <c r="T69" s="7">
        <v>15520</v>
      </c>
      <c r="U69" s="3"/>
      <c r="V69" s="8">
        <f t="shared" si="17"/>
        <v>1.8053031711220355E-3</v>
      </c>
      <c r="W69" s="3"/>
      <c r="X69" s="7">
        <f t="shared" si="18"/>
        <v>18918.519999999997</v>
      </c>
      <c r="Y69" s="3"/>
      <c r="Z69" s="8">
        <f t="shared" si="19"/>
        <v>1.2189768041237112</v>
      </c>
    </row>
    <row r="70" spans="1:26" s="69" customFormat="1" ht="15" customHeight="1" outlineLevel="1" collapsed="1" x14ac:dyDescent="0.3">
      <c r="A70" s="25"/>
      <c r="B70" s="14" t="str">
        <f>CONCATENATE("     ","Insurance                                         ")</f>
        <v xml:space="preserve">     Insurance                                         </v>
      </c>
      <c r="C70" s="14"/>
      <c r="D70" s="2">
        <f>SUM(OSRRefD22_10x_0)</f>
        <v>5761.42</v>
      </c>
      <c r="E70" s="2"/>
      <c r="F70" s="6">
        <f t="shared" si="12"/>
        <v>3.4754690520219043E-3</v>
      </c>
      <c r="G70" s="2"/>
      <c r="H70" s="2">
        <f>SUM(OSRRefH22_10x_0)</f>
        <v>5680</v>
      </c>
      <c r="I70" s="2"/>
      <c r="J70" s="6">
        <f t="shared" si="13"/>
        <v>3.8841085936586455E-3</v>
      </c>
      <c r="K70" s="2"/>
      <c r="L70" s="2">
        <f t="shared" si="14"/>
        <v>81.420000000000073</v>
      </c>
      <c r="M70" s="2"/>
      <c r="N70" s="6">
        <f t="shared" si="15"/>
        <v>1.4334507042253534E-2</v>
      </c>
      <c r="O70" s="14"/>
      <c r="P70" s="2">
        <f>SUM(OSRRefP22_10x_0)</f>
        <v>58735.79</v>
      </c>
      <c r="Q70" s="2"/>
      <c r="R70" s="6">
        <f t="shared" si="16"/>
        <v>5.706109053054069E-3</v>
      </c>
      <c r="S70" s="2"/>
      <c r="T70" s="2">
        <f>SUM(OSRRefT22_10x_0)</f>
        <v>51120</v>
      </c>
      <c r="U70" s="2"/>
      <c r="V70" s="6">
        <f t="shared" si="17"/>
        <v>5.9463336409638174E-3</v>
      </c>
      <c r="W70" s="2"/>
      <c r="X70" s="2">
        <f t="shared" si="18"/>
        <v>7615.7900000000009</v>
      </c>
      <c r="Y70" s="2"/>
      <c r="Z70" s="6">
        <f t="shared" si="19"/>
        <v>0.14897867762128328</v>
      </c>
    </row>
    <row r="71" spans="1:26" s="70" customFormat="1" ht="15" hidden="1" customHeight="1" outlineLevel="2" x14ac:dyDescent="0.3">
      <c r="A71" s="26"/>
      <c r="B71" s="12" t="str">
        <f>CONCATENATE("          ","6314"," - ","LIABILITY INSURANCE")</f>
        <v xml:space="preserve">          6314 - LIABILITY INSURANCE</v>
      </c>
      <c r="C71" s="12"/>
      <c r="D71" s="7">
        <v>5761.42</v>
      </c>
      <c r="E71" s="3"/>
      <c r="F71" s="8">
        <f t="shared" si="12"/>
        <v>3.4754690520219043E-3</v>
      </c>
      <c r="G71" s="3"/>
      <c r="H71" s="7">
        <v>5680</v>
      </c>
      <c r="I71" s="3"/>
      <c r="J71" s="8">
        <f t="shared" si="13"/>
        <v>3.8841085936586455E-3</v>
      </c>
      <c r="K71" s="3"/>
      <c r="L71" s="7">
        <f t="shared" si="14"/>
        <v>81.420000000000073</v>
      </c>
      <c r="M71" s="3"/>
      <c r="N71" s="8">
        <f t="shared" si="15"/>
        <v>1.4334507042253534E-2</v>
      </c>
      <c r="O71" s="12"/>
      <c r="P71" s="7">
        <v>58735.79</v>
      </c>
      <c r="Q71" s="3"/>
      <c r="R71" s="8">
        <f t="shared" si="16"/>
        <v>5.706109053054069E-3</v>
      </c>
      <c r="S71" s="3"/>
      <c r="T71" s="7">
        <v>51120</v>
      </c>
      <c r="U71" s="3"/>
      <c r="V71" s="8">
        <f t="shared" si="17"/>
        <v>5.9463336409638174E-3</v>
      </c>
      <c r="W71" s="3"/>
      <c r="X71" s="7">
        <f t="shared" si="18"/>
        <v>7615.7900000000009</v>
      </c>
      <c r="Y71" s="3"/>
      <c r="Z71" s="8">
        <f t="shared" si="19"/>
        <v>0.14897867762128328</v>
      </c>
    </row>
    <row r="72" spans="1:26" s="69" customFormat="1" ht="15" customHeight="1" outlineLevel="1" collapsed="1" x14ac:dyDescent="0.3">
      <c r="A72" s="25"/>
      <c r="B72" s="14" t="str">
        <f>CONCATENATE("     ","Interest                                          ")</f>
        <v xml:space="preserve">     Interest                                          </v>
      </c>
      <c r="C72" s="14"/>
      <c r="D72" s="2">
        <f>SUM(OSRRefD22_11x_0)</f>
        <v>7253</v>
      </c>
      <c r="E72" s="2"/>
      <c r="F72" s="6">
        <f t="shared" si="12"/>
        <v>4.3752368399309323E-3</v>
      </c>
      <c r="G72" s="2"/>
      <c r="H72" s="2">
        <f>SUM(OSRRefH22_11x_0)</f>
        <v>7253</v>
      </c>
      <c r="I72" s="2"/>
      <c r="J72" s="6">
        <f t="shared" si="13"/>
        <v>4.9597604982053092E-3</v>
      </c>
      <c r="K72" s="2"/>
      <c r="L72" s="2">
        <f t="shared" si="14"/>
        <v>0</v>
      </c>
      <c r="M72" s="2"/>
      <c r="N72" s="6">
        <f t="shared" si="15"/>
        <v>0</v>
      </c>
      <c r="O72" s="14"/>
      <c r="P72" s="2">
        <f>SUM(OSRRefP22_11x_0)</f>
        <v>64763</v>
      </c>
      <c r="Q72" s="2"/>
      <c r="R72" s="6">
        <f t="shared" si="16"/>
        <v>6.291645019211296E-3</v>
      </c>
      <c r="S72" s="2"/>
      <c r="T72" s="2">
        <f>SUM(OSRRefT22_11x_0)</f>
        <v>65277</v>
      </c>
      <c r="U72" s="2"/>
      <c r="V72" s="6">
        <f t="shared" si="17"/>
        <v>7.5930911792096078E-3</v>
      </c>
      <c r="W72" s="2"/>
      <c r="X72" s="2">
        <f t="shared" si="18"/>
        <v>-514</v>
      </c>
      <c r="Y72" s="2"/>
      <c r="Z72" s="6">
        <f t="shared" si="19"/>
        <v>-7.8741363726886962E-3</v>
      </c>
    </row>
    <row r="73" spans="1:26" s="70" customFormat="1" ht="15" hidden="1" customHeight="1" outlineLevel="2" x14ac:dyDescent="0.3">
      <c r="A73" s="26"/>
      <c r="B73" s="12" t="str">
        <f>CONCATENATE("          ","6401"," - ","INTEREST EXPENSE")</f>
        <v xml:space="preserve">          6401 - INTEREST EXPENSE</v>
      </c>
      <c r="C73" s="12"/>
      <c r="D73" s="7">
        <v>7253</v>
      </c>
      <c r="E73" s="3"/>
      <c r="F73" s="8">
        <f t="shared" si="12"/>
        <v>4.3752368399309323E-3</v>
      </c>
      <c r="G73" s="3"/>
      <c r="H73" s="7">
        <v>7253</v>
      </c>
      <c r="I73" s="3"/>
      <c r="J73" s="8">
        <f t="shared" si="13"/>
        <v>4.9597604982053092E-3</v>
      </c>
      <c r="K73" s="3"/>
      <c r="L73" s="7">
        <f t="shared" si="14"/>
        <v>0</v>
      </c>
      <c r="M73" s="3"/>
      <c r="N73" s="8">
        <f t="shared" si="15"/>
        <v>0</v>
      </c>
      <c r="O73" s="12"/>
      <c r="P73" s="7">
        <v>64763</v>
      </c>
      <c r="Q73" s="3"/>
      <c r="R73" s="8">
        <f t="shared" si="16"/>
        <v>6.291645019211296E-3</v>
      </c>
      <c r="S73" s="3"/>
      <c r="T73" s="7">
        <v>65277</v>
      </c>
      <c r="U73" s="3"/>
      <c r="V73" s="8">
        <f t="shared" si="17"/>
        <v>7.5930911792096078E-3</v>
      </c>
      <c r="W73" s="3"/>
      <c r="X73" s="7">
        <f t="shared" si="18"/>
        <v>-514</v>
      </c>
      <c r="Y73" s="3"/>
      <c r="Z73" s="8">
        <f t="shared" si="19"/>
        <v>-7.8741363726886962E-3</v>
      </c>
    </row>
    <row r="74" spans="1:26" s="69" customFormat="1" ht="15" customHeight="1" outlineLevel="1" collapsed="1" x14ac:dyDescent="0.3">
      <c r="A74" s="25"/>
      <c r="B74" s="14" t="str">
        <f>CONCATENATE("     ","R/H Commissions                                   ")</f>
        <v xml:space="preserve">     R/H Commissions                                   </v>
      </c>
      <c r="C74" s="14"/>
      <c r="D74" s="2">
        <f>SUM(OSRRefD22_12x_0)</f>
        <v>111663.48</v>
      </c>
      <c r="E74" s="2"/>
      <c r="F74" s="6">
        <f t="shared" si="12"/>
        <v>6.7358909605803235E-2</v>
      </c>
      <c r="G74" s="2"/>
      <c r="H74" s="2">
        <f>SUM(OSRRefH22_12x_0)</f>
        <v>87091</v>
      </c>
      <c r="I74" s="2"/>
      <c r="J74" s="6">
        <f t="shared" si="13"/>
        <v>5.9554736184916392E-2</v>
      </c>
      <c r="K74" s="2"/>
      <c r="L74" s="2">
        <f t="shared" si="14"/>
        <v>24572.479999999996</v>
      </c>
      <c r="M74" s="2"/>
      <c r="N74" s="6">
        <f t="shared" si="15"/>
        <v>0.28214717938707784</v>
      </c>
      <c r="O74" s="14"/>
      <c r="P74" s="2">
        <f>SUM(OSRRefP22_12x_0)</f>
        <v>720692.17</v>
      </c>
      <c r="Q74" s="2"/>
      <c r="R74" s="6">
        <f t="shared" si="16"/>
        <v>7.0014349269877568E-2</v>
      </c>
      <c r="S74" s="2"/>
      <c r="T74" s="2">
        <f>SUM(OSRRefT22_12x_0)</f>
        <v>571997</v>
      </c>
      <c r="U74" s="2"/>
      <c r="V74" s="6">
        <f t="shared" si="17"/>
        <v>6.6535309147699159E-2</v>
      </c>
      <c r="W74" s="2"/>
      <c r="X74" s="2">
        <f t="shared" si="18"/>
        <v>148695.17000000004</v>
      </c>
      <c r="Y74" s="2"/>
      <c r="Z74" s="6">
        <f t="shared" si="19"/>
        <v>0.25995795432493535</v>
      </c>
    </row>
    <row r="75" spans="1:26" s="70" customFormat="1" ht="15" hidden="1" customHeight="1" outlineLevel="2" x14ac:dyDescent="0.3">
      <c r="A75" s="26"/>
      <c r="B75" s="12" t="str">
        <f>CONCATENATE("          ","6387"," - ","COMMISSION DUE HOUSING")</f>
        <v xml:space="preserve">          6387 - COMMISSION DUE HOUSING</v>
      </c>
      <c r="C75" s="12"/>
      <c r="D75" s="7">
        <v>111663.48</v>
      </c>
      <c r="E75" s="3"/>
      <c r="F75" s="8">
        <f t="shared" si="12"/>
        <v>6.7358909605803235E-2</v>
      </c>
      <c r="G75" s="3"/>
      <c r="H75" s="7">
        <v>87091</v>
      </c>
      <c r="I75" s="3"/>
      <c r="J75" s="8">
        <f t="shared" si="13"/>
        <v>5.9554736184916392E-2</v>
      </c>
      <c r="K75" s="3"/>
      <c r="L75" s="7">
        <f t="shared" si="14"/>
        <v>24572.479999999996</v>
      </c>
      <c r="M75" s="3"/>
      <c r="N75" s="8">
        <f t="shared" si="15"/>
        <v>0.28214717938707784</v>
      </c>
      <c r="O75" s="12"/>
      <c r="P75" s="7">
        <v>720692.17</v>
      </c>
      <c r="Q75" s="3"/>
      <c r="R75" s="8">
        <f t="shared" si="16"/>
        <v>7.0014349269877568E-2</v>
      </c>
      <c r="S75" s="3"/>
      <c r="T75" s="7">
        <v>571997</v>
      </c>
      <c r="U75" s="3"/>
      <c r="V75" s="8">
        <f t="shared" si="17"/>
        <v>6.6535309147699159E-2</v>
      </c>
      <c r="W75" s="3"/>
      <c r="X75" s="7">
        <f t="shared" si="18"/>
        <v>148695.17000000004</v>
      </c>
      <c r="Y75" s="3"/>
      <c r="Z75" s="8">
        <f t="shared" si="19"/>
        <v>0.25995795432493535</v>
      </c>
    </row>
    <row r="76" spans="1:26" s="69" customFormat="1" ht="15" customHeight="1" outlineLevel="1" collapsed="1" x14ac:dyDescent="0.3">
      <c r="A76" s="25"/>
      <c r="B76" s="14" t="str">
        <f>CONCATENATE("     ","Rent                                              ")</f>
        <v xml:space="preserve">     Rent                                              </v>
      </c>
      <c r="C76" s="14"/>
      <c r="D76" s="2">
        <f>SUM(OSRRefD22_13x_0)</f>
        <v>1850</v>
      </c>
      <c r="E76" s="2"/>
      <c r="F76" s="6">
        <f t="shared" si="12"/>
        <v>1.1159779613776678E-3</v>
      </c>
      <c r="G76" s="2"/>
      <c r="H76" s="2">
        <f>SUM(OSRRefH22_13x_0)</f>
        <v>1850</v>
      </c>
      <c r="I76" s="2"/>
      <c r="J76" s="6">
        <f t="shared" si="13"/>
        <v>1.265070580681073E-3</v>
      </c>
      <c r="K76" s="2"/>
      <c r="L76" s="2">
        <f t="shared" si="14"/>
        <v>0</v>
      </c>
      <c r="M76" s="2"/>
      <c r="N76" s="6">
        <f t="shared" si="15"/>
        <v>0</v>
      </c>
      <c r="O76" s="14"/>
      <c r="P76" s="2">
        <f>SUM(OSRRefP22_13x_0)</f>
        <v>16650</v>
      </c>
      <c r="Q76" s="2"/>
      <c r="R76" s="6">
        <f t="shared" si="16"/>
        <v>1.6175268219487684E-3</v>
      </c>
      <c r="S76" s="2"/>
      <c r="T76" s="2">
        <f>SUM(OSRRefT22_13x_0)</f>
        <v>16650</v>
      </c>
      <c r="U76" s="2"/>
      <c r="V76" s="6">
        <f t="shared" si="17"/>
        <v>1.936745992215328E-3</v>
      </c>
      <c r="W76" s="2"/>
      <c r="X76" s="2">
        <f t="shared" si="18"/>
        <v>0</v>
      </c>
      <c r="Y76" s="2"/>
      <c r="Z76" s="6">
        <f t="shared" si="19"/>
        <v>0</v>
      </c>
    </row>
    <row r="77" spans="1:26" s="70" customFormat="1" ht="15" hidden="1" customHeight="1" outlineLevel="2" x14ac:dyDescent="0.3">
      <c r="A77" s="26"/>
      <c r="B77" s="12" t="str">
        <f>CONCATENATE("          ","6273"," - ","RENT")</f>
        <v xml:space="preserve">          6273 - RENT</v>
      </c>
      <c r="C77" s="12"/>
      <c r="D77" s="7">
        <v>1850</v>
      </c>
      <c r="E77" s="3"/>
      <c r="F77" s="8">
        <f t="shared" si="12"/>
        <v>1.1159779613776678E-3</v>
      </c>
      <c r="G77" s="3"/>
      <c r="H77" s="7">
        <v>1850</v>
      </c>
      <c r="I77" s="3"/>
      <c r="J77" s="8">
        <f t="shared" si="13"/>
        <v>1.265070580681073E-3</v>
      </c>
      <c r="K77" s="3"/>
      <c r="L77" s="7">
        <f t="shared" si="14"/>
        <v>0</v>
      </c>
      <c r="M77" s="3"/>
      <c r="N77" s="8">
        <f t="shared" si="15"/>
        <v>0</v>
      </c>
      <c r="O77" s="12"/>
      <c r="P77" s="7">
        <v>16650</v>
      </c>
      <c r="Q77" s="3"/>
      <c r="R77" s="8">
        <f t="shared" si="16"/>
        <v>1.6175268219487684E-3</v>
      </c>
      <c r="S77" s="3"/>
      <c r="T77" s="7">
        <v>16650</v>
      </c>
      <c r="U77" s="3"/>
      <c r="V77" s="8">
        <f t="shared" si="17"/>
        <v>1.936745992215328E-3</v>
      </c>
      <c r="W77" s="3"/>
      <c r="X77" s="7">
        <f t="shared" si="18"/>
        <v>0</v>
      </c>
      <c r="Y77" s="3"/>
      <c r="Z77" s="8">
        <f t="shared" si="19"/>
        <v>0</v>
      </c>
    </row>
    <row r="78" spans="1:26" s="69" customFormat="1" ht="15" customHeight="1" outlineLevel="1" collapsed="1" x14ac:dyDescent="0.3">
      <c r="A78" s="25"/>
      <c r="B78" s="14" t="str">
        <f>CONCATENATE("     ","Repair and Maintenance                            ")</f>
        <v xml:space="preserve">     Repair and Maintenance                            </v>
      </c>
      <c r="C78" s="14"/>
      <c r="D78" s="2">
        <f>SUM(OSRRefD22_14x_0)</f>
        <v>12895.38</v>
      </c>
      <c r="E78" s="2"/>
      <c r="F78" s="6">
        <f t="shared" si="12"/>
        <v>7.7788972343731614E-3</v>
      </c>
      <c r="G78" s="2"/>
      <c r="H78" s="2">
        <f>SUM(OSRRefH22_14x_0)</f>
        <v>7500</v>
      </c>
      <c r="I78" s="2"/>
      <c r="J78" s="6">
        <f t="shared" si="13"/>
        <v>5.1286645162746201E-3</v>
      </c>
      <c r="K78" s="2"/>
      <c r="L78" s="2">
        <f t="shared" si="14"/>
        <v>5395.3799999999992</v>
      </c>
      <c r="M78" s="2"/>
      <c r="N78" s="6">
        <f t="shared" si="15"/>
        <v>0.71938399999999991</v>
      </c>
      <c r="O78" s="14"/>
      <c r="P78" s="2">
        <f>SUM(OSRRefP22_14x_0)</f>
        <v>108717.34</v>
      </c>
      <c r="Q78" s="2"/>
      <c r="R78" s="6">
        <f t="shared" si="16"/>
        <v>1.056175456221764E-2</v>
      </c>
      <c r="S78" s="2"/>
      <c r="T78" s="2">
        <f>SUM(OSRRefT22_14x_0)</f>
        <v>92159</v>
      </c>
      <c r="U78" s="2"/>
      <c r="V78" s="6">
        <f t="shared" si="17"/>
        <v>1.0720034468262607E-2</v>
      </c>
      <c r="W78" s="2"/>
      <c r="X78" s="2">
        <f t="shared" si="18"/>
        <v>16558.339999999997</v>
      </c>
      <c r="Y78" s="2"/>
      <c r="Z78" s="6">
        <f t="shared" si="19"/>
        <v>0.17967143740708988</v>
      </c>
    </row>
    <row r="79" spans="1:26" s="70" customFormat="1" ht="15" hidden="1" customHeight="1" outlineLevel="2" x14ac:dyDescent="0.3">
      <c r="A79" s="26"/>
      <c r="B79" s="12" t="str">
        <f>CONCATENATE("          ","6371"," - ","COMPUTER SOFTWARE MAINTENANCE")</f>
        <v xml:space="preserve">          6371 - COMPUTER SOFTWARE MAINTENANCE</v>
      </c>
      <c r="C79" s="12"/>
      <c r="D79" s="7">
        <v>4283.7</v>
      </c>
      <c r="E79" s="3"/>
      <c r="F79" s="8">
        <f t="shared" si="12"/>
        <v>2.5840620503532513E-3</v>
      </c>
      <c r="G79" s="3"/>
      <c r="H79" s="7">
        <v>3500</v>
      </c>
      <c r="I79" s="3"/>
      <c r="J79" s="8">
        <f t="shared" si="13"/>
        <v>2.3933767742614896E-3</v>
      </c>
      <c r="K79" s="3"/>
      <c r="L79" s="7">
        <f t="shared" si="14"/>
        <v>783.69999999999982</v>
      </c>
      <c r="M79" s="3"/>
      <c r="N79" s="8">
        <f t="shared" si="15"/>
        <v>0.22391428571428565</v>
      </c>
      <c r="O79" s="12"/>
      <c r="P79" s="7">
        <v>39100.870000000003</v>
      </c>
      <c r="Q79" s="3"/>
      <c r="R79" s="8">
        <f t="shared" si="16"/>
        <v>3.7986009601520686E-3</v>
      </c>
      <c r="S79" s="3"/>
      <c r="T79" s="7">
        <v>31500</v>
      </c>
      <c r="U79" s="3"/>
      <c r="V79" s="8">
        <f t="shared" si="17"/>
        <v>3.6641140393262961E-3</v>
      </c>
      <c r="W79" s="3"/>
      <c r="X79" s="7">
        <f t="shared" si="18"/>
        <v>7600.8700000000026</v>
      </c>
      <c r="Y79" s="3"/>
      <c r="Z79" s="8">
        <f t="shared" si="19"/>
        <v>0.24129746031746041</v>
      </c>
    </row>
    <row r="80" spans="1:26" s="70" customFormat="1" ht="15" hidden="1" customHeight="1" outlineLevel="2" x14ac:dyDescent="0.3">
      <c r="A80" s="26"/>
      <c r="B80" s="12" t="str">
        <f>CONCATENATE("          ","6372"," - ","COMPUTER HARDWARE MAINTENANCE")</f>
        <v xml:space="preserve">          6372 - COMPUTER HARDWARE MAINTENANCE</v>
      </c>
      <c r="C80" s="12"/>
      <c r="D80" s="7"/>
      <c r="E80" s="3"/>
      <c r="F80" s="8">
        <f t="shared" si="12"/>
        <v>0</v>
      </c>
      <c r="G80" s="3"/>
      <c r="H80" s="7"/>
      <c r="I80" s="3"/>
      <c r="J80" s="8">
        <f t="shared" si="13"/>
        <v>0</v>
      </c>
      <c r="K80" s="3"/>
      <c r="L80" s="7">
        <f t="shared" si="14"/>
        <v>0</v>
      </c>
      <c r="M80" s="3"/>
      <c r="N80" s="8">
        <f t="shared" si="15"/>
        <v>0</v>
      </c>
      <c r="O80" s="12"/>
      <c r="P80" s="7"/>
      <c r="Q80" s="3"/>
      <c r="R80" s="8">
        <f t="shared" si="16"/>
        <v>0</v>
      </c>
      <c r="S80" s="3"/>
      <c r="T80" s="7">
        <v>8000</v>
      </c>
      <c r="U80" s="3"/>
      <c r="V80" s="8">
        <f t="shared" si="17"/>
        <v>9.3056864490826568E-4</v>
      </c>
      <c r="W80" s="3"/>
      <c r="X80" s="7">
        <f t="shared" si="18"/>
        <v>-8000</v>
      </c>
      <c r="Y80" s="3"/>
      <c r="Z80" s="8">
        <f t="shared" si="19"/>
        <v>-1</v>
      </c>
    </row>
    <row r="81" spans="1:26" s="70" customFormat="1" ht="15" hidden="1" customHeight="1" outlineLevel="2" x14ac:dyDescent="0.3">
      <c r="A81" s="26"/>
      <c r="B81" s="12" t="str">
        <f>CONCATENATE("          ","6373"," - ","MAINTENANCE CONTRACTS")</f>
        <v xml:space="preserve">          6373 - MAINTENANCE CONTRACTS</v>
      </c>
      <c r="C81" s="12"/>
      <c r="D81" s="7">
        <v>5749.79</v>
      </c>
      <c r="E81" s="3"/>
      <c r="F81" s="8">
        <f t="shared" si="12"/>
        <v>3.4684534716484866E-3</v>
      </c>
      <c r="G81" s="3"/>
      <c r="H81" s="7"/>
      <c r="I81" s="3"/>
      <c r="J81" s="8">
        <f t="shared" si="13"/>
        <v>0</v>
      </c>
      <c r="K81" s="3"/>
      <c r="L81" s="7">
        <f t="shared" si="14"/>
        <v>5749.79</v>
      </c>
      <c r="M81" s="3"/>
      <c r="N81" s="8">
        <f t="shared" si="15"/>
        <v>0</v>
      </c>
      <c r="O81" s="12"/>
      <c r="P81" s="7">
        <v>21015.35</v>
      </c>
      <c r="Q81" s="3"/>
      <c r="R81" s="8">
        <f t="shared" si="16"/>
        <v>2.0416151530114742E-3</v>
      </c>
      <c r="S81" s="3"/>
      <c r="T81" s="7">
        <v>17015</v>
      </c>
      <c r="U81" s="3"/>
      <c r="V81" s="8">
        <f t="shared" si="17"/>
        <v>1.9792031866392675E-3</v>
      </c>
      <c r="W81" s="3"/>
      <c r="X81" s="7">
        <f t="shared" si="18"/>
        <v>4000.3499999999985</v>
      </c>
      <c r="Y81" s="3"/>
      <c r="Z81" s="8">
        <f t="shared" si="19"/>
        <v>0.23510725830149859</v>
      </c>
    </row>
    <row r="82" spans="1:26" s="70" customFormat="1" ht="15" hidden="1" customHeight="1" outlineLevel="2" x14ac:dyDescent="0.3">
      <c r="A82" s="26"/>
      <c r="B82" s="12" t="str">
        <f>CONCATENATE("          ","6375"," - ","OUTSIDE REPAIRS &amp; MAINTENANCE")</f>
        <v xml:space="preserve">          6375 - OUTSIDE REPAIRS &amp; MAINTENANCE</v>
      </c>
      <c r="C82" s="12"/>
      <c r="D82" s="7">
        <v>2861.89</v>
      </c>
      <c r="E82" s="3"/>
      <c r="F82" s="8">
        <f t="shared" si="12"/>
        <v>1.7263817123714235E-3</v>
      </c>
      <c r="G82" s="3"/>
      <c r="H82" s="7">
        <v>4000</v>
      </c>
      <c r="I82" s="3"/>
      <c r="J82" s="8">
        <f t="shared" si="13"/>
        <v>2.7352877420131309E-3</v>
      </c>
      <c r="K82" s="3"/>
      <c r="L82" s="7">
        <f t="shared" si="14"/>
        <v>-1138.1100000000001</v>
      </c>
      <c r="M82" s="3"/>
      <c r="N82" s="8">
        <f t="shared" si="15"/>
        <v>-0.28452750000000004</v>
      </c>
      <c r="O82" s="12"/>
      <c r="P82" s="7">
        <v>48601.120000000003</v>
      </c>
      <c r="Q82" s="3"/>
      <c r="R82" s="8">
        <f t="shared" si="16"/>
        <v>4.7215384490540977E-3</v>
      </c>
      <c r="S82" s="3"/>
      <c r="T82" s="7">
        <v>35644</v>
      </c>
      <c r="U82" s="3"/>
      <c r="V82" s="8">
        <f t="shared" si="17"/>
        <v>4.1461485973887779E-3</v>
      </c>
      <c r="W82" s="3"/>
      <c r="X82" s="7">
        <f t="shared" si="18"/>
        <v>12957.120000000003</v>
      </c>
      <c r="Y82" s="3"/>
      <c r="Z82" s="8">
        <f t="shared" si="19"/>
        <v>0.36351475704185843</v>
      </c>
    </row>
    <row r="83" spans="1:26" s="69" customFormat="1" ht="15" customHeight="1" outlineLevel="1" collapsed="1" x14ac:dyDescent="0.3">
      <c r="A83" s="25"/>
      <c r="B83" s="14" t="str">
        <f>CONCATENATE("     ","Royalty &amp; Commissions                             ")</f>
        <v xml:space="preserve">     Royalty &amp; Commissions                             </v>
      </c>
      <c r="C83" s="14"/>
      <c r="D83" s="2">
        <f>SUM(OSRRefD22_15x_0)</f>
        <v>583.67999999999995</v>
      </c>
      <c r="E83" s="2"/>
      <c r="F83" s="6">
        <f t="shared" si="12"/>
        <v>3.5209406297130651E-4</v>
      </c>
      <c r="G83" s="2"/>
      <c r="H83" s="2">
        <f>SUM(OSRRefH22_15x_0)</f>
        <v>0</v>
      </c>
      <c r="I83" s="2"/>
      <c r="J83" s="6">
        <f t="shared" si="13"/>
        <v>0</v>
      </c>
      <c r="K83" s="2"/>
      <c r="L83" s="2">
        <f t="shared" si="14"/>
        <v>583.67999999999995</v>
      </c>
      <c r="M83" s="2"/>
      <c r="N83" s="6">
        <f t="shared" si="15"/>
        <v>0</v>
      </c>
      <c r="O83" s="14"/>
      <c r="P83" s="2">
        <f>SUM(OSRRefP22_15x_0)</f>
        <v>4217.71</v>
      </c>
      <c r="Q83" s="2"/>
      <c r="R83" s="6">
        <f t="shared" si="16"/>
        <v>4.0974528842051288E-4</v>
      </c>
      <c r="S83" s="2"/>
      <c r="T83" s="2">
        <f>SUM(OSRRefT22_15x_0)</f>
        <v>0</v>
      </c>
      <c r="U83" s="2"/>
      <c r="V83" s="6">
        <f t="shared" si="17"/>
        <v>0</v>
      </c>
      <c r="W83" s="2"/>
      <c r="X83" s="2">
        <f t="shared" si="18"/>
        <v>4217.71</v>
      </c>
      <c r="Y83" s="2"/>
      <c r="Z83" s="6">
        <f t="shared" si="19"/>
        <v>0</v>
      </c>
    </row>
    <row r="84" spans="1:26" s="70" customFormat="1" ht="15" hidden="1" customHeight="1" outlineLevel="2" x14ac:dyDescent="0.3">
      <c r="A84" s="26"/>
      <c r="B84" s="12" t="str">
        <f>CONCATENATE("          ","6254"," - ","ROYALTY &amp; COMMISSIONS")</f>
        <v xml:space="preserve">          6254 - ROYALTY &amp; COMMISSIONS</v>
      </c>
      <c r="C84" s="12"/>
      <c r="D84" s="7">
        <v>583.67999999999995</v>
      </c>
      <c r="E84" s="3"/>
      <c r="F84" s="8">
        <f t="shared" si="12"/>
        <v>3.5209406297130651E-4</v>
      </c>
      <c r="G84" s="3"/>
      <c r="H84" s="7"/>
      <c r="I84" s="3"/>
      <c r="J84" s="8">
        <f t="shared" si="13"/>
        <v>0</v>
      </c>
      <c r="K84" s="3"/>
      <c r="L84" s="7">
        <f t="shared" si="14"/>
        <v>583.67999999999995</v>
      </c>
      <c r="M84" s="3"/>
      <c r="N84" s="8">
        <f t="shared" si="15"/>
        <v>0</v>
      </c>
      <c r="O84" s="12"/>
      <c r="P84" s="7">
        <v>4217.71</v>
      </c>
      <c r="Q84" s="3"/>
      <c r="R84" s="8">
        <f t="shared" si="16"/>
        <v>4.0974528842051288E-4</v>
      </c>
      <c r="S84" s="3"/>
      <c r="T84" s="7"/>
      <c r="U84" s="3"/>
      <c r="V84" s="8">
        <f t="shared" si="17"/>
        <v>0</v>
      </c>
      <c r="W84" s="3"/>
      <c r="X84" s="7">
        <f t="shared" si="18"/>
        <v>4217.71</v>
      </c>
      <c r="Y84" s="3"/>
      <c r="Z84" s="8">
        <f t="shared" si="19"/>
        <v>0</v>
      </c>
    </row>
    <row r="85" spans="1:26" s="69" customFormat="1" ht="15" customHeight="1" outlineLevel="1" collapsed="1" x14ac:dyDescent="0.3">
      <c r="A85" s="25"/>
      <c r="B85" s="14" t="str">
        <f>CONCATENATE("     ","Services                                          ")</f>
        <v xml:space="preserve">     Services                                          </v>
      </c>
      <c r="C85" s="14"/>
      <c r="D85" s="2">
        <f>SUM(OSRRefD22_16x_0)</f>
        <v>26860.120000000003</v>
      </c>
      <c r="E85" s="2"/>
      <c r="F85" s="6">
        <f t="shared" si="12"/>
        <v>1.6202865924302447E-2</v>
      </c>
      <c r="G85" s="2"/>
      <c r="H85" s="2">
        <f>SUM(OSRRefH22_16x_0)</f>
        <v>32801</v>
      </c>
      <c r="I85" s="2"/>
      <c r="J85" s="6">
        <f t="shared" si="13"/>
        <v>2.2430043306443177E-2</v>
      </c>
      <c r="K85" s="2"/>
      <c r="L85" s="2">
        <f t="shared" si="14"/>
        <v>-5940.8799999999974</v>
      </c>
      <c r="M85" s="2"/>
      <c r="N85" s="6">
        <f t="shared" si="15"/>
        <v>-0.18111886832718507</v>
      </c>
      <c r="O85" s="14"/>
      <c r="P85" s="2">
        <f>SUM(OSRRefP22_16x_0)</f>
        <v>216299.85</v>
      </c>
      <c r="Q85" s="2"/>
      <c r="R85" s="6">
        <f t="shared" si="16"/>
        <v>2.1013261799309027E-2</v>
      </c>
      <c r="S85" s="2"/>
      <c r="T85" s="2">
        <f>SUM(OSRRefT22_16x_0)</f>
        <v>286568</v>
      </c>
      <c r="U85" s="2"/>
      <c r="V85" s="6">
        <f t="shared" si="17"/>
        <v>3.3333899429258983E-2</v>
      </c>
      <c r="W85" s="2"/>
      <c r="X85" s="2">
        <f t="shared" si="18"/>
        <v>-70268.149999999994</v>
      </c>
      <c r="Y85" s="2"/>
      <c r="Z85" s="6">
        <f t="shared" si="19"/>
        <v>-0.2452058499204377</v>
      </c>
    </row>
    <row r="86" spans="1:26" s="70" customFormat="1" ht="15" hidden="1" customHeight="1" outlineLevel="2" x14ac:dyDescent="0.3">
      <c r="A86" s="26"/>
      <c r="B86" s="12" t="str">
        <f>CONCATENATE("          ","6282"," - ","JANITORIAL/EXTERMINATOR EXPENS")</f>
        <v xml:space="preserve">          6282 - JANITORIAL/EXTERMINATOR EXPENS</v>
      </c>
      <c r="C86" s="12"/>
      <c r="D86" s="7">
        <v>3945.7</v>
      </c>
      <c r="E86" s="3"/>
      <c r="F86" s="8">
        <f t="shared" si="12"/>
        <v>2.3801698606528993E-3</v>
      </c>
      <c r="G86" s="3"/>
      <c r="H86" s="7">
        <v>2698</v>
      </c>
      <c r="I86" s="3"/>
      <c r="J86" s="8">
        <f t="shared" si="13"/>
        <v>1.8449515819878566E-3</v>
      </c>
      <c r="K86" s="3"/>
      <c r="L86" s="7">
        <f t="shared" si="14"/>
        <v>1247.6999999999998</v>
      </c>
      <c r="M86" s="3"/>
      <c r="N86" s="8">
        <f t="shared" si="15"/>
        <v>0.46245366938472937</v>
      </c>
      <c r="O86" s="12"/>
      <c r="P86" s="7">
        <v>25549.13</v>
      </c>
      <c r="Q86" s="3"/>
      <c r="R86" s="8">
        <f t="shared" si="16"/>
        <v>2.482066249396753E-3</v>
      </c>
      <c r="S86" s="3"/>
      <c r="T86" s="7">
        <v>24182</v>
      </c>
      <c r="U86" s="3"/>
      <c r="V86" s="8">
        <f t="shared" si="17"/>
        <v>2.8128763713964602E-3</v>
      </c>
      <c r="W86" s="3"/>
      <c r="X86" s="7">
        <f t="shared" si="18"/>
        <v>1367.130000000001</v>
      </c>
      <c r="Y86" s="3"/>
      <c r="Z86" s="8">
        <f t="shared" si="19"/>
        <v>5.6535026052435738E-2</v>
      </c>
    </row>
    <row r="87" spans="1:26" s="70" customFormat="1" ht="15" hidden="1" customHeight="1" outlineLevel="2" x14ac:dyDescent="0.3">
      <c r="A87" s="26"/>
      <c r="B87" s="12" t="str">
        <f>CONCATENATE("          ","6283"," - ","PLANT SERVICE")</f>
        <v xml:space="preserve">          6283 - PLANT SERVICE</v>
      </c>
      <c r="C87" s="12"/>
      <c r="D87" s="7"/>
      <c r="E87" s="3"/>
      <c r="F87" s="8">
        <f t="shared" si="12"/>
        <v>0</v>
      </c>
      <c r="G87" s="3"/>
      <c r="H87" s="7">
        <v>100</v>
      </c>
      <c r="I87" s="3"/>
      <c r="J87" s="8">
        <f t="shared" si="13"/>
        <v>6.8382193550328268E-5</v>
      </c>
      <c r="K87" s="3"/>
      <c r="L87" s="7">
        <f t="shared" si="14"/>
        <v>-100</v>
      </c>
      <c r="M87" s="3"/>
      <c r="N87" s="8">
        <f t="shared" si="15"/>
        <v>-1</v>
      </c>
      <c r="O87" s="12"/>
      <c r="P87" s="7"/>
      <c r="Q87" s="3"/>
      <c r="R87" s="8">
        <f t="shared" si="16"/>
        <v>0</v>
      </c>
      <c r="S87" s="3"/>
      <c r="T87" s="7">
        <v>900</v>
      </c>
      <c r="U87" s="3"/>
      <c r="V87" s="8">
        <f t="shared" si="17"/>
        <v>1.0468897255217989E-4</v>
      </c>
      <c r="W87" s="3"/>
      <c r="X87" s="7">
        <f t="shared" si="18"/>
        <v>-900</v>
      </c>
      <c r="Y87" s="3"/>
      <c r="Z87" s="8">
        <f t="shared" si="19"/>
        <v>-1</v>
      </c>
    </row>
    <row r="88" spans="1:26" s="70" customFormat="1" ht="15" hidden="1" customHeight="1" outlineLevel="2" x14ac:dyDescent="0.3">
      <c r="A88" s="26"/>
      <c r="B88" s="12" t="str">
        <f>CONCATENATE("          ","6284"," - ","TRASH REMOVAL EXPENSE")</f>
        <v xml:space="preserve">          6284 - TRASH REMOVAL EXPENSE</v>
      </c>
      <c r="C88" s="12"/>
      <c r="D88" s="7"/>
      <c r="E88" s="3"/>
      <c r="F88" s="8">
        <f t="shared" si="12"/>
        <v>0</v>
      </c>
      <c r="G88" s="3"/>
      <c r="H88" s="7">
        <v>1600</v>
      </c>
      <c r="I88" s="3"/>
      <c r="J88" s="8">
        <f t="shared" si="13"/>
        <v>1.0941150968052523E-3</v>
      </c>
      <c r="K88" s="3"/>
      <c r="L88" s="7">
        <f t="shared" si="14"/>
        <v>-1600</v>
      </c>
      <c r="M88" s="3"/>
      <c r="N88" s="8">
        <f t="shared" si="15"/>
        <v>-1</v>
      </c>
      <c r="O88" s="12"/>
      <c r="P88" s="7"/>
      <c r="Q88" s="3"/>
      <c r="R88" s="8">
        <f t="shared" si="16"/>
        <v>0</v>
      </c>
      <c r="S88" s="3"/>
      <c r="T88" s="7">
        <v>14400</v>
      </c>
      <c r="U88" s="3"/>
      <c r="V88" s="8">
        <f t="shared" si="17"/>
        <v>1.6750235608348782E-3</v>
      </c>
      <c r="W88" s="3"/>
      <c r="X88" s="7">
        <f t="shared" si="18"/>
        <v>-14400</v>
      </c>
      <c r="Y88" s="3"/>
      <c r="Z88" s="8">
        <f t="shared" si="19"/>
        <v>-1</v>
      </c>
    </row>
    <row r="89" spans="1:26" s="70" customFormat="1" ht="15" hidden="1" customHeight="1" outlineLevel="2" x14ac:dyDescent="0.3">
      <c r="A89" s="26"/>
      <c r="B89" s="12" t="str">
        <f>CONCATENATE("          ","6285"," - ","JANITORIAL SERVICES")</f>
        <v xml:space="preserve">          6285 - JANITORIAL SERVICES</v>
      </c>
      <c r="C89" s="12"/>
      <c r="D89" s="7">
        <v>18238.2</v>
      </c>
      <c r="E89" s="3"/>
      <c r="F89" s="8">
        <f t="shared" si="12"/>
        <v>1.1001853651458476E-2</v>
      </c>
      <c r="G89" s="3"/>
      <c r="H89" s="7">
        <v>23083</v>
      </c>
      <c r="I89" s="3"/>
      <c r="J89" s="8">
        <f t="shared" si="13"/>
        <v>1.5784661737222275E-2</v>
      </c>
      <c r="K89" s="3"/>
      <c r="L89" s="7">
        <f t="shared" si="14"/>
        <v>-4844.7999999999993</v>
      </c>
      <c r="M89" s="3"/>
      <c r="N89" s="8">
        <f t="shared" si="15"/>
        <v>-0.20988606333665466</v>
      </c>
      <c r="O89" s="12"/>
      <c r="P89" s="7">
        <v>162848.57</v>
      </c>
      <c r="Q89" s="3"/>
      <c r="R89" s="8">
        <f t="shared" si="16"/>
        <v>1.5820536329789883E-2</v>
      </c>
      <c r="S89" s="3"/>
      <c r="T89" s="7">
        <v>200295</v>
      </c>
      <c r="U89" s="3"/>
      <c r="V89" s="8">
        <f t="shared" si="17"/>
        <v>2.3298530841487634E-2</v>
      </c>
      <c r="W89" s="3"/>
      <c r="X89" s="7">
        <f t="shared" si="18"/>
        <v>-37446.429999999993</v>
      </c>
      <c r="Y89" s="3"/>
      <c r="Z89" s="8">
        <f t="shared" si="19"/>
        <v>-0.18695638932574449</v>
      </c>
    </row>
    <row r="90" spans="1:26" s="70" customFormat="1" ht="15" hidden="1" customHeight="1" outlineLevel="2" x14ac:dyDescent="0.3">
      <c r="A90" s="26"/>
      <c r="B90" s="12" t="str">
        <f>CONCATENATE("          ","6286"," - ","LAUNDRY EXPENSE")</f>
        <v xml:space="preserve">          6286 - LAUNDRY EXPENSE</v>
      </c>
      <c r="C90" s="12"/>
      <c r="D90" s="7">
        <v>4676.22</v>
      </c>
      <c r="E90" s="3"/>
      <c r="F90" s="8">
        <f t="shared" si="12"/>
        <v>2.8208424121910691E-3</v>
      </c>
      <c r="G90" s="3"/>
      <c r="H90" s="7">
        <v>5320</v>
      </c>
      <c r="I90" s="3"/>
      <c r="J90" s="8">
        <f t="shared" si="13"/>
        <v>3.6379326968774637E-3</v>
      </c>
      <c r="K90" s="3"/>
      <c r="L90" s="7">
        <f t="shared" si="14"/>
        <v>-643.77999999999975</v>
      </c>
      <c r="M90" s="3"/>
      <c r="N90" s="8">
        <f t="shared" si="15"/>
        <v>-0.12101127819548868</v>
      </c>
      <c r="O90" s="12"/>
      <c r="P90" s="7">
        <v>27902.15</v>
      </c>
      <c r="Q90" s="3"/>
      <c r="R90" s="8">
        <f t="shared" si="16"/>
        <v>2.7106592201223919E-3</v>
      </c>
      <c r="S90" s="3"/>
      <c r="T90" s="7">
        <v>46791</v>
      </c>
      <c r="U90" s="3"/>
      <c r="V90" s="8">
        <f t="shared" si="17"/>
        <v>5.442779682987833E-3</v>
      </c>
      <c r="W90" s="3"/>
      <c r="X90" s="7">
        <f t="shared" si="18"/>
        <v>-18888.849999999999</v>
      </c>
      <c r="Y90" s="3"/>
      <c r="Z90" s="8">
        <f t="shared" si="19"/>
        <v>-0.40368553781710154</v>
      </c>
    </row>
    <row r="91" spans="1:26" s="69" customFormat="1" ht="15" customHeight="1" outlineLevel="1" collapsed="1" x14ac:dyDescent="0.3">
      <c r="A91" s="25"/>
      <c r="B91" s="14" t="str">
        <f>CONCATENATE("     ","Subscriptions &amp; Dues                              ")</f>
        <v xml:space="preserve">     Subscriptions &amp; Dues                              </v>
      </c>
      <c r="C91" s="14"/>
      <c r="D91" s="2">
        <f>SUM(OSRRefD22_17x_0)</f>
        <v>691.54</v>
      </c>
      <c r="E91" s="2"/>
      <c r="F91" s="6">
        <f t="shared" si="12"/>
        <v>4.1715859427627694E-4</v>
      </c>
      <c r="G91" s="2"/>
      <c r="H91" s="2">
        <f>SUM(OSRRefH22_17x_0)</f>
        <v>610</v>
      </c>
      <c r="I91" s="2"/>
      <c r="J91" s="6">
        <f t="shared" si="13"/>
        <v>4.1713138065700245E-4</v>
      </c>
      <c r="K91" s="2"/>
      <c r="L91" s="2">
        <f t="shared" si="14"/>
        <v>81.539999999999964</v>
      </c>
      <c r="M91" s="2"/>
      <c r="N91" s="6">
        <f t="shared" si="15"/>
        <v>0.13367213114754092</v>
      </c>
      <c r="O91" s="14"/>
      <c r="P91" s="2">
        <f>SUM(OSRRefP22_17x_0)</f>
        <v>5846.9</v>
      </c>
      <c r="Q91" s="2"/>
      <c r="R91" s="6">
        <f t="shared" si="16"/>
        <v>5.6801907358872388E-4</v>
      </c>
      <c r="S91" s="2"/>
      <c r="T91" s="2">
        <f>SUM(OSRRefT22_17x_0)</f>
        <v>6055</v>
      </c>
      <c r="U91" s="2"/>
      <c r="V91" s="6">
        <f t="shared" si="17"/>
        <v>7.043241431149436E-4</v>
      </c>
      <c r="W91" s="2"/>
      <c r="X91" s="2">
        <f t="shared" si="18"/>
        <v>-208.10000000000036</v>
      </c>
      <c r="Y91" s="2"/>
      <c r="Z91" s="6">
        <f t="shared" si="19"/>
        <v>-3.4368290668868762E-2</v>
      </c>
    </row>
    <row r="92" spans="1:26" s="70" customFormat="1" ht="15" hidden="1" customHeight="1" outlineLevel="2" x14ac:dyDescent="0.3">
      <c r="A92" s="26"/>
      <c r="B92" s="12" t="str">
        <f>CONCATENATE("          ","6258"," - ","MEMBERSHIP DUES")</f>
        <v xml:space="preserve">          6258 - MEMBERSHIP DUES</v>
      </c>
      <c r="C92" s="12"/>
      <c r="D92" s="7"/>
      <c r="E92" s="3"/>
      <c r="F92" s="8">
        <f t="shared" si="12"/>
        <v>0</v>
      </c>
      <c r="G92" s="3"/>
      <c r="H92" s="7"/>
      <c r="I92" s="3"/>
      <c r="J92" s="8">
        <f t="shared" si="13"/>
        <v>0</v>
      </c>
      <c r="K92" s="3"/>
      <c r="L92" s="7">
        <f t="shared" si="14"/>
        <v>0</v>
      </c>
      <c r="M92" s="3"/>
      <c r="N92" s="8">
        <f t="shared" si="15"/>
        <v>0</v>
      </c>
      <c r="O92" s="12"/>
      <c r="P92" s="7"/>
      <c r="Q92" s="3"/>
      <c r="R92" s="8">
        <f t="shared" si="16"/>
        <v>0</v>
      </c>
      <c r="S92" s="3"/>
      <c r="T92" s="7">
        <v>795</v>
      </c>
      <c r="U92" s="3"/>
      <c r="V92" s="8">
        <f t="shared" si="17"/>
        <v>9.2475259087758908E-5</v>
      </c>
      <c r="W92" s="3"/>
      <c r="X92" s="7">
        <f t="shared" si="18"/>
        <v>-795</v>
      </c>
      <c r="Y92" s="3"/>
      <c r="Z92" s="8">
        <f t="shared" si="19"/>
        <v>-1</v>
      </c>
    </row>
    <row r="93" spans="1:26" s="70" customFormat="1" ht="15" hidden="1" customHeight="1" outlineLevel="2" x14ac:dyDescent="0.3">
      <c r="A93" s="26"/>
      <c r="B93" s="12" t="str">
        <f>CONCATENATE("          ","6275"," - ","SUBSCRIPTIONS")</f>
        <v xml:space="preserve">          6275 - SUBSCRIPTIONS</v>
      </c>
      <c r="C93" s="12"/>
      <c r="D93" s="7">
        <v>691.54</v>
      </c>
      <c r="E93" s="3"/>
      <c r="F93" s="8">
        <f t="shared" ref="F93:F114" si="20">IF(D$12=0,0,D93/D$12)</f>
        <v>4.1715859427627694E-4</v>
      </c>
      <c r="G93" s="3"/>
      <c r="H93" s="7">
        <v>610</v>
      </c>
      <c r="I93" s="3"/>
      <c r="J93" s="8">
        <f t="shared" ref="J93:J114" si="21">IF(H$12=0,0,H93/H$12)</f>
        <v>4.1713138065700245E-4</v>
      </c>
      <c r="K93" s="3"/>
      <c r="L93" s="7">
        <f t="shared" ref="L93:L114" si="22">+D93-H93</f>
        <v>81.539999999999964</v>
      </c>
      <c r="M93" s="3"/>
      <c r="N93" s="8">
        <f t="shared" ref="N93:N114" si="23">IF(H93=0,0,L93/H93)</f>
        <v>0.13367213114754092</v>
      </c>
      <c r="O93" s="12"/>
      <c r="P93" s="7">
        <v>5846.9</v>
      </c>
      <c r="Q93" s="3"/>
      <c r="R93" s="8">
        <f t="shared" ref="R93:R114" si="24">IF(P$12=0,0,P93/P$12)</f>
        <v>5.6801907358872388E-4</v>
      </c>
      <c r="S93" s="3"/>
      <c r="T93" s="7">
        <v>5260</v>
      </c>
      <c r="U93" s="3"/>
      <c r="V93" s="8">
        <f t="shared" ref="V93:V114" si="25">IF(T$12=0,0,T93/T$12)</f>
        <v>6.1184888402718469E-4</v>
      </c>
      <c r="W93" s="3"/>
      <c r="X93" s="7">
        <f t="shared" ref="X93:X114" si="26">+P93-T93</f>
        <v>586.89999999999964</v>
      </c>
      <c r="Y93" s="3"/>
      <c r="Z93" s="8">
        <f t="shared" ref="Z93:Z114" si="27">IF(T93=0,0,X93/T93)</f>
        <v>0.11157794676806077</v>
      </c>
    </row>
    <row r="94" spans="1:26" s="69" customFormat="1" ht="15" customHeight="1" outlineLevel="1" collapsed="1" x14ac:dyDescent="0.3">
      <c r="A94" s="25"/>
      <c r="B94" s="14" t="str">
        <f>CONCATENATE("     ","Supplies                                          ")</f>
        <v xml:space="preserve">     Supplies                                          </v>
      </c>
      <c r="C94" s="14"/>
      <c r="D94" s="2">
        <f>SUM(OSRRefD22_18x_0)</f>
        <v>25333.040000000001</v>
      </c>
      <c r="E94" s="2"/>
      <c r="F94" s="6">
        <f t="shared" si="20"/>
        <v>1.5281683424161575E-2</v>
      </c>
      <c r="G94" s="2"/>
      <c r="H94" s="2">
        <f>SUM(OSRRefH22_18x_0)</f>
        <v>30475</v>
      </c>
      <c r="I94" s="2"/>
      <c r="J94" s="6">
        <f t="shared" si="21"/>
        <v>2.083947348446254E-2</v>
      </c>
      <c r="K94" s="2"/>
      <c r="L94" s="2">
        <f t="shared" si="22"/>
        <v>-5141.9599999999991</v>
      </c>
      <c r="M94" s="2"/>
      <c r="N94" s="6">
        <f t="shared" si="23"/>
        <v>-0.16872715340442984</v>
      </c>
      <c r="O94" s="14"/>
      <c r="P94" s="2">
        <f>SUM(OSRRefP22_18x_0)</f>
        <v>296681.7</v>
      </c>
      <c r="Q94" s="2"/>
      <c r="R94" s="6">
        <f t="shared" si="24"/>
        <v>2.8822258698580055E-2</v>
      </c>
      <c r="S94" s="2"/>
      <c r="T94" s="2">
        <f>SUM(OSRRefT22_18x_0)</f>
        <v>300773</v>
      </c>
      <c r="U94" s="2"/>
      <c r="V94" s="6">
        <f t="shared" si="25"/>
        <v>3.4986240379374228E-2</v>
      </c>
      <c r="W94" s="2"/>
      <c r="X94" s="2">
        <f t="shared" si="26"/>
        <v>-4091.2999999999884</v>
      </c>
      <c r="Y94" s="2"/>
      <c r="Z94" s="6">
        <f t="shared" si="27"/>
        <v>-1.3602617256203145E-2</v>
      </c>
    </row>
    <row r="95" spans="1:26" s="70" customFormat="1" ht="15" hidden="1" customHeight="1" outlineLevel="2" x14ac:dyDescent="0.3">
      <c r="A95" s="26"/>
      <c r="B95" s="12" t="str">
        <f>CONCATENATE("          ","6234"," - ","EXPENDABLE SUPPLIES &amp; EQUIPMEN")</f>
        <v xml:space="preserve">          6234 - EXPENDABLE SUPPLIES &amp; EQUIPMEN</v>
      </c>
      <c r="C95" s="12"/>
      <c r="D95" s="7">
        <v>108.73</v>
      </c>
      <c r="E95" s="3"/>
      <c r="F95" s="8">
        <f t="shared" si="20"/>
        <v>6.5589342562483153E-5</v>
      </c>
      <c r="G95" s="3"/>
      <c r="H95" s="7">
        <v>342</v>
      </c>
      <c r="I95" s="3"/>
      <c r="J95" s="8">
        <f t="shared" si="21"/>
        <v>2.3386710194212267E-4</v>
      </c>
      <c r="K95" s="3"/>
      <c r="L95" s="7">
        <f t="shared" si="22"/>
        <v>-233.26999999999998</v>
      </c>
      <c r="M95" s="3"/>
      <c r="N95" s="8">
        <f t="shared" si="23"/>
        <v>-0.68207602339181284</v>
      </c>
      <c r="O95" s="12"/>
      <c r="P95" s="7">
        <v>503.48</v>
      </c>
      <c r="Q95" s="3"/>
      <c r="R95" s="8">
        <f t="shared" si="24"/>
        <v>4.8912456715601558E-5</v>
      </c>
      <c r="S95" s="3"/>
      <c r="T95" s="7">
        <v>3078</v>
      </c>
      <c r="U95" s="3"/>
      <c r="V95" s="8">
        <f t="shared" si="25"/>
        <v>3.5803628612845524E-4</v>
      </c>
      <c r="W95" s="3"/>
      <c r="X95" s="7">
        <f t="shared" si="26"/>
        <v>-2574.52</v>
      </c>
      <c r="Y95" s="3"/>
      <c r="Z95" s="8">
        <f t="shared" si="27"/>
        <v>-0.83642625081221567</v>
      </c>
    </row>
    <row r="96" spans="1:26" s="70" customFormat="1" ht="15" hidden="1" customHeight="1" outlineLevel="2" x14ac:dyDescent="0.3">
      <c r="A96" s="26"/>
      <c r="B96" s="12" t="str">
        <f>CONCATENATE("          ","6235"," - ","COVID-19 EXPENSES")</f>
        <v xml:space="preserve">          6235 - COVID-19 EXPENSES</v>
      </c>
      <c r="C96" s="12"/>
      <c r="D96" s="7">
        <v>107.16</v>
      </c>
      <c r="E96" s="3"/>
      <c r="F96" s="8">
        <f t="shared" si="20"/>
        <v>6.4642269373638313E-5</v>
      </c>
      <c r="G96" s="3"/>
      <c r="H96" s="7">
        <v>250</v>
      </c>
      <c r="I96" s="3"/>
      <c r="J96" s="8">
        <f t="shared" si="21"/>
        <v>1.7095548387582068E-4</v>
      </c>
      <c r="K96" s="3"/>
      <c r="L96" s="7">
        <f t="shared" si="22"/>
        <v>-142.84</v>
      </c>
      <c r="M96" s="3"/>
      <c r="N96" s="8">
        <f t="shared" si="23"/>
        <v>-0.57135999999999998</v>
      </c>
      <c r="O96" s="12"/>
      <c r="P96" s="7">
        <v>777.84</v>
      </c>
      <c r="Q96" s="3"/>
      <c r="R96" s="8">
        <f t="shared" si="24"/>
        <v>7.5566189981058853E-5</v>
      </c>
      <c r="S96" s="3"/>
      <c r="T96" s="7">
        <v>2500</v>
      </c>
      <c r="U96" s="3"/>
      <c r="V96" s="8">
        <f t="shared" si="25"/>
        <v>2.9080270153383303E-4</v>
      </c>
      <c r="W96" s="3"/>
      <c r="X96" s="7">
        <f t="shared" si="26"/>
        <v>-1722.1599999999999</v>
      </c>
      <c r="Y96" s="3"/>
      <c r="Z96" s="8">
        <f t="shared" si="27"/>
        <v>-0.68886399999999992</v>
      </c>
    </row>
    <row r="97" spans="1:26" s="70" customFormat="1" ht="15" hidden="1" customHeight="1" outlineLevel="2" x14ac:dyDescent="0.3">
      <c r="A97" s="26"/>
      <c r="B97" s="12" t="str">
        <f>CONCATENATE("          ","6237"," - ","JANITORIAL SUPPLIES")</f>
        <v xml:space="preserve">          6237 - JANITORIAL SUPPLIES</v>
      </c>
      <c r="C97" s="12"/>
      <c r="D97" s="7">
        <v>6270.33</v>
      </c>
      <c r="E97" s="3"/>
      <c r="F97" s="8">
        <f t="shared" si="20"/>
        <v>3.7824595084136386E-3</v>
      </c>
      <c r="G97" s="3"/>
      <c r="H97" s="7">
        <v>9975</v>
      </c>
      <c r="I97" s="3"/>
      <c r="J97" s="8">
        <f t="shared" si="21"/>
        <v>6.8211238066452446E-3</v>
      </c>
      <c r="K97" s="3"/>
      <c r="L97" s="7">
        <f t="shared" si="22"/>
        <v>-3704.67</v>
      </c>
      <c r="M97" s="3"/>
      <c r="N97" s="8">
        <f t="shared" si="23"/>
        <v>-0.3713954887218045</v>
      </c>
      <c r="O97" s="12"/>
      <c r="P97" s="7">
        <v>55820.42</v>
      </c>
      <c r="Q97" s="3"/>
      <c r="R97" s="8">
        <f t="shared" si="24"/>
        <v>5.4228844782249529E-3</v>
      </c>
      <c r="S97" s="3"/>
      <c r="T97" s="7">
        <v>94253</v>
      </c>
      <c r="U97" s="3"/>
      <c r="V97" s="8">
        <f t="shared" si="25"/>
        <v>1.0963610811067346E-2</v>
      </c>
      <c r="W97" s="3"/>
      <c r="X97" s="7">
        <f t="shared" si="26"/>
        <v>-38432.58</v>
      </c>
      <c r="Y97" s="3"/>
      <c r="Z97" s="8">
        <f t="shared" si="27"/>
        <v>-0.40775975300520939</v>
      </c>
    </row>
    <row r="98" spans="1:26" s="70" customFormat="1" ht="15" hidden="1" customHeight="1" outlineLevel="2" x14ac:dyDescent="0.3">
      <c r="A98" s="26"/>
      <c r="B98" s="12" t="str">
        <f>CONCATENATE("          ","6239"," - ","KITCHEN SUPPLIES")</f>
        <v xml:space="preserve">          6239 - KITCHEN SUPPLIES</v>
      </c>
      <c r="C98" s="12"/>
      <c r="D98" s="7">
        <v>3919.57</v>
      </c>
      <c r="E98" s="3"/>
      <c r="F98" s="8">
        <f t="shared" si="20"/>
        <v>2.3644074259876031E-3</v>
      </c>
      <c r="G98" s="3"/>
      <c r="H98" s="7">
        <v>3300</v>
      </c>
      <c r="I98" s="3"/>
      <c r="J98" s="8">
        <f t="shared" si="21"/>
        <v>2.2566123871608328E-3</v>
      </c>
      <c r="K98" s="3"/>
      <c r="L98" s="7">
        <f t="shared" si="22"/>
        <v>619.57000000000016</v>
      </c>
      <c r="M98" s="3"/>
      <c r="N98" s="8">
        <f t="shared" si="23"/>
        <v>0.18774848484848489</v>
      </c>
      <c r="O98" s="12"/>
      <c r="P98" s="7">
        <v>36518.870000000003</v>
      </c>
      <c r="Q98" s="3"/>
      <c r="R98" s="8">
        <f t="shared" si="24"/>
        <v>3.5477628668024157E-3</v>
      </c>
      <c r="S98" s="3"/>
      <c r="T98" s="7">
        <v>44149</v>
      </c>
      <c r="U98" s="3"/>
      <c r="V98" s="8">
        <f t="shared" si="25"/>
        <v>5.1354593880068777E-3</v>
      </c>
      <c r="W98" s="3"/>
      <c r="X98" s="7">
        <f t="shared" si="26"/>
        <v>-7630.1299999999974</v>
      </c>
      <c r="Y98" s="3"/>
      <c r="Z98" s="8">
        <f t="shared" si="27"/>
        <v>-0.17282679109379595</v>
      </c>
    </row>
    <row r="99" spans="1:26" s="70" customFormat="1" ht="15" hidden="1" customHeight="1" outlineLevel="2" x14ac:dyDescent="0.3">
      <c r="A99" s="26"/>
      <c r="B99" s="12" t="str">
        <f>CONCATENATE("          ","6241"," - ","OFFICE EXPENSE")</f>
        <v xml:space="preserve">          6241 - OFFICE EXPENSE</v>
      </c>
      <c r="C99" s="12"/>
      <c r="D99" s="7">
        <v>1123.8800000000001</v>
      </c>
      <c r="E99" s="3"/>
      <c r="F99" s="8">
        <f t="shared" si="20"/>
        <v>6.7795962769358559E-4</v>
      </c>
      <c r="G99" s="3"/>
      <c r="H99" s="7">
        <v>1495</v>
      </c>
      <c r="I99" s="3"/>
      <c r="J99" s="8">
        <f t="shared" si="21"/>
        <v>1.0223137935774075E-3</v>
      </c>
      <c r="K99" s="3"/>
      <c r="L99" s="7">
        <f t="shared" si="22"/>
        <v>-371.11999999999989</v>
      </c>
      <c r="M99" s="3"/>
      <c r="N99" s="8">
        <f t="shared" si="23"/>
        <v>-0.24824080267558521</v>
      </c>
      <c r="O99" s="12"/>
      <c r="P99" s="7">
        <v>24472.400000000001</v>
      </c>
      <c r="Q99" s="3"/>
      <c r="R99" s="8">
        <f t="shared" si="24"/>
        <v>2.377463267114657E-3</v>
      </c>
      <c r="S99" s="3"/>
      <c r="T99" s="7">
        <v>16182</v>
      </c>
      <c r="U99" s="3"/>
      <c r="V99" s="8">
        <f t="shared" si="25"/>
        <v>1.8823077264881944E-3</v>
      </c>
      <c r="W99" s="3"/>
      <c r="X99" s="7">
        <f t="shared" si="26"/>
        <v>8290.4000000000015</v>
      </c>
      <c r="Y99" s="3"/>
      <c r="Z99" s="8">
        <f t="shared" si="27"/>
        <v>0.51232233345692757</v>
      </c>
    </row>
    <row r="100" spans="1:26" s="70" customFormat="1" ht="15" hidden="1" customHeight="1" outlineLevel="2" x14ac:dyDescent="0.3">
      <c r="A100" s="26"/>
      <c r="B100" s="12" t="str">
        <f>CONCATENATE("          ","6243"," - ","PAPER SUPPLIES")</f>
        <v xml:space="preserve">          6243 - PAPER SUPPLIES</v>
      </c>
      <c r="C100" s="12"/>
      <c r="D100" s="7">
        <v>12116.33</v>
      </c>
      <c r="E100" s="3"/>
      <c r="F100" s="8">
        <f t="shared" si="20"/>
        <v>7.3089498663670687E-3</v>
      </c>
      <c r="G100" s="3"/>
      <c r="H100" s="7">
        <v>13900</v>
      </c>
      <c r="I100" s="3"/>
      <c r="J100" s="8">
        <f t="shared" si="21"/>
        <v>9.5051249034956292E-3</v>
      </c>
      <c r="K100" s="3"/>
      <c r="L100" s="7">
        <f t="shared" si="22"/>
        <v>-1783.67</v>
      </c>
      <c r="M100" s="3"/>
      <c r="N100" s="8">
        <f t="shared" si="23"/>
        <v>-0.12832158273381294</v>
      </c>
      <c r="O100" s="12"/>
      <c r="P100" s="7">
        <v>165429.81</v>
      </c>
      <c r="Q100" s="3"/>
      <c r="R100" s="8">
        <f t="shared" si="24"/>
        <v>1.6071300590083399E-2</v>
      </c>
      <c r="S100" s="3"/>
      <c r="T100" s="7">
        <v>124533</v>
      </c>
      <c r="U100" s="3"/>
      <c r="V100" s="8">
        <f t="shared" si="25"/>
        <v>1.4485813132045132E-2</v>
      </c>
      <c r="W100" s="3"/>
      <c r="X100" s="7">
        <f t="shared" si="26"/>
        <v>40896.81</v>
      </c>
      <c r="Y100" s="3"/>
      <c r="Z100" s="8">
        <f t="shared" si="27"/>
        <v>0.32840138758401388</v>
      </c>
    </row>
    <row r="101" spans="1:26" s="70" customFormat="1" ht="15" hidden="1" customHeight="1" outlineLevel="2" x14ac:dyDescent="0.3">
      <c r="A101" s="26"/>
      <c r="B101" s="12" t="str">
        <f>CONCATENATE("          ","6244"," - ","SAFETY SUPPLY EXPENSE")</f>
        <v xml:space="preserve">          6244 - SAFETY SUPPLY EXPENSE</v>
      </c>
      <c r="C101" s="12"/>
      <c r="D101" s="7"/>
      <c r="E101" s="3"/>
      <c r="F101" s="8">
        <f t="shared" si="20"/>
        <v>0</v>
      </c>
      <c r="G101" s="3"/>
      <c r="H101" s="7">
        <v>525</v>
      </c>
      <c r="I101" s="3"/>
      <c r="J101" s="8">
        <f t="shared" si="21"/>
        <v>3.5900651613922341E-4</v>
      </c>
      <c r="K101" s="3"/>
      <c r="L101" s="7">
        <f t="shared" si="22"/>
        <v>-525</v>
      </c>
      <c r="M101" s="3"/>
      <c r="N101" s="8">
        <f t="shared" si="23"/>
        <v>-1</v>
      </c>
      <c r="O101" s="12"/>
      <c r="P101" s="7"/>
      <c r="Q101" s="3"/>
      <c r="R101" s="8">
        <f t="shared" si="24"/>
        <v>0</v>
      </c>
      <c r="S101" s="3"/>
      <c r="T101" s="7">
        <v>4825</v>
      </c>
      <c r="U101" s="3"/>
      <c r="V101" s="8">
        <f t="shared" si="25"/>
        <v>5.6124921396029771E-4</v>
      </c>
      <c r="W101" s="3"/>
      <c r="X101" s="7">
        <f t="shared" si="26"/>
        <v>-4825</v>
      </c>
      <c r="Y101" s="3"/>
      <c r="Z101" s="8">
        <f t="shared" si="27"/>
        <v>-1</v>
      </c>
    </row>
    <row r="102" spans="1:26" s="70" customFormat="1" ht="15" hidden="1" customHeight="1" outlineLevel="2" x14ac:dyDescent="0.3">
      <c r="A102" s="26"/>
      <c r="B102" s="12" t="str">
        <f>CONCATENATE("          ","6245"," - ","PRINTING")</f>
        <v xml:space="preserve">          6245 - PRINTING</v>
      </c>
      <c r="C102" s="12"/>
      <c r="D102" s="7"/>
      <c r="E102" s="3"/>
      <c r="F102" s="8">
        <f t="shared" si="20"/>
        <v>0</v>
      </c>
      <c r="G102" s="3"/>
      <c r="H102" s="7">
        <v>100</v>
      </c>
      <c r="I102" s="3"/>
      <c r="J102" s="8">
        <f t="shared" si="21"/>
        <v>6.8382193550328268E-5</v>
      </c>
      <c r="K102" s="3"/>
      <c r="L102" s="7">
        <f t="shared" si="22"/>
        <v>-100</v>
      </c>
      <c r="M102" s="3"/>
      <c r="N102" s="8">
        <f t="shared" si="23"/>
        <v>-1</v>
      </c>
      <c r="O102" s="12"/>
      <c r="P102" s="7">
        <v>1071</v>
      </c>
      <c r="Q102" s="3"/>
      <c r="R102" s="8">
        <f t="shared" si="24"/>
        <v>1.0404631989832618E-4</v>
      </c>
      <c r="S102" s="3"/>
      <c r="T102" s="7">
        <v>1700</v>
      </c>
      <c r="U102" s="3"/>
      <c r="V102" s="8">
        <f t="shared" si="25"/>
        <v>1.9774583704300645E-4</v>
      </c>
      <c r="W102" s="3"/>
      <c r="X102" s="7">
        <f t="shared" si="26"/>
        <v>-629</v>
      </c>
      <c r="Y102" s="3"/>
      <c r="Z102" s="8">
        <f t="shared" si="27"/>
        <v>-0.37</v>
      </c>
    </row>
    <row r="103" spans="1:26" s="70" customFormat="1" ht="15" hidden="1" customHeight="1" outlineLevel="2" x14ac:dyDescent="0.3">
      <c r="A103" s="26"/>
      <c r="B103" s="12" t="str">
        <f>CONCATENATE("          ","6247"," - ","STORE SUPPLIES")</f>
        <v xml:space="preserve">          6247 - STORE SUPPLIES</v>
      </c>
      <c r="C103" s="12"/>
      <c r="D103" s="7">
        <v>89.38</v>
      </c>
      <c r="E103" s="3"/>
      <c r="F103" s="8">
        <f t="shared" si="20"/>
        <v>5.3916816317803213E-5</v>
      </c>
      <c r="G103" s="3"/>
      <c r="H103" s="7"/>
      <c r="I103" s="3"/>
      <c r="J103" s="8">
        <f t="shared" si="21"/>
        <v>0</v>
      </c>
      <c r="K103" s="3"/>
      <c r="L103" s="7">
        <f t="shared" si="22"/>
        <v>89.38</v>
      </c>
      <c r="M103" s="3"/>
      <c r="N103" s="8">
        <f t="shared" si="23"/>
        <v>0</v>
      </c>
      <c r="O103" s="12"/>
      <c r="P103" s="7">
        <v>2754.49</v>
      </c>
      <c r="Q103" s="3"/>
      <c r="R103" s="8">
        <f t="shared" si="24"/>
        <v>2.6759528263000976E-4</v>
      </c>
      <c r="S103" s="3"/>
      <c r="T103" s="7">
        <v>411</v>
      </c>
      <c r="U103" s="3"/>
      <c r="V103" s="8">
        <f t="shared" si="25"/>
        <v>4.7807964132162153E-5</v>
      </c>
      <c r="W103" s="3"/>
      <c r="X103" s="7">
        <f t="shared" si="26"/>
        <v>2343.4899999999998</v>
      </c>
      <c r="Y103" s="3"/>
      <c r="Z103" s="8">
        <f t="shared" si="27"/>
        <v>5.7019221411192209</v>
      </c>
    </row>
    <row r="104" spans="1:26" s="70" customFormat="1" ht="15" hidden="1" customHeight="1" outlineLevel="2" x14ac:dyDescent="0.3">
      <c r="A104" s="26"/>
      <c r="B104" s="12" t="str">
        <f>CONCATENATE("          ","6248"," - ","UNIFORMS")</f>
        <v xml:space="preserve">          6248 - UNIFORMS</v>
      </c>
      <c r="C104" s="12"/>
      <c r="D104" s="7">
        <v>1597.66</v>
      </c>
      <c r="E104" s="3"/>
      <c r="F104" s="8">
        <f t="shared" si="20"/>
        <v>9.637585674457539E-4</v>
      </c>
      <c r="G104" s="3"/>
      <c r="H104" s="7">
        <v>588</v>
      </c>
      <c r="I104" s="3"/>
      <c r="J104" s="8">
        <f t="shared" si="21"/>
        <v>4.0208729807593023E-4</v>
      </c>
      <c r="K104" s="3"/>
      <c r="L104" s="7">
        <f t="shared" si="22"/>
        <v>1009.6600000000001</v>
      </c>
      <c r="M104" s="3"/>
      <c r="N104" s="8">
        <f t="shared" si="23"/>
        <v>1.7171088435374151</v>
      </c>
      <c r="O104" s="12"/>
      <c r="P104" s="7">
        <v>9333.39</v>
      </c>
      <c r="Q104" s="3"/>
      <c r="R104" s="8">
        <f t="shared" si="24"/>
        <v>9.0672724712963443E-4</v>
      </c>
      <c r="S104" s="3"/>
      <c r="T104" s="7">
        <v>9142</v>
      </c>
      <c r="U104" s="3"/>
      <c r="V104" s="8">
        <f t="shared" si="25"/>
        <v>1.0634073189689207E-3</v>
      </c>
      <c r="W104" s="3"/>
      <c r="X104" s="7">
        <f t="shared" si="26"/>
        <v>191.38999999999942</v>
      </c>
      <c r="Y104" s="3"/>
      <c r="Z104" s="8">
        <f t="shared" si="27"/>
        <v>2.0935243929118292E-2</v>
      </c>
    </row>
    <row r="105" spans="1:26" s="69" customFormat="1" ht="15" customHeight="1" outlineLevel="1" collapsed="1" x14ac:dyDescent="0.3">
      <c r="A105" s="25"/>
      <c r="B105" s="14" t="str">
        <f>CONCATENATE("     ","Telephone/Data Lines                              ")</f>
        <v xml:space="preserve">     Telephone/Data Lines                              </v>
      </c>
      <c r="C105" s="14"/>
      <c r="D105" s="2">
        <f>SUM(OSRRefD22_19x_0)</f>
        <v>1394.15</v>
      </c>
      <c r="E105" s="2"/>
      <c r="F105" s="6">
        <f t="shared" si="20"/>
        <v>8.4099495938090574E-4</v>
      </c>
      <c r="G105" s="2"/>
      <c r="H105" s="2">
        <f>SUM(OSRRefH22_19x_0)</f>
        <v>961</v>
      </c>
      <c r="I105" s="2"/>
      <c r="J105" s="6">
        <f t="shared" si="21"/>
        <v>6.5715288001865467E-4</v>
      </c>
      <c r="K105" s="2"/>
      <c r="L105" s="2">
        <f t="shared" si="22"/>
        <v>433.15000000000009</v>
      </c>
      <c r="M105" s="2"/>
      <c r="N105" s="6">
        <f t="shared" si="23"/>
        <v>0.45072840790842883</v>
      </c>
      <c r="O105" s="14"/>
      <c r="P105" s="2">
        <f>SUM(OSRRefP22_19x_0)</f>
        <v>12376.39</v>
      </c>
      <c r="Q105" s="2"/>
      <c r="R105" s="6">
        <f t="shared" si="24"/>
        <v>1.2023509179518628E-3</v>
      </c>
      <c r="S105" s="2"/>
      <c r="T105" s="2">
        <f>SUM(OSRRefT22_19x_0)</f>
        <v>9099</v>
      </c>
      <c r="U105" s="2"/>
      <c r="V105" s="6">
        <f t="shared" si="25"/>
        <v>1.0584055125025388E-3</v>
      </c>
      <c r="W105" s="2"/>
      <c r="X105" s="2">
        <f t="shared" si="26"/>
        <v>3277.3899999999994</v>
      </c>
      <c r="Y105" s="2"/>
      <c r="Z105" s="6">
        <f t="shared" si="27"/>
        <v>0.36019232882734359</v>
      </c>
    </row>
    <row r="106" spans="1:26" s="70" customFormat="1" ht="15" hidden="1" customHeight="1" outlineLevel="2" x14ac:dyDescent="0.3">
      <c r="A106" s="26"/>
      <c r="B106" s="12" t="str">
        <f>CONCATENATE("          ","6303"," - ","DATA PHONE LINES")</f>
        <v xml:space="preserve">          6303 - DATA PHONE LINES</v>
      </c>
      <c r="C106" s="12"/>
      <c r="D106" s="7"/>
      <c r="E106" s="3"/>
      <c r="F106" s="8">
        <f t="shared" si="20"/>
        <v>0</v>
      </c>
      <c r="G106" s="3"/>
      <c r="H106" s="7">
        <v>193</v>
      </c>
      <c r="I106" s="3"/>
      <c r="J106" s="8">
        <f t="shared" si="21"/>
        <v>1.3197763355213355E-4</v>
      </c>
      <c r="K106" s="3"/>
      <c r="L106" s="7">
        <f t="shared" si="22"/>
        <v>-193</v>
      </c>
      <c r="M106" s="3"/>
      <c r="N106" s="8">
        <f t="shared" si="23"/>
        <v>-1</v>
      </c>
      <c r="O106" s="12"/>
      <c r="P106" s="7"/>
      <c r="Q106" s="3"/>
      <c r="R106" s="8">
        <f t="shared" si="24"/>
        <v>0</v>
      </c>
      <c r="S106" s="3"/>
      <c r="T106" s="7">
        <v>1737</v>
      </c>
      <c r="U106" s="3"/>
      <c r="V106" s="8">
        <f t="shared" si="25"/>
        <v>2.0204971702570719E-4</v>
      </c>
      <c r="W106" s="3"/>
      <c r="X106" s="7">
        <f t="shared" si="26"/>
        <v>-1737</v>
      </c>
      <c r="Y106" s="3"/>
      <c r="Z106" s="8">
        <f t="shared" si="27"/>
        <v>-1</v>
      </c>
    </row>
    <row r="107" spans="1:26" s="70" customFormat="1" ht="15" hidden="1" customHeight="1" outlineLevel="2" x14ac:dyDescent="0.3">
      <c r="A107" s="26"/>
      <c r="B107" s="12" t="str">
        <f>CONCATENATE("          ","6309"," - ","TELEPHONE")</f>
        <v xml:space="preserve">          6309 - TELEPHONE</v>
      </c>
      <c r="C107" s="12"/>
      <c r="D107" s="7">
        <v>1394.15</v>
      </c>
      <c r="E107" s="3"/>
      <c r="F107" s="8">
        <f t="shared" si="20"/>
        <v>8.4099495938090574E-4</v>
      </c>
      <c r="G107" s="3"/>
      <c r="H107" s="7">
        <v>768</v>
      </c>
      <c r="I107" s="3"/>
      <c r="J107" s="8">
        <f t="shared" si="21"/>
        <v>5.2517524646652114E-4</v>
      </c>
      <c r="K107" s="3"/>
      <c r="L107" s="7">
        <f t="shared" si="22"/>
        <v>626.15000000000009</v>
      </c>
      <c r="M107" s="3"/>
      <c r="N107" s="8">
        <f t="shared" si="23"/>
        <v>0.81529947916666679</v>
      </c>
      <c r="O107" s="12"/>
      <c r="P107" s="7">
        <v>12376.39</v>
      </c>
      <c r="Q107" s="3"/>
      <c r="R107" s="8">
        <f t="shared" si="24"/>
        <v>1.2023509179518628E-3</v>
      </c>
      <c r="S107" s="3"/>
      <c r="T107" s="7">
        <v>7362</v>
      </c>
      <c r="U107" s="3"/>
      <c r="V107" s="8">
        <f t="shared" si="25"/>
        <v>8.5635579547683148E-4</v>
      </c>
      <c r="W107" s="3"/>
      <c r="X107" s="7">
        <f t="shared" si="26"/>
        <v>5014.3899999999994</v>
      </c>
      <c r="Y107" s="3"/>
      <c r="Z107" s="8">
        <f t="shared" si="27"/>
        <v>0.68111790274381956</v>
      </c>
    </row>
    <row r="108" spans="1:26" s="69" customFormat="1" ht="15" customHeight="1" outlineLevel="1" collapsed="1" x14ac:dyDescent="0.3">
      <c r="A108" s="25"/>
      <c r="B108" s="14" t="str">
        <f>CONCATENATE("     ","Training                                          ")</f>
        <v xml:space="preserve">     Training                                          </v>
      </c>
      <c r="C108" s="14"/>
      <c r="D108" s="2">
        <f>SUM(OSRRefD22_20x_0)</f>
        <v>2465.1</v>
      </c>
      <c r="E108" s="2"/>
      <c r="F108" s="6">
        <f t="shared" si="20"/>
        <v>1.4870255527524804E-3</v>
      </c>
      <c r="G108" s="2"/>
      <c r="H108" s="2">
        <f>SUM(OSRRefH22_20x_0)</f>
        <v>3915</v>
      </c>
      <c r="I108" s="2"/>
      <c r="J108" s="6">
        <f t="shared" si="21"/>
        <v>2.6771628774953518E-3</v>
      </c>
      <c r="K108" s="2"/>
      <c r="L108" s="2">
        <f t="shared" si="22"/>
        <v>-1449.9</v>
      </c>
      <c r="M108" s="2"/>
      <c r="N108" s="6">
        <f t="shared" si="23"/>
        <v>-0.3703448275862069</v>
      </c>
      <c r="O108" s="14"/>
      <c r="P108" s="2">
        <f>SUM(OSRRefP22_20x_0)</f>
        <v>8338.9699999999993</v>
      </c>
      <c r="Q108" s="2"/>
      <c r="R108" s="6">
        <f t="shared" si="24"/>
        <v>8.1012057912469189E-4</v>
      </c>
      <c r="S108" s="2"/>
      <c r="T108" s="2">
        <f>SUM(OSRRefT22_20x_0)</f>
        <v>11915</v>
      </c>
      <c r="U108" s="2"/>
      <c r="V108" s="6">
        <f t="shared" si="25"/>
        <v>1.3859656755102483E-3</v>
      </c>
      <c r="W108" s="2"/>
      <c r="X108" s="2">
        <f t="shared" si="26"/>
        <v>-3576.0300000000007</v>
      </c>
      <c r="Y108" s="2"/>
      <c r="Z108" s="6">
        <f t="shared" si="27"/>
        <v>-0.30012840956777176</v>
      </c>
    </row>
    <row r="109" spans="1:26" s="70" customFormat="1" ht="15" hidden="1" customHeight="1" outlineLevel="2" x14ac:dyDescent="0.3">
      <c r="A109" s="26"/>
      <c r="B109" s="12" t="str">
        <f>CONCATENATE("          ","6376"," - ","TRAINING")</f>
        <v xml:space="preserve">          6376 - TRAINING</v>
      </c>
      <c r="C109" s="12"/>
      <c r="D109" s="7">
        <v>2465.1</v>
      </c>
      <c r="E109" s="3"/>
      <c r="F109" s="8">
        <f t="shared" si="20"/>
        <v>1.4870255527524804E-3</v>
      </c>
      <c r="G109" s="3"/>
      <c r="H109" s="7">
        <v>3915</v>
      </c>
      <c r="I109" s="3"/>
      <c r="J109" s="8">
        <f t="shared" si="21"/>
        <v>2.6771628774953518E-3</v>
      </c>
      <c r="K109" s="3"/>
      <c r="L109" s="7">
        <f t="shared" si="22"/>
        <v>-1449.9</v>
      </c>
      <c r="M109" s="3"/>
      <c r="N109" s="8">
        <f t="shared" si="23"/>
        <v>-0.3703448275862069</v>
      </c>
      <c r="O109" s="12"/>
      <c r="P109" s="7">
        <v>8338.9699999999993</v>
      </c>
      <c r="Q109" s="3"/>
      <c r="R109" s="8">
        <f t="shared" si="24"/>
        <v>8.1012057912469189E-4</v>
      </c>
      <c r="S109" s="3"/>
      <c r="T109" s="7">
        <v>11915</v>
      </c>
      <c r="U109" s="3"/>
      <c r="V109" s="8">
        <f t="shared" si="25"/>
        <v>1.3859656755102483E-3</v>
      </c>
      <c r="W109" s="3"/>
      <c r="X109" s="7">
        <f t="shared" si="26"/>
        <v>-3576.0300000000007</v>
      </c>
      <c r="Y109" s="3"/>
      <c r="Z109" s="8">
        <f t="shared" si="27"/>
        <v>-0.30012840956777176</v>
      </c>
    </row>
    <row r="110" spans="1:26" s="69" customFormat="1" ht="15" customHeight="1" outlineLevel="1" collapsed="1" x14ac:dyDescent="0.3">
      <c r="A110" s="25"/>
      <c r="B110" s="14" t="str">
        <f>CONCATENATE("     ","Travel                                            ")</f>
        <v xml:space="preserve">     Travel                                            </v>
      </c>
      <c r="C110" s="14"/>
      <c r="D110" s="2">
        <f>SUM(OSRRefD22_21x_0)</f>
        <v>135.02000000000001</v>
      </c>
      <c r="E110" s="2"/>
      <c r="F110" s="6">
        <f t="shared" si="20"/>
        <v>8.1448294240655519E-5</v>
      </c>
      <c r="G110" s="2"/>
      <c r="H110" s="2">
        <f>SUM(OSRRefH22_21x_0)</f>
        <v>600</v>
      </c>
      <c r="I110" s="2"/>
      <c r="J110" s="6">
        <f t="shared" si="21"/>
        <v>4.1029316130196961E-4</v>
      </c>
      <c r="K110" s="2"/>
      <c r="L110" s="2">
        <f t="shared" si="22"/>
        <v>-464.98</v>
      </c>
      <c r="M110" s="2"/>
      <c r="N110" s="6">
        <f t="shared" si="23"/>
        <v>-0.77496666666666669</v>
      </c>
      <c r="O110" s="14"/>
      <c r="P110" s="2">
        <f>SUM(OSRRefP22_21x_0)</f>
        <v>975.28</v>
      </c>
      <c r="Q110" s="2"/>
      <c r="R110" s="6">
        <f t="shared" si="24"/>
        <v>9.4747240775387075E-5</v>
      </c>
      <c r="S110" s="2"/>
      <c r="T110" s="2">
        <f>SUM(OSRRefT22_21x_0)</f>
        <v>1200</v>
      </c>
      <c r="U110" s="2"/>
      <c r="V110" s="6">
        <f t="shared" si="25"/>
        <v>1.3958529673623987E-4</v>
      </c>
      <c r="W110" s="2"/>
      <c r="X110" s="2">
        <f t="shared" si="26"/>
        <v>-224.72000000000003</v>
      </c>
      <c r="Y110" s="2"/>
      <c r="Z110" s="6">
        <f t="shared" si="27"/>
        <v>-0.18726666666666669</v>
      </c>
    </row>
    <row r="111" spans="1:26" s="70" customFormat="1" ht="15" hidden="1" customHeight="1" outlineLevel="2" x14ac:dyDescent="0.3">
      <c r="A111" s="26"/>
      <c r="B111" s="12" t="str">
        <f>CONCATENATE("          ","6292"," - ","TRAVEL/CONFERENCE")</f>
        <v xml:space="preserve">          6292 - TRAVEL/CONFERENCE</v>
      </c>
      <c r="C111" s="12"/>
      <c r="D111" s="7"/>
      <c r="E111" s="3"/>
      <c r="F111" s="8">
        <f t="shared" si="20"/>
        <v>0</v>
      </c>
      <c r="G111" s="3"/>
      <c r="H111" s="7">
        <v>600</v>
      </c>
      <c r="I111" s="3"/>
      <c r="J111" s="8">
        <f t="shared" si="21"/>
        <v>4.1029316130196961E-4</v>
      </c>
      <c r="K111" s="3"/>
      <c r="L111" s="7">
        <f t="shared" si="22"/>
        <v>-600</v>
      </c>
      <c r="M111" s="3"/>
      <c r="N111" s="8">
        <f t="shared" si="23"/>
        <v>-1</v>
      </c>
      <c r="O111" s="12"/>
      <c r="P111" s="7">
        <v>613.59</v>
      </c>
      <c r="Q111" s="3"/>
      <c r="R111" s="8">
        <f t="shared" si="24"/>
        <v>5.960950646723993E-5</v>
      </c>
      <c r="S111" s="3"/>
      <c r="T111" s="7">
        <v>1200</v>
      </c>
      <c r="U111" s="3"/>
      <c r="V111" s="8">
        <f t="shared" si="25"/>
        <v>1.3958529673623987E-4</v>
      </c>
      <c r="W111" s="3"/>
      <c r="X111" s="7">
        <f t="shared" si="26"/>
        <v>-586.41</v>
      </c>
      <c r="Y111" s="3"/>
      <c r="Z111" s="8">
        <f t="shared" si="27"/>
        <v>-0.48867499999999997</v>
      </c>
    </row>
    <row r="112" spans="1:26" s="70" customFormat="1" ht="15" hidden="1" customHeight="1" outlineLevel="2" x14ac:dyDescent="0.3">
      <c r="A112" s="26"/>
      <c r="B112" s="12" t="str">
        <f>CONCATENATE("          ","6298"," - ","VEHICLE MILEAGE")</f>
        <v xml:space="preserve">          6298 - VEHICLE MILEAGE</v>
      </c>
      <c r="C112" s="12"/>
      <c r="D112" s="7">
        <v>135.02000000000001</v>
      </c>
      <c r="E112" s="3"/>
      <c r="F112" s="8">
        <f t="shared" si="20"/>
        <v>8.1448294240655519E-5</v>
      </c>
      <c r="G112" s="3"/>
      <c r="H112" s="7"/>
      <c r="I112" s="3"/>
      <c r="J112" s="8">
        <f t="shared" si="21"/>
        <v>0</v>
      </c>
      <c r="K112" s="3"/>
      <c r="L112" s="7">
        <f t="shared" si="22"/>
        <v>135.02000000000001</v>
      </c>
      <c r="M112" s="3"/>
      <c r="N112" s="8">
        <f t="shared" si="23"/>
        <v>0</v>
      </c>
      <c r="O112" s="12"/>
      <c r="P112" s="7">
        <v>361.69</v>
      </c>
      <c r="Q112" s="3"/>
      <c r="R112" s="8">
        <f t="shared" si="24"/>
        <v>3.5137734308147151E-5</v>
      </c>
      <c r="S112" s="3"/>
      <c r="T112" s="7"/>
      <c r="U112" s="3"/>
      <c r="V112" s="8">
        <f t="shared" si="25"/>
        <v>0</v>
      </c>
      <c r="W112" s="3"/>
      <c r="X112" s="7">
        <f t="shared" si="26"/>
        <v>361.69</v>
      </c>
      <c r="Y112" s="3"/>
      <c r="Z112" s="8">
        <f t="shared" si="27"/>
        <v>0</v>
      </c>
    </row>
    <row r="113" spans="1:26" s="69" customFormat="1" ht="15" customHeight="1" outlineLevel="1" collapsed="1" x14ac:dyDescent="0.3">
      <c r="A113" s="25"/>
      <c r="B113" s="14" t="str">
        <f>CONCATENATE("     ","Utilities                                         ")</f>
        <v xml:space="preserve">     Utilities                                         </v>
      </c>
      <c r="C113" s="14"/>
      <c r="D113" s="2">
        <f>SUM(OSRRefD22_22x_0)</f>
        <v>8150</v>
      </c>
      <c r="E113" s="2"/>
      <c r="F113" s="6">
        <f t="shared" si="20"/>
        <v>4.9163353433664828E-3</v>
      </c>
      <c r="G113" s="2"/>
      <c r="H113" s="2">
        <f>SUM(OSRRefH22_22x_0)</f>
        <v>8667</v>
      </c>
      <c r="I113" s="2"/>
      <c r="J113" s="6">
        <f t="shared" si="21"/>
        <v>5.926684715006951E-3</v>
      </c>
      <c r="K113" s="2"/>
      <c r="L113" s="2">
        <f t="shared" si="22"/>
        <v>-517</v>
      </c>
      <c r="M113" s="2"/>
      <c r="N113" s="6">
        <f t="shared" si="23"/>
        <v>-5.9651551863389871E-2</v>
      </c>
      <c r="O113" s="14"/>
      <c r="P113" s="2">
        <f>SUM(OSRRefP22_22x_0)</f>
        <v>70950</v>
      </c>
      <c r="Q113" s="2"/>
      <c r="R113" s="6">
        <f t="shared" si="24"/>
        <v>6.892704385421328E-3</v>
      </c>
      <c r="S113" s="2"/>
      <c r="T113" s="2">
        <f>SUM(OSRRefT22_22x_0)</f>
        <v>78003</v>
      </c>
      <c r="U113" s="2"/>
      <c r="V113" s="6">
        <f t="shared" si="25"/>
        <v>9.0733932510974318E-3</v>
      </c>
      <c r="W113" s="2"/>
      <c r="X113" s="2">
        <f t="shared" si="26"/>
        <v>-7053</v>
      </c>
      <c r="Y113" s="2"/>
      <c r="Z113" s="6">
        <f t="shared" si="27"/>
        <v>-9.0419599246182841E-2</v>
      </c>
    </row>
    <row r="114" spans="1:26" s="70" customFormat="1" ht="15" hidden="1" customHeight="1" outlineLevel="2" x14ac:dyDescent="0.3">
      <c r="A114" s="26"/>
      <c r="B114" s="12" t="str">
        <f>CONCATENATE("          ","6274"," - ","UTILITIES")</f>
        <v xml:space="preserve">          6274 - UTILITIES</v>
      </c>
      <c r="C114" s="12"/>
      <c r="D114" s="7">
        <v>8150</v>
      </c>
      <c r="E114" s="3"/>
      <c r="F114" s="8">
        <f t="shared" si="20"/>
        <v>4.9163353433664828E-3</v>
      </c>
      <c r="G114" s="3"/>
      <c r="H114" s="7">
        <v>8667</v>
      </c>
      <c r="I114" s="3"/>
      <c r="J114" s="8">
        <f t="shared" si="21"/>
        <v>5.926684715006951E-3</v>
      </c>
      <c r="K114" s="3"/>
      <c r="L114" s="7">
        <f t="shared" si="22"/>
        <v>-517</v>
      </c>
      <c r="M114" s="3"/>
      <c r="N114" s="8">
        <f t="shared" si="23"/>
        <v>-5.9651551863389871E-2</v>
      </c>
      <c r="O114" s="12"/>
      <c r="P114" s="7">
        <v>70950</v>
      </c>
      <c r="Q114" s="3"/>
      <c r="R114" s="8">
        <f t="shared" si="24"/>
        <v>6.892704385421328E-3</v>
      </c>
      <c r="S114" s="3"/>
      <c r="T114" s="7">
        <v>78003</v>
      </c>
      <c r="U114" s="3"/>
      <c r="V114" s="8">
        <f t="shared" si="25"/>
        <v>9.0733932510974318E-3</v>
      </c>
      <c r="W114" s="3"/>
      <c r="X114" s="7">
        <f t="shared" si="26"/>
        <v>-7053</v>
      </c>
      <c r="Y114" s="3"/>
      <c r="Z114" s="8">
        <f t="shared" si="27"/>
        <v>-9.0419599246182841E-2</v>
      </c>
    </row>
    <row r="115" spans="1:26" s="65" customFormat="1" ht="15" customHeight="1" x14ac:dyDescent="0.3">
      <c r="A115" s="35"/>
      <c r="B115" s="35"/>
      <c r="C115" s="35"/>
      <c r="D115" s="2"/>
      <c r="E115" s="2"/>
      <c r="F115" s="6"/>
      <c r="G115" s="2"/>
      <c r="H115" s="2"/>
      <c r="I115" s="2"/>
      <c r="J115" s="6"/>
      <c r="K115" s="2"/>
      <c r="L115" s="2"/>
      <c r="M115" s="2"/>
      <c r="N115" s="6"/>
      <c r="O115" s="35"/>
      <c r="P115" s="2"/>
      <c r="Q115" s="2"/>
      <c r="R115" s="6"/>
      <c r="S115" s="2"/>
      <c r="T115" s="2"/>
      <c r="U115" s="2"/>
      <c r="V115" s="6"/>
      <c r="W115" s="2"/>
      <c r="X115" s="2"/>
      <c r="Y115" s="2"/>
      <c r="Z115" s="6"/>
    </row>
    <row r="116" spans="1:26" s="63" customFormat="1" ht="15" customHeight="1" collapsed="1" x14ac:dyDescent="0.3">
      <c r="A116" s="11"/>
      <c r="B116" s="28" t="s">
        <v>291</v>
      </c>
      <c r="C116" s="11"/>
      <c r="D116" s="5">
        <f>SUM(OSRRefD25x_0)</f>
        <v>25319.38</v>
      </c>
      <c r="E116" s="5"/>
      <c r="F116" s="13">
        <f>IF(D$12=0,0,D116/D$12)</f>
        <v>1.5273443284187295E-2</v>
      </c>
      <c r="G116" s="5"/>
      <c r="H116" s="5">
        <f>SUM(OSRRefH25x_0)</f>
        <v>21607.09</v>
      </c>
      <c r="I116" s="5"/>
      <c r="J116" s="13">
        <f>IF(H$12=0,0,H116/H$12)</f>
        <v>1.4775402104393624E-2</v>
      </c>
      <c r="K116" s="5"/>
      <c r="L116" s="5">
        <f>+D116-H116</f>
        <v>3712.2900000000009</v>
      </c>
      <c r="M116" s="5"/>
      <c r="N116" s="13">
        <f>IF(H116=0,0,L116/H116)</f>
        <v>0.17180888310272235</v>
      </c>
      <c r="O116" s="11"/>
      <c r="P116" s="5">
        <f>SUM(OSRRefP25x_0)</f>
        <v>168534.85</v>
      </c>
      <c r="Q116" s="5"/>
      <c r="R116" s="13">
        <f>IF(P$12=0,0,P116/P$12)</f>
        <v>1.63729513698566E-2</v>
      </c>
      <c r="S116" s="5"/>
      <c r="T116" s="5">
        <f>SUM(OSRRefT25x_0)</f>
        <v>105980.4</v>
      </c>
      <c r="U116" s="5"/>
      <c r="V116" s="13">
        <f>IF(T$12=0,0,T116/T$12)</f>
        <v>1.2327754651854496E-2</v>
      </c>
      <c r="W116" s="5"/>
      <c r="X116" s="5">
        <f>+P116-T116</f>
        <v>62554.450000000012</v>
      </c>
      <c r="Y116" s="5"/>
      <c r="Z116" s="13">
        <f>IF(T116=0,0,X116/T116)</f>
        <v>0.59024546048137216</v>
      </c>
    </row>
    <row r="117" spans="1:26" s="70" customFormat="1" ht="15" hidden="1" customHeight="1" outlineLevel="1" x14ac:dyDescent="0.3">
      <c r="A117" s="42"/>
      <c r="B117" s="12" t="str">
        <f>CONCATENATE("          ","9150"," - ","MISC. INCOME")</f>
        <v xml:space="preserve">          9150 - MISC. INCOME</v>
      </c>
      <c r="C117" s="12"/>
      <c r="D117" s="3">
        <f>--25319.38</f>
        <v>25319.38</v>
      </c>
      <c r="E117" s="3"/>
      <c r="F117" s="20">
        <f>IF(D$12=0,0,D117/D$12)</f>
        <v>1.5273443284187295E-2</v>
      </c>
      <c r="G117" s="3"/>
      <c r="H117" s="3"/>
      <c r="I117" s="3"/>
      <c r="J117" s="20">
        <f>IF(H$12=0,0,H117/H$12)</f>
        <v>0</v>
      </c>
      <c r="K117" s="3"/>
      <c r="L117" s="3">
        <f>+D117-H117</f>
        <v>25319.38</v>
      </c>
      <c r="M117" s="3"/>
      <c r="N117" s="20">
        <f>IF(H117=0,0,L117/H117)</f>
        <v>0</v>
      </c>
      <c r="O117" s="12"/>
      <c r="P117" s="3">
        <f>--168534.85</f>
        <v>168534.85</v>
      </c>
      <c r="Q117" s="3"/>
      <c r="R117" s="20">
        <f>IF(P$12=0,0,P117/P$12)</f>
        <v>1.63729513698566E-2</v>
      </c>
      <c r="S117" s="3"/>
      <c r="T117" s="3">
        <v>1000</v>
      </c>
      <c r="U117" s="3"/>
      <c r="V117" s="20">
        <f>IF(T$12=0,0,T117/T$12)</f>
        <v>1.1632108061353321E-4</v>
      </c>
      <c r="W117" s="3"/>
      <c r="X117" s="3">
        <f>+P117-T117</f>
        <v>167534.85</v>
      </c>
      <c r="Y117" s="3"/>
      <c r="Z117" s="20">
        <f>IF(T117=0,0,X117/T117)</f>
        <v>167.53485000000001</v>
      </c>
    </row>
    <row r="118" spans="1:26" s="70" customFormat="1" ht="15" hidden="1" customHeight="1" outlineLevel="1" x14ac:dyDescent="0.3">
      <c r="A118" s="42"/>
      <c r="B118" s="12" t="str">
        <f>CONCATENATE("          ","9151"," - ","MISC. INCOME")</f>
        <v xml:space="preserve">          9151 - MISC. INCOME</v>
      </c>
      <c r="C118" s="12"/>
      <c r="D118" s="3">
        <f>0</f>
        <v>0</v>
      </c>
      <c r="E118" s="3"/>
      <c r="F118" s="20">
        <f>IF(D$12=0,0,D118/D$12)</f>
        <v>0</v>
      </c>
      <c r="G118" s="3"/>
      <c r="H118" s="3">
        <v>11876.31</v>
      </c>
      <c r="I118" s="3"/>
      <c r="J118" s="20">
        <f>IF(H$12=0,0,H118/H$12)</f>
        <v>8.1212812908369909E-3</v>
      </c>
      <c r="K118" s="3"/>
      <c r="L118" s="3">
        <f>+D118-H118</f>
        <v>-11876.31</v>
      </c>
      <c r="M118" s="3"/>
      <c r="N118" s="20">
        <f>IF(H118=0,0,L118/H118)</f>
        <v>-1</v>
      </c>
      <c r="O118" s="12"/>
      <c r="P118" s="3">
        <f>0</f>
        <v>0</v>
      </c>
      <c r="Q118" s="3"/>
      <c r="R118" s="20">
        <f>IF(P$12=0,0,P118/P$12)</f>
        <v>0</v>
      </c>
      <c r="S118" s="3"/>
      <c r="T118" s="3">
        <v>44768.53</v>
      </c>
      <c r="U118" s="3"/>
      <c r="V118" s="20">
        <f>IF(T$12=0,0,T118/T$12)</f>
        <v>5.2075237870793803E-3</v>
      </c>
      <c r="W118" s="3"/>
      <c r="X118" s="3">
        <f>+P118-T118</f>
        <v>-44768.53</v>
      </c>
      <c r="Y118" s="3"/>
      <c r="Z118" s="20">
        <f>IF(T118=0,0,X118/T118)</f>
        <v>-1</v>
      </c>
    </row>
    <row r="119" spans="1:26" s="70" customFormat="1" ht="15" hidden="1" customHeight="1" outlineLevel="1" x14ac:dyDescent="0.3">
      <c r="A119" s="42"/>
      <c r="B119" s="12" t="str">
        <f>CONCATENATE("          ","9160"," - ","MISC. INCOME")</f>
        <v xml:space="preserve">          9160 - MISC. INCOME</v>
      </c>
      <c r="C119" s="12"/>
      <c r="D119" s="3">
        <f>0</f>
        <v>0</v>
      </c>
      <c r="E119" s="3"/>
      <c r="F119" s="20">
        <f>IF(D$12=0,0,D119/D$12)</f>
        <v>0</v>
      </c>
      <c r="G119" s="3"/>
      <c r="H119" s="3">
        <v>9730.7800000000007</v>
      </c>
      <c r="I119" s="3"/>
      <c r="J119" s="20">
        <f>IF(H$12=0,0,H119/H$12)</f>
        <v>6.6541208135566339E-3</v>
      </c>
      <c r="K119" s="3"/>
      <c r="L119" s="3">
        <f>+D119-H119</f>
        <v>-9730.7800000000007</v>
      </c>
      <c r="M119" s="3"/>
      <c r="N119" s="20">
        <f>IF(H119=0,0,L119/H119)</f>
        <v>-1</v>
      </c>
      <c r="O119" s="12"/>
      <c r="P119" s="3">
        <f>0</f>
        <v>0</v>
      </c>
      <c r="Q119" s="3"/>
      <c r="R119" s="20">
        <f>IF(P$12=0,0,P119/P$12)</f>
        <v>0</v>
      </c>
      <c r="S119" s="3"/>
      <c r="T119" s="3">
        <v>60211.87</v>
      </c>
      <c r="U119" s="3"/>
      <c r="V119" s="20">
        <f>IF(T$12=0,0,T119/T$12)</f>
        <v>7.003909784161582E-3</v>
      </c>
      <c r="W119" s="3"/>
      <c r="X119" s="3">
        <f>+P119-T119</f>
        <v>-60211.87</v>
      </c>
      <c r="Y119" s="3"/>
      <c r="Z119" s="20">
        <f>IF(T119=0,0,X119/T119)</f>
        <v>-1</v>
      </c>
    </row>
    <row r="120" spans="1:26" s="70" customFormat="1" ht="15" hidden="1" customHeight="1" outlineLevel="1" x14ac:dyDescent="0.3">
      <c r="A120" s="42"/>
      <c r="B120" s="12" t="str">
        <f>CONCATENATE("          ","9165"," - ","OTHER INCOME")</f>
        <v xml:space="preserve">          9165 - OTHER INCOME</v>
      </c>
      <c r="C120" s="12"/>
      <c r="D120" s="3">
        <f>0</f>
        <v>0</v>
      </c>
      <c r="E120" s="3"/>
      <c r="F120" s="20">
        <f>IF(D$12=0,0,D120/D$12)</f>
        <v>0</v>
      </c>
      <c r="G120" s="3"/>
      <c r="H120" s="3"/>
      <c r="I120" s="3"/>
      <c r="J120" s="20">
        <f>IF(H$12=0,0,H120/H$12)</f>
        <v>0</v>
      </c>
      <c r="K120" s="3"/>
      <c r="L120" s="3">
        <f>+D120-H120</f>
        <v>0</v>
      </c>
      <c r="M120" s="3"/>
      <c r="N120" s="20">
        <f>IF(H120=0,0,L120/H120)</f>
        <v>0</v>
      </c>
      <c r="O120" s="12"/>
      <c r="P120" s="3">
        <f>0</f>
        <v>0</v>
      </c>
      <c r="Q120" s="3"/>
      <c r="R120" s="20">
        <f>IF(P$12=0,0,P120/P$12)</f>
        <v>0</v>
      </c>
      <c r="S120" s="3"/>
      <c r="T120" s="3"/>
      <c r="U120" s="3"/>
      <c r="V120" s="20">
        <f>IF(T$12=0,0,T120/T$12)</f>
        <v>0</v>
      </c>
      <c r="W120" s="3"/>
      <c r="X120" s="3">
        <f>+P120-T120</f>
        <v>0</v>
      </c>
      <c r="Y120" s="3"/>
      <c r="Z120" s="20">
        <f>IF(T120=0,0,X120/T120)</f>
        <v>0</v>
      </c>
    </row>
    <row r="121" spans="1:26" ht="15" customHeight="1" x14ac:dyDescent="0.3">
      <c r="A121" s="10"/>
      <c r="B121" s="11"/>
      <c r="C121" s="11"/>
      <c r="D121" s="4"/>
      <c r="E121" s="4"/>
      <c r="F121" s="9"/>
      <c r="G121" s="4"/>
      <c r="H121" s="4"/>
      <c r="I121" s="4"/>
      <c r="J121" s="9"/>
      <c r="K121" s="4"/>
      <c r="L121" s="4"/>
      <c r="M121" s="4"/>
      <c r="N121" s="9"/>
      <c r="O121" s="11"/>
      <c r="P121" s="4"/>
      <c r="Q121" s="4"/>
      <c r="R121" s="9"/>
      <c r="S121" s="4"/>
      <c r="T121" s="4"/>
      <c r="U121" s="4"/>
      <c r="V121" s="9"/>
      <c r="W121" s="4"/>
      <c r="X121" s="4"/>
      <c r="Y121" s="4"/>
      <c r="Z121" s="9"/>
    </row>
    <row r="122" spans="1:26" s="63" customFormat="1" ht="15" customHeight="1" x14ac:dyDescent="0.3">
      <c r="A122" s="11"/>
      <c r="B122" s="27" t="s">
        <v>292</v>
      </c>
      <c r="C122" s="27"/>
      <c r="D122" s="21">
        <f>+D27-D29+D116</f>
        <v>490437.67999999982</v>
      </c>
      <c r="E122" s="15"/>
      <c r="F122" s="23">
        <f>IF(D$12=0,0,D122/D$12)</f>
        <v>0.29584737422118529</v>
      </c>
      <c r="G122" s="15"/>
      <c r="H122" s="21">
        <f>+H27-H29+H116</f>
        <v>295357.53783920879</v>
      </c>
      <c r="I122" s="15"/>
      <c r="J122" s="23">
        <f>IF(H$12=0,0,H122/H$12)</f>
        <v>0.2019719631906918</v>
      </c>
      <c r="K122" s="16"/>
      <c r="L122" s="21">
        <f>+D122-H122</f>
        <v>195080.14216079103</v>
      </c>
      <c r="M122" s="16"/>
      <c r="N122" s="23">
        <f>IF(H122=0,0,L122/H122)</f>
        <v>0.66048811074187552</v>
      </c>
      <c r="O122" s="28"/>
      <c r="P122" s="21">
        <f>+P27-P29+P116</f>
        <v>2011110.7800000035</v>
      </c>
      <c r="Q122" s="15"/>
      <c r="R122" s="23">
        <f>IF(P$12=0,0,P122/P$12)</f>
        <v>0.19537691462824711</v>
      </c>
      <c r="S122" s="15"/>
      <c r="T122" s="21">
        <f>+T27-T29+T116</f>
        <v>-54781.765671826346</v>
      </c>
      <c r="U122" s="15"/>
      <c r="V122" s="23">
        <f>IF(T$12=0,0,T122/T$12)</f>
        <v>-6.3722741808641984E-3</v>
      </c>
      <c r="W122" s="16"/>
      <c r="X122" s="21">
        <f>+P122-T122</f>
        <v>2065892.54567183</v>
      </c>
      <c r="Y122" s="16"/>
      <c r="Z122" s="23">
        <f>IF(T122=0,0,X122/T122)</f>
        <v>-37.711317266546146</v>
      </c>
    </row>
    <row r="123" spans="1:26" ht="15" customHeight="1" x14ac:dyDescent="0.3">
      <c r="A123" s="10"/>
      <c r="B123" s="11"/>
      <c r="C123" s="10"/>
      <c r="D123" s="4"/>
      <c r="E123" s="4"/>
      <c r="F123" s="9"/>
      <c r="G123" s="4"/>
      <c r="H123" s="4"/>
      <c r="I123" s="4"/>
      <c r="J123" s="9"/>
      <c r="K123" s="4"/>
      <c r="L123" s="4"/>
      <c r="M123" s="4"/>
      <c r="N123" s="9"/>
      <c r="P123" s="4"/>
      <c r="Q123" s="4"/>
      <c r="R123" s="9"/>
      <c r="S123" s="4"/>
      <c r="T123" s="4"/>
      <c r="U123" s="4"/>
      <c r="V123" s="9"/>
      <c r="W123" s="4"/>
      <c r="X123" s="4"/>
      <c r="Y123" s="4"/>
      <c r="Z123" s="9"/>
    </row>
    <row r="124" spans="1:26" s="63" customFormat="1" ht="15" customHeight="1" x14ac:dyDescent="0.3">
      <c r="A124" s="49"/>
      <c r="B124" s="11" t="s">
        <v>293</v>
      </c>
      <c r="C124" s="11"/>
      <c r="D124" s="5">
        <v>150564.98000000001</v>
      </c>
      <c r="E124" s="5"/>
      <c r="F124" s="13">
        <f>IF(D$12=0,0,D124/D$12)</f>
        <v>9.0825513208253689E-2</v>
      </c>
      <c r="G124" s="5"/>
      <c r="H124" s="5">
        <v>174765</v>
      </c>
      <c r="I124" s="5"/>
      <c r="J124" s="13">
        <f>IF(H$12=0,0,H124/H$12)</f>
        <v>0.1195081405582312</v>
      </c>
      <c r="K124" s="5"/>
      <c r="L124" s="5">
        <f>+D124-H124</f>
        <v>-24200.01999999999</v>
      </c>
      <c r="M124" s="5"/>
      <c r="N124" s="13">
        <f>IF(H124=0,0,L124/H124)</f>
        <v>-0.13847177638543182</v>
      </c>
      <c r="O124" s="11"/>
      <c r="P124" s="5">
        <v>1228503.07</v>
      </c>
      <c r="Q124" s="5"/>
      <c r="R124" s="13">
        <f>IF(P$12=0,0,P124/P$12)</f>
        <v>0.11934754754182615</v>
      </c>
      <c r="S124" s="5"/>
      <c r="T124" s="5">
        <v>1046943</v>
      </c>
      <c r="U124" s="5"/>
      <c r="V124" s="13">
        <f>IF(T$12=0,0,T124/T$12)</f>
        <v>0.1217815411007743</v>
      </c>
      <c r="W124" s="5"/>
      <c r="X124" s="5">
        <f>+P124-T124</f>
        <v>181560.07000000007</v>
      </c>
      <c r="Y124" s="5"/>
      <c r="Z124" s="13">
        <f>IF(T124=0,0,X124/T124)</f>
        <v>0.17341925014064763</v>
      </c>
    </row>
    <row r="125" spans="1:26" ht="15" customHeight="1" x14ac:dyDescent="0.3">
      <c r="A125" s="10"/>
      <c r="B125" s="11"/>
      <c r="C125" s="11"/>
      <c r="D125" s="4"/>
      <c r="E125" s="4"/>
      <c r="F125" s="9"/>
      <c r="G125" s="4"/>
      <c r="H125" s="4"/>
      <c r="I125" s="4"/>
      <c r="J125" s="9"/>
      <c r="K125" s="4"/>
      <c r="L125" s="4"/>
      <c r="M125" s="4"/>
      <c r="N125" s="9"/>
      <c r="O125" s="11"/>
      <c r="P125" s="4"/>
      <c r="Q125" s="4"/>
      <c r="R125" s="9"/>
      <c r="S125" s="4"/>
      <c r="T125" s="4"/>
      <c r="U125" s="4"/>
      <c r="V125" s="9"/>
      <c r="W125" s="4"/>
      <c r="X125" s="4"/>
      <c r="Y125" s="4"/>
      <c r="Z125" s="9"/>
    </row>
    <row r="126" spans="1:26" s="63" customFormat="1" ht="15" customHeight="1" x14ac:dyDescent="0.3">
      <c r="A126" s="11"/>
      <c r="B126" s="27" t="s">
        <v>294</v>
      </c>
      <c r="C126" s="27"/>
      <c r="D126" s="34">
        <f>+D122-D124</f>
        <v>339872.69999999984</v>
      </c>
      <c r="E126" s="15"/>
      <c r="F126" s="29">
        <f>IF(D$12=0,0,D126/D$12)</f>
        <v>0.20502186101293163</v>
      </c>
      <c r="G126" s="15"/>
      <c r="H126" s="34">
        <f>+H122-H124</f>
        <v>120592.53783920879</v>
      </c>
      <c r="I126" s="15"/>
      <c r="J126" s="29">
        <f>IF(H$12=0,0,H126/H$12)</f>
        <v>8.2463822632460604E-2</v>
      </c>
      <c r="K126" s="16"/>
      <c r="L126" s="34">
        <f>D126-H126</f>
        <v>219280.16216079105</v>
      </c>
      <c r="M126" s="16"/>
      <c r="N126" s="29">
        <f>IF(H126=0,0,L126/H126)</f>
        <v>1.8183559786523997</v>
      </c>
      <c r="O126" s="28"/>
      <c r="P126" s="34">
        <f>+P122-P124</f>
        <v>782607.71000000346</v>
      </c>
      <c r="Q126" s="15"/>
      <c r="R126" s="29">
        <f>IF(P$12=0,0,P126/P$12)</f>
        <v>7.6029367086420954E-2</v>
      </c>
      <c r="S126" s="15"/>
      <c r="T126" s="34">
        <f>+T122-T124</f>
        <v>-1101724.7656718264</v>
      </c>
      <c r="U126" s="15"/>
      <c r="V126" s="29">
        <f>IF(T$12=0,0,T126/T$12)</f>
        <v>-0.12815381528163852</v>
      </c>
      <c r="W126" s="16"/>
      <c r="X126" s="34">
        <f>P126-T126</f>
        <v>1884332.4756718299</v>
      </c>
      <c r="Y126" s="16"/>
      <c r="Z126" s="29">
        <f>IF(T126=0,0,X126/T126)</f>
        <v>-1.7103477514393288</v>
      </c>
    </row>
    <row r="127" spans="1:26" ht="15" customHeight="1" x14ac:dyDescent="0.3">
      <c r="A127" s="10"/>
      <c r="B127" s="10"/>
      <c r="C127" s="10"/>
      <c r="D127" s="4"/>
      <c r="E127" s="4"/>
      <c r="F127" s="9"/>
      <c r="G127" s="4"/>
      <c r="H127" s="4"/>
      <c r="I127" s="4"/>
      <c r="J127" s="9"/>
      <c r="K127" s="4"/>
      <c r="L127" s="4"/>
      <c r="M127" s="4"/>
      <c r="N127" s="9"/>
      <c r="P127" s="4"/>
      <c r="Q127" s="4"/>
      <c r="R127" s="9"/>
      <c r="S127" s="4"/>
      <c r="T127" s="4"/>
      <c r="U127" s="4"/>
      <c r="V127" s="9"/>
      <c r="W127" s="4"/>
      <c r="X127" s="4"/>
      <c r="Y127" s="4"/>
      <c r="Z127" s="9"/>
    </row>
    <row r="128" spans="1:26" ht="15" customHeight="1" x14ac:dyDescent="0.3">
      <c r="A128" s="10"/>
      <c r="B128" s="10"/>
      <c r="C128" s="10"/>
      <c r="D128" s="4"/>
      <c r="E128" s="4"/>
      <c r="F128" s="9"/>
      <c r="G128" s="4"/>
      <c r="H128" s="4"/>
      <c r="I128" s="4"/>
      <c r="J128" s="9"/>
      <c r="K128" s="4"/>
      <c r="L128" s="4"/>
      <c r="M128" s="4"/>
      <c r="N128" s="9"/>
      <c r="P128" s="4"/>
      <c r="Q128" s="4"/>
      <c r="R128" s="9"/>
      <c r="S128" s="4"/>
      <c r="T128" s="4"/>
      <c r="U128" s="4"/>
      <c r="V128" s="9"/>
      <c r="W128" s="4"/>
      <c r="X128" s="4"/>
      <c r="Y128" s="4"/>
      <c r="Z128" s="9"/>
    </row>
    <row r="129" spans="1:26" s="63" customFormat="1" ht="15" customHeight="1" x14ac:dyDescent="0.3">
      <c r="A129" s="11"/>
      <c r="B129" s="27" t="s">
        <v>297</v>
      </c>
      <c r="C129" s="27"/>
      <c r="D129" s="32">
        <f>SUM(D126:D128)</f>
        <v>339872.69999999984</v>
      </c>
      <c r="E129" s="15"/>
      <c r="F129" s="31">
        <f>IF(D$12=0,0,D129/D$12)</f>
        <v>0.20502186101293163</v>
      </c>
      <c r="G129" s="15"/>
      <c r="H129" s="32">
        <f>SUM(H126:H128)</f>
        <v>120592.53783920879</v>
      </c>
      <c r="I129" s="15"/>
      <c r="J129" s="31">
        <f>IF(H$12=0,0,H129/H$12)</f>
        <v>8.2463822632460604E-2</v>
      </c>
      <c r="K129" s="16"/>
      <c r="L129" s="32">
        <f>+D129-H129</f>
        <v>219280.16216079105</v>
      </c>
      <c r="M129" s="16"/>
      <c r="N129" s="31">
        <f>IF(H129=0,0,L129/H129)</f>
        <v>1.8183559786523997</v>
      </c>
      <c r="O129" s="28"/>
      <c r="P129" s="32">
        <f>SUM(P126:P128)</f>
        <v>782607.71000000346</v>
      </c>
      <c r="Q129" s="15"/>
      <c r="R129" s="31">
        <f>IF(P$12=0,0,P129/P$12)</f>
        <v>7.6029367086420954E-2</v>
      </c>
      <c r="S129" s="15"/>
      <c r="T129" s="32">
        <f>SUM(T126:T128)</f>
        <v>-1101724.7656718264</v>
      </c>
      <c r="U129" s="15"/>
      <c r="V129" s="31">
        <f>IF(T$12=0,0,T129/T$12)</f>
        <v>-0.12815381528163852</v>
      </c>
      <c r="W129" s="16"/>
      <c r="X129" s="32">
        <f>+P129-T129</f>
        <v>1884332.4756718299</v>
      </c>
      <c r="Y129" s="16"/>
      <c r="Z129" s="31">
        <f>IF(T129=0,0,X129/T129)</f>
        <v>-1.7103477514393288</v>
      </c>
    </row>
    <row r="130" spans="1:26" ht="15" customHeight="1" x14ac:dyDescent="0.3">
      <c r="A130" s="10"/>
      <c r="C130" s="10"/>
      <c r="D130" s="19"/>
      <c r="E130" s="19"/>
      <c r="G130" s="19"/>
      <c r="H130" s="19"/>
      <c r="I130" s="19"/>
      <c r="J130" s="40"/>
      <c r="K130" s="19"/>
      <c r="L130" s="19"/>
      <c r="M130" s="19"/>
      <c r="P130" s="19"/>
      <c r="Q130" s="19"/>
      <c r="R130" s="40"/>
      <c r="S130" s="19"/>
      <c r="T130" s="19"/>
      <c r="U130" s="19"/>
      <c r="V130" s="40"/>
      <c r="W130" s="19"/>
      <c r="X130" s="19"/>
    </row>
    <row r="131" spans="1:26" ht="15" customHeight="1" x14ac:dyDescent="0.3">
      <c r="A131" s="10"/>
      <c r="B131" s="51">
        <v>44663.0476380787</v>
      </c>
      <c r="D131" s="19"/>
      <c r="E131" s="19"/>
      <c r="G131" s="19"/>
      <c r="H131" s="19"/>
      <c r="I131" s="19"/>
      <c r="J131" s="40"/>
      <c r="K131" s="19"/>
      <c r="L131" s="19"/>
      <c r="M131" s="19"/>
      <c r="P131" s="19"/>
      <c r="Q131" s="19"/>
      <c r="R131" s="40"/>
      <c r="S131" s="19"/>
      <c r="T131" s="19"/>
      <c r="U131" s="19"/>
      <c r="V131" s="40"/>
      <c r="W131" s="19"/>
      <c r="X131" s="19"/>
    </row>
    <row r="132" spans="1:26" ht="15" customHeight="1" x14ac:dyDescent="0.3">
      <c r="A132" s="10"/>
      <c r="B132" s="58" t="s">
        <v>298</v>
      </c>
      <c r="D132" s="19"/>
      <c r="E132" s="19"/>
      <c r="G132" s="19"/>
      <c r="H132" s="19"/>
      <c r="I132" s="19"/>
      <c r="J132" s="40"/>
      <c r="K132" s="19"/>
      <c r="L132" s="19"/>
      <c r="M132" s="19"/>
      <c r="P132" s="19"/>
      <c r="Q132" s="19"/>
      <c r="R132" s="40"/>
      <c r="S132" s="19"/>
      <c r="T132" s="19"/>
      <c r="U132" s="19"/>
      <c r="V132" s="40"/>
      <c r="W132" s="19"/>
      <c r="X132" s="19"/>
    </row>
    <row r="133" spans="1:26" ht="15" customHeight="1" x14ac:dyDescent="0.3">
      <c r="A133" s="10"/>
      <c r="B133" s="50"/>
      <c r="D133" s="19"/>
      <c r="E133" s="19"/>
      <c r="G133" s="19"/>
      <c r="H133" s="19"/>
      <c r="I133" s="19"/>
      <c r="J133" s="40"/>
      <c r="K133" s="19"/>
      <c r="L133" s="19"/>
      <c r="M133" s="19"/>
      <c r="P133" s="19"/>
      <c r="Q133" s="19"/>
      <c r="R133" s="40"/>
      <c r="S133" s="19"/>
      <c r="T133" s="19"/>
      <c r="U133" s="19"/>
      <c r="V133" s="40"/>
      <c r="W133" s="19"/>
      <c r="X133" s="19"/>
    </row>
    <row r="134" spans="1:26" ht="15" customHeight="1" x14ac:dyDescent="0.3">
      <c r="D134" s="19"/>
      <c r="E134" s="19"/>
      <c r="G134" s="19"/>
      <c r="H134" s="19"/>
      <c r="I134" s="19"/>
      <c r="J134" s="40"/>
      <c r="K134" s="19"/>
      <c r="L134" s="19"/>
      <c r="M134" s="19"/>
      <c r="P134" s="19"/>
      <c r="Q134" s="19"/>
      <c r="R134" s="40"/>
      <c r="S134" s="19"/>
      <c r="T134" s="19"/>
      <c r="U134" s="19"/>
      <c r="V134" s="40"/>
      <c r="W134" s="19"/>
      <c r="X134" s="19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F4ED48-5E47-6608-763F-E73AD59C8996}">
  <sheetPr>
    <tabColor rgb="FFFFC000"/>
    <outlinePr summaryBelow="0" summaryRight="0"/>
  </sheetPr>
  <dimension ref="A2:Z41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6" customWidth="1"/>
    <col min="2" max="2" width="33.44140625" style="66" customWidth="1"/>
    <col min="3" max="3" width="1.88671875" style="66" customWidth="1"/>
    <col min="4" max="4" width="15" style="66" customWidth="1"/>
    <col min="5" max="5" width="1.88671875" style="66" customWidth="1" outlineLevel="1"/>
    <col min="6" max="6" width="15" style="67" customWidth="1" outlineLevel="1"/>
    <col min="7" max="7" width="1.88671875" style="66" customWidth="1" outlineLevel="1"/>
    <col min="8" max="8" width="15" style="66" customWidth="1" outlineLevel="1"/>
    <col min="9" max="9" width="1.88671875" style="66" customWidth="1" outlineLevel="1"/>
    <col min="10" max="10" width="15" style="68" customWidth="1" outlineLevel="1"/>
    <col min="11" max="11" width="1.88671875" style="66" customWidth="1" outlineLevel="1"/>
    <col min="12" max="12" width="15" style="66" customWidth="1" outlineLevel="1"/>
    <col min="13" max="13" width="1.88671875" style="66" customWidth="1" outlineLevel="1"/>
    <col min="14" max="14" width="15" style="67" customWidth="1" outlineLevel="1"/>
    <col min="15" max="15" width="1.88671875" style="64" customWidth="1"/>
    <col min="16" max="16" width="15" style="66" customWidth="1"/>
    <col min="17" max="17" width="1.88671875" style="66" customWidth="1" outlineLevel="1"/>
    <col min="18" max="18" width="15" style="68" customWidth="1" outlineLevel="1"/>
    <col min="19" max="19" width="1.88671875" style="66" customWidth="1" outlineLevel="1"/>
    <col min="20" max="20" width="15" style="66" customWidth="1" outlineLevel="1"/>
    <col min="21" max="21" width="1.88671875" style="66" customWidth="1" outlineLevel="1"/>
    <col min="22" max="22" width="15" style="68" customWidth="1" outlineLevel="1"/>
    <col min="23" max="23" width="1.88671875" style="66" customWidth="1" outlineLevel="1"/>
    <col min="24" max="24" width="15" style="66" customWidth="1" outlineLevel="1"/>
    <col min="25" max="25" width="1.88671875" style="66" customWidth="1" outlineLevel="1"/>
    <col min="26" max="26" width="15" style="68" customWidth="1" outlineLevel="1"/>
  </cols>
  <sheetData>
    <row r="2" spans="1:26" ht="15" customHeight="1" x14ac:dyDescent="0.3">
      <c r="D2" s="54" t="s">
        <v>276</v>
      </c>
    </row>
    <row r="3" spans="1:26" ht="15" customHeight="1" x14ac:dyDescent="0.3">
      <c r="D3" s="54" t="s">
        <v>277</v>
      </c>
      <c r="E3" s="18"/>
      <c r="F3" s="44"/>
      <c r="G3" s="18"/>
      <c r="H3" s="18"/>
      <c r="I3" s="18"/>
      <c r="J3" s="38"/>
      <c r="K3" s="18"/>
      <c r="L3" s="18"/>
      <c r="M3" s="18"/>
      <c r="N3" s="44"/>
      <c r="O3" s="53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ht="15" customHeight="1" x14ac:dyDescent="0.3">
      <c r="D4" s="54" t="e">
        <f ca="1">CONCATENATE("Period ",RIGHT(_xll.ONESTOP.REPORTPLAYER.OSRFUNCTIONS.OSRGET("Period","PeriodId"),2),", ",_xll.ONESTOP.REPORTPLAYER.OSRFUNCTIONS.OSRGET("Period","Year"))</f>
        <v>#NAME?</v>
      </c>
      <c r="E4" s="18"/>
      <c r="F4" s="44"/>
      <c r="G4" s="18"/>
      <c r="H4" s="18"/>
      <c r="I4" s="18"/>
      <c r="J4" s="38"/>
      <c r="K4" s="18"/>
      <c r="L4" s="18"/>
      <c r="M4" s="18"/>
      <c r="N4" s="44"/>
      <c r="O4" s="53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ht="15" customHeight="1" x14ac:dyDescent="0.3">
      <c r="A5" s="24"/>
      <c r="D5" s="61" t="e">
        <f ca="1">_xll.ONESTOP.REPORTPLAYER.OSRFUNCTIONS.OSRGET("Period","PeriodEnd")</f>
        <v>#NAME?</v>
      </c>
      <c r="E5" s="18"/>
      <c r="F5" s="44"/>
      <c r="G5" s="18"/>
      <c r="H5" s="18"/>
      <c r="I5" s="18"/>
      <c r="J5" s="38"/>
      <c r="K5" s="18"/>
      <c r="L5" s="18"/>
      <c r="M5" s="18"/>
      <c r="N5" s="44"/>
      <c r="O5" s="53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ht="15" customHeight="1" x14ac:dyDescent="0.3">
      <c r="A6" s="24"/>
      <c r="B6" s="47"/>
      <c r="C6" s="47"/>
      <c r="D6" s="24" t="s">
        <v>299</v>
      </c>
      <c r="E6" s="18"/>
      <c r="F6" s="44"/>
      <c r="G6" s="18"/>
      <c r="H6" s="18"/>
      <c r="I6" s="18"/>
      <c r="J6" s="38"/>
      <c r="K6" s="18"/>
      <c r="L6" s="18"/>
      <c r="M6" s="18"/>
      <c r="N6" s="44"/>
      <c r="O6" s="59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ht="15" customHeight="1" x14ac:dyDescent="0.3">
      <c r="B7" s="52"/>
    </row>
    <row r="8" spans="1:26" ht="15" customHeight="1" x14ac:dyDescent="0.3">
      <c r="B8" s="52"/>
    </row>
    <row r="9" spans="1:26" ht="15" customHeight="1" x14ac:dyDescent="0.3">
      <c r="B9" s="10"/>
      <c r="C9" s="10"/>
      <c r="D9" s="17" t="s">
        <v>279</v>
      </c>
      <c r="E9" s="17"/>
      <c r="F9" s="36"/>
      <c r="G9" s="17"/>
      <c r="H9" s="17"/>
      <c r="I9" s="17"/>
      <c r="J9" s="43"/>
      <c r="K9" s="17"/>
      <c r="L9" s="17"/>
      <c r="M9" s="17"/>
      <c r="N9" s="36"/>
      <c r="P9" s="17" t="s">
        <v>280</v>
      </c>
      <c r="Q9" s="17"/>
      <c r="R9" s="36"/>
      <c r="S9" s="17"/>
      <c r="T9" s="17"/>
      <c r="U9" s="17"/>
      <c r="V9" s="43"/>
      <c r="W9" s="17"/>
      <c r="X9" s="17"/>
      <c r="Y9" s="17"/>
      <c r="Z9" s="36"/>
    </row>
    <row r="10" spans="1:26" ht="15" customHeight="1" x14ac:dyDescent="0.3">
      <c r="A10" s="11"/>
      <c r="B10" s="57"/>
      <c r="C10" s="11"/>
      <c r="D10" s="41" t="s">
        <v>281</v>
      </c>
      <c r="E10" s="33"/>
      <c r="F10" s="37" t="s">
        <v>282</v>
      </c>
      <c r="G10" s="33"/>
      <c r="H10" s="48" t="s">
        <v>283</v>
      </c>
      <c r="I10" s="33"/>
      <c r="J10" s="45" t="s">
        <v>284</v>
      </c>
      <c r="K10" s="11"/>
      <c r="L10" s="41" t="s">
        <v>285</v>
      </c>
      <c r="M10" s="11"/>
      <c r="N10" s="37" t="s">
        <v>286</v>
      </c>
      <c r="O10" s="11"/>
      <c r="P10" s="56" t="s">
        <v>281</v>
      </c>
      <c r="Q10" s="33"/>
      <c r="R10" s="37" t="s">
        <v>282</v>
      </c>
      <c r="S10" s="33"/>
      <c r="T10" s="48" t="s">
        <v>283</v>
      </c>
      <c r="U10" s="33"/>
      <c r="V10" s="45" t="s">
        <v>284</v>
      </c>
      <c r="W10" s="11"/>
      <c r="X10" s="41" t="s">
        <v>285</v>
      </c>
      <c r="Y10" s="11"/>
      <c r="Z10" s="37" t="s">
        <v>286</v>
      </c>
    </row>
    <row r="11" spans="1:26" ht="16.5" customHeight="1" x14ac:dyDescent="0.3">
      <c r="A11" s="10"/>
      <c r="B11" s="55"/>
      <c r="C11" s="10"/>
      <c r="D11" s="10"/>
      <c r="E11" s="10"/>
      <c r="F11" s="9"/>
      <c r="G11" s="10"/>
      <c r="H11" s="10"/>
      <c r="I11" s="10"/>
      <c r="J11" s="46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6"/>
      <c r="W11" s="10"/>
      <c r="X11" s="10"/>
      <c r="Y11" s="10"/>
      <c r="Z11" s="9"/>
    </row>
    <row r="12" spans="1:26" s="63" customFormat="1" ht="15" customHeight="1" collapsed="1" x14ac:dyDescent="0.3">
      <c r="A12" s="11"/>
      <c r="B12" s="28" t="s">
        <v>287</v>
      </c>
      <c r="C12" s="11"/>
      <c r="D12" s="5" t="e">
        <f ca="1">SUM(_xll.ONESTOP.REPORTPLAYER.OSRFUNCTIONS.OSRREF(D13))</f>
        <v>#NAME?</v>
      </c>
      <c r="E12" s="5"/>
      <c r="F12" s="13"/>
      <c r="G12" s="5"/>
      <c r="H12" s="5" t="e">
        <f ca="1">SUM(_xll.ONESTOP.REPORTPLAYER.OSRFUNCTIONS.OSRREF(H13))</f>
        <v>#NAME?</v>
      </c>
      <c r="I12" s="5"/>
      <c r="J12" s="13"/>
      <c r="K12" s="5"/>
      <c r="L12" s="5" t="e">
        <f ca="1">+D12-H12</f>
        <v>#NAME?</v>
      </c>
      <c r="M12" s="5"/>
      <c r="N12" s="13" t="e">
        <f ca="1">IF(H12=0,0,L12/H12)</f>
        <v>#NAME?</v>
      </c>
      <c r="O12" s="11"/>
      <c r="P12" s="5" t="e">
        <f ca="1">SUM(_xll.ONESTOP.REPORTPLAYER.OSRFUNCTIONS.OSRREF(P13))</f>
        <v>#NAME?</v>
      </c>
      <c r="Q12" s="5"/>
      <c r="R12" s="13"/>
      <c r="S12" s="5"/>
      <c r="T12" s="5" t="e">
        <f ca="1">SUM(_xll.ONESTOP.REPORTPLAYER.OSRFUNCTIONS.OSRREF(T13))</f>
        <v>#NAME?</v>
      </c>
      <c r="U12" s="5"/>
      <c r="V12" s="13"/>
      <c r="W12" s="5"/>
      <c r="X12" s="5" t="e">
        <f ca="1">+P12-T12</f>
        <v>#NAME?</v>
      </c>
      <c r="Y12" s="5"/>
      <c r="Z12" s="13" t="e">
        <f ca="1">IF(T12=0,0,X12/T12)</f>
        <v>#NAME?</v>
      </c>
    </row>
    <row r="13" spans="1:26" s="70" customFormat="1" ht="15" hidden="1" customHeight="1" outlineLevel="1" x14ac:dyDescent="0.3">
      <c r="A13" s="42"/>
      <c r="B13" s="12" t="e">
        <f ca="1">CONCATENATE("          ",_xll.ONESTOP.REPORTPLAYER.OSRFUNCTIONS.OSRGET("d_Account","Code")," - ",_xll.ONESTOP.REPORTPLAYER.OSRFUNCTIONS.OSRGET("d_Account","Description"))</f>
        <v>#NAME?</v>
      </c>
      <c r="C13" s="12"/>
      <c r="D13" s="3" t="e">
        <f ca="1">-_xll.ONESTOP.REPORTPLAYER.OSRFUNCTIONS.OSRGET("GL_F_Trans","Value1")</f>
        <v>#NAME?</v>
      </c>
      <c r="E13" s="3"/>
      <c r="F13" s="20"/>
      <c r="G13" s="3"/>
      <c r="H13" s="3" t="e">
        <f ca="1">_xll.ONESTOP.REPORTPLAYER.OSRFUNCTIONS.OSRGET("GL_F_Trans","Value1")</f>
        <v>#NAME?</v>
      </c>
      <c r="I13" s="3"/>
      <c r="J13" s="20"/>
      <c r="K13" s="3"/>
      <c r="L13" s="3" t="e">
        <f ca="1">+D13-H13</f>
        <v>#NAME?</v>
      </c>
      <c r="M13" s="3"/>
      <c r="N13" s="20" t="e">
        <f ca="1">IF(H13=0,0,L13/H13)</f>
        <v>#NAME?</v>
      </c>
      <c r="O13" s="12"/>
      <c r="P13" s="3" t="e">
        <f ca="1">-_xll.ONESTOP.REPORTPLAYER.OSRFUNCTIONS.OSRGET("GL_F_Trans","Value1")</f>
        <v>#NAME?</v>
      </c>
      <c r="Q13" s="3"/>
      <c r="R13" s="20"/>
      <c r="S13" s="3"/>
      <c r="T13" s="3" t="e">
        <f ca="1">_xll.ONESTOP.REPORTPLAYER.OSRFUNCTIONS.OSRGET("GL_F_Trans","Value1")</f>
        <v>#NAME?</v>
      </c>
      <c r="U13" s="3"/>
      <c r="V13" s="20"/>
      <c r="W13" s="3"/>
      <c r="X13" s="3" t="e">
        <f ca="1">+P13-T13</f>
        <v>#NAME?</v>
      </c>
      <c r="Y13" s="3"/>
      <c r="Z13" s="20" t="e">
        <f ca="1">IF(T13=0,0,X13/T13)</f>
        <v>#NAME?</v>
      </c>
    </row>
    <row r="14" spans="1:26" ht="15" customHeight="1" x14ac:dyDescent="0.3">
      <c r="A14" s="10"/>
      <c r="B14" s="11"/>
      <c r="C14" s="10"/>
      <c r="D14" s="4"/>
      <c r="E14" s="4"/>
      <c r="F14" s="9"/>
      <c r="G14" s="4"/>
      <c r="H14" s="4"/>
      <c r="I14" s="4"/>
      <c r="J14" s="9"/>
      <c r="K14" s="4"/>
      <c r="L14" s="4"/>
      <c r="M14" s="4"/>
      <c r="N14" s="9"/>
      <c r="P14" s="4"/>
      <c r="Q14" s="4"/>
      <c r="R14" s="9"/>
      <c r="S14" s="4"/>
      <c r="T14" s="4"/>
      <c r="U14" s="4"/>
      <c r="V14" s="9"/>
      <c r="W14" s="4"/>
      <c r="X14" s="4"/>
      <c r="Y14" s="4"/>
      <c r="Z14" s="9"/>
    </row>
    <row r="15" spans="1:26" s="63" customFormat="1" ht="15" customHeight="1" collapsed="1" x14ac:dyDescent="0.3">
      <c r="A15" s="11"/>
      <c r="B15" s="28" t="s">
        <v>288</v>
      </c>
      <c r="C15" s="11"/>
      <c r="D15" s="5" t="e">
        <f ca="1">SUM(_xll.ONESTOP.REPORTPLAYER.OSRFUNCTIONS.OSRREF(D16))</f>
        <v>#NAME?</v>
      </c>
      <c r="E15" s="5"/>
      <c r="F15" s="13" t="e">
        <f ca="1">IF(D$12=0,0,D15/D$12)</f>
        <v>#NAME?</v>
      </c>
      <c r="G15" s="5"/>
      <c r="H15" s="5" t="e">
        <f ca="1">SUM(_xll.ONESTOP.REPORTPLAYER.OSRFUNCTIONS.OSRREF(H16))</f>
        <v>#NAME?</v>
      </c>
      <c r="I15" s="5"/>
      <c r="J15" s="13" t="e">
        <f ca="1">IF(H$12=0,0,H15/H$12)</f>
        <v>#NAME?</v>
      </c>
      <c r="K15" s="5"/>
      <c r="L15" s="5" t="e">
        <f ca="1">+D15-H15</f>
        <v>#NAME?</v>
      </c>
      <c r="M15" s="5"/>
      <c r="N15" s="13" t="e">
        <f ca="1">IF(H15=0,0,L15/H15)</f>
        <v>#NAME?</v>
      </c>
      <c r="O15" s="11"/>
      <c r="P15" s="5" t="e">
        <f ca="1">SUM(_xll.ONESTOP.REPORTPLAYER.OSRFUNCTIONS.OSRREF(P16))</f>
        <v>#NAME?</v>
      </c>
      <c r="Q15" s="5"/>
      <c r="R15" s="13" t="e">
        <f ca="1">IF(P$12=0,0,P15/P$12)</f>
        <v>#NAME?</v>
      </c>
      <c r="S15" s="5"/>
      <c r="T15" s="5" t="e">
        <f ca="1">SUM(_xll.ONESTOP.REPORTPLAYER.OSRFUNCTIONS.OSRREF(T16))</f>
        <v>#NAME?</v>
      </c>
      <c r="U15" s="5"/>
      <c r="V15" s="13" t="e">
        <f ca="1">IF(T$12=0,0,T15/T$12)</f>
        <v>#NAME?</v>
      </c>
      <c r="W15" s="5"/>
      <c r="X15" s="5" t="e">
        <f ca="1">+P15-T15</f>
        <v>#NAME?</v>
      </c>
      <c r="Y15" s="5"/>
      <c r="Z15" s="13" t="e">
        <f ca="1">IF(T15=0,0,X15/T15)</f>
        <v>#NAME?</v>
      </c>
    </row>
    <row r="16" spans="1:26" s="70" customFormat="1" ht="15" hidden="1" customHeight="1" outlineLevel="1" x14ac:dyDescent="0.3">
      <c r="A16" s="42"/>
      <c r="B16" s="12" t="e">
        <f ca="1">CONCATENATE("          ",_xll.ONESTOP.REPORTPLAYER.OSRFUNCTIONS.OSRGET("d_Account","Code")," - ",_xll.ONESTOP.REPORTPLAYER.OSRFUNCTIONS.OSRGET("d_Account","Description"))</f>
        <v>#NAME?</v>
      </c>
      <c r="C16" s="12"/>
      <c r="D16" s="3" t="e">
        <f ca="1">_xll.ONESTOP.REPORTPLAYER.OSRFUNCTIONS.OSRGET("GL_F_Trans","Value1")</f>
        <v>#NAME?</v>
      </c>
      <c r="E16" s="3"/>
      <c r="F16" s="20" t="e">
        <f ca="1">IF(D$12=0,0,D16/D$12)</f>
        <v>#NAME?</v>
      </c>
      <c r="G16" s="3"/>
      <c r="H16" s="3" t="e">
        <f ca="1">_xll.ONESTOP.REPORTPLAYER.OSRFUNCTIONS.OSRGET("GL_F_Trans","Value1")</f>
        <v>#NAME?</v>
      </c>
      <c r="I16" s="3"/>
      <c r="J16" s="20" t="e">
        <f ca="1">IF(H$12=0,0,H16/H$12)</f>
        <v>#NAME?</v>
      </c>
      <c r="K16" s="3"/>
      <c r="L16" s="3" t="e">
        <f ca="1">+D16-H16</f>
        <v>#NAME?</v>
      </c>
      <c r="M16" s="3"/>
      <c r="N16" s="20" t="e">
        <f ca="1">IF(H16=0,0,L16/H16)</f>
        <v>#NAME?</v>
      </c>
      <c r="O16" s="12"/>
      <c r="P16" s="3" t="e">
        <f ca="1">_xll.ONESTOP.REPORTPLAYER.OSRFUNCTIONS.OSRGET("GL_F_Trans","Value1")</f>
        <v>#NAME?</v>
      </c>
      <c r="Q16" s="3"/>
      <c r="R16" s="20" t="e">
        <f ca="1">IF(P$12=0,0,P16/P$12)</f>
        <v>#NAME?</v>
      </c>
      <c r="S16" s="3"/>
      <c r="T16" s="3" t="e">
        <f ca="1">_xll.ONESTOP.REPORTPLAYER.OSRFUNCTIONS.OSRGET("GL_F_Trans","Value1")</f>
        <v>#NAME?</v>
      </c>
      <c r="U16" s="3"/>
      <c r="V16" s="20" t="e">
        <f ca="1">IF(T$12=0,0,T16/T$12)</f>
        <v>#NAME?</v>
      </c>
      <c r="W16" s="3"/>
      <c r="X16" s="3" t="e">
        <f ca="1">+P16-T16</f>
        <v>#NAME?</v>
      </c>
      <c r="Y16" s="3"/>
      <c r="Z16" s="20" t="e">
        <f ca="1">IF(T16=0,0,X16/T16)</f>
        <v>#NAME?</v>
      </c>
    </row>
    <row r="17" spans="1:26" ht="15" customHeight="1" x14ac:dyDescent="0.3">
      <c r="A17" s="10"/>
      <c r="B17" s="11"/>
      <c r="C17" s="11"/>
      <c r="D17" s="4"/>
      <c r="E17" s="4"/>
      <c r="F17" s="9"/>
      <c r="G17" s="4"/>
      <c r="H17" s="4"/>
      <c r="I17" s="4"/>
      <c r="J17" s="9"/>
      <c r="K17" s="4"/>
      <c r="L17" s="4"/>
      <c r="M17" s="4"/>
      <c r="N17" s="9"/>
      <c r="O17" s="11"/>
      <c r="P17" s="4"/>
      <c r="Q17" s="4"/>
      <c r="R17" s="9"/>
      <c r="S17" s="4"/>
      <c r="T17" s="4"/>
      <c r="U17" s="4"/>
      <c r="V17" s="9"/>
      <c r="W17" s="4"/>
      <c r="X17" s="4"/>
      <c r="Y17" s="4"/>
      <c r="Z17" s="9"/>
    </row>
    <row r="18" spans="1:26" s="63" customFormat="1" ht="15" customHeight="1" x14ac:dyDescent="0.3">
      <c r="A18" s="11"/>
      <c r="B18" s="27" t="s">
        <v>289</v>
      </c>
      <c r="C18" s="27"/>
      <c r="D18" s="21" t="e">
        <f ca="1">D12-D15</f>
        <v>#NAME?</v>
      </c>
      <c r="E18" s="15"/>
      <c r="F18" s="23" t="e">
        <f ca="1">IF(D$12=0,0,D18/D$12)</f>
        <v>#NAME?</v>
      </c>
      <c r="G18" s="15"/>
      <c r="H18" s="21" t="e">
        <f ca="1">H12-H15</f>
        <v>#NAME?</v>
      </c>
      <c r="I18" s="15"/>
      <c r="J18" s="23" t="e">
        <f ca="1">IF(H$12=0,0,H18/H$12)</f>
        <v>#NAME?</v>
      </c>
      <c r="K18" s="16"/>
      <c r="L18" s="21" t="e">
        <f ca="1">+D18-H18</f>
        <v>#NAME?</v>
      </c>
      <c r="M18" s="16"/>
      <c r="N18" s="23" t="e">
        <f ca="1">IF(H18=0,0,L18/H18)</f>
        <v>#NAME?</v>
      </c>
      <c r="O18" s="28"/>
      <c r="P18" s="21" t="e">
        <f ca="1">P12-P15</f>
        <v>#NAME?</v>
      </c>
      <c r="Q18" s="15"/>
      <c r="R18" s="23" t="e">
        <f ca="1">IF(P$12=0,0,P18/P$12)</f>
        <v>#NAME?</v>
      </c>
      <c r="S18" s="15"/>
      <c r="T18" s="21" t="e">
        <f ca="1">T12-T15</f>
        <v>#NAME?</v>
      </c>
      <c r="U18" s="15"/>
      <c r="V18" s="23" t="e">
        <f ca="1">IF(T$12=0,0,T18/T$12)</f>
        <v>#NAME?</v>
      </c>
      <c r="W18" s="16"/>
      <c r="X18" s="21" t="e">
        <f ca="1">+P18-T18</f>
        <v>#NAME?</v>
      </c>
      <c r="Y18" s="16"/>
      <c r="Z18" s="23" t="e">
        <f ca="1">IF(T18=0,0,X18/T18)</f>
        <v>#NAME?</v>
      </c>
    </row>
    <row r="19" spans="1:26" ht="15" customHeight="1" x14ac:dyDescent="0.3">
      <c r="A19" s="10"/>
      <c r="B19" s="11"/>
      <c r="C19" s="10"/>
      <c r="D19" s="2"/>
      <c r="E19" s="2"/>
      <c r="F19" s="6"/>
      <c r="G19" s="2"/>
      <c r="H19" s="2"/>
      <c r="I19" s="2"/>
      <c r="J19" s="6"/>
      <c r="K19" s="2"/>
      <c r="L19" s="2"/>
      <c r="M19" s="2"/>
      <c r="N19" s="6"/>
      <c r="O19" s="35"/>
      <c r="P19" s="2"/>
      <c r="Q19" s="2"/>
      <c r="R19" s="6"/>
      <c r="S19" s="2"/>
      <c r="T19" s="2"/>
      <c r="U19" s="2"/>
      <c r="V19" s="6"/>
      <c r="W19" s="2"/>
      <c r="X19" s="2"/>
      <c r="Y19" s="2"/>
      <c r="Z19" s="6"/>
    </row>
    <row r="20" spans="1:26" s="63" customFormat="1" ht="15" customHeight="1" x14ac:dyDescent="0.3">
      <c r="A20" s="11"/>
      <c r="B20" s="28" t="s">
        <v>290</v>
      </c>
      <c r="C20" s="11"/>
      <c r="D20" s="22" t="e">
        <f ca="1">SUM(_xll.ONESTOP.REPORTPLAYER.OSRFUNCTIONS.OSRREF(D22))</f>
        <v>#NAME?</v>
      </c>
      <c r="E20" s="22"/>
      <c r="F20" s="30" t="e">
        <f ca="1">IF(D$12=0,0,D20/D$12)</f>
        <v>#NAME?</v>
      </c>
      <c r="G20" s="22"/>
      <c r="H20" s="22" t="e">
        <f ca="1">SUM(_xll.ONESTOP.REPORTPLAYER.OSRFUNCTIONS.OSRREF(H22))</f>
        <v>#NAME?</v>
      </c>
      <c r="I20" s="22"/>
      <c r="J20" s="30" t="e">
        <f ca="1">IF(H$12=0,0,H20/H$12)</f>
        <v>#NAME?</v>
      </c>
      <c r="K20" s="5"/>
      <c r="L20" s="22" t="e">
        <f ca="1">+D20-H20</f>
        <v>#NAME?</v>
      </c>
      <c r="M20" s="5"/>
      <c r="N20" s="30" t="e">
        <f ca="1">IF(H20=0,0,L20/H20)</f>
        <v>#NAME?</v>
      </c>
      <c r="O20" s="11"/>
      <c r="P20" s="22" t="e">
        <f ca="1">SUM(_xll.ONESTOP.REPORTPLAYER.OSRFUNCTIONS.OSRREF(P22))</f>
        <v>#NAME?</v>
      </c>
      <c r="Q20" s="22"/>
      <c r="R20" s="30" t="e">
        <f ca="1">IF(P$12=0,0,P20/P$12)</f>
        <v>#NAME?</v>
      </c>
      <c r="S20" s="22"/>
      <c r="T20" s="22" t="e">
        <f ca="1">SUM(_xll.ONESTOP.REPORTPLAYER.OSRFUNCTIONS.OSRREF(T22))</f>
        <v>#NAME?</v>
      </c>
      <c r="U20" s="22"/>
      <c r="V20" s="30" t="e">
        <f ca="1">IF(T$12=0,0,T20/T$12)</f>
        <v>#NAME?</v>
      </c>
      <c r="W20" s="5"/>
      <c r="X20" s="22" t="e">
        <f ca="1">+P20-T20</f>
        <v>#NAME?</v>
      </c>
      <c r="Y20" s="5"/>
      <c r="Z20" s="30" t="e">
        <f ca="1">IF(T20=0,0,X20/T20)</f>
        <v>#NAME?</v>
      </c>
    </row>
    <row r="21" spans="1:26" s="69" customFormat="1" ht="15" customHeight="1" outlineLevel="1" collapsed="1" x14ac:dyDescent="0.3">
      <c r="A21" s="25"/>
      <c r="B21" s="14" t="e">
        <f ca="1">CONCATENATE("     ",_xll.ONESTOP.REPORTPLAYER.OSRFUNCTIONS.OSRGET("d_Account","AccountCategory"))</f>
        <v>#NAME?</v>
      </c>
      <c r="C21" s="14"/>
      <c r="D21" s="2" t="e">
        <f ca="1">SUM(_xll.ONESTOP.REPORTPLAYER.OSRFUNCTIONS.OSRREF(D22))</f>
        <v>#NAME?</v>
      </c>
      <c r="E21" s="2"/>
      <c r="F21" s="6" t="e">
        <f ca="1">IF(D$12=0,0,D21/D$12)</f>
        <v>#NAME?</v>
      </c>
      <c r="G21" s="2"/>
      <c r="H21" s="2" t="e">
        <f ca="1">SUM(_xll.ONESTOP.REPORTPLAYER.OSRFUNCTIONS.OSRREF(H22))</f>
        <v>#NAME?</v>
      </c>
      <c r="I21" s="2"/>
      <c r="J21" s="6" t="e">
        <f ca="1">IF(H$12=0,0,H21/H$12)</f>
        <v>#NAME?</v>
      </c>
      <c r="K21" s="2"/>
      <c r="L21" s="2" t="e">
        <f ca="1">+D21-H21</f>
        <v>#NAME?</v>
      </c>
      <c r="M21" s="2"/>
      <c r="N21" s="6" t="e">
        <f ca="1">IF(H21=0,0,L21/H21)</f>
        <v>#NAME?</v>
      </c>
      <c r="O21" s="14"/>
      <c r="P21" s="2" t="e">
        <f ca="1">SUM(_xll.ONESTOP.REPORTPLAYER.OSRFUNCTIONS.OSRREF(P22))</f>
        <v>#NAME?</v>
      </c>
      <c r="Q21" s="2"/>
      <c r="R21" s="6" t="e">
        <f ca="1">IF(P$12=0,0,P21/P$12)</f>
        <v>#NAME?</v>
      </c>
      <c r="S21" s="2"/>
      <c r="T21" s="2" t="e">
        <f ca="1">SUM(_xll.ONESTOP.REPORTPLAYER.OSRFUNCTIONS.OSRREF(T22))</f>
        <v>#NAME?</v>
      </c>
      <c r="U21" s="2"/>
      <c r="V21" s="6" t="e">
        <f ca="1">IF(T$12=0,0,T21/T$12)</f>
        <v>#NAME?</v>
      </c>
      <c r="W21" s="2"/>
      <c r="X21" s="2" t="e">
        <f ca="1">+P21-T21</f>
        <v>#NAME?</v>
      </c>
      <c r="Y21" s="2"/>
      <c r="Z21" s="6" t="e">
        <f ca="1">IF(T21=0,0,X21/T21)</f>
        <v>#NAME?</v>
      </c>
    </row>
    <row r="22" spans="1:26" s="70" customFormat="1" ht="15" hidden="1" customHeight="1" outlineLevel="2" x14ac:dyDescent="0.3">
      <c r="A22" s="26"/>
      <c r="B22" s="12" t="e">
        <f ca="1">CONCATENATE("          ",_xll.ONESTOP.REPORTPLAYER.OSRFUNCTIONS.OSRGET("d_Account","Code")," - ",_xll.ONESTOP.REPORTPLAYER.OSRFUNCTIONS.OSRGET("d_Account","Description"))</f>
        <v>#NAME?</v>
      </c>
      <c r="C22" s="12"/>
      <c r="D22" s="7" t="e">
        <f ca="1">_xll.ONESTOP.REPORTPLAYER.OSRFUNCTIONS.OSRGET("GL_F_Trans","Value1")</f>
        <v>#NAME?</v>
      </c>
      <c r="E22" s="3"/>
      <c r="F22" s="8" t="e">
        <f ca="1">IF(D$12=0,0,D22/D$12)</f>
        <v>#NAME?</v>
      </c>
      <c r="G22" s="3"/>
      <c r="H22" s="7" t="e">
        <f ca="1">_xll.ONESTOP.REPORTPLAYER.OSRFUNCTIONS.OSRGET("GL_F_Trans","Value1")</f>
        <v>#NAME?</v>
      </c>
      <c r="I22" s="3"/>
      <c r="J22" s="8" t="e">
        <f ca="1">IF(H$12=0,0,H22/H$12)</f>
        <v>#NAME?</v>
      </c>
      <c r="K22" s="3"/>
      <c r="L22" s="7" t="e">
        <f ca="1">+D22-H22</f>
        <v>#NAME?</v>
      </c>
      <c r="M22" s="3"/>
      <c r="N22" s="8" t="e">
        <f ca="1">IF(H22=0,0,L22/H22)</f>
        <v>#NAME?</v>
      </c>
      <c r="O22" s="12"/>
      <c r="P22" s="7" t="e">
        <f ca="1">_xll.ONESTOP.REPORTPLAYER.OSRFUNCTIONS.OSRGET("GL_F_Trans","Value1")</f>
        <v>#NAME?</v>
      </c>
      <c r="Q22" s="3"/>
      <c r="R22" s="8" t="e">
        <f ca="1">IF(P$12=0,0,P22/P$12)</f>
        <v>#NAME?</v>
      </c>
      <c r="S22" s="3"/>
      <c r="T22" s="7" t="e">
        <f ca="1">_xll.ONESTOP.REPORTPLAYER.OSRFUNCTIONS.OSRGET("GL_F_Trans","Value1")</f>
        <v>#NAME?</v>
      </c>
      <c r="U22" s="3"/>
      <c r="V22" s="8" t="e">
        <f ca="1">IF(T$12=0,0,T22/T$12)</f>
        <v>#NAME?</v>
      </c>
      <c r="W22" s="3"/>
      <c r="X22" s="7" t="e">
        <f ca="1">+P22-T22</f>
        <v>#NAME?</v>
      </c>
      <c r="Y22" s="3"/>
      <c r="Z22" s="8" t="e">
        <f ca="1">IF(T22=0,0,X22/T22)</f>
        <v>#NAME?</v>
      </c>
    </row>
    <row r="23" spans="1:26" s="65" customFormat="1" ht="15" customHeight="1" x14ac:dyDescent="0.3">
      <c r="A23" s="35"/>
      <c r="B23" s="35"/>
      <c r="C23" s="35"/>
      <c r="D23" s="2"/>
      <c r="E23" s="2"/>
      <c r="F23" s="6"/>
      <c r="G23" s="2"/>
      <c r="H23" s="2"/>
      <c r="I23" s="2"/>
      <c r="J23" s="6"/>
      <c r="K23" s="2"/>
      <c r="L23" s="2"/>
      <c r="M23" s="2"/>
      <c r="N23" s="6"/>
      <c r="O23" s="35"/>
      <c r="P23" s="2"/>
      <c r="Q23" s="2"/>
      <c r="R23" s="6"/>
      <c r="S23" s="2"/>
      <c r="T23" s="2"/>
      <c r="U23" s="2"/>
      <c r="V23" s="6"/>
      <c r="W23" s="2"/>
      <c r="X23" s="2"/>
      <c r="Y23" s="2"/>
      <c r="Z23" s="6"/>
    </row>
    <row r="24" spans="1:26" s="63" customFormat="1" ht="15" customHeight="1" collapsed="1" x14ac:dyDescent="0.3">
      <c r="A24" s="11"/>
      <c r="B24" s="28" t="s">
        <v>291</v>
      </c>
      <c r="C24" s="11"/>
      <c r="D24" s="5" t="e">
        <f ca="1">SUM(_xll.ONESTOP.REPORTPLAYER.OSRFUNCTIONS.OSRREF(D25))</f>
        <v>#NAME?</v>
      </c>
      <c r="E24" s="5"/>
      <c r="F24" s="13" t="e">
        <f ca="1">IF(D$12=0,0,D24/D$12)</f>
        <v>#NAME?</v>
      </c>
      <c r="G24" s="5"/>
      <c r="H24" s="5" t="e">
        <f ca="1">SUM(_xll.ONESTOP.REPORTPLAYER.OSRFUNCTIONS.OSRREF(H25))</f>
        <v>#NAME?</v>
      </c>
      <c r="I24" s="5"/>
      <c r="J24" s="13" t="e">
        <f ca="1">IF(H$12=0,0,H24/H$12)</f>
        <v>#NAME?</v>
      </c>
      <c r="K24" s="5"/>
      <c r="L24" s="5" t="e">
        <f ca="1">+D24-H24</f>
        <v>#NAME?</v>
      </c>
      <c r="M24" s="5"/>
      <c r="N24" s="13" t="e">
        <f ca="1">IF(H24=0,0,L24/H24)</f>
        <v>#NAME?</v>
      </c>
      <c r="O24" s="11"/>
      <c r="P24" s="5" t="e">
        <f ca="1">SUM(_xll.ONESTOP.REPORTPLAYER.OSRFUNCTIONS.OSRREF(P25))</f>
        <v>#NAME?</v>
      </c>
      <c r="Q24" s="5"/>
      <c r="R24" s="13" t="e">
        <f ca="1">IF(P$12=0,0,P24/P$12)</f>
        <v>#NAME?</v>
      </c>
      <c r="S24" s="5"/>
      <c r="T24" s="5" t="e">
        <f ca="1">SUM(_xll.ONESTOP.REPORTPLAYER.OSRFUNCTIONS.OSRREF(T25))</f>
        <v>#NAME?</v>
      </c>
      <c r="U24" s="5"/>
      <c r="V24" s="13" t="e">
        <f ca="1">IF(T$12=0,0,T24/T$12)</f>
        <v>#NAME?</v>
      </c>
      <c r="W24" s="5"/>
      <c r="X24" s="5" t="e">
        <f ca="1">+P24-T24</f>
        <v>#NAME?</v>
      </c>
      <c r="Y24" s="5"/>
      <c r="Z24" s="13" t="e">
        <f ca="1">IF(T24=0,0,X24/T24)</f>
        <v>#NAME?</v>
      </c>
    </row>
    <row r="25" spans="1:26" s="70" customFormat="1" ht="15" hidden="1" customHeight="1" outlineLevel="1" x14ac:dyDescent="0.3">
      <c r="A25" s="42"/>
      <c r="B25" s="12" t="e">
        <f ca="1">CONCATENATE("          ",_xll.ONESTOP.REPORTPLAYER.OSRFUNCTIONS.OSRGET("d_Account","Code")," - ",_xll.ONESTOP.REPORTPLAYER.OSRFUNCTIONS.OSRGET("d_Account","Description"))</f>
        <v>#NAME?</v>
      </c>
      <c r="C25" s="12"/>
      <c r="D25" s="3" t="e">
        <f ca="1">-_xll.ONESTOP.REPORTPLAYER.OSRFUNCTIONS.OSRGET("GL_F_Trans","Value1")</f>
        <v>#NAME?</v>
      </c>
      <c r="E25" s="3"/>
      <c r="F25" s="20" t="e">
        <f ca="1">IF(D$12=0,0,D25/D$12)</f>
        <v>#NAME?</v>
      </c>
      <c r="G25" s="3"/>
      <c r="H25" s="3" t="e">
        <f ca="1">_xll.ONESTOP.REPORTPLAYER.OSRFUNCTIONS.OSRGET("GL_F_Trans","Value1")</f>
        <v>#NAME?</v>
      </c>
      <c r="I25" s="3"/>
      <c r="J25" s="20" t="e">
        <f ca="1">IF(H$12=0,0,H25/H$12)</f>
        <v>#NAME?</v>
      </c>
      <c r="K25" s="3"/>
      <c r="L25" s="3" t="e">
        <f ca="1">+D25-H25</f>
        <v>#NAME?</v>
      </c>
      <c r="M25" s="3"/>
      <c r="N25" s="20" t="e">
        <f ca="1">IF(H25=0,0,L25/H25)</f>
        <v>#NAME?</v>
      </c>
      <c r="O25" s="12"/>
      <c r="P25" s="3" t="e">
        <f ca="1">-_xll.ONESTOP.REPORTPLAYER.OSRFUNCTIONS.OSRGET("GL_F_Trans","Value1")</f>
        <v>#NAME?</v>
      </c>
      <c r="Q25" s="3"/>
      <c r="R25" s="20" t="e">
        <f ca="1">IF(P$12=0,0,P25/P$12)</f>
        <v>#NAME?</v>
      </c>
      <c r="S25" s="3"/>
      <c r="T25" s="3" t="e">
        <f ca="1">_xll.ONESTOP.REPORTPLAYER.OSRFUNCTIONS.OSRGET("GL_F_Trans","Value1")</f>
        <v>#NAME?</v>
      </c>
      <c r="U25" s="3"/>
      <c r="V25" s="20" t="e">
        <f ca="1">IF(T$12=0,0,T25/T$12)</f>
        <v>#NAME?</v>
      </c>
      <c r="W25" s="3"/>
      <c r="X25" s="3" t="e">
        <f ca="1">+P25-T25</f>
        <v>#NAME?</v>
      </c>
      <c r="Y25" s="3"/>
      <c r="Z25" s="20" t="e">
        <f ca="1">IF(T25=0,0,X25/T25)</f>
        <v>#NAME?</v>
      </c>
    </row>
    <row r="26" spans="1:26" ht="15" customHeight="1" x14ac:dyDescent="0.3">
      <c r="A26" s="10"/>
      <c r="B26" s="11"/>
      <c r="C26" s="11"/>
      <c r="D26" s="4"/>
      <c r="E26" s="4"/>
      <c r="F26" s="9"/>
      <c r="G26" s="4"/>
      <c r="H26" s="4"/>
      <c r="I26" s="4"/>
      <c r="J26" s="9"/>
      <c r="K26" s="4"/>
      <c r="L26" s="4"/>
      <c r="M26" s="4"/>
      <c r="N26" s="9"/>
      <c r="O26" s="11"/>
      <c r="P26" s="4"/>
      <c r="Q26" s="4"/>
      <c r="R26" s="9"/>
      <c r="S26" s="4"/>
      <c r="T26" s="4"/>
      <c r="U26" s="4"/>
      <c r="V26" s="9"/>
      <c r="W26" s="4"/>
      <c r="X26" s="4"/>
      <c r="Y26" s="4"/>
      <c r="Z26" s="9"/>
    </row>
    <row r="27" spans="1:26" s="63" customFormat="1" ht="15" customHeight="1" x14ac:dyDescent="0.3">
      <c r="A27" s="11"/>
      <c r="B27" s="27" t="s">
        <v>292</v>
      </c>
      <c r="C27" s="27"/>
      <c r="D27" s="21" t="e">
        <f ca="1">+D18-D20+D24</f>
        <v>#NAME?</v>
      </c>
      <c r="E27" s="15"/>
      <c r="F27" s="23" t="e">
        <f ca="1">IF(D$12=0,0,D27/D$12)</f>
        <v>#NAME?</v>
      </c>
      <c r="G27" s="15"/>
      <c r="H27" s="21" t="e">
        <f ca="1">+H18-H20+H24</f>
        <v>#NAME?</v>
      </c>
      <c r="I27" s="15"/>
      <c r="J27" s="23" t="e">
        <f ca="1">IF(H$12=0,0,H27/H$12)</f>
        <v>#NAME?</v>
      </c>
      <c r="K27" s="16"/>
      <c r="L27" s="21" t="e">
        <f ca="1">+D27-H27</f>
        <v>#NAME?</v>
      </c>
      <c r="M27" s="16"/>
      <c r="N27" s="23" t="e">
        <f ca="1">IF(H27=0,0,L27/H27)</f>
        <v>#NAME?</v>
      </c>
      <c r="O27" s="28"/>
      <c r="P27" s="21" t="e">
        <f ca="1">+P18-P20+P24</f>
        <v>#NAME?</v>
      </c>
      <c r="Q27" s="15"/>
      <c r="R27" s="23" t="e">
        <f ca="1">IF(P$12=0,0,P27/P$12)</f>
        <v>#NAME?</v>
      </c>
      <c r="S27" s="15"/>
      <c r="T27" s="21" t="e">
        <f ca="1">+T18-T20+T24</f>
        <v>#NAME?</v>
      </c>
      <c r="U27" s="15"/>
      <c r="V27" s="23" t="e">
        <f ca="1">IF(T$12=0,0,T27/T$12)</f>
        <v>#NAME?</v>
      </c>
      <c r="W27" s="16"/>
      <c r="X27" s="21" t="e">
        <f ca="1">+P27-T27</f>
        <v>#NAME?</v>
      </c>
      <c r="Y27" s="16"/>
      <c r="Z27" s="23" t="e">
        <f ca="1">IF(T27=0,0,X27/T27)</f>
        <v>#NAME?</v>
      </c>
    </row>
    <row r="28" spans="1:26" ht="15" customHeight="1" x14ac:dyDescent="0.3">
      <c r="A28" s="10"/>
      <c r="B28" s="11"/>
      <c r="C28" s="10"/>
      <c r="D28" s="4"/>
      <c r="E28" s="4"/>
      <c r="F28" s="9"/>
      <c r="G28" s="4"/>
      <c r="H28" s="4"/>
      <c r="I28" s="4"/>
      <c r="J28" s="9"/>
      <c r="K28" s="4"/>
      <c r="L28" s="4"/>
      <c r="M28" s="4"/>
      <c r="N28" s="9"/>
      <c r="P28" s="4"/>
      <c r="Q28" s="4"/>
      <c r="R28" s="9"/>
      <c r="S28" s="4"/>
      <c r="T28" s="4"/>
      <c r="U28" s="4"/>
      <c r="V28" s="9"/>
      <c r="W28" s="4"/>
      <c r="X28" s="4"/>
      <c r="Y28" s="4"/>
      <c r="Z28" s="9"/>
    </row>
    <row r="29" spans="1:26" s="63" customFormat="1" ht="15" customHeight="1" x14ac:dyDescent="0.3">
      <c r="A29" s="49"/>
      <c r="B29" s="11" t="s">
        <v>293</v>
      </c>
      <c r="C29" s="11"/>
      <c r="D29" s="5" t="e">
        <f ca="1">_xll.ONESTOP.REPORTPLAYER.OSRFUNCTIONS.OSRGET("GL_F_Trans","Value1")</f>
        <v>#NAME?</v>
      </c>
      <c r="E29" s="5"/>
      <c r="F29" s="13" t="e">
        <f ca="1">IF(D$12=0,0,D29/D$12)</f>
        <v>#NAME?</v>
      </c>
      <c r="G29" s="5"/>
      <c r="H29" s="5" t="e">
        <f ca="1">_xll.ONESTOP.REPORTPLAYER.OSRFUNCTIONS.OSRGET("GL_F_Trans","Value1")</f>
        <v>#NAME?</v>
      </c>
      <c r="I29" s="5"/>
      <c r="J29" s="13" t="e">
        <f ca="1">IF(H$12=0,0,H29/H$12)</f>
        <v>#NAME?</v>
      </c>
      <c r="K29" s="5"/>
      <c r="L29" s="5" t="e">
        <f ca="1">+D29-H29</f>
        <v>#NAME?</v>
      </c>
      <c r="M29" s="5"/>
      <c r="N29" s="13" t="e">
        <f ca="1">IF(H29=0,0,L29/H29)</f>
        <v>#NAME?</v>
      </c>
      <c r="O29" s="11"/>
      <c r="P29" s="5" t="e">
        <f ca="1">_xll.ONESTOP.REPORTPLAYER.OSRFUNCTIONS.OSRGET("GL_F_Trans","Value1")</f>
        <v>#NAME?</v>
      </c>
      <c r="Q29" s="5"/>
      <c r="R29" s="13" t="e">
        <f ca="1">IF(P$12=0,0,P29/P$12)</f>
        <v>#NAME?</v>
      </c>
      <c r="S29" s="5"/>
      <c r="T29" s="5" t="e">
        <f ca="1">_xll.ONESTOP.REPORTPLAYER.OSRFUNCTIONS.OSRGET("GL_F_Trans","Value1")</f>
        <v>#NAME?</v>
      </c>
      <c r="U29" s="5"/>
      <c r="V29" s="13" t="e">
        <f ca="1">IF(T$12=0,0,T29/T$12)</f>
        <v>#NAME?</v>
      </c>
      <c r="W29" s="5"/>
      <c r="X29" s="5" t="e">
        <f ca="1">+P29-T29</f>
        <v>#NAME?</v>
      </c>
      <c r="Y29" s="5"/>
      <c r="Z29" s="13" t="e">
        <f ca="1">IF(T29=0,0,X29/T29)</f>
        <v>#NAME?</v>
      </c>
    </row>
    <row r="30" spans="1:26" ht="15" customHeight="1" x14ac:dyDescent="0.3">
      <c r="A30" s="10"/>
      <c r="B30" s="11"/>
      <c r="C30" s="11"/>
      <c r="D30" s="4"/>
      <c r="E30" s="4"/>
      <c r="F30" s="9"/>
      <c r="G30" s="4"/>
      <c r="H30" s="4"/>
      <c r="I30" s="4"/>
      <c r="J30" s="9"/>
      <c r="K30" s="4"/>
      <c r="L30" s="4"/>
      <c r="M30" s="4"/>
      <c r="N30" s="9"/>
      <c r="O30" s="11"/>
      <c r="P30" s="4"/>
      <c r="Q30" s="4"/>
      <c r="R30" s="9"/>
      <c r="S30" s="4"/>
      <c r="T30" s="4"/>
      <c r="U30" s="4"/>
      <c r="V30" s="9"/>
      <c r="W30" s="4"/>
      <c r="X30" s="4"/>
      <c r="Y30" s="4"/>
      <c r="Z30" s="9"/>
    </row>
    <row r="31" spans="1:26" s="63" customFormat="1" ht="15" customHeight="1" x14ac:dyDescent="0.3">
      <c r="A31" s="11"/>
      <c r="B31" s="27" t="s">
        <v>294</v>
      </c>
      <c r="C31" s="27"/>
      <c r="D31" s="34" t="e">
        <f ca="1">+D27-D29</f>
        <v>#NAME?</v>
      </c>
      <c r="E31" s="15"/>
      <c r="F31" s="29" t="e">
        <f ca="1">IF(D$12=0,0,D31/D$12)</f>
        <v>#NAME?</v>
      </c>
      <c r="G31" s="15"/>
      <c r="H31" s="34" t="e">
        <f ca="1">+H27-H29</f>
        <v>#NAME?</v>
      </c>
      <c r="I31" s="15"/>
      <c r="J31" s="29" t="e">
        <f ca="1">IF(H$12=0,0,H31/H$12)</f>
        <v>#NAME?</v>
      </c>
      <c r="K31" s="16"/>
      <c r="L31" s="34" t="e">
        <f ca="1">D31-H31</f>
        <v>#NAME?</v>
      </c>
      <c r="M31" s="16"/>
      <c r="N31" s="29" t="e">
        <f ca="1">IF(H31=0,0,L31/H31)</f>
        <v>#NAME?</v>
      </c>
      <c r="O31" s="28"/>
      <c r="P31" s="34" t="e">
        <f ca="1">+P27-P29</f>
        <v>#NAME?</v>
      </c>
      <c r="Q31" s="15"/>
      <c r="R31" s="29" t="e">
        <f ca="1">IF(P$12=0,0,P31/P$12)</f>
        <v>#NAME?</v>
      </c>
      <c r="S31" s="15"/>
      <c r="T31" s="34" t="e">
        <f ca="1">+T27-T29</f>
        <v>#NAME?</v>
      </c>
      <c r="U31" s="15"/>
      <c r="V31" s="29" t="e">
        <f ca="1">IF(T$12=0,0,T31/T$12)</f>
        <v>#NAME?</v>
      </c>
      <c r="W31" s="16"/>
      <c r="X31" s="34" t="e">
        <f ca="1">P31-T31</f>
        <v>#NAME?</v>
      </c>
      <c r="Y31" s="16"/>
      <c r="Z31" s="29" t="e">
        <f ca="1">IF(T31=0,0,X31/T31)</f>
        <v>#NAME?</v>
      </c>
    </row>
    <row r="32" spans="1:26" ht="15" customHeight="1" x14ac:dyDescent="0.3">
      <c r="A32" s="10"/>
      <c r="B32" s="10"/>
      <c r="C32" s="10"/>
      <c r="D32" s="4"/>
      <c r="E32" s="4"/>
      <c r="F32" s="9"/>
      <c r="G32" s="4"/>
      <c r="H32" s="4"/>
      <c r="I32" s="4"/>
      <c r="J32" s="9"/>
      <c r="K32" s="4"/>
      <c r="L32" s="4"/>
      <c r="M32" s="4"/>
      <c r="N32" s="9"/>
      <c r="P32" s="4"/>
      <c r="Q32" s="4"/>
      <c r="R32" s="9"/>
      <c r="S32" s="4"/>
      <c r="T32" s="4"/>
      <c r="U32" s="4"/>
      <c r="V32" s="9"/>
      <c r="W32" s="4"/>
      <c r="X32" s="4"/>
      <c r="Y32" s="4"/>
      <c r="Z32" s="9"/>
    </row>
    <row r="33" spans="1:26" s="63" customFormat="1" ht="15" customHeight="1" x14ac:dyDescent="0.3">
      <c r="A33" s="49"/>
      <c r="B33" s="11" t="s">
        <v>295</v>
      </c>
      <c r="C33" s="11"/>
      <c r="D33" s="5" t="e">
        <f ca="1">-_xll.ONESTOP.REPORTPLAYER.OSRFUNCTIONS.OSRGET("GL_F_Trans","Value1")</f>
        <v>#NAME?</v>
      </c>
      <c r="E33" s="5"/>
      <c r="F33" s="13" t="e">
        <f ca="1">IF(D$12=0,0,D33/D$12)</f>
        <v>#NAME?</v>
      </c>
      <c r="G33" s="5"/>
      <c r="H33" s="5" t="e">
        <f ca="1">-_xll.ONESTOP.REPORTPLAYER.OSRFUNCTIONS.OSRGET("GL_F_Trans","Value1")</f>
        <v>#NAME?</v>
      </c>
      <c r="I33" s="5"/>
      <c r="J33" s="13" t="e">
        <f ca="1">IF(H$12=0,0,H33/H$12)</f>
        <v>#NAME?</v>
      </c>
      <c r="K33" s="5"/>
      <c r="L33" s="5" t="e">
        <f ca="1">+D33-H33</f>
        <v>#NAME?</v>
      </c>
      <c r="M33" s="5"/>
      <c r="N33" s="13" t="e">
        <f ca="1">IF(H33=0,0,L33/H33)</f>
        <v>#NAME?</v>
      </c>
      <c r="O33" s="11"/>
      <c r="P33" s="5" t="e">
        <f ca="1">-_xll.ONESTOP.REPORTPLAYER.OSRFUNCTIONS.OSRGET("GL_F_Trans","Value1")</f>
        <v>#NAME?</v>
      </c>
      <c r="Q33" s="5"/>
      <c r="R33" s="13" t="e">
        <f ca="1">IF(P$12=0,0,P33/P$12)</f>
        <v>#NAME?</v>
      </c>
      <c r="S33" s="5"/>
      <c r="T33" s="5" t="e">
        <f ca="1">-_xll.ONESTOP.REPORTPLAYER.OSRFUNCTIONS.OSRGET("GL_F_Trans","Value1")</f>
        <v>#NAME?</v>
      </c>
      <c r="U33" s="5"/>
      <c r="V33" s="13" t="e">
        <f ca="1">IF(T$12=0,0,T33/T$12)</f>
        <v>#NAME?</v>
      </c>
      <c r="W33" s="5"/>
      <c r="X33" s="5" t="e">
        <f ca="1">+P33-T33</f>
        <v>#NAME?</v>
      </c>
      <c r="Y33" s="5"/>
      <c r="Z33" s="13" t="e">
        <f ca="1">IF(T33=0,0,X33/T33)</f>
        <v>#NAME?</v>
      </c>
    </row>
    <row r="34" spans="1:26" s="63" customFormat="1" ht="15" customHeight="1" x14ac:dyDescent="0.3">
      <c r="A34" s="49"/>
      <c r="B34" s="11" t="s">
        <v>296</v>
      </c>
      <c r="C34" s="11"/>
      <c r="D34" s="5" t="e">
        <f ca="1">-_xll.ONESTOP.REPORTPLAYER.OSRFUNCTIONS.OSRGET("GL_F_Trans","Value1")</f>
        <v>#NAME?</v>
      </c>
      <c r="E34" s="5"/>
      <c r="F34" s="13" t="e">
        <f ca="1">IF(D$12=0,0,D34/D$12)</f>
        <v>#NAME?</v>
      </c>
      <c r="G34" s="5"/>
      <c r="H34" s="5" t="e">
        <f ca="1">-_xll.ONESTOP.REPORTPLAYER.OSRFUNCTIONS.OSRGET("GL_F_Trans","Value1")</f>
        <v>#NAME?</v>
      </c>
      <c r="I34" s="5"/>
      <c r="J34" s="13" t="e">
        <f ca="1">IF(H$12=0,0,H34/H$12)</f>
        <v>#NAME?</v>
      </c>
      <c r="K34" s="5"/>
      <c r="L34" s="5" t="e">
        <f ca="1">+D34-H34</f>
        <v>#NAME?</v>
      </c>
      <c r="M34" s="5"/>
      <c r="N34" s="13" t="e">
        <f ca="1">IF(H34=0,0,L34/H34)</f>
        <v>#NAME?</v>
      </c>
      <c r="O34" s="11"/>
      <c r="P34" s="5" t="e">
        <f ca="1">-_xll.ONESTOP.REPORTPLAYER.OSRFUNCTIONS.OSRGET("GL_F_Trans","Value1")</f>
        <v>#NAME?</v>
      </c>
      <c r="Q34" s="5"/>
      <c r="R34" s="13" t="e">
        <f ca="1">IF(P$12=0,0,P34/P$12)</f>
        <v>#NAME?</v>
      </c>
      <c r="S34" s="5"/>
      <c r="T34" s="5" t="e">
        <f ca="1">-_xll.ONESTOP.REPORTPLAYER.OSRFUNCTIONS.OSRGET("GL_F_Trans","Value1")</f>
        <v>#NAME?</v>
      </c>
      <c r="U34" s="5"/>
      <c r="V34" s="13" t="e">
        <f ca="1">IF(T$12=0,0,T34/T$12)</f>
        <v>#NAME?</v>
      </c>
      <c r="W34" s="5"/>
      <c r="X34" s="5" t="e">
        <f ca="1">+P34-T34</f>
        <v>#NAME?</v>
      </c>
      <c r="Y34" s="5"/>
      <c r="Z34" s="13" t="e">
        <f ca="1">IF(T34=0,0,X34/T34)</f>
        <v>#NAME?</v>
      </c>
    </row>
    <row r="35" spans="1:26" ht="15" customHeight="1" x14ac:dyDescent="0.3">
      <c r="A35" s="10"/>
      <c r="B35" s="10"/>
      <c r="C35" s="10"/>
      <c r="D35" s="4"/>
      <c r="E35" s="4"/>
      <c r="F35" s="9"/>
      <c r="G35" s="4"/>
      <c r="H35" s="4"/>
      <c r="I35" s="4"/>
      <c r="J35" s="9"/>
      <c r="K35" s="4"/>
      <c r="L35" s="4"/>
      <c r="M35" s="4"/>
      <c r="N35" s="9"/>
      <c r="P35" s="4"/>
      <c r="Q35" s="4"/>
      <c r="R35" s="9"/>
      <c r="S35" s="4"/>
      <c r="T35" s="4"/>
      <c r="U35" s="4"/>
      <c r="V35" s="9"/>
      <c r="W35" s="4"/>
      <c r="X35" s="4"/>
      <c r="Y35" s="4"/>
      <c r="Z35" s="9"/>
    </row>
    <row r="36" spans="1:26" s="63" customFormat="1" ht="15" customHeight="1" x14ac:dyDescent="0.3">
      <c r="A36" s="11"/>
      <c r="B36" s="27" t="s">
        <v>297</v>
      </c>
      <c r="C36" s="27"/>
      <c r="D36" s="32" t="e">
        <f ca="1">SUM(D31:D35)</f>
        <v>#NAME?</v>
      </c>
      <c r="E36" s="15"/>
      <c r="F36" s="31" t="e">
        <f ca="1">IF(D$12=0,0,D36/D$12)</f>
        <v>#NAME?</v>
      </c>
      <c r="G36" s="15"/>
      <c r="H36" s="32" t="e">
        <f ca="1">SUM(H31:H35)</f>
        <v>#NAME?</v>
      </c>
      <c r="I36" s="15"/>
      <c r="J36" s="31" t="e">
        <f ca="1">IF(H$12=0,0,H36/H$12)</f>
        <v>#NAME?</v>
      </c>
      <c r="K36" s="16"/>
      <c r="L36" s="32" t="e">
        <f ca="1">+D36-H36</f>
        <v>#NAME?</v>
      </c>
      <c r="M36" s="16"/>
      <c r="N36" s="31" t="e">
        <f ca="1">IF(H36=0,0,L36/H36)</f>
        <v>#NAME?</v>
      </c>
      <c r="O36" s="28"/>
      <c r="P36" s="32" t="e">
        <f ca="1">SUM(P31:P35)</f>
        <v>#NAME?</v>
      </c>
      <c r="Q36" s="15"/>
      <c r="R36" s="31" t="e">
        <f ca="1">IF(P$12=0,0,P36/P$12)</f>
        <v>#NAME?</v>
      </c>
      <c r="S36" s="15"/>
      <c r="T36" s="32" t="e">
        <f ca="1">SUM(T31:T35)</f>
        <v>#NAME?</v>
      </c>
      <c r="U36" s="15"/>
      <c r="V36" s="31" t="e">
        <f ca="1">IF(T$12=0,0,T36/T$12)</f>
        <v>#NAME?</v>
      </c>
      <c r="W36" s="16"/>
      <c r="X36" s="32" t="e">
        <f ca="1">+P36-T36</f>
        <v>#NAME?</v>
      </c>
      <c r="Y36" s="16"/>
      <c r="Z36" s="31" t="e">
        <f ca="1">IF(T36=0,0,X36/T36)</f>
        <v>#NAME?</v>
      </c>
    </row>
    <row r="37" spans="1:26" ht="15" customHeight="1" x14ac:dyDescent="0.3">
      <c r="A37" s="10"/>
      <c r="C37" s="10"/>
      <c r="D37" s="19"/>
      <c r="E37" s="19"/>
      <c r="G37" s="19"/>
      <c r="H37" s="19"/>
      <c r="I37" s="19"/>
      <c r="J37" s="40"/>
      <c r="K37" s="19"/>
      <c r="L37" s="19"/>
      <c r="M37" s="19"/>
      <c r="P37" s="19"/>
      <c r="Q37" s="19"/>
      <c r="R37" s="40"/>
      <c r="S37" s="19"/>
      <c r="T37" s="19"/>
      <c r="U37" s="19"/>
      <c r="V37" s="40"/>
      <c r="W37" s="19"/>
      <c r="X37" s="19"/>
    </row>
    <row r="38" spans="1:26" ht="15" customHeight="1" x14ac:dyDescent="0.3">
      <c r="A38" s="10"/>
      <c r="B38" s="51" t="e">
        <f ca="1">_xll.ONESTOP.REPORTPLAYER.OSRFUNCTIONS.OSRGET("CurrentDate","Date")</f>
        <v>#NAME?</v>
      </c>
      <c r="D38" s="19"/>
      <c r="E38" s="19"/>
      <c r="G38" s="19"/>
      <c r="H38" s="19"/>
      <c r="I38" s="19"/>
      <c r="J38" s="40"/>
      <c r="K38" s="19"/>
      <c r="L38" s="19"/>
      <c r="M38" s="19"/>
      <c r="P38" s="19"/>
      <c r="Q38" s="19"/>
      <c r="R38" s="40"/>
      <c r="S38" s="19"/>
      <c r="T38" s="19"/>
      <c r="U38" s="19"/>
      <c r="V38" s="40"/>
      <c r="W38" s="19"/>
      <c r="X38" s="19"/>
    </row>
    <row r="39" spans="1:26" ht="15" customHeight="1" x14ac:dyDescent="0.3">
      <c r="A39" s="10"/>
      <c r="B39" s="58" t="e">
        <f ca="1">_xll.ONESTOP.REPORTPLAYER.OSRFUNCTIONS.OSRGET("User","UserId")</f>
        <v>#NAME?</v>
      </c>
      <c r="D39" s="19"/>
      <c r="E39" s="19"/>
      <c r="G39" s="19"/>
      <c r="H39" s="19"/>
      <c r="I39" s="19"/>
      <c r="J39" s="40"/>
      <c r="K39" s="19"/>
      <c r="L39" s="19"/>
      <c r="M39" s="19"/>
      <c r="P39" s="19"/>
      <c r="Q39" s="19"/>
      <c r="R39" s="40"/>
      <c r="S39" s="19"/>
      <c r="T39" s="19"/>
      <c r="U39" s="19"/>
      <c r="V39" s="40"/>
      <c r="W39" s="19"/>
      <c r="X39" s="19"/>
    </row>
    <row r="40" spans="1:26" ht="15" customHeight="1" x14ac:dyDescent="0.3">
      <c r="A40" s="10"/>
      <c r="B40" s="50"/>
      <c r="D40" s="19"/>
      <c r="E40" s="19"/>
      <c r="G40" s="19"/>
      <c r="H40" s="19"/>
      <c r="I40" s="19"/>
      <c r="J40" s="40"/>
      <c r="K40" s="19"/>
      <c r="L40" s="19"/>
      <c r="M40" s="19"/>
      <c r="P40" s="19"/>
      <c r="Q40" s="19"/>
      <c r="R40" s="40"/>
      <c r="S40" s="19"/>
      <c r="T40" s="19"/>
      <c r="U40" s="19"/>
      <c r="V40" s="40"/>
      <c r="W40" s="19"/>
      <c r="X40" s="19"/>
    </row>
    <row r="41" spans="1:26" ht="15" customHeight="1" x14ac:dyDescent="0.3">
      <c r="D41" s="19"/>
      <c r="E41" s="19"/>
      <c r="G41" s="19"/>
      <c r="H41" s="19"/>
      <c r="I41" s="19"/>
      <c r="J41" s="40"/>
      <c r="K41" s="19"/>
      <c r="L41" s="19"/>
      <c r="M41" s="19"/>
      <c r="P41" s="19"/>
      <c r="Q41" s="19"/>
      <c r="R41" s="40"/>
      <c r="S41" s="19"/>
      <c r="T41" s="19"/>
      <c r="U41" s="19"/>
      <c r="V41" s="40"/>
      <c r="W41" s="19"/>
      <c r="X41" s="19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FD13F3-A2CD-2EFB-7E12-164F0988148A}">
  <sheetPr>
    <tabColor theme="5" tint="0.39997558519241921"/>
    <outlinePr summaryBelow="0" summaryRight="0"/>
  </sheetPr>
  <dimension ref="A2:Z128"/>
  <sheetViews>
    <sheetView showGridLines="0" defaultGridColor="0" colorId="8"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6" customWidth="1"/>
    <col min="2" max="2" width="33.44140625" style="66" customWidth="1"/>
    <col min="3" max="3" width="1.88671875" style="66" customWidth="1"/>
    <col min="4" max="4" width="15" style="66" customWidth="1"/>
    <col min="5" max="5" width="1.88671875" style="66" customWidth="1" outlineLevel="1"/>
    <col min="6" max="6" width="15" style="67" customWidth="1" outlineLevel="1"/>
    <col min="7" max="7" width="1.88671875" style="66" customWidth="1" outlineLevel="1"/>
    <col min="8" max="8" width="15" style="66" customWidth="1" outlineLevel="1"/>
    <col min="9" max="9" width="1.88671875" style="66" customWidth="1" outlineLevel="1"/>
    <col min="10" max="10" width="15" style="68" customWidth="1" outlineLevel="1"/>
    <col min="11" max="11" width="1.88671875" style="66" customWidth="1" outlineLevel="1"/>
    <col min="12" max="12" width="15" style="66" customWidth="1" outlineLevel="1"/>
    <col min="13" max="13" width="1.88671875" style="66" customWidth="1" outlineLevel="1"/>
    <col min="14" max="14" width="15" style="67" customWidth="1" outlineLevel="1"/>
    <col min="15" max="15" width="1.88671875" style="64" customWidth="1"/>
    <col min="16" max="16" width="15" style="66" customWidth="1"/>
    <col min="17" max="17" width="1.88671875" style="66" customWidth="1" outlineLevel="1"/>
    <col min="18" max="18" width="15" style="68" customWidth="1" outlineLevel="1"/>
    <col min="19" max="19" width="1.88671875" style="66" customWidth="1" outlineLevel="1"/>
    <col min="20" max="20" width="15" style="66" customWidth="1" outlineLevel="1"/>
    <col min="21" max="21" width="1.88671875" style="66" customWidth="1" outlineLevel="1"/>
    <col min="22" max="22" width="15" style="68" customWidth="1" outlineLevel="1"/>
    <col min="23" max="23" width="1.88671875" style="66" customWidth="1" outlineLevel="1"/>
    <col min="24" max="24" width="15" style="66" customWidth="1" outlineLevel="1"/>
    <col min="25" max="25" width="1.88671875" style="66" customWidth="1" outlineLevel="1"/>
    <col min="26" max="26" width="15" style="68" customWidth="1" outlineLevel="1"/>
  </cols>
  <sheetData>
    <row r="2" spans="1:26" ht="15" customHeight="1" x14ac:dyDescent="0.3">
      <c r="D2" s="54" t="s">
        <v>276</v>
      </c>
    </row>
    <row r="3" spans="1:26" ht="15" customHeight="1" x14ac:dyDescent="0.3">
      <c r="D3" s="54" t="s">
        <v>277</v>
      </c>
      <c r="E3" s="18"/>
      <c r="F3" s="44"/>
      <c r="G3" s="18"/>
      <c r="H3" s="18"/>
      <c r="I3" s="18"/>
      <c r="J3" s="38"/>
      <c r="K3" s="18"/>
      <c r="L3" s="18"/>
      <c r="M3" s="18"/>
      <c r="N3" s="44"/>
      <c r="O3" s="53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ht="15" customHeight="1" x14ac:dyDescent="0.3">
      <c r="D4" s="54" t="str">
        <f>CONCATENATE("Period ",RIGHT(202209,2),", ",2022)</f>
        <v>Period 09, 2022</v>
      </c>
      <c r="E4" s="18"/>
      <c r="F4" s="44"/>
      <c r="G4" s="18"/>
      <c r="H4" s="18"/>
      <c r="I4" s="18"/>
      <c r="J4" s="38"/>
      <c r="K4" s="18"/>
      <c r="L4" s="18"/>
      <c r="M4" s="18"/>
      <c r="N4" s="44"/>
      <c r="O4" s="53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ht="15" customHeight="1" x14ac:dyDescent="0.3">
      <c r="A5" s="24"/>
      <c r="D5" s="60">
        <v>44646</v>
      </c>
      <c r="E5" s="18"/>
      <c r="F5" s="44"/>
      <c r="G5" s="18"/>
      <c r="H5" s="18"/>
      <c r="I5" s="18"/>
      <c r="J5" s="38"/>
      <c r="K5" s="18"/>
      <c r="L5" s="18"/>
      <c r="M5" s="18"/>
      <c r="N5" s="44"/>
      <c r="O5" s="53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ht="15" customHeight="1" x14ac:dyDescent="0.3">
      <c r="A6" s="24"/>
      <c r="B6" s="47"/>
      <c r="C6" s="47"/>
      <c r="D6" s="24" t="s">
        <v>311</v>
      </c>
      <c r="E6" s="18"/>
      <c r="F6" s="44"/>
      <c r="G6" s="18"/>
      <c r="H6" s="18"/>
      <c r="I6" s="18"/>
      <c r="J6" s="38"/>
      <c r="K6" s="18"/>
      <c r="L6" s="18"/>
      <c r="M6" s="18"/>
      <c r="N6" s="44"/>
      <c r="O6" s="59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ht="15" customHeight="1" x14ac:dyDescent="0.3">
      <c r="B7" s="52"/>
    </row>
    <row r="8" spans="1:26" ht="15" customHeight="1" x14ac:dyDescent="0.3">
      <c r="B8" s="52"/>
    </row>
    <row r="9" spans="1:26" ht="15" customHeight="1" x14ac:dyDescent="0.3">
      <c r="B9" s="10"/>
      <c r="C9" s="10"/>
      <c r="D9" s="17" t="s">
        <v>279</v>
      </c>
      <c r="E9" s="17"/>
      <c r="F9" s="36"/>
      <c r="G9" s="17"/>
      <c r="H9" s="17"/>
      <c r="I9" s="17"/>
      <c r="J9" s="43"/>
      <c r="K9" s="17"/>
      <c r="L9" s="17"/>
      <c r="M9" s="17"/>
      <c r="N9" s="36"/>
      <c r="P9" s="17" t="s">
        <v>280</v>
      </c>
      <c r="Q9" s="17"/>
      <c r="R9" s="36"/>
      <c r="S9" s="17"/>
      <c r="T9" s="17"/>
      <c r="U9" s="17"/>
      <c r="V9" s="43"/>
      <c r="W9" s="17"/>
      <c r="X9" s="17"/>
      <c r="Y9" s="17"/>
      <c r="Z9" s="36"/>
    </row>
    <row r="10" spans="1:26" ht="15" customHeight="1" x14ac:dyDescent="0.3">
      <c r="A10" s="11"/>
      <c r="B10" s="57"/>
      <c r="C10" s="11"/>
      <c r="D10" s="41" t="s">
        <v>281</v>
      </c>
      <c r="E10" s="33"/>
      <c r="F10" s="37" t="s">
        <v>282</v>
      </c>
      <c r="G10" s="33"/>
      <c r="H10" s="48" t="s">
        <v>283</v>
      </c>
      <c r="I10" s="33"/>
      <c r="J10" s="45" t="s">
        <v>284</v>
      </c>
      <c r="K10" s="11"/>
      <c r="L10" s="41" t="s">
        <v>285</v>
      </c>
      <c r="M10" s="11"/>
      <c r="N10" s="37" t="s">
        <v>286</v>
      </c>
      <c r="O10" s="11"/>
      <c r="P10" s="56" t="s">
        <v>281</v>
      </c>
      <c r="Q10" s="33"/>
      <c r="R10" s="37" t="s">
        <v>282</v>
      </c>
      <c r="S10" s="33"/>
      <c r="T10" s="48" t="s">
        <v>283</v>
      </c>
      <c r="U10" s="33"/>
      <c r="V10" s="45" t="s">
        <v>284</v>
      </c>
      <c r="W10" s="11"/>
      <c r="X10" s="41" t="s">
        <v>285</v>
      </c>
      <c r="Y10" s="11"/>
      <c r="Z10" s="37" t="s">
        <v>286</v>
      </c>
    </row>
    <row r="11" spans="1:26" ht="16.5" customHeight="1" x14ac:dyDescent="0.3">
      <c r="A11" s="10"/>
      <c r="B11" s="55"/>
      <c r="C11" s="10"/>
      <c r="D11" s="10"/>
      <c r="E11" s="10"/>
      <c r="F11" s="9"/>
      <c r="G11" s="10"/>
      <c r="H11" s="10"/>
      <c r="I11" s="10"/>
      <c r="J11" s="46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6"/>
      <c r="W11" s="10"/>
      <c r="X11" s="10"/>
      <c r="Y11" s="10"/>
      <c r="Z11" s="9"/>
    </row>
    <row r="12" spans="1:26" s="63" customFormat="1" ht="15" customHeight="1" collapsed="1" x14ac:dyDescent="0.3">
      <c r="A12" s="11"/>
      <c r="B12" s="28" t="s">
        <v>287</v>
      </c>
      <c r="C12" s="11"/>
      <c r="D12" s="5">
        <f>SUM(OSRRefD13x_0)</f>
        <v>404601.61</v>
      </c>
      <c r="E12" s="5"/>
      <c r="F12" s="13"/>
      <c r="G12" s="5"/>
      <c r="H12" s="5">
        <f>SUM(OSRRefH13x_0)</f>
        <v>466183</v>
      </c>
      <c r="I12" s="5"/>
      <c r="J12" s="13"/>
      <c r="K12" s="5"/>
      <c r="L12" s="5">
        <f t="shared" ref="L12:L18" si="0">+D12-H12</f>
        <v>-61581.390000000014</v>
      </c>
      <c r="M12" s="5"/>
      <c r="N12" s="13">
        <f t="shared" ref="N12:N18" si="1">IF(H12=0,0,L12/H12)</f>
        <v>-0.13209703056525016</v>
      </c>
      <c r="O12" s="11"/>
      <c r="P12" s="5">
        <f>SUM(OSRRefP13x_0)</f>
        <v>1398312.21</v>
      </c>
      <c r="Q12" s="5"/>
      <c r="R12" s="13"/>
      <c r="S12" s="5"/>
      <c r="T12" s="5">
        <f>SUM(OSRRefT13x_0)</f>
        <v>1797969</v>
      </c>
      <c r="U12" s="5"/>
      <c r="V12" s="13"/>
      <c r="W12" s="5"/>
      <c r="X12" s="5">
        <f t="shared" ref="X12:X18" si="2">+P12-T12</f>
        <v>-399656.79000000004</v>
      </c>
      <c r="Y12" s="5"/>
      <c r="Z12" s="13">
        <f t="shared" ref="Z12:Z18" si="3">IF(T12=0,0,X12/T12)</f>
        <v>-0.22228235859461429</v>
      </c>
    </row>
    <row r="13" spans="1:26" s="70" customFormat="1" ht="15" hidden="1" customHeight="1" outlineLevel="1" x14ac:dyDescent="0.3">
      <c r="A13" s="42"/>
      <c r="B13" s="12" t="str">
        <f>CONCATENATE("          ","4000"," - ","TAXABLE SALES")</f>
        <v xml:space="preserve">          4000 - TAXABLE SALES</v>
      </c>
      <c r="C13" s="12"/>
      <c r="D13" s="3">
        <f>--19761.47</f>
        <v>19761.47</v>
      </c>
      <c r="E13" s="3"/>
      <c r="F13" s="20"/>
      <c r="G13" s="3"/>
      <c r="H13" s="3">
        <v>179925</v>
      </c>
      <c r="I13" s="3"/>
      <c r="J13" s="20"/>
      <c r="K13" s="3"/>
      <c r="L13" s="3">
        <f t="shared" si="0"/>
        <v>-160163.53</v>
      </c>
      <c r="M13" s="3"/>
      <c r="N13" s="20">
        <f t="shared" si="1"/>
        <v>-0.89016829234403227</v>
      </c>
      <c r="O13" s="12"/>
      <c r="P13" s="3">
        <f>--48230.67</f>
        <v>48230.67</v>
      </c>
      <c r="Q13" s="3"/>
      <c r="R13" s="20"/>
      <c r="S13" s="3"/>
      <c r="T13" s="3">
        <v>626480</v>
      </c>
      <c r="U13" s="3"/>
      <c r="V13" s="20"/>
      <c r="W13" s="3"/>
      <c r="X13" s="3">
        <f t="shared" si="2"/>
        <v>-578249.32999999996</v>
      </c>
      <c r="Y13" s="3"/>
      <c r="Z13" s="20">
        <f t="shared" si="3"/>
        <v>-0.92301323266504909</v>
      </c>
    </row>
    <row r="14" spans="1:26" s="70" customFormat="1" ht="15" hidden="1" customHeight="1" outlineLevel="1" x14ac:dyDescent="0.3">
      <c r="A14" s="42"/>
      <c r="B14" s="12" t="str">
        <f>CONCATENATE("          ","4051"," - ","TAXABLE SALES-FOOD")</f>
        <v xml:space="preserve">          4051 - TAXABLE SALES-FOOD</v>
      </c>
      <c r="C14" s="12"/>
      <c r="D14" s="3">
        <f>--58129.76</f>
        <v>58129.760000000002</v>
      </c>
      <c r="E14" s="3"/>
      <c r="F14" s="20"/>
      <c r="G14" s="3"/>
      <c r="H14" s="3"/>
      <c r="I14" s="3"/>
      <c r="J14" s="20"/>
      <c r="K14" s="3"/>
      <c r="L14" s="3">
        <f t="shared" si="0"/>
        <v>58129.760000000002</v>
      </c>
      <c r="M14" s="3"/>
      <c r="N14" s="20">
        <f t="shared" si="1"/>
        <v>0</v>
      </c>
      <c r="O14" s="12"/>
      <c r="P14" s="3">
        <f>--263820.05</f>
        <v>263820.05</v>
      </c>
      <c r="Q14" s="3"/>
      <c r="R14" s="20"/>
      <c r="S14" s="3"/>
      <c r="T14" s="3"/>
      <c r="U14" s="3"/>
      <c r="V14" s="20"/>
      <c r="W14" s="3"/>
      <c r="X14" s="3">
        <f t="shared" si="2"/>
        <v>263820.05</v>
      </c>
      <c r="Y14" s="3"/>
      <c r="Z14" s="20">
        <f t="shared" si="3"/>
        <v>0</v>
      </c>
    </row>
    <row r="15" spans="1:26" s="70" customFormat="1" ht="15" hidden="1" customHeight="1" outlineLevel="1" x14ac:dyDescent="0.3">
      <c r="A15" s="42"/>
      <c r="B15" s="12" t="str">
        <f>CONCATENATE("          ","4053"," - ","TAXABLE SALES-FOOD")</f>
        <v xml:space="preserve">          4053 - TAXABLE SALES-FOOD</v>
      </c>
      <c r="C15" s="12"/>
      <c r="D15" s="3">
        <f>--2747.38</f>
        <v>2747.38</v>
      </c>
      <c r="E15" s="3"/>
      <c r="F15" s="20"/>
      <c r="G15" s="3"/>
      <c r="H15" s="3"/>
      <c r="I15" s="3"/>
      <c r="J15" s="20"/>
      <c r="K15" s="3"/>
      <c r="L15" s="3">
        <f t="shared" si="0"/>
        <v>2747.38</v>
      </c>
      <c r="M15" s="3"/>
      <c r="N15" s="20">
        <f t="shared" si="1"/>
        <v>0</v>
      </c>
      <c r="O15" s="12"/>
      <c r="P15" s="3">
        <f>--17981.84</f>
        <v>17981.84</v>
      </c>
      <c r="Q15" s="3"/>
      <c r="R15" s="20"/>
      <c r="S15" s="3"/>
      <c r="T15" s="3"/>
      <c r="U15" s="3"/>
      <c r="V15" s="20"/>
      <c r="W15" s="3"/>
      <c r="X15" s="3">
        <f t="shared" si="2"/>
        <v>17981.84</v>
      </c>
      <c r="Y15" s="3"/>
      <c r="Z15" s="20">
        <f t="shared" si="3"/>
        <v>0</v>
      </c>
    </row>
    <row r="16" spans="1:26" s="70" customFormat="1" ht="15" hidden="1" customHeight="1" outlineLevel="1" x14ac:dyDescent="0.3">
      <c r="A16" s="42"/>
      <c r="B16" s="12" t="str">
        <f>CONCATENATE("          ","4100"," - ","NON-TAXABLE SALES")</f>
        <v xml:space="preserve">          4100 - NON-TAXABLE SALES</v>
      </c>
      <c r="C16" s="12"/>
      <c r="D16" s="3">
        <f>--112758.65</f>
        <v>112758.65</v>
      </c>
      <c r="E16" s="3"/>
      <c r="F16" s="20"/>
      <c r="G16" s="3"/>
      <c r="H16" s="3">
        <v>286258</v>
      </c>
      <c r="I16" s="3"/>
      <c r="J16" s="20"/>
      <c r="K16" s="3"/>
      <c r="L16" s="3">
        <f t="shared" si="0"/>
        <v>-173499.35</v>
      </c>
      <c r="M16" s="3"/>
      <c r="N16" s="20">
        <f t="shared" si="1"/>
        <v>-0.60609432749477743</v>
      </c>
      <c r="O16" s="12"/>
      <c r="P16" s="3">
        <f>--258466.16</f>
        <v>258466.16</v>
      </c>
      <c r="Q16" s="3"/>
      <c r="R16" s="20"/>
      <c r="S16" s="3"/>
      <c r="T16" s="3">
        <v>1171489</v>
      </c>
      <c r="U16" s="3"/>
      <c r="V16" s="20"/>
      <c r="W16" s="3"/>
      <c r="X16" s="3">
        <f t="shared" si="2"/>
        <v>-913022.84</v>
      </c>
      <c r="Y16" s="3"/>
      <c r="Z16" s="20">
        <f t="shared" si="3"/>
        <v>-0.77936953740069259</v>
      </c>
    </row>
    <row r="17" spans="1:26" s="70" customFormat="1" ht="15" hidden="1" customHeight="1" outlineLevel="1" x14ac:dyDescent="0.3">
      <c r="A17" s="42"/>
      <c r="B17" s="12" t="str">
        <f>CONCATENATE("          ","4151"," - ","NON-TAXABLE SALES-FOOD")</f>
        <v xml:space="preserve">          4151 - NON-TAXABLE SALES-FOOD</v>
      </c>
      <c r="C17" s="12"/>
      <c r="D17" s="3">
        <f>--211204.35</f>
        <v>211204.35</v>
      </c>
      <c r="E17" s="3"/>
      <c r="F17" s="20"/>
      <c r="G17" s="3"/>
      <c r="H17" s="3"/>
      <c r="I17" s="3"/>
      <c r="J17" s="20"/>
      <c r="K17" s="3"/>
      <c r="L17" s="3">
        <f t="shared" si="0"/>
        <v>211204.35</v>
      </c>
      <c r="M17" s="3"/>
      <c r="N17" s="20">
        <f t="shared" si="1"/>
        <v>0</v>
      </c>
      <c r="O17" s="12"/>
      <c r="P17" s="3">
        <f>--809813.49</f>
        <v>809813.49</v>
      </c>
      <c r="Q17" s="3"/>
      <c r="R17" s="20"/>
      <c r="S17" s="3"/>
      <c r="T17" s="3"/>
      <c r="U17" s="3"/>
      <c r="V17" s="20"/>
      <c r="W17" s="3"/>
      <c r="X17" s="3">
        <f t="shared" si="2"/>
        <v>809813.49</v>
      </c>
      <c r="Y17" s="3"/>
      <c r="Z17" s="20">
        <f t="shared" si="3"/>
        <v>0</v>
      </c>
    </row>
    <row r="18" spans="1:26" s="70" customFormat="1" ht="15" hidden="1" customHeight="1" outlineLevel="1" x14ac:dyDescent="0.3">
      <c r="A18" s="42"/>
      <c r="B18" s="12" t="str">
        <f>CONCATENATE("          ","4153"," - ","NON-TAXABLE SALES-FOOD")</f>
        <v xml:space="preserve">          4153 - NON-TAXABLE SALES-FOOD</v>
      </c>
      <c r="C18" s="12"/>
      <c r="D18" s="3">
        <f>0</f>
        <v>0</v>
      </c>
      <c r="E18" s="3"/>
      <c r="F18" s="20"/>
      <c r="G18" s="3"/>
      <c r="H18" s="3"/>
      <c r="I18" s="3"/>
      <c r="J18" s="20"/>
      <c r="K18" s="3"/>
      <c r="L18" s="3">
        <f t="shared" si="0"/>
        <v>0</v>
      </c>
      <c r="M18" s="3"/>
      <c r="N18" s="20">
        <f t="shared" si="1"/>
        <v>0</v>
      </c>
      <c r="O18" s="12"/>
      <c r="P18" s="3">
        <f>0</f>
        <v>0</v>
      </c>
      <c r="Q18" s="3"/>
      <c r="R18" s="20"/>
      <c r="S18" s="3"/>
      <c r="T18" s="3"/>
      <c r="U18" s="3"/>
      <c r="V18" s="20"/>
      <c r="W18" s="3"/>
      <c r="X18" s="3">
        <f t="shared" si="2"/>
        <v>0</v>
      </c>
      <c r="Y18" s="3"/>
      <c r="Z18" s="20">
        <f t="shared" si="3"/>
        <v>0</v>
      </c>
    </row>
    <row r="19" spans="1:26" ht="15" customHeight="1" x14ac:dyDescent="0.3">
      <c r="A19" s="10"/>
      <c r="B19" s="11"/>
      <c r="C19" s="10"/>
      <c r="D19" s="4"/>
      <c r="E19" s="4"/>
      <c r="F19" s="9"/>
      <c r="G19" s="4"/>
      <c r="H19" s="4"/>
      <c r="I19" s="4"/>
      <c r="J19" s="9"/>
      <c r="K19" s="4"/>
      <c r="L19" s="4"/>
      <c r="M19" s="4"/>
      <c r="N19" s="9"/>
      <c r="P19" s="4"/>
      <c r="Q19" s="4"/>
      <c r="R19" s="9"/>
      <c r="S19" s="4"/>
      <c r="T19" s="4"/>
      <c r="U19" s="4"/>
      <c r="V19" s="9"/>
      <c r="W19" s="4"/>
      <c r="X19" s="4"/>
      <c r="Y19" s="4"/>
      <c r="Z19" s="9"/>
    </row>
    <row r="20" spans="1:26" s="63" customFormat="1" ht="15" customHeight="1" collapsed="1" x14ac:dyDescent="0.3">
      <c r="A20" s="11"/>
      <c r="B20" s="28" t="s">
        <v>288</v>
      </c>
      <c r="C20" s="11"/>
      <c r="D20" s="5">
        <f>SUM(OSRRefD16x_0)</f>
        <v>143920.77000000002</v>
      </c>
      <c r="E20" s="5"/>
      <c r="F20" s="13">
        <f>IF(D$12=0,0,D20/D$12)</f>
        <v>0.35570983022039881</v>
      </c>
      <c r="G20" s="5"/>
      <c r="H20" s="5">
        <f>SUM(OSRRefH16x_0)</f>
        <v>173217</v>
      </c>
      <c r="I20" s="5"/>
      <c r="J20" s="13">
        <f>IF(H$12=0,0,H20/H$12)</f>
        <v>0.37156438565970873</v>
      </c>
      <c r="K20" s="5"/>
      <c r="L20" s="5">
        <f>+D20-H20</f>
        <v>-29296.229999999981</v>
      </c>
      <c r="M20" s="5"/>
      <c r="N20" s="13">
        <f>IF(H20=0,0,L20/H20)</f>
        <v>-0.16913022393875879</v>
      </c>
      <c r="O20" s="11"/>
      <c r="P20" s="5">
        <f>SUM(OSRRefP16x_0)</f>
        <v>562935.73</v>
      </c>
      <c r="Q20" s="5"/>
      <c r="R20" s="13">
        <f>IF(P$12=0,0,P20/P$12)</f>
        <v>0.40258228882947394</v>
      </c>
      <c r="S20" s="5"/>
      <c r="T20" s="5">
        <f>SUM(OSRRefT16x_0)</f>
        <v>671688</v>
      </c>
      <c r="U20" s="5"/>
      <c r="V20" s="13">
        <f>IF(T$12=0,0,T20/T$12)</f>
        <v>0.37358152448679594</v>
      </c>
      <c r="W20" s="5"/>
      <c r="X20" s="5">
        <f>+P20-T20</f>
        <v>-108752.27000000002</v>
      </c>
      <c r="Y20" s="5"/>
      <c r="Z20" s="13">
        <f>IF(T20=0,0,X20/T20)</f>
        <v>-0.16190890711163519</v>
      </c>
    </row>
    <row r="21" spans="1:26" s="70" customFormat="1" ht="15" hidden="1" customHeight="1" outlineLevel="1" x14ac:dyDescent="0.3">
      <c r="A21" s="42"/>
      <c r="B21" s="12" t="str">
        <f>CONCATENATE("          ","5000"," - ","PURCHASES @ COST")</f>
        <v xml:space="preserve">          5000 - PURCHASES @ COST</v>
      </c>
      <c r="C21" s="12"/>
      <c r="D21" s="3">
        <v>4647</v>
      </c>
      <c r="E21" s="3"/>
      <c r="F21" s="20">
        <f>IF(D$12=0,0,D21/D$12)</f>
        <v>1.1485371993453017E-2</v>
      </c>
      <c r="G21" s="3"/>
      <c r="H21" s="3">
        <v>173217</v>
      </c>
      <c r="I21" s="3"/>
      <c r="J21" s="20">
        <f>IF(H$12=0,0,H21/H$12)</f>
        <v>0.37156438565970873</v>
      </c>
      <c r="K21" s="3"/>
      <c r="L21" s="3">
        <f>+D21-H21</f>
        <v>-168570</v>
      </c>
      <c r="M21" s="3"/>
      <c r="N21" s="20">
        <f>IF(H21=0,0,L21/H21)</f>
        <v>-0.97317237915447097</v>
      </c>
      <c r="O21" s="12"/>
      <c r="P21" s="3">
        <v>-5566</v>
      </c>
      <c r="Q21" s="3"/>
      <c r="R21" s="20">
        <f>IF(P$12=0,0,P21/P$12)</f>
        <v>-3.9805130500862899E-3</v>
      </c>
      <c r="S21" s="3"/>
      <c r="T21" s="3">
        <v>671688</v>
      </c>
      <c r="U21" s="3"/>
      <c r="V21" s="20">
        <f>IF(T$12=0,0,T21/T$12)</f>
        <v>0.37358152448679594</v>
      </c>
      <c r="W21" s="3"/>
      <c r="X21" s="3">
        <f>+P21-T21</f>
        <v>-677254</v>
      </c>
      <c r="Y21" s="3"/>
      <c r="Z21" s="20">
        <f>IF(T21=0,0,X21/T21)</f>
        <v>-1.0082865854384775</v>
      </c>
    </row>
    <row r="22" spans="1:26" s="70" customFormat="1" ht="15" hidden="1" customHeight="1" outlineLevel="1" x14ac:dyDescent="0.3">
      <c r="A22" s="42"/>
      <c r="B22" s="12" t="str">
        <f>CONCATENATE("          ","5053"," - ","PURCHASES @ COST-FOOD")</f>
        <v xml:space="preserve">          5053 - PURCHASES @ COST-FOOD</v>
      </c>
      <c r="C22" s="12"/>
      <c r="D22" s="3">
        <v>63383.41</v>
      </c>
      <c r="E22" s="3"/>
      <c r="F22" s="20">
        <f>IF(D$12=0,0,D22/D$12)</f>
        <v>0.15665634647375726</v>
      </c>
      <c r="G22" s="3"/>
      <c r="H22" s="3"/>
      <c r="I22" s="3"/>
      <c r="J22" s="20">
        <f>IF(H$12=0,0,H22/H$12)</f>
        <v>0</v>
      </c>
      <c r="K22" s="3"/>
      <c r="L22" s="3">
        <f>+D22-H22</f>
        <v>63383.41</v>
      </c>
      <c r="M22" s="3"/>
      <c r="N22" s="20">
        <f>IF(H22=0,0,L22/H22)</f>
        <v>0</v>
      </c>
      <c r="O22" s="12"/>
      <c r="P22" s="3">
        <v>402552.7</v>
      </c>
      <c r="Q22" s="3"/>
      <c r="R22" s="20">
        <f>IF(P$12=0,0,P22/P$12)</f>
        <v>0.28788470637755498</v>
      </c>
      <c r="S22" s="3"/>
      <c r="T22" s="3"/>
      <c r="U22" s="3"/>
      <c r="V22" s="20">
        <f>IF(T$12=0,0,T22/T$12)</f>
        <v>0</v>
      </c>
      <c r="W22" s="3"/>
      <c r="X22" s="3">
        <f>+P22-T22</f>
        <v>402552.7</v>
      </c>
      <c r="Y22" s="3"/>
      <c r="Z22" s="20">
        <f>IF(T22=0,0,X22/T22)</f>
        <v>0</v>
      </c>
    </row>
    <row r="23" spans="1:26" s="70" customFormat="1" ht="15" hidden="1" customHeight="1" outlineLevel="1" x14ac:dyDescent="0.3">
      <c r="A23" s="42"/>
      <c r="B23" s="12" t="str">
        <f>CONCATENATE("          ","5059"," - ","PURCHASES @ COST-FOOD")</f>
        <v xml:space="preserve">          5059 - PURCHASES @ COST-FOOD</v>
      </c>
      <c r="C23" s="12"/>
      <c r="D23" s="3">
        <v>75890.36</v>
      </c>
      <c r="E23" s="3"/>
      <c r="F23" s="20">
        <f>IF(D$12=0,0,D23/D$12)</f>
        <v>0.18756811175318852</v>
      </c>
      <c r="G23" s="3"/>
      <c r="H23" s="3"/>
      <c r="I23" s="3"/>
      <c r="J23" s="20">
        <f>IF(H$12=0,0,H23/H$12)</f>
        <v>0</v>
      </c>
      <c r="K23" s="3"/>
      <c r="L23" s="3">
        <f>+D23-H23</f>
        <v>75890.36</v>
      </c>
      <c r="M23" s="3"/>
      <c r="N23" s="20">
        <f>IF(H23=0,0,L23/H23)</f>
        <v>0</v>
      </c>
      <c r="O23" s="12"/>
      <c r="P23" s="3">
        <v>165949.03</v>
      </c>
      <c r="Q23" s="3"/>
      <c r="R23" s="20">
        <f>IF(P$12=0,0,P23/P$12)</f>
        <v>0.11867809550200524</v>
      </c>
      <c r="S23" s="3"/>
      <c r="T23" s="3"/>
      <c r="U23" s="3"/>
      <c r="V23" s="20">
        <f>IF(T$12=0,0,T23/T$12)</f>
        <v>0</v>
      </c>
      <c r="W23" s="3"/>
      <c r="X23" s="3">
        <f>+P23-T23</f>
        <v>165949.03</v>
      </c>
      <c r="Y23" s="3"/>
      <c r="Z23" s="20">
        <f>IF(T23=0,0,X23/T23)</f>
        <v>0</v>
      </c>
    </row>
    <row r="24" spans="1:26" ht="15" customHeight="1" x14ac:dyDescent="0.3">
      <c r="A24" s="10"/>
      <c r="B24" s="11"/>
      <c r="C24" s="11"/>
      <c r="D24" s="4"/>
      <c r="E24" s="4"/>
      <c r="F24" s="9"/>
      <c r="G24" s="4"/>
      <c r="H24" s="4"/>
      <c r="I24" s="4"/>
      <c r="J24" s="9"/>
      <c r="K24" s="4"/>
      <c r="L24" s="4"/>
      <c r="M24" s="4"/>
      <c r="N24" s="9"/>
      <c r="O24" s="11"/>
      <c r="P24" s="4"/>
      <c r="Q24" s="4"/>
      <c r="R24" s="9"/>
      <c r="S24" s="4"/>
      <c r="T24" s="4"/>
      <c r="U24" s="4"/>
      <c r="V24" s="9"/>
      <c r="W24" s="4"/>
      <c r="X24" s="4"/>
      <c r="Y24" s="4"/>
      <c r="Z24" s="9"/>
    </row>
    <row r="25" spans="1:26" s="63" customFormat="1" ht="15" customHeight="1" x14ac:dyDescent="0.3">
      <c r="A25" s="11"/>
      <c r="B25" s="27" t="s">
        <v>289</v>
      </c>
      <c r="C25" s="27"/>
      <c r="D25" s="21">
        <f>D12-D20</f>
        <v>260680.83999999997</v>
      </c>
      <c r="E25" s="15"/>
      <c r="F25" s="23">
        <f>IF(D$12=0,0,D25/D$12)</f>
        <v>0.64429016977960119</v>
      </c>
      <c r="G25" s="15"/>
      <c r="H25" s="21">
        <f>H12-H20</f>
        <v>292966</v>
      </c>
      <c r="I25" s="15"/>
      <c r="J25" s="23">
        <f>IF(H$12=0,0,H25/H$12)</f>
        <v>0.62843561434029127</v>
      </c>
      <c r="K25" s="16"/>
      <c r="L25" s="21">
        <f>+D25-H25</f>
        <v>-32285.160000000033</v>
      </c>
      <c r="M25" s="16"/>
      <c r="N25" s="23">
        <f>IF(H25=0,0,L25/H25)</f>
        <v>-0.11020104722049669</v>
      </c>
      <c r="O25" s="28"/>
      <c r="P25" s="21">
        <f>P12-P20</f>
        <v>835376.48</v>
      </c>
      <c r="Q25" s="15"/>
      <c r="R25" s="23">
        <f>IF(P$12=0,0,P25/P$12)</f>
        <v>0.59741771117052611</v>
      </c>
      <c r="S25" s="15"/>
      <c r="T25" s="21">
        <f>T12-T20</f>
        <v>1126281</v>
      </c>
      <c r="U25" s="15"/>
      <c r="V25" s="23">
        <f>IF(T$12=0,0,T25/T$12)</f>
        <v>0.62641847551320406</v>
      </c>
      <c r="W25" s="16"/>
      <c r="X25" s="21">
        <f>+P25-T25</f>
        <v>-290904.52</v>
      </c>
      <c r="Y25" s="16"/>
      <c r="Z25" s="23">
        <f>IF(T25=0,0,X25/T25)</f>
        <v>-0.25828769197029872</v>
      </c>
    </row>
    <row r="26" spans="1:26" ht="15" customHeight="1" x14ac:dyDescent="0.3">
      <c r="A26" s="10"/>
      <c r="B26" s="11"/>
      <c r="C26" s="10"/>
      <c r="D26" s="2"/>
      <c r="E26" s="2"/>
      <c r="F26" s="6"/>
      <c r="G26" s="2"/>
      <c r="H26" s="2"/>
      <c r="I26" s="2"/>
      <c r="J26" s="6"/>
      <c r="K26" s="2"/>
      <c r="L26" s="2"/>
      <c r="M26" s="2"/>
      <c r="N26" s="6"/>
      <c r="O26" s="35"/>
      <c r="P26" s="2"/>
      <c r="Q26" s="2"/>
      <c r="R26" s="6"/>
      <c r="S26" s="2"/>
      <c r="T26" s="2"/>
      <c r="U26" s="2"/>
      <c r="V26" s="6"/>
      <c r="W26" s="2"/>
      <c r="X26" s="2"/>
      <c r="Y26" s="2"/>
      <c r="Z26" s="6"/>
    </row>
    <row r="27" spans="1:26" s="63" customFormat="1" ht="15" customHeight="1" x14ac:dyDescent="0.3">
      <c r="A27" s="11"/>
      <c r="B27" s="28" t="s">
        <v>290</v>
      </c>
      <c r="C27" s="11"/>
      <c r="D27" s="22" cm="1">
        <f t="array" ref="D27">SUM(OSRRefD22x_0)</f>
        <v>271572.32999999996</v>
      </c>
      <c r="E27" s="22"/>
      <c r="F27" s="30">
        <f t="shared" ref="F27:F58" si="4">IF(D$12=0,0,D27/D$12)</f>
        <v>0.67120921738299555</v>
      </c>
      <c r="G27" s="22"/>
      <c r="H27" s="22" cm="1">
        <f t="array" ref="H27">SUM(OSRRefH22x_0)</f>
        <v>252316.35161258292</v>
      </c>
      <c r="I27" s="22"/>
      <c r="J27" s="30">
        <f t="shared" ref="J27:J58" si="5">IF(H$12=0,0,H27/H$12)</f>
        <v>0.54123885172257014</v>
      </c>
      <c r="K27" s="5"/>
      <c r="L27" s="22">
        <f t="shared" ref="L27:L58" si="6">+D27-H27</f>
        <v>19255.978387417039</v>
      </c>
      <c r="M27" s="5"/>
      <c r="N27" s="30">
        <f t="shared" ref="N27:N58" si="7">IF(H27=0,0,L27/H27)</f>
        <v>7.6316807310940649E-2</v>
      </c>
      <c r="O27" s="11"/>
      <c r="P27" s="22" cm="1">
        <f t="array" ref="P27">SUM(OSRRefP22x_0)</f>
        <v>1913308.2300000004</v>
      </c>
      <c r="Q27" s="22"/>
      <c r="R27" s="30">
        <f t="shared" ref="R27:R58" si="8">IF(P$12=0,0,P27/P$12)</f>
        <v>1.3682983072857531</v>
      </c>
      <c r="S27" s="22"/>
      <c r="T27" s="22" cm="1">
        <f t="array" ref="T27">SUM(OSRRefT22x_0)</f>
        <v>1983276.7090437831</v>
      </c>
      <c r="U27" s="22"/>
      <c r="V27" s="30">
        <f t="shared" ref="V27:V58" si="9">IF(T$12=0,0,T27/T$12)</f>
        <v>1.1030650189429201</v>
      </c>
      <c r="W27" s="5"/>
      <c r="X27" s="22">
        <f t="shared" ref="X27:X58" si="10">+P27-T27</f>
        <v>-69968.479043782689</v>
      </c>
      <c r="Y27" s="5"/>
      <c r="Z27" s="30">
        <f t="shared" ref="Z27:Z58" si="11">IF(T27=0,0,X27/T27)</f>
        <v>-3.5279231952215724E-2</v>
      </c>
    </row>
    <row r="28" spans="1:26" s="69" customFormat="1" ht="15" customHeight="1" outlineLevel="1" collapsed="1" x14ac:dyDescent="0.3">
      <c r="A28" s="25"/>
      <c r="B28" s="14" t="str">
        <f>CONCATENATE("     ","*Benefits                                         ")</f>
        <v xml:space="preserve">     *Benefits                                         </v>
      </c>
      <c r="C28" s="14"/>
      <c r="D28" s="2">
        <f>SUM(OSRRefD22_0x_0)</f>
        <v>38090.9</v>
      </c>
      <c r="E28" s="2"/>
      <c r="F28" s="6">
        <f t="shared" si="4"/>
        <v>9.414421262436401E-2</v>
      </c>
      <c r="G28" s="2"/>
      <c r="H28" s="2">
        <f>SUM(OSRRefH22_0x_0)</f>
        <v>35139.274791813703</v>
      </c>
      <c r="I28" s="2"/>
      <c r="J28" s="6">
        <f t="shared" si="5"/>
        <v>7.5376568411575931E-2</v>
      </c>
      <c r="K28" s="2"/>
      <c r="L28" s="2">
        <f t="shared" si="6"/>
        <v>2951.6252081862986</v>
      </c>
      <c r="M28" s="2"/>
      <c r="N28" s="6">
        <f t="shared" si="7"/>
        <v>8.3997897670726268E-2</v>
      </c>
      <c r="O28" s="14"/>
      <c r="P28" s="2">
        <f>SUM(OSRRefP22_0x_0)</f>
        <v>298653.03999999998</v>
      </c>
      <c r="Q28" s="2"/>
      <c r="R28" s="6">
        <f t="shared" si="8"/>
        <v>0.21358108572905904</v>
      </c>
      <c r="S28" s="2"/>
      <c r="T28" s="2">
        <f>SUM(OSRRefT22_0x_0)</f>
        <v>298815.22022878303</v>
      </c>
      <c r="U28" s="2"/>
      <c r="V28" s="6">
        <f t="shared" si="9"/>
        <v>0.16619598014692302</v>
      </c>
      <c r="W28" s="2"/>
      <c r="X28" s="2">
        <f t="shared" si="10"/>
        <v>-162.18022878305055</v>
      </c>
      <c r="Y28" s="2"/>
      <c r="Z28" s="6">
        <f t="shared" si="11"/>
        <v>-5.4274420378881596E-4</v>
      </c>
    </row>
    <row r="29" spans="1:26" s="70" customFormat="1" ht="15" hidden="1" customHeight="1" outlineLevel="2" x14ac:dyDescent="0.3">
      <c r="A29" s="26"/>
      <c r="B29" s="12" t="str">
        <f>CONCATENATE("          ","6111"," - ","F.I.C.A.")</f>
        <v xml:space="preserve">          6111 - F.I.C.A.</v>
      </c>
      <c r="C29" s="12"/>
      <c r="D29" s="7">
        <v>6380.42</v>
      </c>
      <c r="E29" s="3"/>
      <c r="F29" s="8">
        <f t="shared" si="4"/>
        <v>1.576963571647676E-2</v>
      </c>
      <c r="G29" s="3"/>
      <c r="H29" s="7">
        <v>4317.6108038136899</v>
      </c>
      <c r="I29" s="3"/>
      <c r="J29" s="8">
        <f t="shared" si="5"/>
        <v>9.2616221608546219E-3</v>
      </c>
      <c r="K29" s="3"/>
      <c r="L29" s="7">
        <f t="shared" si="6"/>
        <v>2062.8091961863101</v>
      </c>
      <c r="M29" s="3"/>
      <c r="N29" s="8">
        <f t="shared" si="7"/>
        <v>0.47776635966452963</v>
      </c>
      <c r="O29" s="12"/>
      <c r="P29" s="7">
        <v>44229.13</v>
      </c>
      <c r="Q29" s="3"/>
      <c r="R29" s="8">
        <f t="shared" si="8"/>
        <v>3.1630368156479162E-2</v>
      </c>
      <c r="S29" s="3"/>
      <c r="T29" s="7">
        <v>38618.628653091</v>
      </c>
      <c r="U29" s="3"/>
      <c r="V29" s="8">
        <f t="shared" si="9"/>
        <v>2.1479029200776541E-2</v>
      </c>
      <c r="W29" s="3"/>
      <c r="X29" s="7">
        <f t="shared" si="10"/>
        <v>5610.5013469089972</v>
      </c>
      <c r="Y29" s="3"/>
      <c r="Z29" s="8">
        <f t="shared" si="11"/>
        <v>0.14527966275829782</v>
      </c>
    </row>
    <row r="30" spans="1:26" s="70" customFormat="1" ht="15" hidden="1" customHeight="1" outlineLevel="2" x14ac:dyDescent="0.3">
      <c r="A30" s="26"/>
      <c r="B30" s="12" t="str">
        <f>CONCATENATE("          ","6112"," - ","COMPENSATION INSURANCE")</f>
        <v xml:space="preserve">          6112 - COMPENSATION INSURANCE</v>
      </c>
      <c r="C30" s="12"/>
      <c r="D30" s="7">
        <v>3616.88</v>
      </c>
      <c r="E30" s="3"/>
      <c r="F30" s="8">
        <f t="shared" si="4"/>
        <v>8.9393613633915112E-3</v>
      </c>
      <c r="G30" s="3"/>
      <c r="H30" s="7">
        <v>4111.9884515415397</v>
      </c>
      <c r="I30" s="3"/>
      <c r="J30" s="8">
        <f t="shared" si="5"/>
        <v>8.8205456903008902E-3</v>
      </c>
      <c r="K30" s="3"/>
      <c r="L30" s="7">
        <f t="shared" si="6"/>
        <v>-495.10845154153958</v>
      </c>
      <c r="M30" s="3"/>
      <c r="N30" s="8">
        <f t="shared" si="7"/>
        <v>-0.12040608999179675</v>
      </c>
      <c r="O30" s="12"/>
      <c r="P30" s="7">
        <v>20516.13</v>
      </c>
      <c r="Q30" s="3"/>
      <c r="R30" s="8">
        <f t="shared" si="8"/>
        <v>1.4672066691028895E-2</v>
      </c>
      <c r="S30" s="3"/>
      <c r="T30" s="7">
        <v>30384.30093913</v>
      </c>
      <c r="U30" s="3"/>
      <c r="V30" s="8">
        <f t="shared" si="9"/>
        <v>1.6899235158743003E-2</v>
      </c>
      <c r="W30" s="3"/>
      <c r="X30" s="7">
        <f t="shared" si="10"/>
        <v>-9868.1709391299992</v>
      </c>
      <c r="Y30" s="3"/>
      <c r="Z30" s="8">
        <f t="shared" si="11"/>
        <v>-0.32477860717938756</v>
      </c>
    </row>
    <row r="31" spans="1:26" s="70" customFormat="1" ht="15" hidden="1" customHeight="1" outlineLevel="2" x14ac:dyDescent="0.3">
      <c r="A31" s="26"/>
      <c r="B31" s="12" t="str">
        <f>CONCATENATE("          ","6113"," - ","GROUP INSURANCE")</f>
        <v xml:space="preserve">          6113 - GROUP INSURANCE</v>
      </c>
      <c r="C31" s="12"/>
      <c r="D31" s="7">
        <v>14917.13</v>
      </c>
      <c r="E31" s="3"/>
      <c r="F31" s="8">
        <f t="shared" si="4"/>
        <v>3.6868686706412267E-2</v>
      </c>
      <c r="G31" s="3"/>
      <c r="H31" s="7">
        <v>16033.7076923077</v>
      </c>
      <c r="I31" s="3"/>
      <c r="J31" s="8">
        <f t="shared" si="5"/>
        <v>3.4393591555907661E-2</v>
      </c>
      <c r="K31" s="3"/>
      <c r="L31" s="7">
        <f t="shared" si="6"/>
        <v>-1116.577692307701</v>
      </c>
      <c r="M31" s="3"/>
      <c r="N31" s="8">
        <f t="shared" si="7"/>
        <v>-6.9639394314478367E-2</v>
      </c>
      <c r="O31" s="12"/>
      <c r="P31" s="7">
        <v>119716.79</v>
      </c>
      <c r="Q31" s="3"/>
      <c r="R31" s="8">
        <f t="shared" si="8"/>
        <v>8.5615207493611165E-2</v>
      </c>
      <c r="S31" s="3"/>
      <c r="T31" s="7">
        <v>139352.042307692</v>
      </c>
      <c r="U31" s="3"/>
      <c r="V31" s="8">
        <f t="shared" si="9"/>
        <v>7.7505253042567473E-2</v>
      </c>
      <c r="W31" s="3"/>
      <c r="X31" s="7">
        <f t="shared" si="10"/>
        <v>-19635.252307692004</v>
      </c>
      <c r="Y31" s="3"/>
      <c r="Z31" s="8">
        <f t="shared" si="11"/>
        <v>-0.14090394358438599</v>
      </c>
    </row>
    <row r="32" spans="1:26" s="70" customFormat="1" ht="15" hidden="1" customHeight="1" outlineLevel="2" x14ac:dyDescent="0.3">
      <c r="A32" s="26"/>
      <c r="B32" s="12" t="str">
        <f>CONCATENATE("          ","6114"," - ","STATE UNEMPLOYMENT INSURANCE")</f>
        <v xml:space="preserve">          6114 - STATE UNEMPLOYMENT INSURANCE</v>
      </c>
      <c r="C32" s="12"/>
      <c r="D32" s="7">
        <v>343.8</v>
      </c>
      <c r="E32" s="3"/>
      <c r="F32" s="8">
        <f t="shared" si="4"/>
        <v>8.4972474528709869E-4</v>
      </c>
      <c r="G32" s="3"/>
      <c r="H32" s="7">
        <v>227.84104876615399</v>
      </c>
      <c r="I32" s="3"/>
      <c r="J32" s="8">
        <f t="shared" si="5"/>
        <v>4.8873736014859827E-4</v>
      </c>
      <c r="K32" s="3"/>
      <c r="L32" s="7">
        <f t="shared" si="6"/>
        <v>115.95895123384602</v>
      </c>
      <c r="M32" s="3"/>
      <c r="N32" s="8">
        <f t="shared" si="7"/>
        <v>0.50894670588029634</v>
      </c>
      <c r="O32" s="12"/>
      <c r="P32" s="7">
        <v>1897.86</v>
      </c>
      <c r="Q32" s="3"/>
      <c r="R32" s="8">
        <f t="shared" si="8"/>
        <v>1.357250538490256E-3</v>
      </c>
      <c r="S32" s="3"/>
      <c r="T32" s="7">
        <v>1683.5628488699999</v>
      </c>
      <c r="U32" s="3"/>
      <c r="V32" s="8">
        <f t="shared" si="9"/>
        <v>9.3636923043167032E-4</v>
      </c>
      <c r="W32" s="3"/>
      <c r="X32" s="7">
        <f t="shared" si="10"/>
        <v>214.29715112999997</v>
      </c>
      <c r="Y32" s="3"/>
      <c r="Z32" s="8">
        <f t="shared" si="11"/>
        <v>0.1272878831187296</v>
      </c>
    </row>
    <row r="33" spans="1:26" s="70" customFormat="1" ht="15" hidden="1" customHeight="1" outlineLevel="2" x14ac:dyDescent="0.3">
      <c r="A33" s="26"/>
      <c r="B33" s="12" t="str">
        <f>CONCATENATE("          ","6115"," - ","P.E.R.S.")</f>
        <v xml:space="preserve">          6115 - P.E.R.S.</v>
      </c>
      <c r="C33" s="12"/>
      <c r="D33" s="7">
        <v>3629.7</v>
      </c>
      <c r="E33" s="3"/>
      <c r="F33" s="8">
        <f t="shared" si="4"/>
        <v>8.9710468527300219E-3</v>
      </c>
      <c r="G33" s="3"/>
      <c r="H33" s="7">
        <v>3199.1709584615401</v>
      </c>
      <c r="I33" s="3"/>
      <c r="J33" s="8">
        <f t="shared" si="5"/>
        <v>6.8624788086685705E-3</v>
      </c>
      <c r="K33" s="3"/>
      <c r="L33" s="7">
        <f t="shared" si="6"/>
        <v>430.52904153845975</v>
      </c>
      <c r="M33" s="3"/>
      <c r="N33" s="8">
        <f t="shared" si="7"/>
        <v>0.13457519061297626</v>
      </c>
      <c r="O33" s="12"/>
      <c r="P33" s="7">
        <v>32087.19</v>
      </c>
      <c r="Q33" s="3"/>
      <c r="R33" s="8">
        <f t="shared" si="8"/>
        <v>2.2947085615450644E-2</v>
      </c>
      <c r="S33" s="3"/>
      <c r="T33" s="7">
        <v>28251.129645000001</v>
      </c>
      <c r="U33" s="3"/>
      <c r="V33" s="8">
        <f t="shared" si="9"/>
        <v>1.5712801302469621E-2</v>
      </c>
      <c r="W33" s="3"/>
      <c r="X33" s="7">
        <f t="shared" si="10"/>
        <v>3836.0603549999978</v>
      </c>
      <c r="Y33" s="3"/>
      <c r="Z33" s="8">
        <f t="shared" si="11"/>
        <v>0.1357843174132656</v>
      </c>
    </row>
    <row r="34" spans="1:26" s="70" customFormat="1" ht="15" hidden="1" customHeight="1" outlineLevel="2" x14ac:dyDescent="0.3">
      <c r="A34" s="26"/>
      <c r="B34" s="12" t="str">
        <f>CONCATENATE("          ","6116"," - ","EDUCATIONAL BENEFITS")</f>
        <v xml:space="preserve">          6116 - EDUCATIONAL BENEFITS</v>
      </c>
      <c r="C34" s="12"/>
      <c r="D34" s="7"/>
      <c r="E34" s="3"/>
      <c r="F34" s="8">
        <f t="shared" si="4"/>
        <v>0</v>
      </c>
      <c r="G34" s="3"/>
      <c r="H34" s="7">
        <v>0</v>
      </c>
      <c r="I34" s="3"/>
      <c r="J34" s="8">
        <f t="shared" si="5"/>
        <v>0</v>
      </c>
      <c r="K34" s="3"/>
      <c r="L34" s="7">
        <f t="shared" si="6"/>
        <v>0</v>
      </c>
      <c r="M34" s="3"/>
      <c r="N34" s="8">
        <f t="shared" si="7"/>
        <v>0</v>
      </c>
      <c r="O34" s="12"/>
      <c r="P34" s="7"/>
      <c r="Q34" s="3"/>
      <c r="R34" s="8">
        <f t="shared" si="8"/>
        <v>0</v>
      </c>
      <c r="S34" s="3"/>
      <c r="T34" s="7">
        <v>0</v>
      </c>
      <c r="U34" s="3"/>
      <c r="V34" s="8">
        <f t="shared" si="9"/>
        <v>0</v>
      </c>
      <c r="W34" s="3"/>
      <c r="X34" s="7">
        <f t="shared" si="10"/>
        <v>0</v>
      </c>
      <c r="Y34" s="3"/>
      <c r="Z34" s="8">
        <f t="shared" si="11"/>
        <v>0</v>
      </c>
    </row>
    <row r="35" spans="1:26" s="70" customFormat="1" ht="15" hidden="1" customHeight="1" outlineLevel="2" x14ac:dyDescent="0.3">
      <c r="A35" s="26"/>
      <c r="B35" s="12" t="str">
        <f>CONCATENATE("          ","6117"," - ","RETIREMENT STAFF HOURLY")</f>
        <v xml:space="preserve">          6117 - RETIREMENT STAFF HOURLY</v>
      </c>
      <c r="C35" s="12"/>
      <c r="D35" s="7">
        <v>431.12</v>
      </c>
      <c r="E35" s="3"/>
      <c r="F35" s="8">
        <f t="shared" si="4"/>
        <v>1.0655419784414599E-3</v>
      </c>
      <c r="G35" s="3"/>
      <c r="H35" s="7"/>
      <c r="I35" s="3"/>
      <c r="J35" s="8">
        <f t="shared" si="5"/>
        <v>0</v>
      </c>
      <c r="K35" s="3"/>
      <c r="L35" s="7">
        <f t="shared" si="6"/>
        <v>431.12</v>
      </c>
      <c r="M35" s="3"/>
      <c r="N35" s="8">
        <f t="shared" si="7"/>
        <v>0</v>
      </c>
      <c r="O35" s="12"/>
      <c r="P35" s="7">
        <v>893.55</v>
      </c>
      <c r="Q35" s="3"/>
      <c r="R35" s="8">
        <f t="shared" si="8"/>
        <v>6.3902038014815017E-4</v>
      </c>
      <c r="S35" s="3"/>
      <c r="T35" s="7"/>
      <c r="U35" s="3"/>
      <c r="V35" s="8">
        <f t="shared" si="9"/>
        <v>0</v>
      </c>
      <c r="W35" s="3"/>
      <c r="X35" s="7">
        <f t="shared" si="10"/>
        <v>893.55</v>
      </c>
      <c r="Y35" s="3"/>
      <c r="Z35" s="8">
        <f t="shared" si="11"/>
        <v>0</v>
      </c>
    </row>
    <row r="36" spans="1:26" s="70" customFormat="1" ht="15" hidden="1" customHeight="1" outlineLevel="2" x14ac:dyDescent="0.3">
      <c r="A36" s="26"/>
      <c r="B36" s="12" t="str">
        <f>CONCATENATE("          ","6118"," - ","VACATION")</f>
        <v xml:space="preserve">          6118 - VACATION</v>
      </c>
      <c r="C36" s="12"/>
      <c r="D36" s="7">
        <v>3658.02</v>
      </c>
      <c r="E36" s="3"/>
      <c r="F36" s="8">
        <f t="shared" si="4"/>
        <v>9.0410416310503557E-3</v>
      </c>
      <c r="G36" s="3"/>
      <c r="H36" s="7">
        <v>2654.76409446154</v>
      </c>
      <c r="I36" s="3"/>
      <c r="J36" s="8">
        <f t="shared" si="5"/>
        <v>5.6946823338936423E-3</v>
      </c>
      <c r="K36" s="3"/>
      <c r="L36" s="7">
        <f t="shared" si="6"/>
        <v>1003.25590553846</v>
      </c>
      <c r="M36" s="3"/>
      <c r="N36" s="8">
        <f t="shared" si="7"/>
        <v>0.37790774239846275</v>
      </c>
      <c r="O36" s="12"/>
      <c r="P36" s="7">
        <v>33807.18</v>
      </c>
      <c r="Q36" s="3"/>
      <c r="R36" s="8">
        <f t="shared" si="8"/>
        <v>2.4177132802122928E-2</v>
      </c>
      <c r="S36" s="3"/>
      <c r="T36" s="7">
        <v>24705.866840999999</v>
      </c>
      <c r="U36" s="3"/>
      <c r="V36" s="8">
        <f t="shared" si="9"/>
        <v>1.3740985990859687E-2</v>
      </c>
      <c r="W36" s="3"/>
      <c r="X36" s="7">
        <f t="shared" si="10"/>
        <v>9101.3131590000012</v>
      </c>
      <c r="Y36" s="3"/>
      <c r="Z36" s="8">
        <f t="shared" si="11"/>
        <v>0.36838671630400543</v>
      </c>
    </row>
    <row r="37" spans="1:26" s="70" customFormat="1" ht="15" hidden="1" customHeight="1" outlineLevel="2" x14ac:dyDescent="0.3">
      <c r="A37" s="26"/>
      <c r="B37" s="12" t="str">
        <f>CONCATENATE("          ","6119"," - ","SICK LEAVE")</f>
        <v xml:space="preserve">          6119 - SICK LEAVE</v>
      </c>
      <c r="C37" s="12"/>
      <c r="D37" s="7">
        <v>2633.58</v>
      </c>
      <c r="E37" s="3"/>
      <c r="F37" s="8">
        <f t="shared" si="4"/>
        <v>6.5090695017254131E-3</v>
      </c>
      <c r="G37" s="3"/>
      <c r="H37" s="7">
        <v>2473.1917424615399</v>
      </c>
      <c r="I37" s="3"/>
      <c r="J37" s="8">
        <f t="shared" si="5"/>
        <v>5.3051950467124277E-3</v>
      </c>
      <c r="K37" s="3"/>
      <c r="L37" s="7">
        <f t="shared" si="6"/>
        <v>160.38825753846004</v>
      </c>
      <c r="M37" s="3"/>
      <c r="N37" s="8">
        <f t="shared" si="7"/>
        <v>6.485071690350519E-2</v>
      </c>
      <c r="O37" s="12"/>
      <c r="P37" s="7">
        <v>29548.12</v>
      </c>
      <c r="Q37" s="3"/>
      <c r="R37" s="8">
        <f t="shared" si="8"/>
        <v>2.1131275110584925E-2</v>
      </c>
      <c r="S37" s="3"/>
      <c r="T37" s="7">
        <v>17394.688994</v>
      </c>
      <c r="U37" s="3"/>
      <c r="V37" s="8">
        <f t="shared" si="9"/>
        <v>9.674632317909819E-3</v>
      </c>
      <c r="W37" s="3"/>
      <c r="X37" s="7">
        <f t="shared" si="10"/>
        <v>12153.431005999999</v>
      </c>
      <c r="Y37" s="3"/>
      <c r="Z37" s="8">
        <f t="shared" si="11"/>
        <v>0.69868630650379071</v>
      </c>
    </row>
    <row r="38" spans="1:26" s="70" customFormat="1" ht="15" hidden="1" customHeight="1" outlineLevel="2" x14ac:dyDescent="0.3">
      <c r="A38" s="26"/>
      <c r="B38" s="12" t="str">
        <f>CONCATENATE("          ","6156"," - ","EMPLOYEE MEALS")</f>
        <v xml:space="preserve">          6156 - EMPLOYEE MEALS</v>
      </c>
      <c r="C38" s="12"/>
      <c r="D38" s="7">
        <v>2480.25</v>
      </c>
      <c r="E38" s="3"/>
      <c r="F38" s="8">
        <f t="shared" si="4"/>
        <v>6.1301041288491171E-3</v>
      </c>
      <c r="G38" s="3"/>
      <c r="H38" s="7">
        <v>2121</v>
      </c>
      <c r="I38" s="3"/>
      <c r="J38" s="8">
        <f t="shared" si="5"/>
        <v>4.5497154550895253E-3</v>
      </c>
      <c r="K38" s="3"/>
      <c r="L38" s="7">
        <f t="shared" si="6"/>
        <v>359.25</v>
      </c>
      <c r="M38" s="3"/>
      <c r="N38" s="8">
        <f t="shared" si="7"/>
        <v>0.16937765205091937</v>
      </c>
      <c r="O38" s="12"/>
      <c r="P38" s="7">
        <v>15957.09</v>
      </c>
      <c r="Q38" s="3"/>
      <c r="R38" s="8">
        <f t="shared" si="8"/>
        <v>1.1411678941142908E-2</v>
      </c>
      <c r="S38" s="3"/>
      <c r="T38" s="7">
        <v>18425</v>
      </c>
      <c r="U38" s="3"/>
      <c r="V38" s="8">
        <f t="shared" si="9"/>
        <v>1.0247673903165182E-2</v>
      </c>
      <c r="W38" s="3"/>
      <c r="X38" s="7">
        <f t="shared" si="10"/>
        <v>-2467.91</v>
      </c>
      <c r="Y38" s="3"/>
      <c r="Z38" s="8">
        <f t="shared" si="11"/>
        <v>-0.13394355495251017</v>
      </c>
    </row>
    <row r="39" spans="1:26" s="69" customFormat="1" ht="15" customHeight="1" outlineLevel="1" collapsed="1" x14ac:dyDescent="0.3">
      <c r="A39" s="25"/>
      <c r="B39" s="14" t="str">
        <f>CONCATENATE("     ","*Payroll                                          ")</f>
        <v xml:space="preserve">     *Payroll                                          </v>
      </c>
      <c r="C39" s="14"/>
      <c r="D39" s="2">
        <f>SUM(OSRRefD22_1x_0)</f>
        <v>130328.83</v>
      </c>
      <c r="E39" s="2"/>
      <c r="F39" s="6">
        <f t="shared" si="4"/>
        <v>0.32211643942791035</v>
      </c>
      <c r="G39" s="2"/>
      <c r="H39" s="2">
        <f>SUM(OSRRefH22_1x_0)</f>
        <v>103472.8268207692</v>
      </c>
      <c r="I39" s="2"/>
      <c r="J39" s="6">
        <f t="shared" si="5"/>
        <v>0.22195752916938027</v>
      </c>
      <c r="K39" s="2"/>
      <c r="L39" s="2">
        <f t="shared" si="6"/>
        <v>26856.0031792308</v>
      </c>
      <c r="M39" s="2"/>
      <c r="N39" s="6">
        <f t="shared" si="7"/>
        <v>0.25954643363275959</v>
      </c>
      <c r="O39" s="14"/>
      <c r="P39" s="2">
        <f>SUM(OSRRefP22_1x_0)</f>
        <v>725657.55999999994</v>
      </c>
      <c r="Q39" s="2"/>
      <c r="R39" s="6">
        <f t="shared" si="8"/>
        <v>0.51895245912212984</v>
      </c>
      <c r="S39" s="2"/>
      <c r="T39" s="2">
        <f>SUM(OSRRefT22_1x_0)</f>
        <v>760333.98881500005</v>
      </c>
      <c r="U39" s="2"/>
      <c r="V39" s="6">
        <f t="shared" si="9"/>
        <v>0.42288492672287453</v>
      </c>
      <c r="W39" s="2"/>
      <c r="X39" s="2">
        <f t="shared" si="10"/>
        <v>-34676.428815000108</v>
      </c>
      <c r="Y39" s="2"/>
      <c r="Z39" s="6">
        <f t="shared" si="11"/>
        <v>-4.5606837685954575E-2</v>
      </c>
    </row>
    <row r="40" spans="1:26" s="70" customFormat="1" ht="15" hidden="1" customHeight="1" outlineLevel="2" x14ac:dyDescent="0.3">
      <c r="A40" s="26"/>
      <c r="B40" s="12" t="str">
        <f>CONCATENATE("          ","6001"," - ","ADMINISTRATIVE SALARIES")</f>
        <v xml:space="preserve">          6001 - ADMINISTRATIVE SALARIES</v>
      </c>
      <c r="C40" s="12"/>
      <c r="D40" s="7">
        <v>11512.06</v>
      </c>
      <c r="E40" s="3"/>
      <c r="F40" s="8">
        <f t="shared" si="4"/>
        <v>2.8452827955874917E-2</v>
      </c>
      <c r="G40" s="3"/>
      <c r="H40" s="7">
        <v>10268.307692307701</v>
      </c>
      <c r="I40" s="3"/>
      <c r="J40" s="8">
        <f t="shared" si="5"/>
        <v>2.2026345217023572E-2</v>
      </c>
      <c r="K40" s="3"/>
      <c r="L40" s="7">
        <f t="shared" si="6"/>
        <v>1243.7523076922989</v>
      </c>
      <c r="M40" s="3"/>
      <c r="N40" s="8">
        <f t="shared" si="7"/>
        <v>0.12112534460026274</v>
      </c>
      <c r="O40" s="12"/>
      <c r="P40" s="7">
        <v>100708.35</v>
      </c>
      <c r="Q40" s="3"/>
      <c r="R40" s="8">
        <f t="shared" si="8"/>
        <v>7.202136209623744E-2</v>
      </c>
      <c r="S40" s="3"/>
      <c r="T40" s="7">
        <v>100116</v>
      </c>
      <c r="U40" s="3"/>
      <c r="V40" s="8">
        <f t="shared" si="9"/>
        <v>5.5682828791820106E-2</v>
      </c>
      <c r="W40" s="3"/>
      <c r="X40" s="7">
        <f t="shared" si="10"/>
        <v>592.35000000000582</v>
      </c>
      <c r="Y40" s="3"/>
      <c r="Z40" s="8">
        <f t="shared" si="11"/>
        <v>5.9166367014264034E-3</v>
      </c>
    </row>
    <row r="41" spans="1:26" s="70" customFormat="1" ht="15" hidden="1" customHeight="1" outlineLevel="2" x14ac:dyDescent="0.3">
      <c r="A41" s="26"/>
      <c r="B41" s="12" t="str">
        <f>CONCATENATE("          ","6002"," - ","STAFF SALARIES")</f>
        <v xml:space="preserve">          6002 - STAFF SALARIES</v>
      </c>
      <c r="C41" s="12"/>
      <c r="D41" s="7">
        <v>26029.14</v>
      </c>
      <c r="E41" s="3"/>
      <c r="F41" s="8">
        <f t="shared" si="4"/>
        <v>6.4332764271501544E-2</v>
      </c>
      <c r="G41" s="3"/>
      <c r="H41" s="7">
        <v>23952.633038461499</v>
      </c>
      <c r="I41" s="3"/>
      <c r="J41" s="8">
        <f t="shared" si="5"/>
        <v>5.1380322831294789E-2</v>
      </c>
      <c r="K41" s="3"/>
      <c r="L41" s="7">
        <f t="shared" si="6"/>
        <v>2076.5069615385</v>
      </c>
      <c r="M41" s="3"/>
      <c r="N41" s="8">
        <f t="shared" si="7"/>
        <v>8.6692221193560945E-2</v>
      </c>
      <c r="O41" s="12"/>
      <c r="P41" s="7">
        <v>217302.58</v>
      </c>
      <c r="Q41" s="3"/>
      <c r="R41" s="8">
        <f t="shared" si="8"/>
        <v>0.15540347745372257</v>
      </c>
      <c r="S41" s="3"/>
      <c r="T41" s="7">
        <v>201052.73212500001</v>
      </c>
      <c r="U41" s="3"/>
      <c r="V41" s="8">
        <f t="shared" si="9"/>
        <v>0.11182213493391711</v>
      </c>
      <c r="W41" s="3"/>
      <c r="X41" s="7">
        <f t="shared" si="10"/>
        <v>16249.847874999978</v>
      </c>
      <c r="Y41" s="3"/>
      <c r="Z41" s="8">
        <f t="shared" si="11"/>
        <v>8.0823810267333249E-2</v>
      </c>
    </row>
    <row r="42" spans="1:26" s="70" customFormat="1" ht="15" hidden="1" customHeight="1" outlineLevel="2" x14ac:dyDescent="0.3">
      <c r="A42" s="26"/>
      <c r="B42" s="12" t="str">
        <f>CONCATENATE("          ","6003"," - ","STAFF HOURLY-9 MONTH")</f>
        <v xml:space="preserve">          6003 - STAFF HOURLY-9 MONTH</v>
      </c>
      <c r="C42" s="12"/>
      <c r="D42" s="7"/>
      <c r="E42" s="3"/>
      <c r="F42" s="8">
        <f t="shared" si="4"/>
        <v>0</v>
      </c>
      <c r="G42" s="3"/>
      <c r="H42" s="7">
        <v>0</v>
      </c>
      <c r="I42" s="3"/>
      <c r="J42" s="8">
        <f t="shared" si="5"/>
        <v>0</v>
      </c>
      <c r="K42" s="3"/>
      <c r="L42" s="7">
        <f t="shared" si="6"/>
        <v>0</v>
      </c>
      <c r="M42" s="3"/>
      <c r="N42" s="8">
        <f t="shared" si="7"/>
        <v>0</v>
      </c>
      <c r="O42" s="12"/>
      <c r="P42" s="7"/>
      <c r="Q42" s="3"/>
      <c r="R42" s="8">
        <f t="shared" si="8"/>
        <v>0</v>
      </c>
      <c r="S42" s="3"/>
      <c r="T42" s="7">
        <v>0</v>
      </c>
      <c r="U42" s="3"/>
      <c r="V42" s="8">
        <f t="shared" si="9"/>
        <v>0</v>
      </c>
      <c r="W42" s="3"/>
      <c r="X42" s="7">
        <f t="shared" si="10"/>
        <v>0</v>
      </c>
      <c r="Y42" s="3"/>
      <c r="Z42" s="8">
        <f t="shared" si="11"/>
        <v>0</v>
      </c>
    </row>
    <row r="43" spans="1:26" s="70" customFormat="1" ht="15" hidden="1" customHeight="1" outlineLevel="2" x14ac:dyDescent="0.3">
      <c r="A43" s="26"/>
      <c r="B43" s="12" t="str">
        <f>CONCATENATE("          ","6004"," - ","STAFF HOURLY")</f>
        <v xml:space="preserve">          6004 - STAFF HOURLY</v>
      </c>
      <c r="C43" s="12"/>
      <c r="D43" s="7">
        <v>13954.16</v>
      </c>
      <c r="E43" s="3"/>
      <c r="F43" s="8">
        <f t="shared" si="4"/>
        <v>3.4488641802488132E-2</v>
      </c>
      <c r="G43" s="3"/>
      <c r="H43" s="7">
        <v>17101.295190000001</v>
      </c>
      <c r="I43" s="3"/>
      <c r="J43" s="8">
        <f t="shared" si="5"/>
        <v>3.6683652535592248E-2</v>
      </c>
      <c r="K43" s="3"/>
      <c r="L43" s="7">
        <f t="shared" si="6"/>
        <v>-3147.1351900000009</v>
      </c>
      <c r="M43" s="3"/>
      <c r="N43" s="8">
        <f t="shared" si="7"/>
        <v>-0.18402905481920992</v>
      </c>
      <c r="O43" s="12"/>
      <c r="P43" s="7">
        <v>108845.65</v>
      </c>
      <c r="Q43" s="3"/>
      <c r="R43" s="8">
        <f t="shared" si="8"/>
        <v>7.7840734867072353E-2</v>
      </c>
      <c r="S43" s="3"/>
      <c r="T43" s="7">
        <v>154152.53184000001</v>
      </c>
      <c r="U43" s="3"/>
      <c r="V43" s="8">
        <f t="shared" si="9"/>
        <v>8.5737035421634078E-2</v>
      </c>
      <c r="W43" s="3"/>
      <c r="X43" s="7">
        <f t="shared" si="10"/>
        <v>-45306.881840000016</v>
      </c>
      <c r="Y43" s="3"/>
      <c r="Z43" s="8">
        <f t="shared" si="11"/>
        <v>-0.29390942399198167</v>
      </c>
    </row>
    <row r="44" spans="1:26" s="70" customFormat="1" ht="15" hidden="1" customHeight="1" outlineLevel="2" x14ac:dyDescent="0.3">
      <c r="A44" s="26"/>
      <c r="B44" s="12" t="str">
        <f>CONCATENATE("          ","6005"," - ","TEMPORARY WAGES-HOURLY")</f>
        <v xml:space="preserve">          6005 - TEMPORARY WAGES-HOURLY</v>
      </c>
      <c r="C44" s="12"/>
      <c r="D44" s="7">
        <v>17009.22</v>
      </c>
      <c r="E44" s="3"/>
      <c r="F44" s="8">
        <f t="shared" si="4"/>
        <v>4.2039427376475348E-2</v>
      </c>
      <c r="G44" s="3"/>
      <c r="H44" s="7">
        <v>12499.94865</v>
      </c>
      <c r="I44" s="3"/>
      <c r="J44" s="8">
        <f t="shared" si="5"/>
        <v>2.6813394418071873E-2</v>
      </c>
      <c r="K44" s="3"/>
      <c r="L44" s="7">
        <f t="shared" si="6"/>
        <v>4509.2713500000009</v>
      </c>
      <c r="M44" s="3"/>
      <c r="N44" s="8">
        <f t="shared" si="7"/>
        <v>0.36074318993302429</v>
      </c>
      <c r="O44" s="12"/>
      <c r="P44" s="7">
        <v>116364.39</v>
      </c>
      <c r="Q44" s="3"/>
      <c r="R44" s="8">
        <f t="shared" si="8"/>
        <v>8.321774577081037E-2</v>
      </c>
      <c r="S44" s="3"/>
      <c r="T44" s="7">
        <v>90885.532250000004</v>
      </c>
      <c r="U44" s="3"/>
      <c r="V44" s="8">
        <f t="shared" si="9"/>
        <v>5.0548998481063916E-2</v>
      </c>
      <c r="W44" s="3"/>
      <c r="X44" s="7">
        <f t="shared" si="10"/>
        <v>25478.857749999996</v>
      </c>
      <c r="Y44" s="3"/>
      <c r="Z44" s="8">
        <f t="shared" si="11"/>
        <v>0.28034008405116639</v>
      </c>
    </row>
    <row r="45" spans="1:26" s="70" customFormat="1" ht="15" hidden="1" customHeight="1" outlineLevel="2" x14ac:dyDescent="0.3">
      <c r="A45" s="26"/>
      <c r="B45" s="12" t="str">
        <f>CONCATENATE("          ","6006"," - ","TEMPORARY PART TIME")</f>
        <v xml:space="preserve">          6006 - TEMPORARY PART TIME</v>
      </c>
      <c r="C45" s="12"/>
      <c r="D45" s="7">
        <v>1702.24</v>
      </c>
      <c r="E45" s="3"/>
      <c r="F45" s="8">
        <f t="shared" si="4"/>
        <v>4.207200262994505E-3</v>
      </c>
      <c r="G45" s="3"/>
      <c r="H45" s="7">
        <v>0</v>
      </c>
      <c r="I45" s="3"/>
      <c r="J45" s="8">
        <f t="shared" si="5"/>
        <v>0</v>
      </c>
      <c r="K45" s="3"/>
      <c r="L45" s="7">
        <f t="shared" si="6"/>
        <v>1702.24</v>
      </c>
      <c r="M45" s="3"/>
      <c r="N45" s="8">
        <f t="shared" si="7"/>
        <v>0</v>
      </c>
      <c r="O45" s="12"/>
      <c r="P45" s="7">
        <v>2343.2399999999998</v>
      </c>
      <c r="Q45" s="3"/>
      <c r="R45" s="8">
        <f t="shared" si="8"/>
        <v>1.675763097284261E-3</v>
      </c>
      <c r="S45" s="3"/>
      <c r="T45" s="7">
        <v>0</v>
      </c>
      <c r="U45" s="3"/>
      <c r="V45" s="8">
        <f t="shared" si="9"/>
        <v>0</v>
      </c>
      <c r="W45" s="3"/>
      <c r="X45" s="7">
        <f t="shared" si="10"/>
        <v>2343.2399999999998</v>
      </c>
      <c r="Y45" s="3"/>
      <c r="Z45" s="8">
        <f t="shared" si="11"/>
        <v>0</v>
      </c>
    </row>
    <row r="46" spans="1:26" s="70" customFormat="1" ht="15" hidden="1" customHeight="1" outlineLevel="2" x14ac:dyDescent="0.3">
      <c r="A46" s="26"/>
      <c r="B46" s="12" t="str">
        <f>CONCATENATE("          ","6007"," - ","STUDENT HOURLY")</f>
        <v xml:space="preserve">          6007 - STUDENT HOURLY</v>
      </c>
      <c r="C46" s="12"/>
      <c r="D46" s="7">
        <v>55283.72</v>
      </c>
      <c r="E46" s="3"/>
      <c r="F46" s="8">
        <f t="shared" si="4"/>
        <v>0.13663741970774659</v>
      </c>
      <c r="G46" s="3"/>
      <c r="H46" s="7">
        <v>1415.6956</v>
      </c>
      <c r="I46" s="3"/>
      <c r="J46" s="8">
        <f t="shared" si="5"/>
        <v>3.036780834993983E-3</v>
      </c>
      <c r="K46" s="3"/>
      <c r="L46" s="7">
        <f t="shared" si="6"/>
        <v>53868.024400000002</v>
      </c>
      <c r="M46" s="3"/>
      <c r="N46" s="8">
        <f t="shared" si="7"/>
        <v>38.050569910650282</v>
      </c>
      <c r="O46" s="12"/>
      <c r="P46" s="7">
        <v>172968.66</v>
      </c>
      <c r="Q46" s="3"/>
      <c r="R46" s="8">
        <f t="shared" si="8"/>
        <v>0.12369816895183945</v>
      </c>
      <c r="S46" s="3"/>
      <c r="T46" s="7">
        <v>15577.346799999999</v>
      </c>
      <c r="U46" s="3"/>
      <c r="V46" s="8">
        <f t="shared" si="9"/>
        <v>8.6638572745136311E-3</v>
      </c>
      <c r="W46" s="3"/>
      <c r="X46" s="7">
        <f t="shared" si="10"/>
        <v>157391.3132</v>
      </c>
      <c r="Y46" s="3"/>
      <c r="Z46" s="8">
        <f t="shared" si="11"/>
        <v>10.103858841994839</v>
      </c>
    </row>
    <row r="47" spans="1:26" s="70" customFormat="1" ht="15" hidden="1" customHeight="1" outlineLevel="2" x14ac:dyDescent="0.3">
      <c r="A47" s="26"/>
      <c r="B47" s="12" t="str">
        <f>CONCATENATE("          ","6008"," - ","STUDENT HOURLY-FICA EXEMPT")</f>
        <v xml:space="preserve">          6008 - STUDENT HOURLY-FICA EXEMPT</v>
      </c>
      <c r="C47" s="12"/>
      <c r="D47" s="7">
        <v>4838.29</v>
      </c>
      <c r="E47" s="3"/>
      <c r="F47" s="8">
        <f t="shared" si="4"/>
        <v>1.1958158050829309E-2</v>
      </c>
      <c r="G47" s="3"/>
      <c r="H47" s="7">
        <v>38234.946649999998</v>
      </c>
      <c r="I47" s="3"/>
      <c r="J47" s="8">
        <f t="shared" si="5"/>
        <v>8.2017033332403788E-2</v>
      </c>
      <c r="K47" s="3"/>
      <c r="L47" s="7">
        <f t="shared" si="6"/>
        <v>-33396.656649999997</v>
      </c>
      <c r="M47" s="3"/>
      <c r="N47" s="8">
        <f t="shared" si="7"/>
        <v>-0.87345895773598525</v>
      </c>
      <c r="O47" s="12"/>
      <c r="P47" s="7">
        <v>7124.69</v>
      </c>
      <c r="Q47" s="3"/>
      <c r="R47" s="8">
        <f t="shared" si="8"/>
        <v>5.0952068851633642E-3</v>
      </c>
      <c r="S47" s="3"/>
      <c r="T47" s="7">
        <v>198549.84580000001</v>
      </c>
      <c r="U47" s="3"/>
      <c r="V47" s="8">
        <f t="shared" si="9"/>
        <v>0.11043007181992572</v>
      </c>
      <c r="W47" s="3"/>
      <c r="X47" s="7">
        <f t="shared" si="10"/>
        <v>-191425.15580000001</v>
      </c>
      <c r="Y47" s="3"/>
      <c r="Z47" s="8">
        <f t="shared" si="11"/>
        <v>-0.9641163659871248</v>
      </c>
    </row>
    <row r="48" spans="1:26" s="70" customFormat="1" ht="15" hidden="1" customHeight="1" outlineLevel="2" x14ac:dyDescent="0.3">
      <c r="A48" s="26"/>
      <c r="B48" s="12" t="str">
        <f>CONCATENATE("          ","6009"," - ","TEMPORARY-SEASONAL")</f>
        <v xml:space="preserve">          6009 - TEMPORARY-SEASONAL</v>
      </c>
      <c r="C48" s="12"/>
      <c r="D48" s="7"/>
      <c r="E48" s="3"/>
      <c r="F48" s="8">
        <f t="shared" si="4"/>
        <v>0</v>
      </c>
      <c r="G48" s="3"/>
      <c r="H48" s="7">
        <v>0</v>
      </c>
      <c r="I48" s="3"/>
      <c r="J48" s="8">
        <f t="shared" si="5"/>
        <v>0</v>
      </c>
      <c r="K48" s="3"/>
      <c r="L48" s="7">
        <f t="shared" si="6"/>
        <v>0</v>
      </c>
      <c r="M48" s="3"/>
      <c r="N48" s="8">
        <f t="shared" si="7"/>
        <v>0</v>
      </c>
      <c r="O48" s="12"/>
      <c r="P48" s="7"/>
      <c r="Q48" s="3"/>
      <c r="R48" s="8">
        <f t="shared" si="8"/>
        <v>0</v>
      </c>
      <c r="S48" s="3"/>
      <c r="T48" s="7">
        <v>0</v>
      </c>
      <c r="U48" s="3"/>
      <c r="V48" s="8">
        <f t="shared" si="9"/>
        <v>0</v>
      </c>
      <c r="W48" s="3"/>
      <c r="X48" s="7">
        <f t="shared" si="10"/>
        <v>0</v>
      </c>
      <c r="Y48" s="3"/>
      <c r="Z48" s="8">
        <f t="shared" si="11"/>
        <v>0</v>
      </c>
    </row>
    <row r="49" spans="1:26" s="70" customFormat="1" ht="15" hidden="1" customHeight="1" outlineLevel="2" x14ac:dyDescent="0.3">
      <c r="A49" s="26"/>
      <c r="B49" s="12" t="str">
        <f>CONCATENATE("          ","6010"," - ","GRATUITY")</f>
        <v xml:space="preserve">          6010 - GRATUITY</v>
      </c>
      <c r="C49" s="12"/>
      <c r="D49" s="7"/>
      <c r="E49" s="3"/>
      <c r="F49" s="8">
        <f t="shared" si="4"/>
        <v>0</v>
      </c>
      <c r="G49" s="3"/>
      <c r="H49" s="7">
        <v>0</v>
      </c>
      <c r="I49" s="3"/>
      <c r="J49" s="8">
        <f t="shared" si="5"/>
        <v>0</v>
      </c>
      <c r="K49" s="3"/>
      <c r="L49" s="7">
        <f t="shared" si="6"/>
        <v>0</v>
      </c>
      <c r="M49" s="3"/>
      <c r="N49" s="8">
        <f t="shared" si="7"/>
        <v>0</v>
      </c>
      <c r="O49" s="12"/>
      <c r="P49" s="7"/>
      <c r="Q49" s="3"/>
      <c r="R49" s="8">
        <f t="shared" si="8"/>
        <v>0</v>
      </c>
      <c r="S49" s="3"/>
      <c r="T49" s="7">
        <v>0</v>
      </c>
      <c r="U49" s="3"/>
      <c r="V49" s="8">
        <f t="shared" si="9"/>
        <v>0</v>
      </c>
      <c r="W49" s="3"/>
      <c r="X49" s="7">
        <f t="shared" si="10"/>
        <v>0</v>
      </c>
      <c r="Y49" s="3"/>
      <c r="Z49" s="8">
        <f t="shared" si="11"/>
        <v>0</v>
      </c>
    </row>
    <row r="50" spans="1:26" s="69" customFormat="1" ht="15" customHeight="1" outlineLevel="1" collapsed="1" x14ac:dyDescent="0.3">
      <c r="A50" s="25"/>
      <c r="B50" s="14" t="str">
        <f>CONCATENATE("     ","Advertising/Promo                                 ")</f>
        <v xml:space="preserve">     Advertising/Promo                                 </v>
      </c>
      <c r="C50" s="14"/>
      <c r="D50" s="2">
        <f>SUM(OSRRefD22_2x_0)</f>
        <v>221.85</v>
      </c>
      <c r="E50" s="2"/>
      <c r="F50" s="6">
        <f t="shared" si="4"/>
        <v>5.4831714584625607E-4</v>
      </c>
      <c r="G50" s="2"/>
      <c r="H50" s="2">
        <f>SUM(OSRRefH22_2x_0)</f>
        <v>0</v>
      </c>
      <c r="I50" s="2"/>
      <c r="J50" s="6">
        <f t="shared" si="5"/>
        <v>0</v>
      </c>
      <c r="K50" s="2"/>
      <c r="L50" s="2">
        <f t="shared" si="6"/>
        <v>221.85</v>
      </c>
      <c r="M50" s="2"/>
      <c r="N50" s="6">
        <f t="shared" si="7"/>
        <v>0</v>
      </c>
      <c r="O50" s="14"/>
      <c r="P50" s="2">
        <f>SUM(OSRRefP22_2x_0)</f>
        <v>2167.0500000000002</v>
      </c>
      <c r="Q50" s="2"/>
      <c r="R50" s="6">
        <f t="shared" si="8"/>
        <v>1.5497611938895966E-3</v>
      </c>
      <c r="S50" s="2"/>
      <c r="T50" s="2">
        <f>SUM(OSRRefT22_2x_0)</f>
        <v>0</v>
      </c>
      <c r="U50" s="2"/>
      <c r="V50" s="6">
        <f t="shared" si="9"/>
        <v>0</v>
      </c>
      <c r="W50" s="2"/>
      <c r="X50" s="2">
        <f t="shared" si="10"/>
        <v>2167.0500000000002</v>
      </c>
      <c r="Y50" s="2"/>
      <c r="Z50" s="6">
        <f t="shared" si="11"/>
        <v>0</v>
      </c>
    </row>
    <row r="51" spans="1:26" s="70" customFormat="1" ht="15" hidden="1" customHeight="1" outlineLevel="2" x14ac:dyDescent="0.3">
      <c r="A51" s="26"/>
      <c r="B51" s="12" t="str">
        <f>CONCATENATE("          ","6362"," - ","ADVERTISING EXPENSE")</f>
        <v xml:space="preserve">          6362 - ADVERTISING EXPENSE</v>
      </c>
      <c r="C51" s="12"/>
      <c r="D51" s="7">
        <v>221.85</v>
      </c>
      <c r="E51" s="3"/>
      <c r="F51" s="8">
        <f t="shared" si="4"/>
        <v>5.4831714584625607E-4</v>
      </c>
      <c r="G51" s="3"/>
      <c r="H51" s="7">
        <v>0</v>
      </c>
      <c r="I51" s="3"/>
      <c r="J51" s="8">
        <f t="shared" si="5"/>
        <v>0</v>
      </c>
      <c r="K51" s="3"/>
      <c r="L51" s="7">
        <f t="shared" si="6"/>
        <v>221.85</v>
      </c>
      <c r="M51" s="3"/>
      <c r="N51" s="8">
        <f t="shared" si="7"/>
        <v>0</v>
      </c>
      <c r="O51" s="12"/>
      <c r="P51" s="7">
        <v>2167.0500000000002</v>
      </c>
      <c r="Q51" s="3"/>
      <c r="R51" s="8">
        <f t="shared" si="8"/>
        <v>1.5497611938895966E-3</v>
      </c>
      <c r="S51" s="3"/>
      <c r="T51" s="7">
        <v>0</v>
      </c>
      <c r="U51" s="3"/>
      <c r="V51" s="8">
        <f t="shared" si="9"/>
        <v>0</v>
      </c>
      <c r="W51" s="3"/>
      <c r="X51" s="7">
        <f t="shared" si="10"/>
        <v>2167.0500000000002</v>
      </c>
      <c r="Y51" s="3"/>
      <c r="Z51" s="8">
        <f t="shared" si="11"/>
        <v>0</v>
      </c>
    </row>
    <row r="52" spans="1:26" s="69" customFormat="1" ht="15" customHeight="1" outlineLevel="1" collapsed="1" x14ac:dyDescent="0.3">
      <c r="A52" s="25"/>
      <c r="B52" s="14" t="str">
        <f>CONCATENATE("     ","Bad Debts/Over/Short                              ")</f>
        <v xml:space="preserve">     Bad Debts/Over/Short                              </v>
      </c>
      <c r="C52" s="14"/>
      <c r="D52" s="2">
        <f>SUM(OSRRefD22_3x_0)</f>
        <v>51.82</v>
      </c>
      <c r="E52" s="2"/>
      <c r="F52" s="6">
        <f t="shared" si="4"/>
        <v>1.280766035508361E-4</v>
      </c>
      <c r="G52" s="2"/>
      <c r="H52" s="2">
        <f>SUM(OSRRefH22_3x_0)</f>
        <v>0</v>
      </c>
      <c r="I52" s="2"/>
      <c r="J52" s="6">
        <f t="shared" si="5"/>
        <v>0</v>
      </c>
      <c r="K52" s="2"/>
      <c r="L52" s="2">
        <f t="shared" si="6"/>
        <v>51.82</v>
      </c>
      <c r="M52" s="2"/>
      <c r="N52" s="6">
        <f t="shared" si="7"/>
        <v>0</v>
      </c>
      <c r="O52" s="14"/>
      <c r="P52" s="2">
        <f>SUM(OSRRefP22_3x_0)</f>
        <v>-20.46</v>
      </c>
      <c r="Q52" s="2"/>
      <c r="R52" s="6">
        <f t="shared" si="8"/>
        <v>-1.4631925441028654E-5</v>
      </c>
      <c r="S52" s="2"/>
      <c r="T52" s="2">
        <f>SUM(OSRRefT22_3x_0)</f>
        <v>60</v>
      </c>
      <c r="U52" s="2"/>
      <c r="V52" s="6">
        <f t="shared" si="9"/>
        <v>3.337098693025297E-5</v>
      </c>
      <c r="W52" s="2"/>
      <c r="X52" s="2">
        <f t="shared" si="10"/>
        <v>-80.460000000000008</v>
      </c>
      <c r="Y52" s="2"/>
      <c r="Z52" s="6">
        <f t="shared" si="11"/>
        <v>-1.3410000000000002</v>
      </c>
    </row>
    <row r="53" spans="1:26" s="70" customFormat="1" ht="15" hidden="1" customHeight="1" outlineLevel="2" x14ac:dyDescent="0.3">
      <c r="A53" s="26"/>
      <c r="B53" s="12" t="str">
        <f>CONCATENATE("          ","6272"," - ","CASH (OVER/SHORT)")</f>
        <v xml:space="preserve">          6272 - CASH (OVER/SHORT)</v>
      </c>
      <c r="C53" s="12"/>
      <c r="D53" s="7">
        <v>51.82</v>
      </c>
      <c r="E53" s="3"/>
      <c r="F53" s="8">
        <f t="shared" si="4"/>
        <v>1.280766035508361E-4</v>
      </c>
      <c r="G53" s="3"/>
      <c r="H53" s="7">
        <v>0</v>
      </c>
      <c r="I53" s="3"/>
      <c r="J53" s="8">
        <f t="shared" si="5"/>
        <v>0</v>
      </c>
      <c r="K53" s="3"/>
      <c r="L53" s="7">
        <f t="shared" si="6"/>
        <v>51.82</v>
      </c>
      <c r="M53" s="3"/>
      <c r="N53" s="8">
        <f t="shared" si="7"/>
        <v>0</v>
      </c>
      <c r="O53" s="12"/>
      <c r="P53" s="7">
        <v>-20.46</v>
      </c>
      <c r="Q53" s="3"/>
      <c r="R53" s="8">
        <f t="shared" si="8"/>
        <v>-1.4631925441028654E-5</v>
      </c>
      <c r="S53" s="3"/>
      <c r="T53" s="7">
        <v>60</v>
      </c>
      <c r="U53" s="3"/>
      <c r="V53" s="8">
        <f t="shared" si="9"/>
        <v>3.337098693025297E-5</v>
      </c>
      <c r="W53" s="3"/>
      <c r="X53" s="7">
        <f t="shared" si="10"/>
        <v>-80.460000000000008</v>
      </c>
      <c r="Y53" s="3"/>
      <c r="Z53" s="8">
        <f t="shared" si="11"/>
        <v>-1.3410000000000002</v>
      </c>
    </row>
    <row r="54" spans="1:26" s="69" customFormat="1" ht="15" customHeight="1" outlineLevel="1" collapsed="1" x14ac:dyDescent="0.3">
      <c r="A54" s="25"/>
      <c r="B54" s="14" t="str">
        <f>CONCATENATE("     ","Bank/card Fees                                    ")</f>
        <v xml:space="preserve">     Bank/card Fees                                    </v>
      </c>
      <c r="C54" s="14"/>
      <c r="D54" s="2">
        <f>SUM(OSRRefD22_4x_0)</f>
        <v>15318.68</v>
      </c>
      <c r="E54" s="2"/>
      <c r="F54" s="6">
        <f t="shared" si="4"/>
        <v>3.7861144447744535E-2</v>
      </c>
      <c r="G54" s="2"/>
      <c r="H54" s="2">
        <f>SUM(OSRRefH22_4x_0)</f>
        <v>21087.25</v>
      </c>
      <c r="I54" s="2"/>
      <c r="J54" s="6">
        <f t="shared" si="5"/>
        <v>4.5233845936037992E-2</v>
      </c>
      <c r="K54" s="2"/>
      <c r="L54" s="2">
        <f t="shared" si="6"/>
        <v>-5768.57</v>
      </c>
      <c r="M54" s="2"/>
      <c r="N54" s="6">
        <f t="shared" si="7"/>
        <v>-0.27355724430639367</v>
      </c>
      <c r="O54" s="14"/>
      <c r="P54" s="2">
        <f>SUM(OSRRefP22_4x_0)</f>
        <v>52732.639999999999</v>
      </c>
      <c r="Q54" s="2"/>
      <c r="R54" s="6">
        <f t="shared" si="8"/>
        <v>3.7711635229159587E-2</v>
      </c>
      <c r="S54" s="2"/>
      <c r="T54" s="2">
        <f>SUM(OSRRefT22_4x_0)</f>
        <v>85247.5</v>
      </c>
      <c r="U54" s="2"/>
      <c r="V54" s="6">
        <f t="shared" si="9"/>
        <v>4.7413220138945666E-2</v>
      </c>
      <c r="W54" s="2"/>
      <c r="X54" s="2">
        <f t="shared" si="10"/>
        <v>-32514.86</v>
      </c>
      <c r="Y54" s="2"/>
      <c r="Z54" s="6">
        <f t="shared" si="11"/>
        <v>-0.38141716765887562</v>
      </c>
    </row>
    <row r="55" spans="1:26" s="70" customFormat="1" ht="15" hidden="1" customHeight="1" outlineLevel="2" x14ac:dyDescent="0.3">
      <c r="A55" s="26"/>
      <c r="B55" s="12" t="str">
        <f>CONCATENATE("          ","6381"," - ","BANK/CREDIT CARD FEES")</f>
        <v xml:space="preserve">          6381 - BANK/CREDIT CARD FEES</v>
      </c>
      <c r="C55" s="12"/>
      <c r="D55" s="7">
        <v>15318.68</v>
      </c>
      <c r="E55" s="3"/>
      <c r="F55" s="8">
        <f t="shared" si="4"/>
        <v>3.7861144447744535E-2</v>
      </c>
      <c r="G55" s="3"/>
      <c r="H55" s="7">
        <v>21087.25</v>
      </c>
      <c r="I55" s="3"/>
      <c r="J55" s="8">
        <f t="shared" si="5"/>
        <v>4.5233845936037992E-2</v>
      </c>
      <c r="K55" s="3"/>
      <c r="L55" s="7">
        <f t="shared" si="6"/>
        <v>-5768.57</v>
      </c>
      <c r="M55" s="3"/>
      <c r="N55" s="8">
        <f t="shared" si="7"/>
        <v>-0.27355724430639367</v>
      </c>
      <c r="O55" s="12"/>
      <c r="P55" s="7">
        <v>52732.639999999999</v>
      </c>
      <c r="Q55" s="3"/>
      <c r="R55" s="8">
        <f t="shared" si="8"/>
        <v>3.7711635229159587E-2</v>
      </c>
      <c r="S55" s="3"/>
      <c r="T55" s="7">
        <v>85247.5</v>
      </c>
      <c r="U55" s="3"/>
      <c r="V55" s="8">
        <f t="shared" si="9"/>
        <v>4.7413220138945666E-2</v>
      </c>
      <c r="W55" s="3"/>
      <c r="X55" s="7">
        <f t="shared" si="10"/>
        <v>-32514.86</v>
      </c>
      <c r="Y55" s="3"/>
      <c r="Z55" s="8">
        <f t="shared" si="11"/>
        <v>-0.38141716765887562</v>
      </c>
    </row>
    <row r="56" spans="1:26" s="69" customFormat="1" ht="15" customHeight="1" outlineLevel="1" collapsed="1" x14ac:dyDescent="0.3">
      <c r="A56" s="25"/>
      <c r="B56" s="14" t="str">
        <f>CONCATENATE("     ","Depreciation                                      ")</f>
        <v xml:space="preserve">     Depreciation                                      </v>
      </c>
      <c r="C56" s="14"/>
      <c r="D56" s="2">
        <f>SUM(OSRRefD22_5x_0)</f>
        <v>38531.99</v>
      </c>
      <c r="E56" s="2"/>
      <c r="F56" s="6">
        <f t="shared" si="4"/>
        <v>9.5234396126105375E-2</v>
      </c>
      <c r="G56" s="2"/>
      <c r="H56" s="2">
        <f>SUM(OSRRefH22_5x_0)</f>
        <v>38532</v>
      </c>
      <c r="I56" s="2"/>
      <c r="J56" s="6">
        <f t="shared" si="5"/>
        <v>8.2654236640975751E-2</v>
      </c>
      <c r="K56" s="2"/>
      <c r="L56" s="2">
        <f t="shared" si="6"/>
        <v>-1.0000000002037268E-2</v>
      </c>
      <c r="M56" s="2"/>
      <c r="N56" s="6">
        <f t="shared" si="7"/>
        <v>-2.5952455107539883E-7</v>
      </c>
      <c r="O56" s="14"/>
      <c r="P56" s="2">
        <f>SUM(OSRRefP22_5x_0)</f>
        <v>353906.81</v>
      </c>
      <c r="Q56" s="2"/>
      <c r="R56" s="6">
        <f t="shared" si="8"/>
        <v>0.25309570171027829</v>
      </c>
      <c r="S56" s="2"/>
      <c r="T56" s="2">
        <f>SUM(OSRRefT22_5x_0)</f>
        <v>353906</v>
      </c>
      <c r="U56" s="2"/>
      <c r="V56" s="6">
        <f t="shared" si="9"/>
        <v>0.19683654167563511</v>
      </c>
      <c r="W56" s="2"/>
      <c r="X56" s="2">
        <f t="shared" si="10"/>
        <v>0.80999999999767169</v>
      </c>
      <c r="Y56" s="2"/>
      <c r="Z56" s="6">
        <f t="shared" si="11"/>
        <v>2.2887433386200621E-6</v>
      </c>
    </row>
    <row r="57" spans="1:26" s="70" customFormat="1" ht="15" hidden="1" customHeight="1" outlineLevel="2" x14ac:dyDescent="0.3">
      <c r="A57" s="26"/>
      <c r="B57" s="12" t="str">
        <f>CONCATENATE("          ","6321"," - ","BUILDING DEPRECIATION")</f>
        <v xml:space="preserve">          6321 - BUILDING DEPRECIATION</v>
      </c>
      <c r="C57" s="12"/>
      <c r="D57" s="7">
        <v>28619.91</v>
      </c>
      <c r="E57" s="3"/>
      <c r="F57" s="8">
        <f t="shared" si="4"/>
        <v>7.0736025988626203E-2</v>
      </c>
      <c r="G57" s="3"/>
      <c r="H57" s="7"/>
      <c r="I57" s="3"/>
      <c r="J57" s="8">
        <f t="shared" si="5"/>
        <v>0</v>
      </c>
      <c r="K57" s="3"/>
      <c r="L57" s="7">
        <f t="shared" si="6"/>
        <v>28619.91</v>
      </c>
      <c r="M57" s="3"/>
      <c r="N57" s="8">
        <f t="shared" si="7"/>
        <v>0</v>
      </c>
      <c r="O57" s="12"/>
      <c r="P57" s="7">
        <v>257667.33</v>
      </c>
      <c r="Q57" s="3"/>
      <c r="R57" s="8">
        <f t="shared" si="8"/>
        <v>0.18427024248039714</v>
      </c>
      <c r="S57" s="3"/>
      <c r="T57" s="7"/>
      <c r="U57" s="3"/>
      <c r="V57" s="8">
        <f t="shared" si="9"/>
        <v>0</v>
      </c>
      <c r="W57" s="3"/>
      <c r="X57" s="7">
        <f t="shared" si="10"/>
        <v>257667.33</v>
      </c>
      <c r="Y57" s="3"/>
      <c r="Z57" s="8">
        <f t="shared" si="11"/>
        <v>0</v>
      </c>
    </row>
    <row r="58" spans="1:26" s="70" customFormat="1" ht="15" hidden="1" customHeight="1" outlineLevel="2" x14ac:dyDescent="0.3">
      <c r="A58" s="26"/>
      <c r="B58" s="12" t="str">
        <f>CONCATENATE("          ","6322"," - ","EQUIPMENT DEPRECIATION EXPENSE")</f>
        <v xml:space="preserve">          6322 - EQUIPMENT DEPRECIATION EXPENSE</v>
      </c>
      <c r="C58" s="12"/>
      <c r="D58" s="7">
        <v>9912.08</v>
      </c>
      <c r="E58" s="3"/>
      <c r="F58" s="8">
        <f t="shared" si="4"/>
        <v>2.4498370137479186E-2</v>
      </c>
      <c r="G58" s="3"/>
      <c r="H58" s="7">
        <v>38532</v>
      </c>
      <c r="I58" s="3"/>
      <c r="J58" s="8">
        <f t="shared" si="5"/>
        <v>8.2654236640975751E-2</v>
      </c>
      <c r="K58" s="3"/>
      <c r="L58" s="7">
        <f t="shared" si="6"/>
        <v>-28619.919999999998</v>
      </c>
      <c r="M58" s="3"/>
      <c r="N58" s="8">
        <f t="shared" si="7"/>
        <v>-0.74275718883006325</v>
      </c>
      <c r="O58" s="12"/>
      <c r="P58" s="7">
        <v>96239.48</v>
      </c>
      <c r="Q58" s="3"/>
      <c r="R58" s="8">
        <f t="shared" si="8"/>
        <v>6.8825459229881147E-2</v>
      </c>
      <c r="S58" s="3"/>
      <c r="T58" s="7">
        <v>353906</v>
      </c>
      <c r="U58" s="3"/>
      <c r="V58" s="8">
        <f t="shared" si="9"/>
        <v>0.19683654167563511</v>
      </c>
      <c r="W58" s="3"/>
      <c r="X58" s="7">
        <f t="shared" si="10"/>
        <v>-257666.52000000002</v>
      </c>
      <c r="Y58" s="3"/>
      <c r="Z58" s="8">
        <f t="shared" si="11"/>
        <v>-0.72806485337914595</v>
      </c>
    </row>
    <row r="59" spans="1:26" s="69" customFormat="1" ht="15" customHeight="1" outlineLevel="1" collapsed="1" x14ac:dyDescent="0.3">
      <c r="A59" s="25"/>
      <c r="B59" s="14" t="str">
        <f>CONCATENATE("     ","Employees' Appreciation                           ")</f>
        <v xml:space="preserve">     Employees' Appreciation                           </v>
      </c>
      <c r="C59" s="14"/>
      <c r="D59" s="2">
        <f>SUM(OSRRefD22_6x_0)</f>
        <v>0</v>
      </c>
      <c r="E59" s="2"/>
      <c r="F59" s="6">
        <f t="shared" ref="F59:F90" si="12">IF(D$12=0,0,D59/D$12)</f>
        <v>0</v>
      </c>
      <c r="G59" s="2"/>
      <c r="H59" s="2">
        <f>SUM(OSRRefH22_6x_0)</f>
        <v>40</v>
      </c>
      <c r="I59" s="2"/>
      <c r="J59" s="6">
        <f t="shared" ref="J59:J90" si="13">IF(H$12=0,0,H59/H$12)</f>
        <v>8.5803214617435645E-5</v>
      </c>
      <c r="K59" s="2"/>
      <c r="L59" s="2">
        <f t="shared" ref="L59:L90" si="14">+D59-H59</f>
        <v>-40</v>
      </c>
      <c r="M59" s="2"/>
      <c r="N59" s="6">
        <f t="shared" ref="N59:N90" si="15">IF(H59=0,0,L59/H59)</f>
        <v>-1</v>
      </c>
      <c r="O59" s="14"/>
      <c r="P59" s="2">
        <f>SUM(OSRRefP22_6x_0)</f>
        <v>314.87</v>
      </c>
      <c r="Q59" s="2"/>
      <c r="R59" s="6">
        <f t="shared" ref="R59:R90" si="16">IF(P$12=0,0,P59/P$12)</f>
        <v>2.251786101474434E-4</v>
      </c>
      <c r="S59" s="2"/>
      <c r="T59" s="2">
        <f>SUM(OSRRefT22_6x_0)</f>
        <v>320</v>
      </c>
      <c r="U59" s="2"/>
      <c r="V59" s="6">
        <f t="shared" ref="V59:V90" si="17">IF(T$12=0,0,T59/T$12)</f>
        <v>1.7797859696134916E-4</v>
      </c>
      <c r="W59" s="2"/>
      <c r="X59" s="2">
        <f t="shared" ref="X59:X90" si="18">+P59-T59</f>
        <v>-5.1299999999999955</v>
      </c>
      <c r="Y59" s="2"/>
      <c r="Z59" s="6">
        <f t="shared" ref="Z59:Z90" si="19">IF(T59=0,0,X59/T59)</f>
        <v>-1.6031249999999986E-2</v>
      </c>
    </row>
    <row r="60" spans="1:26" s="70" customFormat="1" ht="15" hidden="1" customHeight="1" outlineLevel="2" x14ac:dyDescent="0.3">
      <c r="A60" s="26"/>
      <c r="B60" s="12" t="str">
        <f>CONCATENATE("          ","6277"," - ","EMPLOYEE APPRECIATION")</f>
        <v xml:space="preserve">          6277 - EMPLOYEE APPRECIATION</v>
      </c>
      <c r="C60" s="12"/>
      <c r="D60" s="7"/>
      <c r="E60" s="3"/>
      <c r="F60" s="8">
        <f t="shared" si="12"/>
        <v>0</v>
      </c>
      <c r="G60" s="3"/>
      <c r="H60" s="7">
        <v>40</v>
      </c>
      <c r="I60" s="3"/>
      <c r="J60" s="8">
        <f t="shared" si="13"/>
        <v>8.5803214617435645E-5</v>
      </c>
      <c r="K60" s="3"/>
      <c r="L60" s="7">
        <f t="shared" si="14"/>
        <v>-40</v>
      </c>
      <c r="M60" s="3"/>
      <c r="N60" s="8">
        <f t="shared" si="15"/>
        <v>-1</v>
      </c>
      <c r="O60" s="12"/>
      <c r="P60" s="7">
        <v>314.87</v>
      </c>
      <c r="Q60" s="3"/>
      <c r="R60" s="8">
        <f t="shared" si="16"/>
        <v>2.251786101474434E-4</v>
      </c>
      <c r="S60" s="3"/>
      <c r="T60" s="7">
        <v>320</v>
      </c>
      <c r="U60" s="3"/>
      <c r="V60" s="8">
        <f t="shared" si="17"/>
        <v>1.7797859696134916E-4</v>
      </c>
      <c r="W60" s="3"/>
      <c r="X60" s="7">
        <f t="shared" si="18"/>
        <v>-5.1299999999999955</v>
      </c>
      <c r="Y60" s="3"/>
      <c r="Z60" s="8">
        <f t="shared" si="19"/>
        <v>-1.6031249999999986E-2</v>
      </c>
    </row>
    <row r="61" spans="1:26" s="69" customFormat="1" ht="15" customHeight="1" outlineLevel="1" collapsed="1" x14ac:dyDescent="0.3">
      <c r="A61" s="25"/>
      <c r="B61" s="14" t="str">
        <f>CONCATENATE("     ","Equipment Rental                                  ")</f>
        <v xml:space="preserve">     Equipment Rental                                  </v>
      </c>
      <c r="C61" s="14"/>
      <c r="D61" s="2">
        <f>SUM(OSRRefD22_7x_0)</f>
        <v>632.67999999999995</v>
      </c>
      <c r="E61" s="2"/>
      <c r="F61" s="6">
        <f t="shared" si="12"/>
        <v>1.5637110292269969E-3</v>
      </c>
      <c r="G61" s="2"/>
      <c r="H61" s="2">
        <f>SUM(OSRRefH22_7x_0)</f>
        <v>951</v>
      </c>
      <c r="I61" s="2"/>
      <c r="J61" s="6">
        <f t="shared" si="13"/>
        <v>2.0399714275295324E-3</v>
      </c>
      <c r="K61" s="2"/>
      <c r="L61" s="2">
        <f t="shared" si="14"/>
        <v>-318.32000000000005</v>
      </c>
      <c r="M61" s="2"/>
      <c r="N61" s="6">
        <f t="shared" si="15"/>
        <v>-0.33472134595162989</v>
      </c>
      <c r="O61" s="14"/>
      <c r="P61" s="2">
        <f>SUM(OSRRefP22_7x_0)</f>
        <v>8053.34</v>
      </c>
      <c r="Q61" s="2"/>
      <c r="R61" s="6">
        <f t="shared" si="16"/>
        <v>5.7593289555842473E-3</v>
      </c>
      <c r="S61" s="2"/>
      <c r="T61" s="2">
        <f>SUM(OSRRefT22_7x_0)</f>
        <v>8559</v>
      </c>
      <c r="U61" s="2"/>
      <c r="V61" s="6">
        <f t="shared" si="17"/>
        <v>4.7603712856005859E-3</v>
      </c>
      <c r="W61" s="2"/>
      <c r="X61" s="2">
        <f t="shared" si="18"/>
        <v>-505.65999999999985</v>
      </c>
      <c r="Y61" s="2"/>
      <c r="Z61" s="6">
        <f t="shared" si="19"/>
        <v>-5.9079331697628211E-2</v>
      </c>
    </row>
    <row r="62" spans="1:26" s="70" customFormat="1" ht="15" hidden="1" customHeight="1" outlineLevel="2" x14ac:dyDescent="0.3">
      <c r="A62" s="26"/>
      <c r="B62" s="12" t="str">
        <f>CONCATENATE("          ","6351"," - ","EQUIPMENT RENTAL")</f>
        <v xml:space="preserve">          6351 - EQUIPMENT RENTAL</v>
      </c>
      <c r="C62" s="12"/>
      <c r="D62" s="7">
        <v>632.67999999999995</v>
      </c>
      <c r="E62" s="3"/>
      <c r="F62" s="8">
        <f t="shared" si="12"/>
        <v>1.5637110292269969E-3</v>
      </c>
      <c r="G62" s="3"/>
      <c r="H62" s="7">
        <v>951</v>
      </c>
      <c r="I62" s="3"/>
      <c r="J62" s="8">
        <f t="shared" si="13"/>
        <v>2.0399714275295324E-3</v>
      </c>
      <c r="K62" s="3"/>
      <c r="L62" s="7">
        <f t="shared" si="14"/>
        <v>-318.32000000000005</v>
      </c>
      <c r="M62" s="3"/>
      <c r="N62" s="8">
        <f t="shared" si="15"/>
        <v>-0.33472134595162989</v>
      </c>
      <c r="O62" s="12"/>
      <c r="P62" s="7">
        <v>8053.34</v>
      </c>
      <c r="Q62" s="3"/>
      <c r="R62" s="8">
        <f t="shared" si="16"/>
        <v>5.7593289555842473E-3</v>
      </c>
      <c r="S62" s="3"/>
      <c r="T62" s="7">
        <v>8559</v>
      </c>
      <c r="U62" s="3"/>
      <c r="V62" s="8">
        <f t="shared" si="17"/>
        <v>4.7603712856005859E-3</v>
      </c>
      <c r="W62" s="3"/>
      <c r="X62" s="7">
        <f t="shared" si="18"/>
        <v>-505.65999999999985</v>
      </c>
      <c r="Y62" s="3"/>
      <c r="Z62" s="8">
        <f t="shared" si="19"/>
        <v>-5.9079331697628211E-2</v>
      </c>
    </row>
    <row r="63" spans="1:26" s="69" customFormat="1" ht="15" customHeight="1" outlineLevel="1" collapsed="1" x14ac:dyDescent="0.3">
      <c r="A63" s="25"/>
      <c r="B63" s="14" t="str">
        <f>CONCATENATE("     ","General                                           ")</f>
        <v xml:space="preserve">     General                                           </v>
      </c>
      <c r="C63" s="14"/>
      <c r="D63" s="2">
        <f>SUM(OSRRefD22_8x_0)</f>
        <v>1494.65</v>
      </c>
      <c r="E63" s="2"/>
      <c r="F63" s="6">
        <f t="shared" si="12"/>
        <v>3.6941276630115243E-3</v>
      </c>
      <c r="G63" s="2"/>
      <c r="H63" s="2">
        <f>SUM(OSRRefH22_8x_0)</f>
        <v>250</v>
      </c>
      <c r="I63" s="2"/>
      <c r="J63" s="6">
        <f t="shared" si="13"/>
        <v>5.3627009135897273E-4</v>
      </c>
      <c r="K63" s="2"/>
      <c r="L63" s="2">
        <f t="shared" si="14"/>
        <v>1244.6500000000001</v>
      </c>
      <c r="M63" s="2"/>
      <c r="N63" s="6">
        <f t="shared" si="15"/>
        <v>4.9786000000000001</v>
      </c>
      <c r="O63" s="14"/>
      <c r="P63" s="2">
        <f>SUM(OSRRefP22_8x_0)</f>
        <v>23718</v>
      </c>
      <c r="Q63" s="2"/>
      <c r="R63" s="6">
        <f t="shared" si="16"/>
        <v>1.6961877204805357E-2</v>
      </c>
      <c r="S63" s="2"/>
      <c r="T63" s="2">
        <f>SUM(OSRRefT22_8x_0)</f>
        <v>6900</v>
      </c>
      <c r="U63" s="2"/>
      <c r="V63" s="6">
        <f t="shared" si="17"/>
        <v>3.8376634969790914E-3</v>
      </c>
      <c r="W63" s="2"/>
      <c r="X63" s="2">
        <f t="shared" si="18"/>
        <v>16818</v>
      </c>
      <c r="Y63" s="2"/>
      <c r="Z63" s="6">
        <f t="shared" si="19"/>
        <v>2.4373913043478259</v>
      </c>
    </row>
    <row r="64" spans="1:26" s="70" customFormat="1" ht="15" hidden="1" customHeight="1" outlineLevel="2" x14ac:dyDescent="0.3">
      <c r="A64" s="26"/>
      <c r="B64" s="12" t="str">
        <f>CONCATENATE("          ","6269"," - ","ENTERTAINMENT")</f>
        <v xml:space="preserve">          6269 - ENTERTAINMENT</v>
      </c>
      <c r="C64" s="12"/>
      <c r="D64" s="7"/>
      <c r="E64" s="3"/>
      <c r="F64" s="8">
        <f t="shared" si="12"/>
        <v>0</v>
      </c>
      <c r="G64" s="3"/>
      <c r="H64" s="7">
        <v>250</v>
      </c>
      <c r="I64" s="3"/>
      <c r="J64" s="8">
        <f t="shared" si="13"/>
        <v>5.3627009135897273E-4</v>
      </c>
      <c r="K64" s="3"/>
      <c r="L64" s="7">
        <f t="shared" si="14"/>
        <v>-250</v>
      </c>
      <c r="M64" s="3"/>
      <c r="N64" s="8">
        <f t="shared" si="15"/>
        <v>-1</v>
      </c>
      <c r="O64" s="12"/>
      <c r="P64" s="7"/>
      <c r="Q64" s="3"/>
      <c r="R64" s="8">
        <f t="shared" si="16"/>
        <v>0</v>
      </c>
      <c r="S64" s="3"/>
      <c r="T64" s="7">
        <v>500</v>
      </c>
      <c r="U64" s="3"/>
      <c r="V64" s="8">
        <f t="shared" si="17"/>
        <v>2.7809155775210807E-4</v>
      </c>
      <c r="W64" s="3"/>
      <c r="X64" s="7">
        <f t="shared" si="18"/>
        <v>-500</v>
      </c>
      <c r="Y64" s="3"/>
      <c r="Z64" s="8">
        <f t="shared" si="19"/>
        <v>-1</v>
      </c>
    </row>
    <row r="65" spans="1:26" s="70" customFormat="1" ht="15" hidden="1" customHeight="1" outlineLevel="2" x14ac:dyDescent="0.3">
      <c r="A65" s="26"/>
      <c r="B65" s="12" t="str">
        <f>CONCATENATE("          ","6279"," - ","GENERAL EXPENSE")</f>
        <v xml:space="preserve">          6279 - GENERAL EXPENSE</v>
      </c>
      <c r="C65" s="12"/>
      <c r="D65" s="7">
        <v>1494.65</v>
      </c>
      <c r="E65" s="3"/>
      <c r="F65" s="8">
        <f t="shared" si="12"/>
        <v>3.6941276630115243E-3</v>
      </c>
      <c r="G65" s="3"/>
      <c r="H65" s="7"/>
      <c r="I65" s="3"/>
      <c r="J65" s="8">
        <f t="shared" si="13"/>
        <v>0</v>
      </c>
      <c r="K65" s="3"/>
      <c r="L65" s="7">
        <f t="shared" si="14"/>
        <v>1494.65</v>
      </c>
      <c r="M65" s="3"/>
      <c r="N65" s="8">
        <f t="shared" si="15"/>
        <v>0</v>
      </c>
      <c r="O65" s="12"/>
      <c r="P65" s="7">
        <v>23718</v>
      </c>
      <c r="Q65" s="3"/>
      <c r="R65" s="8">
        <f t="shared" si="16"/>
        <v>1.6961877204805357E-2</v>
      </c>
      <c r="S65" s="3"/>
      <c r="T65" s="7">
        <v>6400</v>
      </c>
      <c r="U65" s="3"/>
      <c r="V65" s="8">
        <f t="shared" si="17"/>
        <v>3.5595719392269832E-3</v>
      </c>
      <c r="W65" s="3"/>
      <c r="X65" s="7">
        <f t="shared" si="18"/>
        <v>17318</v>
      </c>
      <c r="Y65" s="3"/>
      <c r="Z65" s="8">
        <f t="shared" si="19"/>
        <v>2.7059375000000001</v>
      </c>
    </row>
    <row r="66" spans="1:26" s="69" customFormat="1" ht="15" customHeight="1" outlineLevel="1" collapsed="1" x14ac:dyDescent="0.3">
      <c r="A66" s="25"/>
      <c r="B66" s="14" t="str">
        <f>CONCATENATE("     ","Insurance                                         ")</f>
        <v xml:space="preserve">     Insurance                                         </v>
      </c>
      <c r="C66" s="14"/>
      <c r="D66" s="2">
        <f>SUM(OSRRefD22_9x_0)</f>
        <v>6087.22</v>
      </c>
      <c r="E66" s="2"/>
      <c r="F66" s="6">
        <f t="shared" si="12"/>
        <v>1.5044972262962574E-2</v>
      </c>
      <c r="G66" s="2"/>
      <c r="H66" s="2">
        <f>SUM(OSRRefH22_9x_0)</f>
        <v>6000</v>
      </c>
      <c r="I66" s="2"/>
      <c r="J66" s="6">
        <f t="shared" si="13"/>
        <v>1.2870482192615346E-2</v>
      </c>
      <c r="K66" s="2"/>
      <c r="L66" s="2">
        <f t="shared" si="14"/>
        <v>87.220000000000255</v>
      </c>
      <c r="M66" s="2"/>
      <c r="N66" s="6">
        <f t="shared" si="15"/>
        <v>1.453666666666671E-2</v>
      </c>
      <c r="O66" s="14"/>
      <c r="P66" s="2">
        <f>SUM(OSRRefP22_9x_0)</f>
        <v>61667.98</v>
      </c>
      <c r="Q66" s="2"/>
      <c r="R66" s="6">
        <f t="shared" si="16"/>
        <v>4.4101724606981731E-2</v>
      </c>
      <c r="S66" s="2"/>
      <c r="T66" s="2">
        <f>SUM(OSRRefT22_9x_0)</f>
        <v>54000</v>
      </c>
      <c r="U66" s="2"/>
      <c r="V66" s="6">
        <f t="shared" si="17"/>
        <v>3.0033888237227673E-2</v>
      </c>
      <c r="W66" s="2"/>
      <c r="X66" s="2">
        <f t="shared" si="18"/>
        <v>7667.9800000000032</v>
      </c>
      <c r="Y66" s="2"/>
      <c r="Z66" s="6">
        <f t="shared" si="19"/>
        <v>0.1419996296296297</v>
      </c>
    </row>
    <row r="67" spans="1:26" s="70" customFormat="1" ht="15" hidden="1" customHeight="1" outlineLevel="2" x14ac:dyDescent="0.3">
      <c r="A67" s="26"/>
      <c r="B67" s="12" t="str">
        <f>CONCATENATE("          ","6314"," - ","LIABILITY INSURANCE")</f>
        <v xml:space="preserve">          6314 - LIABILITY INSURANCE</v>
      </c>
      <c r="C67" s="12"/>
      <c r="D67" s="7">
        <v>6087.22</v>
      </c>
      <c r="E67" s="3"/>
      <c r="F67" s="8">
        <f t="shared" si="12"/>
        <v>1.5044972262962574E-2</v>
      </c>
      <c r="G67" s="3"/>
      <c r="H67" s="7">
        <v>6000</v>
      </c>
      <c r="I67" s="3"/>
      <c r="J67" s="8">
        <f t="shared" si="13"/>
        <v>1.2870482192615346E-2</v>
      </c>
      <c r="K67" s="3"/>
      <c r="L67" s="7">
        <f t="shared" si="14"/>
        <v>87.220000000000255</v>
      </c>
      <c r="M67" s="3"/>
      <c r="N67" s="8">
        <f t="shared" si="15"/>
        <v>1.453666666666671E-2</v>
      </c>
      <c r="O67" s="12"/>
      <c r="P67" s="7">
        <v>61667.98</v>
      </c>
      <c r="Q67" s="3"/>
      <c r="R67" s="8">
        <f t="shared" si="16"/>
        <v>4.4101724606981731E-2</v>
      </c>
      <c r="S67" s="3"/>
      <c r="T67" s="7">
        <v>54000</v>
      </c>
      <c r="U67" s="3"/>
      <c r="V67" s="8">
        <f t="shared" si="17"/>
        <v>3.0033888237227673E-2</v>
      </c>
      <c r="W67" s="3"/>
      <c r="X67" s="7">
        <f t="shared" si="18"/>
        <v>7667.9800000000032</v>
      </c>
      <c r="Y67" s="3"/>
      <c r="Z67" s="8">
        <f t="shared" si="19"/>
        <v>0.1419996296296297</v>
      </c>
    </row>
    <row r="68" spans="1:26" s="69" customFormat="1" ht="15" customHeight="1" outlineLevel="1" collapsed="1" x14ac:dyDescent="0.3">
      <c r="A68" s="25"/>
      <c r="B68" s="14" t="str">
        <f>CONCATENATE("     ","Interest                                          ")</f>
        <v xml:space="preserve">     Interest                                          </v>
      </c>
      <c r="C68" s="14"/>
      <c r="D68" s="2">
        <f>SUM(OSRRefD22_10x_0)</f>
        <v>11158</v>
      </c>
      <c r="E68" s="2"/>
      <c r="F68" s="6">
        <f t="shared" si="12"/>
        <v>2.7577744932848883E-2</v>
      </c>
      <c r="G68" s="2"/>
      <c r="H68" s="2">
        <f>SUM(OSRRefH22_10x_0)</f>
        <v>11158</v>
      </c>
      <c r="I68" s="2"/>
      <c r="J68" s="6">
        <f t="shared" si="13"/>
        <v>2.3934806717533671E-2</v>
      </c>
      <c r="K68" s="2"/>
      <c r="L68" s="2">
        <f t="shared" si="14"/>
        <v>0</v>
      </c>
      <c r="M68" s="2"/>
      <c r="N68" s="6">
        <f t="shared" si="15"/>
        <v>0</v>
      </c>
      <c r="O68" s="14"/>
      <c r="P68" s="2">
        <f>SUM(OSRRefP22_10x_0)</f>
        <v>99632</v>
      </c>
      <c r="Q68" s="2"/>
      <c r="R68" s="6">
        <f t="shared" si="16"/>
        <v>7.1251612685267196E-2</v>
      </c>
      <c r="S68" s="2"/>
      <c r="T68" s="2">
        <f>SUM(OSRRefT22_10x_0)</f>
        <v>100422</v>
      </c>
      <c r="U68" s="2"/>
      <c r="V68" s="6">
        <f t="shared" si="17"/>
        <v>5.5853020825164391E-2</v>
      </c>
      <c r="W68" s="2"/>
      <c r="X68" s="2">
        <f t="shared" si="18"/>
        <v>-790</v>
      </c>
      <c r="Y68" s="2"/>
      <c r="Z68" s="6">
        <f t="shared" si="19"/>
        <v>-7.8668020951584306E-3</v>
      </c>
    </row>
    <row r="69" spans="1:26" s="70" customFormat="1" ht="15" hidden="1" customHeight="1" outlineLevel="2" x14ac:dyDescent="0.3">
      <c r="A69" s="26"/>
      <c r="B69" s="12" t="str">
        <f>CONCATENATE("          ","6401"," - ","INTEREST EXPENSE")</f>
        <v xml:space="preserve">          6401 - INTEREST EXPENSE</v>
      </c>
      <c r="C69" s="12"/>
      <c r="D69" s="7">
        <v>11158</v>
      </c>
      <c r="E69" s="3"/>
      <c r="F69" s="8">
        <f t="shared" si="12"/>
        <v>2.7577744932848883E-2</v>
      </c>
      <c r="G69" s="3"/>
      <c r="H69" s="7">
        <v>11158</v>
      </c>
      <c r="I69" s="3"/>
      <c r="J69" s="8">
        <f t="shared" si="13"/>
        <v>2.3934806717533671E-2</v>
      </c>
      <c r="K69" s="3"/>
      <c r="L69" s="7">
        <f t="shared" si="14"/>
        <v>0</v>
      </c>
      <c r="M69" s="3"/>
      <c r="N69" s="8">
        <f t="shared" si="15"/>
        <v>0</v>
      </c>
      <c r="O69" s="12"/>
      <c r="P69" s="7">
        <v>99632</v>
      </c>
      <c r="Q69" s="3"/>
      <c r="R69" s="8">
        <f t="shared" si="16"/>
        <v>7.1251612685267196E-2</v>
      </c>
      <c r="S69" s="3"/>
      <c r="T69" s="7">
        <v>100422</v>
      </c>
      <c r="U69" s="3"/>
      <c r="V69" s="8">
        <f t="shared" si="17"/>
        <v>5.5853020825164391E-2</v>
      </c>
      <c r="W69" s="3"/>
      <c r="X69" s="7">
        <f t="shared" si="18"/>
        <v>-790</v>
      </c>
      <c r="Y69" s="3"/>
      <c r="Z69" s="8">
        <f t="shared" si="19"/>
        <v>-7.8668020951584306E-3</v>
      </c>
    </row>
    <row r="70" spans="1:26" s="69" customFormat="1" ht="15" customHeight="1" outlineLevel="1" collapsed="1" x14ac:dyDescent="0.3">
      <c r="A70" s="25"/>
      <c r="B70" s="14" t="str">
        <f>CONCATENATE("     ","Rent                                              ")</f>
        <v xml:space="preserve">     Rent                                              </v>
      </c>
      <c r="C70" s="14"/>
      <c r="D70" s="2">
        <f>SUM(OSRRefD22_11x_0)</f>
        <v>1850</v>
      </c>
      <c r="E70" s="2"/>
      <c r="F70" s="6">
        <f t="shared" si="12"/>
        <v>4.5723990075076573E-3</v>
      </c>
      <c r="G70" s="2"/>
      <c r="H70" s="2">
        <f>SUM(OSRRefH22_11x_0)</f>
        <v>1850</v>
      </c>
      <c r="I70" s="2"/>
      <c r="J70" s="6">
        <f t="shared" si="13"/>
        <v>3.9683986760563981E-3</v>
      </c>
      <c r="K70" s="2"/>
      <c r="L70" s="2">
        <f t="shared" si="14"/>
        <v>0</v>
      </c>
      <c r="M70" s="2"/>
      <c r="N70" s="6">
        <f t="shared" si="15"/>
        <v>0</v>
      </c>
      <c r="O70" s="14"/>
      <c r="P70" s="2">
        <f>SUM(OSRRefP22_11x_0)</f>
        <v>16650</v>
      </c>
      <c r="Q70" s="2"/>
      <c r="R70" s="6">
        <f t="shared" si="16"/>
        <v>1.1907212052450003E-2</v>
      </c>
      <c r="S70" s="2"/>
      <c r="T70" s="2">
        <f>SUM(OSRRefT22_11x_0)</f>
        <v>16650</v>
      </c>
      <c r="U70" s="2"/>
      <c r="V70" s="6">
        <f t="shared" si="17"/>
        <v>9.2604488731451995E-3</v>
      </c>
      <c r="W70" s="2"/>
      <c r="X70" s="2">
        <f t="shared" si="18"/>
        <v>0</v>
      </c>
      <c r="Y70" s="2"/>
      <c r="Z70" s="6">
        <f t="shared" si="19"/>
        <v>0</v>
      </c>
    </row>
    <row r="71" spans="1:26" s="70" customFormat="1" ht="15" hidden="1" customHeight="1" outlineLevel="2" x14ac:dyDescent="0.3">
      <c r="A71" s="26"/>
      <c r="B71" s="12" t="str">
        <f>CONCATENATE("          ","6273"," - ","RENT")</f>
        <v xml:space="preserve">          6273 - RENT</v>
      </c>
      <c r="C71" s="12"/>
      <c r="D71" s="7">
        <v>1850</v>
      </c>
      <c r="E71" s="3"/>
      <c r="F71" s="8">
        <f t="shared" si="12"/>
        <v>4.5723990075076573E-3</v>
      </c>
      <c r="G71" s="3"/>
      <c r="H71" s="7">
        <v>1850</v>
      </c>
      <c r="I71" s="3"/>
      <c r="J71" s="8">
        <f t="shared" si="13"/>
        <v>3.9683986760563981E-3</v>
      </c>
      <c r="K71" s="3"/>
      <c r="L71" s="7">
        <f t="shared" si="14"/>
        <v>0</v>
      </c>
      <c r="M71" s="3"/>
      <c r="N71" s="8">
        <f t="shared" si="15"/>
        <v>0</v>
      </c>
      <c r="O71" s="12"/>
      <c r="P71" s="7">
        <v>16650</v>
      </c>
      <c r="Q71" s="3"/>
      <c r="R71" s="8">
        <f t="shared" si="16"/>
        <v>1.1907212052450003E-2</v>
      </c>
      <c r="S71" s="3"/>
      <c r="T71" s="7">
        <v>16650</v>
      </c>
      <c r="U71" s="3"/>
      <c r="V71" s="8">
        <f t="shared" si="17"/>
        <v>9.2604488731451995E-3</v>
      </c>
      <c r="W71" s="3"/>
      <c r="X71" s="7">
        <f t="shared" si="18"/>
        <v>0</v>
      </c>
      <c r="Y71" s="3"/>
      <c r="Z71" s="8">
        <f t="shared" si="19"/>
        <v>0</v>
      </c>
    </row>
    <row r="72" spans="1:26" s="69" customFormat="1" ht="15" customHeight="1" outlineLevel="1" collapsed="1" x14ac:dyDescent="0.3">
      <c r="A72" s="25"/>
      <c r="B72" s="14" t="str">
        <f>CONCATENATE("     ","Repair and Maintenance                            ")</f>
        <v xml:space="preserve">     Repair and Maintenance                            </v>
      </c>
      <c r="C72" s="14"/>
      <c r="D72" s="2">
        <f>SUM(OSRRefD22_12x_0)</f>
        <v>4629.09</v>
      </c>
      <c r="E72" s="2"/>
      <c r="F72" s="6">
        <f t="shared" si="12"/>
        <v>1.1441106227926282E-2</v>
      </c>
      <c r="G72" s="2"/>
      <c r="H72" s="2">
        <f>SUM(OSRRefH22_12x_0)</f>
        <v>3803</v>
      </c>
      <c r="I72" s="2"/>
      <c r="J72" s="6">
        <f t="shared" si="13"/>
        <v>8.1577406297526928E-3</v>
      </c>
      <c r="K72" s="2"/>
      <c r="L72" s="2">
        <f t="shared" si="14"/>
        <v>826.09000000000015</v>
      </c>
      <c r="M72" s="2"/>
      <c r="N72" s="6">
        <f t="shared" si="15"/>
        <v>0.21722061530370765</v>
      </c>
      <c r="O72" s="14"/>
      <c r="P72" s="2">
        <f>SUM(OSRRefP22_12x_0)</f>
        <v>72526.16</v>
      </c>
      <c r="Q72" s="2"/>
      <c r="R72" s="6">
        <f t="shared" si="16"/>
        <v>5.1866928917112157E-2</v>
      </c>
      <c r="S72" s="2"/>
      <c r="T72" s="2">
        <f>SUM(OSRRefT22_12x_0)</f>
        <v>50621</v>
      </c>
      <c r="U72" s="2"/>
      <c r="V72" s="6">
        <f t="shared" si="17"/>
        <v>2.8154545489938926E-2</v>
      </c>
      <c r="W72" s="2"/>
      <c r="X72" s="2">
        <f t="shared" si="18"/>
        <v>21905.160000000003</v>
      </c>
      <c r="Y72" s="2"/>
      <c r="Z72" s="6">
        <f t="shared" si="19"/>
        <v>0.43272870942889324</v>
      </c>
    </row>
    <row r="73" spans="1:26" s="70" customFormat="1" ht="15" hidden="1" customHeight="1" outlineLevel="2" x14ac:dyDescent="0.3">
      <c r="A73" s="26"/>
      <c r="B73" s="12" t="str">
        <f>CONCATENATE("          ","6371"," - ","COMPUTER SOFTWARE MAINTENANCE")</f>
        <v xml:space="preserve">          6371 - COMPUTER SOFTWARE MAINTENANCE</v>
      </c>
      <c r="C73" s="12"/>
      <c r="D73" s="7">
        <v>783.7</v>
      </c>
      <c r="E73" s="3"/>
      <c r="F73" s="8">
        <f t="shared" si="12"/>
        <v>1.9369670822614871E-3</v>
      </c>
      <c r="G73" s="3"/>
      <c r="H73" s="7"/>
      <c r="I73" s="3"/>
      <c r="J73" s="8">
        <f t="shared" si="13"/>
        <v>0</v>
      </c>
      <c r="K73" s="3"/>
      <c r="L73" s="7">
        <f t="shared" si="14"/>
        <v>783.7</v>
      </c>
      <c r="M73" s="3"/>
      <c r="N73" s="8">
        <f t="shared" si="15"/>
        <v>0</v>
      </c>
      <c r="O73" s="12"/>
      <c r="P73" s="7">
        <v>7600.87</v>
      </c>
      <c r="Q73" s="3"/>
      <c r="R73" s="8">
        <f t="shared" si="16"/>
        <v>5.4357459983847244E-3</v>
      </c>
      <c r="S73" s="3"/>
      <c r="T73" s="7">
        <v>2623</v>
      </c>
      <c r="U73" s="3"/>
      <c r="V73" s="8">
        <f t="shared" si="17"/>
        <v>1.4588683119675589E-3</v>
      </c>
      <c r="W73" s="3"/>
      <c r="X73" s="7">
        <f t="shared" si="18"/>
        <v>4977.87</v>
      </c>
      <c r="Y73" s="3"/>
      <c r="Z73" s="8">
        <f t="shared" si="19"/>
        <v>1.8977773541746092</v>
      </c>
    </row>
    <row r="74" spans="1:26" s="70" customFormat="1" ht="15" hidden="1" customHeight="1" outlineLevel="2" x14ac:dyDescent="0.3">
      <c r="A74" s="26"/>
      <c r="B74" s="12" t="str">
        <f>CONCATENATE("          ","6372"," - ","COMPUTER HARDWARE MAINTENANCE")</f>
        <v xml:space="preserve">          6372 - COMPUTER HARDWARE MAINTENANCE</v>
      </c>
      <c r="C74" s="12"/>
      <c r="D74" s="7"/>
      <c r="E74" s="3"/>
      <c r="F74" s="8">
        <f t="shared" si="12"/>
        <v>0</v>
      </c>
      <c r="G74" s="3"/>
      <c r="H74" s="7"/>
      <c r="I74" s="3"/>
      <c r="J74" s="8">
        <f t="shared" si="13"/>
        <v>0</v>
      </c>
      <c r="K74" s="3"/>
      <c r="L74" s="7">
        <f t="shared" si="14"/>
        <v>0</v>
      </c>
      <c r="M74" s="3"/>
      <c r="N74" s="8">
        <f t="shared" si="15"/>
        <v>0</v>
      </c>
      <c r="O74" s="12"/>
      <c r="P74" s="7"/>
      <c r="Q74" s="3"/>
      <c r="R74" s="8">
        <f t="shared" si="16"/>
        <v>0</v>
      </c>
      <c r="S74" s="3"/>
      <c r="T74" s="7">
        <v>8000</v>
      </c>
      <c r="U74" s="3"/>
      <c r="V74" s="8">
        <f t="shared" si="17"/>
        <v>4.4494649240337291E-3</v>
      </c>
      <c r="W74" s="3"/>
      <c r="X74" s="7">
        <f t="shared" si="18"/>
        <v>-8000</v>
      </c>
      <c r="Y74" s="3"/>
      <c r="Z74" s="8">
        <f t="shared" si="19"/>
        <v>-1</v>
      </c>
    </row>
    <row r="75" spans="1:26" s="70" customFormat="1" ht="15" hidden="1" customHeight="1" outlineLevel="2" x14ac:dyDescent="0.3">
      <c r="A75" s="26"/>
      <c r="B75" s="12" t="str">
        <f>CONCATENATE("          ","6373"," - ","MAINTENANCE CONTRACTS")</f>
        <v xml:space="preserve">          6373 - MAINTENANCE CONTRACTS</v>
      </c>
      <c r="C75" s="12"/>
      <c r="D75" s="7">
        <v>2102.46</v>
      </c>
      <c r="E75" s="3"/>
      <c r="F75" s="8">
        <f t="shared" si="12"/>
        <v>5.1963708201754315E-3</v>
      </c>
      <c r="G75" s="3"/>
      <c r="H75" s="7">
        <v>138</v>
      </c>
      <c r="I75" s="3"/>
      <c r="J75" s="8">
        <f t="shared" si="13"/>
        <v>2.9602109043015294E-4</v>
      </c>
      <c r="K75" s="3"/>
      <c r="L75" s="7">
        <f t="shared" si="14"/>
        <v>1964.46</v>
      </c>
      <c r="M75" s="3"/>
      <c r="N75" s="8">
        <f t="shared" si="15"/>
        <v>14.235217391304348</v>
      </c>
      <c r="O75" s="12"/>
      <c r="P75" s="7">
        <v>17563.349999999999</v>
      </c>
      <c r="Q75" s="3"/>
      <c r="R75" s="8">
        <f t="shared" si="16"/>
        <v>1.256039236044431E-2</v>
      </c>
      <c r="S75" s="3"/>
      <c r="T75" s="7">
        <v>5739</v>
      </c>
      <c r="U75" s="3"/>
      <c r="V75" s="8">
        <f t="shared" si="17"/>
        <v>3.1919348998786963E-3</v>
      </c>
      <c r="W75" s="3"/>
      <c r="X75" s="7">
        <f t="shared" si="18"/>
        <v>11824.349999999999</v>
      </c>
      <c r="Y75" s="3"/>
      <c r="Z75" s="8">
        <f t="shared" si="19"/>
        <v>2.0603502352326188</v>
      </c>
    </row>
    <row r="76" spans="1:26" s="70" customFormat="1" ht="15" hidden="1" customHeight="1" outlineLevel="2" x14ac:dyDescent="0.3">
      <c r="A76" s="26"/>
      <c r="B76" s="12" t="str">
        <f>CONCATENATE("          ","6375"," - ","OUTSIDE REPAIRS &amp; MAINTENANCE")</f>
        <v xml:space="preserve">          6375 - OUTSIDE REPAIRS &amp; MAINTENANCE</v>
      </c>
      <c r="C76" s="12"/>
      <c r="D76" s="7">
        <v>1742.93</v>
      </c>
      <c r="E76" s="3"/>
      <c r="F76" s="8">
        <f t="shared" si="12"/>
        <v>4.3077683254893629E-3</v>
      </c>
      <c r="G76" s="3"/>
      <c r="H76" s="7">
        <v>3665</v>
      </c>
      <c r="I76" s="3"/>
      <c r="J76" s="8">
        <f t="shared" si="13"/>
        <v>7.8617195393225411E-3</v>
      </c>
      <c r="K76" s="3"/>
      <c r="L76" s="7">
        <f t="shared" si="14"/>
        <v>-1922.07</v>
      </c>
      <c r="M76" s="3"/>
      <c r="N76" s="8">
        <f t="shared" si="15"/>
        <v>-0.5244392905866303</v>
      </c>
      <c r="O76" s="12"/>
      <c r="P76" s="7">
        <v>47361.94</v>
      </c>
      <c r="Q76" s="3"/>
      <c r="R76" s="8">
        <f t="shared" si="16"/>
        <v>3.3870790558283119E-2</v>
      </c>
      <c r="S76" s="3"/>
      <c r="T76" s="7">
        <v>34259</v>
      </c>
      <c r="U76" s="3"/>
      <c r="V76" s="8">
        <f t="shared" si="17"/>
        <v>1.905427735405894E-2</v>
      </c>
      <c r="W76" s="3"/>
      <c r="X76" s="7">
        <f t="shared" si="18"/>
        <v>13102.940000000002</v>
      </c>
      <c r="Y76" s="3"/>
      <c r="Z76" s="8">
        <f t="shared" si="19"/>
        <v>0.38246708894013259</v>
      </c>
    </row>
    <row r="77" spans="1:26" s="69" customFormat="1" ht="15" customHeight="1" outlineLevel="1" collapsed="1" x14ac:dyDescent="0.3">
      <c r="A77" s="25"/>
      <c r="B77" s="14" t="str">
        <f>CONCATENATE("     ","Royalty &amp; Commissions                             ")</f>
        <v xml:space="preserve">     Royalty &amp; Commissions                             </v>
      </c>
      <c r="C77" s="14"/>
      <c r="D77" s="2">
        <f>SUM(OSRRefD22_13x_0)</f>
        <v>583.67999999999995</v>
      </c>
      <c r="E77" s="2"/>
      <c r="F77" s="6">
        <f t="shared" si="12"/>
        <v>1.4426042447038211E-3</v>
      </c>
      <c r="G77" s="2"/>
      <c r="H77" s="2">
        <f>SUM(OSRRefH22_13x_0)</f>
        <v>2496</v>
      </c>
      <c r="I77" s="2"/>
      <c r="J77" s="6">
        <f t="shared" si="13"/>
        <v>5.3541205921279842E-3</v>
      </c>
      <c r="K77" s="2"/>
      <c r="L77" s="2">
        <f t="shared" si="14"/>
        <v>-1912.3200000000002</v>
      </c>
      <c r="M77" s="2"/>
      <c r="N77" s="6">
        <f t="shared" si="15"/>
        <v>-0.76615384615384619</v>
      </c>
      <c r="O77" s="14"/>
      <c r="P77" s="2">
        <f>SUM(OSRRefP22_13x_0)</f>
        <v>4217.71</v>
      </c>
      <c r="Q77" s="2"/>
      <c r="R77" s="6">
        <f t="shared" si="16"/>
        <v>3.0162863270714055E-3</v>
      </c>
      <c r="S77" s="2"/>
      <c r="T77" s="2">
        <f>SUM(OSRRefT22_13x_0)</f>
        <v>10361</v>
      </c>
      <c r="U77" s="2"/>
      <c r="V77" s="6">
        <f t="shared" si="17"/>
        <v>5.7626132597391839E-3</v>
      </c>
      <c r="W77" s="2"/>
      <c r="X77" s="2">
        <f t="shared" si="18"/>
        <v>-6143.29</v>
      </c>
      <c r="Y77" s="2"/>
      <c r="Z77" s="6">
        <f t="shared" si="19"/>
        <v>-0.59292442814400159</v>
      </c>
    </row>
    <row r="78" spans="1:26" s="70" customFormat="1" ht="15" hidden="1" customHeight="1" outlineLevel="2" x14ac:dyDescent="0.3">
      <c r="A78" s="26"/>
      <c r="B78" s="12" t="str">
        <f>CONCATENATE("          ","6254"," - ","ROYALTY &amp; COMMISSIONS")</f>
        <v xml:space="preserve">          6254 - ROYALTY &amp; COMMISSIONS</v>
      </c>
      <c r="C78" s="12"/>
      <c r="D78" s="7">
        <v>583.67999999999995</v>
      </c>
      <c r="E78" s="3"/>
      <c r="F78" s="8">
        <f t="shared" si="12"/>
        <v>1.4426042447038211E-3</v>
      </c>
      <c r="G78" s="3"/>
      <c r="H78" s="7"/>
      <c r="I78" s="3"/>
      <c r="J78" s="8">
        <f t="shared" si="13"/>
        <v>0</v>
      </c>
      <c r="K78" s="3"/>
      <c r="L78" s="7">
        <f t="shared" si="14"/>
        <v>583.67999999999995</v>
      </c>
      <c r="M78" s="3"/>
      <c r="N78" s="8">
        <f t="shared" si="15"/>
        <v>0</v>
      </c>
      <c r="O78" s="12"/>
      <c r="P78" s="7">
        <v>4217.71</v>
      </c>
      <c r="Q78" s="3"/>
      <c r="R78" s="8">
        <f t="shared" si="16"/>
        <v>3.0162863270714055E-3</v>
      </c>
      <c r="S78" s="3"/>
      <c r="T78" s="7"/>
      <c r="U78" s="3"/>
      <c r="V78" s="8">
        <f t="shared" si="17"/>
        <v>0</v>
      </c>
      <c r="W78" s="3"/>
      <c r="X78" s="7">
        <f t="shared" si="18"/>
        <v>4217.71</v>
      </c>
      <c r="Y78" s="3"/>
      <c r="Z78" s="8">
        <f t="shared" si="19"/>
        <v>0</v>
      </c>
    </row>
    <row r="79" spans="1:26" s="70" customFormat="1" ht="15" hidden="1" customHeight="1" outlineLevel="2" x14ac:dyDescent="0.3">
      <c r="A79" s="26"/>
      <c r="B79" s="12" t="str">
        <f>CONCATENATE("          ","6259"," - ","ROYALTY &amp; COMMISSIONS")</f>
        <v xml:space="preserve">          6259 - ROYALTY &amp; COMMISSIONS</v>
      </c>
      <c r="C79" s="12"/>
      <c r="D79" s="7"/>
      <c r="E79" s="3"/>
      <c r="F79" s="8">
        <f t="shared" si="12"/>
        <v>0</v>
      </c>
      <c r="G79" s="3"/>
      <c r="H79" s="7">
        <v>2496</v>
      </c>
      <c r="I79" s="3"/>
      <c r="J79" s="8">
        <f t="shared" si="13"/>
        <v>5.3541205921279842E-3</v>
      </c>
      <c r="K79" s="3"/>
      <c r="L79" s="7">
        <f t="shared" si="14"/>
        <v>-2496</v>
      </c>
      <c r="M79" s="3"/>
      <c r="N79" s="8">
        <f t="shared" si="15"/>
        <v>-1</v>
      </c>
      <c r="O79" s="12"/>
      <c r="P79" s="7"/>
      <c r="Q79" s="3"/>
      <c r="R79" s="8">
        <f t="shared" si="16"/>
        <v>0</v>
      </c>
      <c r="S79" s="3"/>
      <c r="T79" s="7">
        <v>10361</v>
      </c>
      <c r="U79" s="3"/>
      <c r="V79" s="8">
        <f t="shared" si="17"/>
        <v>5.7626132597391839E-3</v>
      </c>
      <c r="W79" s="3"/>
      <c r="X79" s="7">
        <f t="shared" si="18"/>
        <v>-10361</v>
      </c>
      <c r="Y79" s="3"/>
      <c r="Z79" s="8">
        <f t="shared" si="19"/>
        <v>-1</v>
      </c>
    </row>
    <row r="80" spans="1:26" s="69" customFormat="1" ht="15" customHeight="1" outlineLevel="1" collapsed="1" x14ac:dyDescent="0.3">
      <c r="A80" s="25"/>
      <c r="B80" s="14" t="str">
        <f>CONCATENATE("     ","Services                                          ")</f>
        <v xml:space="preserve">     Services                                          </v>
      </c>
      <c r="C80" s="14"/>
      <c r="D80" s="2">
        <f>SUM(OSRRefD22_14x_0)</f>
        <v>6501.8499999999995</v>
      </c>
      <c r="E80" s="2"/>
      <c r="F80" s="6">
        <f t="shared" si="12"/>
        <v>1.6069758101061437E-2</v>
      </c>
      <c r="G80" s="2"/>
      <c r="H80" s="2">
        <f>SUM(OSRRefH22_14x_0)</f>
        <v>11297</v>
      </c>
      <c r="I80" s="2"/>
      <c r="J80" s="6">
        <f t="shared" si="13"/>
        <v>2.4232972888329263E-2</v>
      </c>
      <c r="K80" s="2"/>
      <c r="L80" s="2">
        <f t="shared" si="14"/>
        <v>-4795.1500000000005</v>
      </c>
      <c r="M80" s="2"/>
      <c r="N80" s="6">
        <f t="shared" si="15"/>
        <v>-0.42446224661414539</v>
      </c>
      <c r="O80" s="14"/>
      <c r="P80" s="2">
        <f>SUM(OSRRefP22_14x_0)</f>
        <v>72308.569999999992</v>
      </c>
      <c r="Q80" s="2"/>
      <c r="R80" s="6">
        <f t="shared" si="16"/>
        <v>5.1711319891857337E-2</v>
      </c>
      <c r="S80" s="2"/>
      <c r="T80" s="2">
        <f>SUM(OSRRefT22_14x_0)</f>
        <v>97493</v>
      </c>
      <c r="U80" s="2"/>
      <c r="V80" s="6">
        <f t="shared" si="17"/>
        <v>5.4223960479852548E-2</v>
      </c>
      <c r="W80" s="2"/>
      <c r="X80" s="2">
        <f t="shared" si="18"/>
        <v>-25184.430000000008</v>
      </c>
      <c r="Y80" s="2"/>
      <c r="Z80" s="6">
        <f t="shared" si="19"/>
        <v>-0.25832039223328862</v>
      </c>
    </row>
    <row r="81" spans="1:26" s="70" customFormat="1" ht="15" hidden="1" customHeight="1" outlineLevel="2" x14ac:dyDescent="0.3">
      <c r="A81" s="26"/>
      <c r="B81" s="12" t="str">
        <f>CONCATENATE("          ","6282"," - ","JANITORIAL/EXTERMINATOR EXPENS")</f>
        <v xml:space="preserve">          6282 - JANITORIAL/EXTERMINATOR EXPENS</v>
      </c>
      <c r="C81" s="12"/>
      <c r="D81" s="7">
        <v>1694.9</v>
      </c>
      <c r="E81" s="3"/>
      <c r="F81" s="8">
        <f t="shared" si="12"/>
        <v>4.1890589609863398E-3</v>
      </c>
      <c r="G81" s="3"/>
      <c r="H81" s="7">
        <v>1386</v>
      </c>
      <c r="I81" s="3"/>
      <c r="J81" s="8">
        <f t="shared" si="13"/>
        <v>2.9730813864941451E-3</v>
      </c>
      <c r="K81" s="3"/>
      <c r="L81" s="7">
        <f t="shared" si="14"/>
        <v>308.90000000000009</v>
      </c>
      <c r="M81" s="3"/>
      <c r="N81" s="8">
        <f t="shared" si="15"/>
        <v>0.22287157287157294</v>
      </c>
      <c r="O81" s="12"/>
      <c r="P81" s="7">
        <v>12552.01</v>
      </c>
      <c r="Q81" s="3"/>
      <c r="R81" s="8">
        <f t="shared" si="16"/>
        <v>8.976543228496876E-3</v>
      </c>
      <c r="S81" s="3"/>
      <c r="T81" s="7">
        <v>12116</v>
      </c>
      <c r="U81" s="3"/>
      <c r="V81" s="8">
        <f t="shared" si="17"/>
        <v>6.738714627449083E-3</v>
      </c>
      <c r="W81" s="3"/>
      <c r="X81" s="7">
        <f t="shared" si="18"/>
        <v>436.01000000000022</v>
      </c>
      <c r="Y81" s="3"/>
      <c r="Z81" s="8">
        <f t="shared" si="19"/>
        <v>3.5986299108616726E-2</v>
      </c>
    </row>
    <row r="82" spans="1:26" s="70" customFormat="1" ht="15" hidden="1" customHeight="1" outlineLevel="2" x14ac:dyDescent="0.3">
      <c r="A82" s="26"/>
      <c r="B82" s="12" t="str">
        <f>CONCATENATE("          ","6283"," - ","PLANT SERVICE")</f>
        <v xml:space="preserve">          6283 - PLANT SERVICE</v>
      </c>
      <c r="C82" s="12"/>
      <c r="D82" s="7"/>
      <c r="E82" s="3"/>
      <c r="F82" s="8">
        <f t="shared" si="12"/>
        <v>0</v>
      </c>
      <c r="G82" s="3"/>
      <c r="H82" s="7">
        <v>100</v>
      </c>
      <c r="I82" s="3"/>
      <c r="J82" s="8">
        <f t="shared" si="13"/>
        <v>2.1450803654358912E-4</v>
      </c>
      <c r="K82" s="3"/>
      <c r="L82" s="7">
        <f t="shared" si="14"/>
        <v>-100</v>
      </c>
      <c r="M82" s="3"/>
      <c r="N82" s="8">
        <f t="shared" si="15"/>
        <v>-1</v>
      </c>
      <c r="O82" s="12"/>
      <c r="P82" s="7"/>
      <c r="Q82" s="3"/>
      <c r="R82" s="8">
        <f t="shared" si="16"/>
        <v>0</v>
      </c>
      <c r="S82" s="3"/>
      <c r="T82" s="7">
        <v>900</v>
      </c>
      <c r="U82" s="3"/>
      <c r="V82" s="8">
        <f t="shared" si="17"/>
        <v>5.0056480395379449E-4</v>
      </c>
      <c r="W82" s="3"/>
      <c r="X82" s="7">
        <f t="shared" si="18"/>
        <v>-900</v>
      </c>
      <c r="Y82" s="3"/>
      <c r="Z82" s="8">
        <f t="shared" si="19"/>
        <v>-1</v>
      </c>
    </row>
    <row r="83" spans="1:26" s="70" customFormat="1" ht="15" hidden="1" customHeight="1" outlineLevel="2" x14ac:dyDescent="0.3">
      <c r="A83" s="26"/>
      <c r="B83" s="12" t="str">
        <f>CONCATENATE("          ","6284"," - ","TRASH REMOVAL EXPENSE")</f>
        <v xml:space="preserve">          6284 - TRASH REMOVAL EXPENSE</v>
      </c>
      <c r="C83" s="12"/>
      <c r="D83" s="7"/>
      <c r="E83" s="3"/>
      <c r="F83" s="8">
        <f t="shared" si="12"/>
        <v>0</v>
      </c>
      <c r="G83" s="3"/>
      <c r="H83" s="7">
        <v>1000</v>
      </c>
      <c r="I83" s="3"/>
      <c r="J83" s="8">
        <f t="shared" si="13"/>
        <v>2.1450803654358909E-3</v>
      </c>
      <c r="K83" s="3"/>
      <c r="L83" s="7">
        <f t="shared" si="14"/>
        <v>-1000</v>
      </c>
      <c r="M83" s="3"/>
      <c r="N83" s="8">
        <f t="shared" si="15"/>
        <v>-1</v>
      </c>
      <c r="O83" s="12"/>
      <c r="P83" s="7"/>
      <c r="Q83" s="3"/>
      <c r="R83" s="8">
        <f t="shared" si="16"/>
        <v>0</v>
      </c>
      <c r="S83" s="3"/>
      <c r="T83" s="7">
        <v>9000</v>
      </c>
      <c r="U83" s="3"/>
      <c r="V83" s="8">
        <f t="shared" si="17"/>
        <v>5.0056480395379455E-3</v>
      </c>
      <c r="W83" s="3"/>
      <c r="X83" s="7">
        <f t="shared" si="18"/>
        <v>-9000</v>
      </c>
      <c r="Y83" s="3"/>
      <c r="Z83" s="8">
        <f t="shared" si="19"/>
        <v>-1</v>
      </c>
    </row>
    <row r="84" spans="1:26" s="70" customFormat="1" ht="15" hidden="1" customHeight="1" outlineLevel="2" x14ac:dyDescent="0.3">
      <c r="A84" s="26"/>
      <c r="B84" s="12" t="str">
        <f>CONCATENATE("          ","6285"," - ","JANITORIAL SERVICES")</f>
        <v xml:space="preserve">          6285 - JANITORIAL SERVICES</v>
      </c>
      <c r="C84" s="12"/>
      <c r="D84" s="7">
        <v>4117.1499999999996</v>
      </c>
      <c r="E84" s="3"/>
      <c r="F84" s="8">
        <f t="shared" si="12"/>
        <v>1.0175812202032512E-2</v>
      </c>
      <c r="G84" s="3"/>
      <c r="H84" s="7">
        <v>8224</v>
      </c>
      <c r="I84" s="3"/>
      <c r="J84" s="8">
        <f t="shared" si="13"/>
        <v>1.7641140925344769E-2</v>
      </c>
      <c r="K84" s="3"/>
      <c r="L84" s="7">
        <f t="shared" si="14"/>
        <v>-4106.8500000000004</v>
      </c>
      <c r="M84" s="3"/>
      <c r="N84" s="8">
        <f t="shared" si="15"/>
        <v>-0.49937378404669264</v>
      </c>
      <c r="O84" s="12"/>
      <c r="P84" s="7">
        <v>55547.02</v>
      </c>
      <c r="Q84" s="3"/>
      <c r="R84" s="8">
        <f t="shared" si="16"/>
        <v>3.9724333094395277E-2</v>
      </c>
      <c r="S84" s="3"/>
      <c r="T84" s="7">
        <v>69708</v>
      </c>
      <c r="U84" s="3"/>
      <c r="V84" s="8">
        <f t="shared" si="17"/>
        <v>3.8770412615567899E-2</v>
      </c>
      <c r="W84" s="3"/>
      <c r="X84" s="7">
        <f t="shared" si="18"/>
        <v>-14160.980000000003</v>
      </c>
      <c r="Y84" s="3"/>
      <c r="Z84" s="8">
        <f t="shared" si="19"/>
        <v>-0.20314712801973953</v>
      </c>
    </row>
    <row r="85" spans="1:26" s="70" customFormat="1" ht="15" hidden="1" customHeight="1" outlineLevel="2" x14ac:dyDescent="0.3">
      <c r="A85" s="26"/>
      <c r="B85" s="12" t="str">
        <f>CONCATENATE("          ","6286"," - ","LAUNDRY EXPENSE")</f>
        <v xml:space="preserve">          6286 - LAUNDRY EXPENSE</v>
      </c>
      <c r="C85" s="12"/>
      <c r="D85" s="7">
        <v>689.8</v>
      </c>
      <c r="E85" s="3"/>
      <c r="F85" s="8">
        <f t="shared" si="12"/>
        <v>1.7048869380425847E-3</v>
      </c>
      <c r="G85" s="3"/>
      <c r="H85" s="7">
        <v>587</v>
      </c>
      <c r="I85" s="3"/>
      <c r="J85" s="8">
        <f t="shared" si="13"/>
        <v>1.2591621745108681E-3</v>
      </c>
      <c r="K85" s="3"/>
      <c r="L85" s="7">
        <f t="shared" si="14"/>
        <v>102.79999999999995</v>
      </c>
      <c r="M85" s="3"/>
      <c r="N85" s="8">
        <f t="shared" si="15"/>
        <v>0.17512776831345819</v>
      </c>
      <c r="O85" s="12"/>
      <c r="P85" s="7">
        <v>4209.54</v>
      </c>
      <c r="Q85" s="3"/>
      <c r="R85" s="8">
        <f t="shared" si="16"/>
        <v>3.0104435689651886E-3</v>
      </c>
      <c r="S85" s="3"/>
      <c r="T85" s="7">
        <v>5769</v>
      </c>
      <c r="U85" s="3"/>
      <c r="V85" s="8">
        <f t="shared" si="17"/>
        <v>3.2086203933438229E-3</v>
      </c>
      <c r="W85" s="3"/>
      <c r="X85" s="7">
        <f t="shared" si="18"/>
        <v>-1559.46</v>
      </c>
      <c r="Y85" s="3"/>
      <c r="Z85" s="8">
        <f t="shared" si="19"/>
        <v>-0.27031721268850756</v>
      </c>
    </row>
    <row r="86" spans="1:26" s="69" customFormat="1" ht="15" customHeight="1" outlineLevel="1" collapsed="1" x14ac:dyDescent="0.3">
      <c r="A86" s="25"/>
      <c r="B86" s="14" t="str">
        <f>CONCATENATE("     ","Subscriptions &amp; Dues                              ")</f>
        <v xml:space="preserve">     Subscriptions &amp; Dues                              </v>
      </c>
      <c r="C86" s="14"/>
      <c r="D86" s="2">
        <f>SUM(OSRRefD22_15x_0)</f>
        <v>691.54</v>
      </c>
      <c r="E86" s="2"/>
      <c r="F86" s="6">
        <f t="shared" si="12"/>
        <v>1.7091874646766728E-3</v>
      </c>
      <c r="G86" s="2"/>
      <c r="H86" s="2">
        <f>SUM(OSRRefH22_15x_0)</f>
        <v>610</v>
      </c>
      <c r="I86" s="2"/>
      <c r="J86" s="6">
        <f t="shared" si="13"/>
        <v>1.3084990229158937E-3</v>
      </c>
      <c r="K86" s="2"/>
      <c r="L86" s="2">
        <f t="shared" si="14"/>
        <v>81.539999999999964</v>
      </c>
      <c r="M86" s="2"/>
      <c r="N86" s="6">
        <f t="shared" si="15"/>
        <v>0.13367213114754092</v>
      </c>
      <c r="O86" s="14"/>
      <c r="P86" s="2">
        <f>SUM(OSRRefP22_15x_0)</f>
        <v>5846.9</v>
      </c>
      <c r="Q86" s="2"/>
      <c r="R86" s="6">
        <f t="shared" si="16"/>
        <v>4.1813980870552504E-3</v>
      </c>
      <c r="S86" s="2"/>
      <c r="T86" s="2">
        <f>SUM(OSRRefT22_15x_0)</f>
        <v>5260</v>
      </c>
      <c r="U86" s="2"/>
      <c r="V86" s="6">
        <f t="shared" si="17"/>
        <v>2.9255231875521771E-3</v>
      </c>
      <c r="W86" s="2"/>
      <c r="X86" s="2">
        <f t="shared" si="18"/>
        <v>586.89999999999964</v>
      </c>
      <c r="Y86" s="2"/>
      <c r="Z86" s="6">
        <f t="shared" si="19"/>
        <v>0.11157794676806077</v>
      </c>
    </row>
    <row r="87" spans="1:26" s="70" customFormat="1" ht="15" hidden="1" customHeight="1" outlineLevel="2" x14ac:dyDescent="0.3">
      <c r="A87" s="26"/>
      <c r="B87" s="12" t="str">
        <f>CONCATENATE("          ","6275"," - ","SUBSCRIPTIONS")</f>
        <v xml:space="preserve">          6275 - SUBSCRIPTIONS</v>
      </c>
      <c r="C87" s="12"/>
      <c r="D87" s="7">
        <v>691.54</v>
      </c>
      <c r="E87" s="3"/>
      <c r="F87" s="8">
        <f t="shared" si="12"/>
        <v>1.7091874646766728E-3</v>
      </c>
      <c r="G87" s="3"/>
      <c r="H87" s="7">
        <v>610</v>
      </c>
      <c r="I87" s="3"/>
      <c r="J87" s="8">
        <f t="shared" si="13"/>
        <v>1.3084990229158937E-3</v>
      </c>
      <c r="K87" s="3"/>
      <c r="L87" s="7">
        <f t="shared" si="14"/>
        <v>81.539999999999964</v>
      </c>
      <c r="M87" s="3"/>
      <c r="N87" s="8">
        <f t="shared" si="15"/>
        <v>0.13367213114754092</v>
      </c>
      <c r="O87" s="12"/>
      <c r="P87" s="7">
        <v>5846.9</v>
      </c>
      <c r="Q87" s="3"/>
      <c r="R87" s="8">
        <f t="shared" si="16"/>
        <v>4.1813980870552504E-3</v>
      </c>
      <c r="S87" s="3"/>
      <c r="T87" s="7">
        <v>5260</v>
      </c>
      <c r="U87" s="3"/>
      <c r="V87" s="8">
        <f t="shared" si="17"/>
        <v>2.9255231875521771E-3</v>
      </c>
      <c r="W87" s="3"/>
      <c r="X87" s="7">
        <f t="shared" si="18"/>
        <v>586.89999999999964</v>
      </c>
      <c r="Y87" s="3"/>
      <c r="Z87" s="8">
        <f t="shared" si="19"/>
        <v>0.11157794676806077</v>
      </c>
    </row>
    <row r="88" spans="1:26" s="69" customFormat="1" ht="15" customHeight="1" outlineLevel="1" collapsed="1" x14ac:dyDescent="0.3">
      <c r="A88" s="25"/>
      <c r="B88" s="14" t="str">
        <f>CONCATENATE("     ","Supplies                                          ")</f>
        <v xml:space="preserve">     Supplies                                          </v>
      </c>
      <c r="C88" s="14"/>
      <c r="D88" s="2">
        <f>SUM(OSRRefD22_16x_0)</f>
        <v>6235.9</v>
      </c>
      <c r="E88" s="2"/>
      <c r="F88" s="6">
        <f t="shared" si="12"/>
        <v>1.5412444849144322E-2</v>
      </c>
      <c r="G88" s="2"/>
      <c r="H88" s="2">
        <f>SUM(OSRRefH22_16x_0)</f>
        <v>2525</v>
      </c>
      <c r="I88" s="2"/>
      <c r="J88" s="6">
        <f t="shared" si="13"/>
        <v>5.4163279227256245E-3</v>
      </c>
      <c r="K88" s="2"/>
      <c r="L88" s="2">
        <f t="shared" si="14"/>
        <v>3710.8999999999996</v>
      </c>
      <c r="M88" s="2"/>
      <c r="N88" s="6">
        <f t="shared" si="15"/>
        <v>1.4696633663366334</v>
      </c>
      <c r="O88" s="14"/>
      <c r="P88" s="2">
        <f>SUM(OSRRefP22_16x_0)</f>
        <v>35353.279999999999</v>
      </c>
      <c r="Q88" s="2"/>
      <c r="R88" s="6">
        <f t="shared" si="16"/>
        <v>2.5282822925503882E-2</v>
      </c>
      <c r="S88" s="2"/>
      <c r="T88" s="2">
        <f>SUM(OSRRefT22_16x_0)</f>
        <v>44523</v>
      </c>
      <c r="U88" s="2"/>
      <c r="V88" s="6">
        <f t="shared" si="17"/>
        <v>2.4762940851594216E-2</v>
      </c>
      <c r="W88" s="2"/>
      <c r="X88" s="2">
        <f t="shared" si="18"/>
        <v>-9169.7200000000012</v>
      </c>
      <c r="Y88" s="2"/>
      <c r="Z88" s="6">
        <f t="shared" si="19"/>
        <v>-0.20595467511174004</v>
      </c>
    </row>
    <row r="89" spans="1:26" s="70" customFormat="1" ht="15" hidden="1" customHeight="1" outlineLevel="2" x14ac:dyDescent="0.3">
      <c r="A89" s="26"/>
      <c r="B89" s="12" t="str">
        <f>CONCATENATE("          ","6234"," - ","EXPENDABLE SUPPLIES &amp; EQUIPMEN")</f>
        <v xml:space="preserve">          6234 - EXPENDABLE SUPPLIES &amp; EQUIPMEN</v>
      </c>
      <c r="C89" s="12"/>
      <c r="D89" s="7">
        <v>108.73</v>
      </c>
      <c r="E89" s="3"/>
      <c r="F89" s="8">
        <f t="shared" si="12"/>
        <v>2.6873348328989595E-4</v>
      </c>
      <c r="G89" s="3"/>
      <c r="H89" s="7">
        <v>50</v>
      </c>
      <c r="I89" s="3"/>
      <c r="J89" s="8">
        <f t="shared" si="13"/>
        <v>1.0725401827179456E-4</v>
      </c>
      <c r="K89" s="3"/>
      <c r="L89" s="7">
        <f t="shared" si="14"/>
        <v>58.730000000000004</v>
      </c>
      <c r="M89" s="3"/>
      <c r="N89" s="8">
        <f t="shared" si="15"/>
        <v>1.1746000000000001</v>
      </c>
      <c r="O89" s="12"/>
      <c r="P89" s="7">
        <v>1361.39</v>
      </c>
      <c r="Q89" s="3"/>
      <c r="R89" s="8">
        <f t="shared" si="16"/>
        <v>9.7359516012521989E-4</v>
      </c>
      <c r="S89" s="3"/>
      <c r="T89" s="7">
        <v>700</v>
      </c>
      <c r="U89" s="3"/>
      <c r="V89" s="8">
        <f t="shared" si="17"/>
        <v>3.893281808529513E-4</v>
      </c>
      <c r="W89" s="3"/>
      <c r="X89" s="7">
        <f t="shared" si="18"/>
        <v>661.3900000000001</v>
      </c>
      <c r="Y89" s="3"/>
      <c r="Z89" s="8">
        <f t="shared" si="19"/>
        <v>0.94484285714285732</v>
      </c>
    </row>
    <row r="90" spans="1:26" s="70" customFormat="1" ht="15" hidden="1" customHeight="1" outlineLevel="2" x14ac:dyDescent="0.3">
      <c r="A90" s="26"/>
      <c r="B90" s="12" t="str">
        <f>CONCATENATE("          ","6235"," - ","COVID-19 EXPENSES")</f>
        <v xml:space="preserve">          6235 - COVID-19 EXPENSES</v>
      </c>
      <c r="C90" s="12"/>
      <c r="D90" s="7">
        <v>178.61</v>
      </c>
      <c r="E90" s="3"/>
      <c r="F90" s="8">
        <f t="shared" si="12"/>
        <v>4.4144658742213119E-4</v>
      </c>
      <c r="G90" s="3"/>
      <c r="H90" s="7">
        <v>250</v>
      </c>
      <c r="I90" s="3"/>
      <c r="J90" s="8">
        <f t="shared" si="13"/>
        <v>5.3627009135897273E-4</v>
      </c>
      <c r="K90" s="3"/>
      <c r="L90" s="7">
        <f t="shared" si="14"/>
        <v>-71.389999999999986</v>
      </c>
      <c r="M90" s="3"/>
      <c r="N90" s="8">
        <f t="shared" si="15"/>
        <v>-0.28555999999999993</v>
      </c>
      <c r="O90" s="12"/>
      <c r="P90" s="7">
        <v>690.53</v>
      </c>
      <c r="Q90" s="3"/>
      <c r="R90" s="8">
        <f t="shared" si="16"/>
        <v>4.9383105937407209E-4</v>
      </c>
      <c r="S90" s="3"/>
      <c r="T90" s="7">
        <v>2500</v>
      </c>
      <c r="U90" s="3"/>
      <c r="V90" s="8">
        <f t="shared" si="17"/>
        <v>1.3904577887605403E-3</v>
      </c>
      <c r="W90" s="3"/>
      <c r="X90" s="7">
        <f t="shared" si="18"/>
        <v>-1809.47</v>
      </c>
      <c r="Y90" s="3"/>
      <c r="Z90" s="8">
        <f t="shared" si="19"/>
        <v>-0.72378799999999999</v>
      </c>
    </row>
    <row r="91" spans="1:26" s="70" customFormat="1" ht="15" hidden="1" customHeight="1" outlineLevel="2" x14ac:dyDescent="0.3">
      <c r="A91" s="26"/>
      <c r="B91" s="12" t="str">
        <f>CONCATENATE("          ","6237"," - ","JANITORIAL SUPPLIES")</f>
        <v xml:space="preserve">          6237 - JANITORIAL SUPPLIES</v>
      </c>
      <c r="C91" s="12"/>
      <c r="D91" s="7">
        <v>616.29999999999995</v>
      </c>
      <c r="E91" s="3"/>
      <c r="F91" s="8">
        <f t="shared" ref="F91:F108" si="20">IF(D$12=0,0,D91/D$12)</f>
        <v>1.523226761257821E-3</v>
      </c>
      <c r="G91" s="3"/>
      <c r="H91" s="7">
        <v>225</v>
      </c>
      <c r="I91" s="3"/>
      <c r="J91" s="8">
        <f t="shared" ref="J91:J108" si="21">IF(H$12=0,0,H91/H$12)</f>
        <v>4.8264308222307551E-4</v>
      </c>
      <c r="K91" s="3"/>
      <c r="L91" s="7">
        <f t="shared" ref="L91:L108" si="22">+D91-H91</f>
        <v>391.29999999999995</v>
      </c>
      <c r="M91" s="3"/>
      <c r="N91" s="8">
        <f t="shared" ref="N91:N108" si="23">IF(H91=0,0,L91/H91)</f>
        <v>1.7391111111111108</v>
      </c>
      <c r="O91" s="12"/>
      <c r="P91" s="7">
        <v>7763.31</v>
      </c>
      <c r="Q91" s="3"/>
      <c r="R91" s="8">
        <f t="shared" ref="R91:R108" si="24">IF(P$12=0,0,P91/P$12)</f>
        <v>5.551914618552891E-3</v>
      </c>
      <c r="S91" s="3"/>
      <c r="T91" s="7">
        <v>3703</v>
      </c>
      <c r="U91" s="3"/>
      <c r="V91" s="8">
        <f t="shared" ref="V91:V108" si="25">IF(T$12=0,0,T91/T$12)</f>
        <v>2.0595460767121126E-3</v>
      </c>
      <c r="W91" s="3"/>
      <c r="X91" s="7">
        <f t="shared" ref="X91:X108" si="26">+P91-T91</f>
        <v>4060.3100000000004</v>
      </c>
      <c r="Y91" s="3"/>
      <c r="Z91" s="8">
        <f t="shared" ref="Z91:Z108" si="27">IF(T91=0,0,X91/T91)</f>
        <v>1.0964920334863626</v>
      </c>
    </row>
    <row r="92" spans="1:26" s="70" customFormat="1" ht="15" hidden="1" customHeight="1" outlineLevel="2" x14ac:dyDescent="0.3">
      <c r="A92" s="26"/>
      <c r="B92" s="12" t="str">
        <f>CONCATENATE("          ","6239"," - ","KITCHEN SUPPLIES")</f>
        <v xml:space="preserve">          6239 - KITCHEN SUPPLIES</v>
      </c>
      <c r="C92" s="12"/>
      <c r="D92" s="7">
        <v>2501.89</v>
      </c>
      <c r="E92" s="3"/>
      <c r="F92" s="8">
        <f t="shared" si="20"/>
        <v>6.183588839401801E-3</v>
      </c>
      <c r="G92" s="3"/>
      <c r="H92" s="7"/>
      <c r="I92" s="3"/>
      <c r="J92" s="8">
        <f t="shared" si="21"/>
        <v>0</v>
      </c>
      <c r="K92" s="3"/>
      <c r="L92" s="7">
        <f t="shared" si="22"/>
        <v>2501.89</v>
      </c>
      <c r="M92" s="3"/>
      <c r="N92" s="8">
        <f t="shared" si="23"/>
        <v>0</v>
      </c>
      <c r="O92" s="12"/>
      <c r="P92" s="7">
        <v>7200.94</v>
      </c>
      <c r="Q92" s="3"/>
      <c r="R92" s="8">
        <f t="shared" si="24"/>
        <v>5.1497369103284882E-3</v>
      </c>
      <c r="S92" s="3"/>
      <c r="T92" s="7">
        <v>5349</v>
      </c>
      <c r="U92" s="3"/>
      <c r="V92" s="8">
        <f t="shared" si="25"/>
        <v>2.9750234848320524E-3</v>
      </c>
      <c r="W92" s="3"/>
      <c r="X92" s="7">
        <f t="shared" si="26"/>
        <v>1851.9399999999996</v>
      </c>
      <c r="Y92" s="3"/>
      <c r="Z92" s="8">
        <f t="shared" si="27"/>
        <v>0.34622172368667031</v>
      </c>
    </row>
    <row r="93" spans="1:26" s="70" customFormat="1" ht="15" hidden="1" customHeight="1" outlineLevel="2" x14ac:dyDescent="0.3">
      <c r="A93" s="26"/>
      <c r="B93" s="12" t="str">
        <f>CONCATENATE("          ","6241"," - ","OFFICE EXPENSE")</f>
        <v xml:space="preserve">          6241 - OFFICE EXPENSE</v>
      </c>
      <c r="C93" s="12"/>
      <c r="D93" s="7">
        <v>183.27</v>
      </c>
      <c r="E93" s="3"/>
      <c r="F93" s="8">
        <f t="shared" si="20"/>
        <v>4.5296408978698826E-4</v>
      </c>
      <c r="G93" s="3"/>
      <c r="H93" s="7">
        <v>50</v>
      </c>
      <c r="I93" s="3"/>
      <c r="J93" s="8">
        <f t="shared" si="21"/>
        <v>1.0725401827179456E-4</v>
      </c>
      <c r="K93" s="3"/>
      <c r="L93" s="7">
        <f t="shared" si="22"/>
        <v>133.27000000000001</v>
      </c>
      <c r="M93" s="3"/>
      <c r="N93" s="8">
        <f t="shared" si="23"/>
        <v>2.6654</v>
      </c>
      <c r="O93" s="12"/>
      <c r="P93" s="7">
        <v>7992.03</v>
      </c>
      <c r="Q93" s="3"/>
      <c r="R93" s="8">
        <f t="shared" si="24"/>
        <v>5.7154832396121317E-3</v>
      </c>
      <c r="S93" s="3"/>
      <c r="T93" s="7">
        <v>3177</v>
      </c>
      <c r="U93" s="3"/>
      <c r="V93" s="8">
        <f t="shared" si="25"/>
        <v>1.7669937579568946E-3</v>
      </c>
      <c r="W93" s="3"/>
      <c r="X93" s="7">
        <f t="shared" si="26"/>
        <v>4815.03</v>
      </c>
      <c r="Y93" s="3"/>
      <c r="Z93" s="8">
        <f t="shared" si="27"/>
        <v>1.5155901794145419</v>
      </c>
    </row>
    <row r="94" spans="1:26" s="70" customFormat="1" ht="15" hidden="1" customHeight="1" outlineLevel="2" x14ac:dyDescent="0.3">
      <c r="A94" s="26"/>
      <c r="B94" s="12" t="str">
        <f>CONCATENATE("          ","6243"," - ","PAPER SUPPLIES")</f>
        <v xml:space="preserve">          6243 - PAPER SUPPLIES</v>
      </c>
      <c r="C94" s="12"/>
      <c r="D94" s="7"/>
      <c r="E94" s="3"/>
      <c r="F94" s="8">
        <f t="shared" si="20"/>
        <v>0</v>
      </c>
      <c r="G94" s="3"/>
      <c r="H94" s="7">
        <v>800</v>
      </c>
      <c r="I94" s="3"/>
      <c r="J94" s="8">
        <f t="shared" si="21"/>
        <v>1.7160642923487129E-3</v>
      </c>
      <c r="K94" s="3"/>
      <c r="L94" s="7">
        <f t="shared" si="22"/>
        <v>-800</v>
      </c>
      <c r="M94" s="3"/>
      <c r="N94" s="8">
        <f t="shared" si="23"/>
        <v>-1</v>
      </c>
      <c r="O94" s="12"/>
      <c r="P94" s="7">
        <v>1866.29</v>
      </c>
      <c r="Q94" s="3"/>
      <c r="R94" s="8">
        <f t="shared" si="24"/>
        <v>1.3346733202022172E-3</v>
      </c>
      <c r="S94" s="3"/>
      <c r="T94" s="7">
        <v>8433</v>
      </c>
      <c r="U94" s="3"/>
      <c r="V94" s="8">
        <f t="shared" si="25"/>
        <v>4.6902922130470544E-3</v>
      </c>
      <c r="W94" s="3"/>
      <c r="X94" s="7">
        <f t="shared" si="26"/>
        <v>-6566.71</v>
      </c>
      <c r="Y94" s="3"/>
      <c r="Z94" s="8">
        <f t="shared" si="27"/>
        <v>-0.77869204316376139</v>
      </c>
    </row>
    <row r="95" spans="1:26" s="70" customFormat="1" ht="15" hidden="1" customHeight="1" outlineLevel="2" x14ac:dyDescent="0.3">
      <c r="A95" s="26"/>
      <c r="B95" s="12" t="str">
        <f>CONCATENATE("          ","6244"," - ","SAFETY SUPPLY EXPENSE")</f>
        <v xml:space="preserve">          6244 - SAFETY SUPPLY EXPENSE</v>
      </c>
      <c r="C95" s="12"/>
      <c r="D95" s="7"/>
      <c r="E95" s="3"/>
      <c r="F95" s="8">
        <f t="shared" si="20"/>
        <v>0</v>
      </c>
      <c r="G95" s="3"/>
      <c r="H95" s="7"/>
      <c r="I95" s="3"/>
      <c r="J95" s="8">
        <f t="shared" si="21"/>
        <v>0</v>
      </c>
      <c r="K95" s="3"/>
      <c r="L95" s="7">
        <f t="shared" si="22"/>
        <v>0</v>
      </c>
      <c r="M95" s="3"/>
      <c r="N95" s="8">
        <f t="shared" si="23"/>
        <v>0</v>
      </c>
      <c r="O95" s="12"/>
      <c r="P95" s="7"/>
      <c r="Q95" s="3"/>
      <c r="R95" s="8">
        <f t="shared" si="24"/>
        <v>0</v>
      </c>
      <c r="S95" s="3"/>
      <c r="T95" s="7">
        <v>100</v>
      </c>
      <c r="U95" s="3"/>
      <c r="V95" s="8">
        <f t="shared" si="25"/>
        <v>5.5618311550421612E-5</v>
      </c>
      <c r="W95" s="3"/>
      <c r="X95" s="7">
        <f t="shared" si="26"/>
        <v>-100</v>
      </c>
      <c r="Y95" s="3"/>
      <c r="Z95" s="8">
        <f t="shared" si="27"/>
        <v>-1</v>
      </c>
    </row>
    <row r="96" spans="1:26" s="70" customFormat="1" ht="15" hidden="1" customHeight="1" outlineLevel="2" x14ac:dyDescent="0.3">
      <c r="A96" s="26"/>
      <c r="B96" s="12" t="str">
        <f>CONCATENATE("          ","6245"," - ","PRINTING")</f>
        <v xml:space="preserve">          6245 - PRINTING</v>
      </c>
      <c r="C96" s="12"/>
      <c r="D96" s="7"/>
      <c r="E96" s="3"/>
      <c r="F96" s="8">
        <f t="shared" si="20"/>
        <v>0</v>
      </c>
      <c r="G96" s="3"/>
      <c r="H96" s="7">
        <v>100</v>
      </c>
      <c r="I96" s="3"/>
      <c r="J96" s="8">
        <f t="shared" si="21"/>
        <v>2.1450803654358912E-4</v>
      </c>
      <c r="K96" s="3"/>
      <c r="L96" s="7">
        <f t="shared" si="22"/>
        <v>-100</v>
      </c>
      <c r="M96" s="3"/>
      <c r="N96" s="8">
        <f t="shared" si="23"/>
        <v>-1</v>
      </c>
      <c r="O96" s="12"/>
      <c r="P96" s="7">
        <v>1071</v>
      </c>
      <c r="Q96" s="3"/>
      <c r="R96" s="8">
        <f t="shared" si="24"/>
        <v>7.659233698602975E-4</v>
      </c>
      <c r="S96" s="3"/>
      <c r="T96" s="7">
        <v>1700</v>
      </c>
      <c r="U96" s="3"/>
      <c r="V96" s="8">
        <f t="shared" si="25"/>
        <v>9.4551129635716744E-4</v>
      </c>
      <c r="W96" s="3"/>
      <c r="X96" s="7">
        <f t="shared" si="26"/>
        <v>-629</v>
      </c>
      <c r="Y96" s="3"/>
      <c r="Z96" s="8">
        <f t="shared" si="27"/>
        <v>-0.37</v>
      </c>
    </row>
    <row r="97" spans="1:26" s="70" customFormat="1" ht="15" hidden="1" customHeight="1" outlineLevel="2" x14ac:dyDescent="0.3">
      <c r="A97" s="26"/>
      <c r="B97" s="12" t="str">
        <f>CONCATENATE("          ","6247"," - ","STORE SUPPLIES")</f>
        <v xml:space="preserve">          6247 - STORE SUPPLIES</v>
      </c>
      <c r="C97" s="12"/>
      <c r="D97" s="7">
        <v>1981.6</v>
      </c>
      <c r="E97" s="3"/>
      <c r="F97" s="8">
        <f t="shared" si="20"/>
        <v>4.8976572287984712E-3</v>
      </c>
      <c r="G97" s="3"/>
      <c r="H97" s="7">
        <v>1050</v>
      </c>
      <c r="I97" s="3"/>
      <c r="J97" s="8">
        <f t="shared" si="21"/>
        <v>2.2523343837076858E-3</v>
      </c>
      <c r="K97" s="3"/>
      <c r="L97" s="7">
        <f t="shared" si="22"/>
        <v>931.59999999999991</v>
      </c>
      <c r="M97" s="3"/>
      <c r="N97" s="8">
        <f t="shared" si="23"/>
        <v>0.88723809523809516</v>
      </c>
      <c r="O97" s="12"/>
      <c r="P97" s="7">
        <v>4617.79</v>
      </c>
      <c r="Q97" s="3"/>
      <c r="R97" s="8">
        <f t="shared" si="24"/>
        <v>3.3024026873082943E-3</v>
      </c>
      <c r="S97" s="3"/>
      <c r="T97" s="7">
        <v>15011</v>
      </c>
      <c r="U97" s="3"/>
      <c r="V97" s="8">
        <f t="shared" si="25"/>
        <v>8.3488647468337885E-3</v>
      </c>
      <c r="W97" s="3"/>
      <c r="X97" s="7">
        <f t="shared" si="26"/>
        <v>-10393.209999999999</v>
      </c>
      <c r="Y97" s="3"/>
      <c r="Z97" s="8">
        <f t="shared" si="27"/>
        <v>-0.69237292652055149</v>
      </c>
    </row>
    <row r="98" spans="1:26" s="70" customFormat="1" ht="15" hidden="1" customHeight="1" outlineLevel="2" x14ac:dyDescent="0.3">
      <c r="A98" s="26"/>
      <c r="B98" s="12" t="str">
        <f>CONCATENATE("          ","6248"," - ","UNIFORMS")</f>
        <v xml:space="preserve">          6248 - UNIFORMS</v>
      </c>
      <c r="C98" s="12"/>
      <c r="D98" s="7">
        <v>665.5</v>
      </c>
      <c r="E98" s="3"/>
      <c r="F98" s="8">
        <f t="shared" si="20"/>
        <v>1.644827859187214E-3</v>
      </c>
      <c r="G98" s="3"/>
      <c r="H98" s="7"/>
      <c r="I98" s="3"/>
      <c r="J98" s="8">
        <f t="shared" si="21"/>
        <v>0</v>
      </c>
      <c r="K98" s="3"/>
      <c r="L98" s="7">
        <f t="shared" si="22"/>
        <v>665.5</v>
      </c>
      <c r="M98" s="3"/>
      <c r="N98" s="8">
        <f t="shared" si="23"/>
        <v>0</v>
      </c>
      <c r="O98" s="12"/>
      <c r="P98" s="7">
        <v>2790</v>
      </c>
      <c r="Q98" s="3"/>
      <c r="R98" s="8">
        <f t="shared" si="24"/>
        <v>1.9952625601402708E-3</v>
      </c>
      <c r="S98" s="3"/>
      <c r="T98" s="7">
        <v>3850</v>
      </c>
      <c r="U98" s="3"/>
      <c r="V98" s="8">
        <f t="shared" si="25"/>
        <v>2.1413049946912323E-3</v>
      </c>
      <c r="W98" s="3"/>
      <c r="X98" s="7">
        <f t="shared" si="26"/>
        <v>-1060</v>
      </c>
      <c r="Y98" s="3"/>
      <c r="Z98" s="8">
        <f t="shared" si="27"/>
        <v>-0.27532467532467531</v>
      </c>
    </row>
    <row r="99" spans="1:26" s="69" customFormat="1" ht="15" customHeight="1" outlineLevel="1" collapsed="1" x14ac:dyDescent="0.3">
      <c r="A99" s="25"/>
      <c r="B99" s="14" t="str">
        <f>CONCATENATE("     ","Telephone/Data Lines                              ")</f>
        <v xml:space="preserve">     Telephone/Data Lines                              </v>
      </c>
      <c r="C99" s="14"/>
      <c r="D99" s="2">
        <f>SUM(OSRRefD22_17x_0)</f>
        <v>913.65</v>
      </c>
      <c r="E99" s="2"/>
      <c r="F99" s="6">
        <f t="shared" si="20"/>
        <v>2.2581472179510113E-3</v>
      </c>
      <c r="G99" s="2"/>
      <c r="H99" s="2">
        <f>SUM(OSRRefH22_17x_0)</f>
        <v>538</v>
      </c>
      <c r="I99" s="2"/>
      <c r="J99" s="6">
        <f t="shared" si="21"/>
        <v>1.1540532366045094E-3</v>
      </c>
      <c r="K99" s="2"/>
      <c r="L99" s="2">
        <f t="shared" si="22"/>
        <v>375.65</v>
      </c>
      <c r="M99" s="2"/>
      <c r="N99" s="6">
        <f t="shared" si="23"/>
        <v>0.6982342007434944</v>
      </c>
      <c r="O99" s="14"/>
      <c r="P99" s="2">
        <f>SUM(OSRRefP22_17x_0)</f>
        <v>7131.54</v>
      </c>
      <c r="Q99" s="2"/>
      <c r="R99" s="6">
        <f t="shared" si="24"/>
        <v>5.1001056480798378E-3</v>
      </c>
      <c r="S99" s="2"/>
      <c r="T99" s="2">
        <f>SUM(OSRRefT22_17x_0)</f>
        <v>5292</v>
      </c>
      <c r="U99" s="2"/>
      <c r="V99" s="6">
        <f t="shared" si="25"/>
        <v>2.9433210472483116E-3</v>
      </c>
      <c r="W99" s="2"/>
      <c r="X99" s="2">
        <f t="shared" si="26"/>
        <v>1839.54</v>
      </c>
      <c r="Y99" s="2"/>
      <c r="Z99" s="6">
        <f t="shared" si="27"/>
        <v>0.34760770975056687</v>
      </c>
    </row>
    <row r="100" spans="1:26" s="70" customFormat="1" ht="15" hidden="1" customHeight="1" outlineLevel="2" x14ac:dyDescent="0.3">
      <c r="A100" s="26"/>
      <c r="B100" s="12" t="str">
        <f>CONCATENATE("          ","6303"," - ","DATA PHONE LINES")</f>
        <v xml:space="preserve">          6303 - DATA PHONE LINES</v>
      </c>
      <c r="C100" s="12"/>
      <c r="D100" s="7"/>
      <c r="E100" s="3"/>
      <c r="F100" s="8">
        <f t="shared" si="20"/>
        <v>0</v>
      </c>
      <c r="G100" s="3"/>
      <c r="H100" s="7">
        <v>185</v>
      </c>
      <c r="I100" s="3"/>
      <c r="J100" s="8">
        <f t="shared" si="21"/>
        <v>3.9683986760563985E-4</v>
      </c>
      <c r="K100" s="3"/>
      <c r="L100" s="7">
        <f t="shared" si="22"/>
        <v>-185</v>
      </c>
      <c r="M100" s="3"/>
      <c r="N100" s="8">
        <f t="shared" si="23"/>
        <v>-1</v>
      </c>
      <c r="O100" s="12"/>
      <c r="P100" s="7"/>
      <c r="Q100" s="3"/>
      <c r="R100" s="8">
        <f t="shared" si="24"/>
        <v>0</v>
      </c>
      <c r="S100" s="3"/>
      <c r="T100" s="7">
        <v>1665</v>
      </c>
      <c r="U100" s="3"/>
      <c r="V100" s="8">
        <f t="shared" si="25"/>
        <v>9.2604488731451993E-4</v>
      </c>
      <c r="W100" s="3"/>
      <c r="X100" s="7">
        <f t="shared" si="26"/>
        <v>-1665</v>
      </c>
      <c r="Y100" s="3"/>
      <c r="Z100" s="8">
        <f t="shared" si="27"/>
        <v>-1</v>
      </c>
    </row>
    <row r="101" spans="1:26" s="70" customFormat="1" ht="15" hidden="1" customHeight="1" outlineLevel="2" x14ac:dyDescent="0.3">
      <c r="A101" s="26"/>
      <c r="B101" s="12" t="str">
        <f>CONCATENATE("          ","6309"," - ","TELEPHONE")</f>
        <v xml:space="preserve">          6309 - TELEPHONE</v>
      </c>
      <c r="C101" s="12"/>
      <c r="D101" s="7">
        <v>913.65</v>
      </c>
      <c r="E101" s="3"/>
      <c r="F101" s="8">
        <f t="shared" si="20"/>
        <v>2.2581472179510113E-3</v>
      </c>
      <c r="G101" s="3"/>
      <c r="H101" s="7">
        <v>353</v>
      </c>
      <c r="I101" s="3"/>
      <c r="J101" s="8">
        <f t="shared" si="21"/>
        <v>7.5721336899886951E-4</v>
      </c>
      <c r="K101" s="3"/>
      <c r="L101" s="7">
        <f t="shared" si="22"/>
        <v>560.65</v>
      </c>
      <c r="M101" s="3"/>
      <c r="N101" s="8">
        <f t="shared" si="23"/>
        <v>1.5882436260623229</v>
      </c>
      <c r="O101" s="12"/>
      <c r="P101" s="7">
        <v>7131.54</v>
      </c>
      <c r="Q101" s="3"/>
      <c r="R101" s="8">
        <f t="shared" si="24"/>
        <v>5.1001056480798378E-3</v>
      </c>
      <c r="S101" s="3"/>
      <c r="T101" s="7">
        <v>3627</v>
      </c>
      <c r="U101" s="3"/>
      <c r="V101" s="8">
        <f t="shared" si="25"/>
        <v>2.017276159933792E-3</v>
      </c>
      <c r="W101" s="3"/>
      <c r="X101" s="7">
        <f t="shared" si="26"/>
        <v>3504.54</v>
      </c>
      <c r="Y101" s="3"/>
      <c r="Z101" s="8">
        <f t="shared" si="27"/>
        <v>0.9662365591397849</v>
      </c>
    </row>
    <row r="102" spans="1:26" s="69" customFormat="1" ht="15" customHeight="1" outlineLevel="1" collapsed="1" x14ac:dyDescent="0.3">
      <c r="A102" s="25"/>
      <c r="B102" s="14" t="str">
        <f>CONCATENATE("     ","Training                                          ")</f>
        <v xml:space="preserve">     Training                                          </v>
      </c>
      <c r="C102" s="14"/>
      <c r="D102" s="2">
        <f>SUM(OSRRefD22_18x_0)</f>
        <v>0</v>
      </c>
      <c r="E102" s="2"/>
      <c r="F102" s="6">
        <f t="shared" si="20"/>
        <v>0</v>
      </c>
      <c r="G102" s="2"/>
      <c r="H102" s="2">
        <f>SUM(OSRRefH22_18x_0)</f>
        <v>3300</v>
      </c>
      <c r="I102" s="2"/>
      <c r="J102" s="6">
        <f t="shared" si="21"/>
        <v>7.0787652059384407E-3</v>
      </c>
      <c r="K102" s="2"/>
      <c r="L102" s="2">
        <f t="shared" si="22"/>
        <v>-3300</v>
      </c>
      <c r="M102" s="2"/>
      <c r="N102" s="6">
        <f t="shared" si="23"/>
        <v>-1</v>
      </c>
      <c r="O102" s="14"/>
      <c r="P102" s="2">
        <f>SUM(OSRRefP22_18x_0)</f>
        <v>800</v>
      </c>
      <c r="Q102" s="2"/>
      <c r="R102" s="6">
        <f t="shared" si="24"/>
        <v>5.7211829681441456E-4</v>
      </c>
      <c r="S102" s="2"/>
      <c r="T102" s="2">
        <f>SUM(OSRRefT22_18x_0)</f>
        <v>5310</v>
      </c>
      <c r="U102" s="2"/>
      <c r="V102" s="6">
        <f t="shared" si="25"/>
        <v>2.9533323433273877E-3</v>
      </c>
      <c r="W102" s="2"/>
      <c r="X102" s="2">
        <f t="shared" si="26"/>
        <v>-4510</v>
      </c>
      <c r="Y102" s="2"/>
      <c r="Z102" s="6">
        <f t="shared" si="27"/>
        <v>-0.84934086629001881</v>
      </c>
    </row>
    <row r="103" spans="1:26" s="70" customFormat="1" ht="15" hidden="1" customHeight="1" outlineLevel="2" x14ac:dyDescent="0.3">
      <c r="A103" s="26"/>
      <c r="B103" s="12" t="str">
        <f>CONCATENATE("          ","6376"," - ","TRAINING")</f>
        <v xml:space="preserve">          6376 - TRAINING</v>
      </c>
      <c r="C103" s="12"/>
      <c r="D103" s="7"/>
      <c r="E103" s="3"/>
      <c r="F103" s="8">
        <f t="shared" si="20"/>
        <v>0</v>
      </c>
      <c r="G103" s="3"/>
      <c r="H103" s="7">
        <v>3300</v>
      </c>
      <c r="I103" s="3"/>
      <c r="J103" s="8">
        <f t="shared" si="21"/>
        <v>7.0787652059384407E-3</v>
      </c>
      <c r="K103" s="3"/>
      <c r="L103" s="7">
        <f t="shared" si="22"/>
        <v>-3300</v>
      </c>
      <c r="M103" s="3"/>
      <c r="N103" s="8">
        <f t="shared" si="23"/>
        <v>-1</v>
      </c>
      <c r="O103" s="12"/>
      <c r="P103" s="7">
        <v>800</v>
      </c>
      <c r="Q103" s="3"/>
      <c r="R103" s="8">
        <f t="shared" si="24"/>
        <v>5.7211829681441456E-4</v>
      </c>
      <c r="S103" s="3"/>
      <c r="T103" s="7">
        <v>5310</v>
      </c>
      <c r="U103" s="3"/>
      <c r="V103" s="8">
        <f t="shared" si="25"/>
        <v>2.9533323433273877E-3</v>
      </c>
      <c r="W103" s="3"/>
      <c r="X103" s="7">
        <f t="shared" si="26"/>
        <v>-4510</v>
      </c>
      <c r="Y103" s="3"/>
      <c r="Z103" s="8">
        <f t="shared" si="27"/>
        <v>-0.84934086629001881</v>
      </c>
    </row>
    <row r="104" spans="1:26" s="69" customFormat="1" ht="15" customHeight="1" outlineLevel="1" collapsed="1" x14ac:dyDescent="0.3">
      <c r="A104" s="25"/>
      <c r="B104" s="14" t="str">
        <f>CONCATENATE("     ","Travel                                            ")</f>
        <v xml:space="preserve">     Travel                                            </v>
      </c>
      <c r="C104" s="14"/>
      <c r="D104" s="2">
        <f>SUM(OSRRefD22_19x_0)</f>
        <v>0</v>
      </c>
      <c r="E104" s="2"/>
      <c r="F104" s="6">
        <f t="shared" si="20"/>
        <v>0</v>
      </c>
      <c r="G104" s="2"/>
      <c r="H104" s="2">
        <f>SUM(OSRRefH22_19x_0)</f>
        <v>600</v>
      </c>
      <c r="I104" s="2"/>
      <c r="J104" s="6">
        <f t="shared" si="21"/>
        <v>1.2870482192615345E-3</v>
      </c>
      <c r="K104" s="2"/>
      <c r="L104" s="2">
        <f t="shared" si="22"/>
        <v>-600</v>
      </c>
      <c r="M104" s="2"/>
      <c r="N104" s="6">
        <f t="shared" si="23"/>
        <v>-1</v>
      </c>
      <c r="O104" s="14"/>
      <c r="P104" s="2">
        <f>SUM(OSRRefP22_19x_0)</f>
        <v>141.24</v>
      </c>
      <c r="Q104" s="2"/>
      <c r="R104" s="6">
        <f t="shared" si="24"/>
        <v>1.0100748530258491E-4</v>
      </c>
      <c r="S104" s="2"/>
      <c r="T104" s="2">
        <f>SUM(OSRRefT22_19x_0)</f>
        <v>1200</v>
      </c>
      <c r="U104" s="2"/>
      <c r="V104" s="6">
        <f t="shared" si="25"/>
        <v>6.6741973860505943E-4</v>
      </c>
      <c r="W104" s="2"/>
      <c r="X104" s="2">
        <f t="shared" si="26"/>
        <v>-1058.76</v>
      </c>
      <c r="Y104" s="2"/>
      <c r="Z104" s="6">
        <f t="shared" si="27"/>
        <v>-0.88229999999999997</v>
      </c>
    </row>
    <row r="105" spans="1:26" s="70" customFormat="1" ht="15" hidden="1" customHeight="1" outlineLevel="2" x14ac:dyDescent="0.3">
      <c r="A105" s="26"/>
      <c r="B105" s="12" t="str">
        <f>CONCATENATE("          ","6292"," - ","TRAVEL/CONFERENCE")</f>
        <v xml:space="preserve">          6292 - TRAVEL/CONFERENCE</v>
      </c>
      <c r="C105" s="12"/>
      <c r="D105" s="7"/>
      <c r="E105" s="3"/>
      <c r="F105" s="8">
        <f t="shared" si="20"/>
        <v>0</v>
      </c>
      <c r="G105" s="3"/>
      <c r="H105" s="7">
        <v>600</v>
      </c>
      <c r="I105" s="3"/>
      <c r="J105" s="8">
        <f t="shared" si="21"/>
        <v>1.2870482192615345E-3</v>
      </c>
      <c r="K105" s="3"/>
      <c r="L105" s="7">
        <f t="shared" si="22"/>
        <v>-600</v>
      </c>
      <c r="M105" s="3"/>
      <c r="N105" s="8">
        <f t="shared" si="23"/>
        <v>-1</v>
      </c>
      <c r="O105" s="12"/>
      <c r="P105" s="7">
        <v>18.59</v>
      </c>
      <c r="Q105" s="3"/>
      <c r="R105" s="8">
        <f t="shared" si="24"/>
        <v>1.3294598922224959E-5</v>
      </c>
      <c r="S105" s="3"/>
      <c r="T105" s="7">
        <v>1200</v>
      </c>
      <c r="U105" s="3"/>
      <c r="V105" s="8">
        <f t="shared" si="25"/>
        <v>6.6741973860505943E-4</v>
      </c>
      <c r="W105" s="3"/>
      <c r="X105" s="7">
        <f t="shared" si="26"/>
        <v>-1181.4100000000001</v>
      </c>
      <c r="Y105" s="3"/>
      <c r="Z105" s="8">
        <f t="shared" si="27"/>
        <v>-0.98450833333333343</v>
      </c>
    </row>
    <row r="106" spans="1:26" s="70" customFormat="1" ht="15" hidden="1" customHeight="1" outlineLevel="2" x14ac:dyDescent="0.3">
      <c r="A106" s="26"/>
      <c r="B106" s="12" t="str">
        <f>CONCATENATE("          ","6298"," - ","VEHICLE MILEAGE")</f>
        <v xml:space="preserve">          6298 - VEHICLE MILEAGE</v>
      </c>
      <c r="C106" s="12"/>
      <c r="D106" s="7"/>
      <c r="E106" s="3"/>
      <c r="F106" s="8">
        <f t="shared" si="20"/>
        <v>0</v>
      </c>
      <c r="G106" s="3"/>
      <c r="H106" s="7"/>
      <c r="I106" s="3"/>
      <c r="J106" s="8">
        <f t="shared" si="21"/>
        <v>0</v>
      </c>
      <c r="K106" s="3"/>
      <c r="L106" s="7">
        <f t="shared" si="22"/>
        <v>0</v>
      </c>
      <c r="M106" s="3"/>
      <c r="N106" s="8">
        <f t="shared" si="23"/>
        <v>0</v>
      </c>
      <c r="O106" s="12"/>
      <c r="P106" s="7">
        <v>122.65</v>
      </c>
      <c r="Q106" s="3"/>
      <c r="R106" s="8">
        <f t="shared" si="24"/>
        <v>8.7712886380359942E-5</v>
      </c>
      <c r="S106" s="3"/>
      <c r="T106" s="7"/>
      <c r="U106" s="3"/>
      <c r="V106" s="8">
        <f t="shared" si="25"/>
        <v>0</v>
      </c>
      <c r="W106" s="3"/>
      <c r="X106" s="7">
        <f t="shared" si="26"/>
        <v>122.65</v>
      </c>
      <c r="Y106" s="3"/>
      <c r="Z106" s="8">
        <f t="shared" si="27"/>
        <v>0</v>
      </c>
    </row>
    <row r="107" spans="1:26" s="69" customFormat="1" ht="15" customHeight="1" outlineLevel="1" collapsed="1" x14ac:dyDescent="0.3">
      <c r="A107" s="25"/>
      <c r="B107" s="14" t="str">
        <f>CONCATENATE("     ","Utilities                                         ")</f>
        <v xml:space="preserve">     Utilities                                         </v>
      </c>
      <c r="C107" s="14"/>
      <c r="D107" s="2">
        <f>SUM(OSRRefD22_20x_0)</f>
        <v>8250</v>
      </c>
      <c r="E107" s="2"/>
      <c r="F107" s="6">
        <f t="shared" si="20"/>
        <v>2.0390428006453066E-2</v>
      </c>
      <c r="G107" s="2"/>
      <c r="H107" s="2">
        <f>SUM(OSRRefH22_20x_0)</f>
        <v>8667</v>
      </c>
      <c r="I107" s="2"/>
      <c r="J107" s="6">
        <f t="shared" si="21"/>
        <v>1.8591411527232867E-2</v>
      </c>
      <c r="K107" s="2"/>
      <c r="L107" s="2">
        <f t="shared" si="22"/>
        <v>-417</v>
      </c>
      <c r="M107" s="2"/>
      <c r="N107" s="6">
        <f t="shared" si="23"/>
        <v>-4.8113534094842508E-2</v>
      </c>
      <c r="O107" s="14"/>
      <c r="P107" s="2">
        <f>SUM(OSRRefP22_20x_0)</f>
        <v>71850</v>
      </c>
      <c r="Q107" s="2"/>
      <c r="R107" s="6">
        <f t="shared" si="24"/>
        <v>5.1383374532644611E-2</v>
      </c>
      <c r="S107" s="2"/>
      <c r="T107" s="2">
        <f>SUM(OSRRefT22_20x_0)</f>
        <v>78003</v>
      </c>
      <c r="U107" s="2"/>
      <c r="V107" s="6">
        <f t="shared" si="25"/>
        <v>4.3383951558675374E-2</v>
      </c>
      <c r="W107" s="2"/>
      <c r="X107" s="2">
        <f t="shared" si="26"/>
        <v>-6153</v>
      </c>
      <c r="Y107" s="2"/>
      <c r="Z107" s="6">
        <f t="shared" si="27"/>
        <v>-7.8881581477635479E-2</v>
      </c>
    </row>
    <row r="108" spans="1:26" s="70" customFormat="1" ht="15" hidden="1" customHeight="1" outlineLevel="2" x14ac:dyDescent="0.3">
      <c r="A108" s="26"/>
      <c r="B108" s="12" t="str">
        <f>CONCATENATE("          ","6274"," - ","UTILITIES")</f>
        <v xml:space="preserve">          6274 - UTILITIES</v>
      </c>
      <c r="C108" s="12"/>
      <c r="D108" s="7">
        <v>8250</v>
      </c>
      <c r="E108" s="3"/>
      <c r="F108" s="8">
        <f t="shared" si="20"/>
        <v>2.0390428006453066E-2</v>
      </c>
      <c r="G108" s="3"/>
      <c r="H108" s="7">
        <v>8667</v>
      </c>
      <c r="I108" s="3"/>
      <c r="J108" s="8">
        <f t="shared" si="21"/>
        <v>1.8591411527232867E-2</v>
      </c>
      <c r="K108" s="3"/>
      <c r="L108" s="7">
        <f t="shared" si="22"/>
        <v>-417</v>
      </c>
      <c r="M108" s="3"/>
      <c r="N108" s="8">
        <f t="shared" si="23"/>
        <v>-4.8113534094842508E-2</v>
      </c>
      <c r="O108" s="12"/>
      <c r="P108" s="7">
        <v>71850</v>
      </c>
      <c r="Q108" s="3"/>
      <c r="R108" s="8">
        <f t="shared" si="24"/>
        <v>5.1383374532644611E-2</v>
      </c>
      <c r="S108" s="3"/>
      <c r="T108" s="7">
        <v>78003</v>
      </c>
      <c r="U108" s="3"/>
      <c r="V108" s="8">
        <f t="shared" si="25"/>
        <v>4.3383951558675374E-2</v>
      </c>
      <c r="W108" s="3"/>
      <c r="X108" s="7">
        <f t="shared" si="26"/>
        <v>-6153</v>
      </c>
      <c r="Y108" s="3"/>
      <c r="Z108" s="8">
        <f t="shared" si="27"/>
        <v>-7.8881581477635479E-2</v>
      </c>
    </row>
    <row r="109" spans="1:26" s="65" customFormat="1" ht="15" customHeight="1" x14ac:dyDescent="0.3">
      <c r="A109" s="35"/>
      <c r="B109" s="35"/>
      <c r="C109" s="35"/>
      <c r="D109" s="2"/>
      <c r="E109" s="2"/>
      <c r="F109" s="6"/>
      <c r="G109" s="2"/>
      <c r="H109" s="2"/>
      <c r="I109" s="2"/>
      <c r="J109" s="6"/>
      <c r="K109" s="2"/>
      <c r="L109" s="2"/>
      <c r="M109" s="2"/>
      <c r="N109" s="6"/>
      <c r="O109" s="35"/>
      <c r="P109" s="2"/>
      <c r="Q109" s="2"/>
      <c r="R109" s="6"/>
      <c r="S109" s="2"/>
      <c r="T109" s="2"/>
      <c r="U109" s="2"/>
      <c r="V109" s="6"/>
      <c r="W109" s="2"/>
      <c r="X109" s="2"/>
      <c r="Y109" s="2"/>
      <c r="Z109" s="6"/>
    </row>
    <row r="110" spans="1:26" s="63" customFormat="1" ht="15" customHeight="1" collapsed="1" x14ac:dyDescent="0.3">
      <c r="A110" s="11"/>
      <c r="B110" s="28" t="s">
        <v>291</v>
      </c>
      <c r="C110" s="11"/>
      <c r="D110" s="5">
        <f>SUM(OSRRefD25x_0)</f>
        <v>25319.38</v>
      </c>
      <c r="E110" s="5"/>
      <c r="F110" s="13">
        <f>IF(D$12=0,0,D110/D$12)</f>
        <v>6.2578544855518503E-2</v>
      </c>
      <c r="G110" s="5"/>
      <c r="H110" s="5">
        <f>SUM(OSRRefH25x_0)</f>
        <v>21607.09</v>
      </c>
      <c r="I110" s="5"/>
      <c r="J110" s="13">
        <f>IF(H$12=0,0,H110/H$12)</f>
        <v>4.6348944513206189E-2</v>
      </c>
      <c r="K110" s="5"/>
      <c r="L110" s="5">
        <f>+D110-H110</f>
        <v>3712.2900000000009</v>
      </c>
      <c r="M110" s="5"/>
      <c r="N110" s="13">
        <f>IF(H110=0,0,L110/H110)</f>
        <v>0.17180888310272235</v>
      </c>
      <c r="O110" s="11"/>
      <c r="P110" s="5">
        <f>SUM(OSRRefP25x_0)</f>
        <v>168534.85</v>
      </c>
      <c r="Q110" s="5"/>
      <c r="R110" s="13">
        <f>IF(P$12=0,0,P110/P$12)</f>
        <v>0.12052733916984106</v>
      </c>
      <c r="S110" s="5"/>
      <c r="T110" s="5">
        <f>SUM(OSRRefT25x_0)</f>
        <v>105980.4</v>
      </c>
      <c r="U110" s="5"/>
      <c r="V110" s="13">
        <f>IF(T$12=0,0,T110/T$12)</f>
        <v>5.8944509054383025E-2</v>
      </c>
      <c r="W110" s="5"/>
      <c r="X110" s="5">
        <f>+P110-T110</f>
        <v>62554.450000000012</v>
      </c>
      <c r="Y110" s="5"/>
      <c r="Z110" s="13">
        <f>IF(T110=0,0,X110/T110)</f>
        <v>0.59024546048137216</v>
      </c>
    </row>
    <row r="111" spans="1:26" s="70" customFormat="1" ht="15" hidden="1" customHeight="1" outlineLevel="1" x14ac:dyDescent="0.3">
      <c r="A111" s="42"/>
      <c r="B111" s="12" t="str">
        <f>CONCATENATE("          ","9150"," - ","MISC. INCOME")</f>
        <v xml:space="preserve">          9150 - MISC. INCOME</v>
      </c>
      <c r="C111" s="12"/>
      <c r="D111" s="3">
        <f>--25319.38</f>
        <v>25319.38</v>
      </c>
      <c r="E111" s="3"/>
      <c r="F111" s="20">
        <f>IF(D$12=0,0,D111/D$12)</f>
        <v>6.2578544855518503E-2</v>
      </c>
      <c r="G111" s="3"/>
      <c r="H111" s="3"/>
      <c r="I111" s="3"/>
      <c r="J111" s="20">
        <f>IF(H$12=0,0,H111/H$12)</f>
        <v>0</v>
      </c>
      <c r="K111" s="3"/>
      <c r="L111" s="3">
        <f>+D111-H111</f>
        <v>25319.38</v>
      </c>
      <c r="M111" s="3"/>
      <c r="N111" s="20">
        <f>IF(H111=0,0,L111/H111)</f>
        <v>0</v>
      </c>
      <c r="O111" s="12"/>
      <c r="P111" s="3">
        <f>--168534.85</f>
        <v>168534.85</v>
      </c>
      <c r="Q111" s="3"/>
      <c r="R111" s="20">
        <f>IF(P$12=0,0,P111/P$12)</f>
        <v>0.12052733916984106</v>
      </c>
      <c r="S111" s="3"/>
      <c r="T111" s="3">
        <v>1000</v>
      </c>
      <c r="U111" s="3"/>
      <c r="V111" s="20">
        <f>IF(T$12=0,0,T111/T$12)</f>
        <v>5.5618311550421613E-4</v>
      </c>
      <c r="W111" s="3"/>
      <c r="X111" s="3">
        <f>+P111-T111</f>
        <v>167534.85</v>
      </c>
      <c r="Y111" s="3"/>
      <c r="Z111" s="20">
        <f>IF(T111=0,0,X111/T111)</f>
        <v>167.53485000000001</v>
      </c>
    </row>
    <row r="112" spans="1:26" s="70" customFormat="1" ht="15" hidden="1" customHeight="1" outlineLevel="1" x14ac:dyDescent="0.3">
      <c r="A112" s="42"/>
      <c r="B112" s="12" t="str">
        <f>CONCATENATE("          ","9151"," - ","MISC. INCOME")</f>
        <v xml:space="preserve">          9151 - MISC. INCOME</v>
      </c>
      <c r="C112" s="12"/>
      <c r="D112" s="3">
        <f>0</f>
        <v>0</v>
      </c>
      <c r="E112" s="3"/>
      <c r="F112" s="20">
        <f>IF(D$12=0,0,D112/D$12)</f>
        <v>0</v>
      </c>
      <c r="G112" s="3"/>
      <c r="H112" s="3">
        <v>11876.31</v>
      </c>
      <c r="I112" s="3"/>
      <c r="J112" s="20">
        <f>IF(H$12=0,0,H112/H$12)</f>
        <v>2.5475639394829927E-2</v>
      </c>
      <c r="K112" s="3"/>
      <c r="L112" s="3">
        <f>+D112-H112</f>
        <v>-11876.31</v>
      </c>
      <c r="M112" s="3"/>
      <c r="N112" s="20">
        <f>IF(H112=0,0,L112/H112)</f>
        <v>-1</v>
      </c>
      <c r="O112" s="12"/>
      <c r="P112" s="3">
        <f>0</f>
        <v>0</v>
      </c>
      <c r="Q112" s="3"/>
      <c r="R112" s="20">
        <f>IF(P$12=0,0,P112/P$12)</f>
        <v>0</v>
      </c>
      <c r="S112" s="3"/>
      <c r="T112" s="3">
        <v>44768.53</v>
      </c>
      <c r="U112" s="3"/>
      <c r="V112" s="20">
        <f>IF(T$12=0,0,T112/T$12)</f>
        <v>2.4899500491943966E-2</v>
      </c>
      <c r="W112" s="3"/>
      <c r="X112" s="3">
        <f>+P112-T112</f>
        <v>-44768.53</v>
      </c>
      <c r="Y112" s="3"/>
      <c r="Z112" s="20">
        <f>IF(T112=0,0,X112/T112)</f>
        <v>-1</v>
      </c>
    </row>
    <row r="113" spans="1:26" s="70" customFormat="1" ht="15" hidden="1" customHeight="1" outlineLevel="1" x14ac:dyDescent="0.3">
      <c r="A113" s="42"/>
      <c r="B113" s="12" t="str">
        <f>CONCATENATE("          ","9160"," - ","MISC. INCOME")</f>
        <v xml:space="preserve">          9160 - MISC. INCOME</v>
      </c>
      <c r="C113" s="12"/>
      <c r="D113" s="3">
        <f>0</f>
        <v>0</v>
      </c>
      <c r="E113" s="3"/>
      <c r="F113" s="20">
        <f>IF(D$12=0,0,D113/D$12)</f>
        <v>0</v>
      </c>
      <c r="G113" s="3"/>
      <c r="H113" s="3">
        <v>9730.7800000000007</v>
      </c>
      <c r="I113" s="3"/>
      <c r="J113" s="20">
        <f>IF(H$12=0,0,H113/H$12)</f>
        <v>2.0873305118376262E-2</v>
      </c>
      <c r="K113" s="3"/>
      <c r="L113" s="3">
        <f>+D113-H113</f>
        <v>-9730.7800000000007</v>
      </c>
      <c r="M113" s="3"/>
      <c r="N113" s="20">
        <f>IF(H113=0,0,L113/H113)</f>
        <v>-1</v>
      </c>
      <c r="O113" s="12"/>
      <c r="P113" s="3">
        <f>0</f>
        <v>0</v>
      </c>
      <c r="Q113" s="3"/>
      <c r="R113" s="20">
        <f>IF(P$12=0,0,P113/P$12)</f>
        <v>0</v>
      </c>
      <c r="S113" s="3"/>
      <c r="T113" s="3">
        <v>60211.87</v>
      </c>
      <c r="U113" s="3"/>
      <c r="V113" s="20">
        <f>IF(T$12=0,0,T113/T$12)</f>
        <v>3.348882544693485E-2</v>
      </c>
      <c r="W113" s="3"/>
      <c r="X113" s="3">
        <f>+P113-T113</f>
        <v>-60211.87</v>
      </c>
      <c r="Y113" s="3"/>
      <c r="Z113" s="20">
        <f>IF(T113=0,0,X113/T113)</f>
        <v>-1</v>
      </c>
    </row>
    <row r="114" spans="1:26" s="70" customFormat="1" ht="15" hidden="1" customHeight="1" outlineLevel="1" x14ac:dyDescent="0.3">
      <c r="A114" s="42"/>
      <c r="B114" s="12" t="str">
        <f>CONCATENATE("          ","9165"," - ","OTHER INCOME")</f>
        <v xml:space="preserve">          9165 - OTHER INCOME</v>
      </c>
      <c r="C114" s="12"/>
      <c r="D114" s="3">
        <f>0</f>
        <v>0</v>
      </c>
      <c r="E114" s="3"/>
      <c r="F114" s="20">
        <f>IF(D$12=0,0,D114/D$12)</f>
        <v>0</v>
      </c>
      <c r="G114" s="3"/>
      <c r="H114" s="3"/>
      <c r="I114" s="3"/>
      <c r="J114" s="20">
        <f>IF(H$12=0,0,H114/H$12)</f>
        <v>0</v>
      </c>
      <c r="K114" s="3"/>
      <c r="L114" s="3">
        <f>+D114-H114</f>
        <v>0</v>
      </c>
      <c r="M114" s="3"/>
      <c r="N114" s="20">
        <f>IF(H114=0,0,L114/H114)</f>
        <v>0</v>
      </c>
      <c r="O114" s="12"/>
      <c r="P114" s="3">
        <f>0</f>
        <v>0</v>
      </c>
      <c r="Q114" s="3"/>
      <c r="R114" s="20">
        <f>IF(P$12=0,0,P114/P$12)</f>
        <v>0</v>
      </c>
      <c r="S114" s="3"/>
      <c r="T114" s="3"/>
      <c r="U114" s="3"/>
      <c r="V114" s="20">
        <f>IF(T$12=0,0,T114/T$12)</f>
        <v>0</v>
      </c>
      <c r="W114" s="3"/>
      <c r="X114" s="3">
        <f>+P114-T114</f>
        <v>0</v>
      </c>
      <c r="Y114" s="3"/>
      <c r="Z114" s="20">
        <f>IF(T114=0,0,X114/T114)</f>
        <v>0</v>
      </c>
    </row>
    <row r="115" spans="1:26" ht="15" customHeight="1" x14ac:dyDescent="0.3">
      <c r="A115" s="10"/>
      <c r="B115" s="11"/>
      <c r="C115" s="11"/>
      <c r="D115" s="4"/>
      <c r="E115" s="4"/>
      <c r="F115" s="9"/>
      <c r="G115" s="4"/>
      <c r="H115" s="4"/>
      <c r="I115" s="4"/>
      <c r="J115" s="9"/>
      <c r="K115" s="4"/>
      <c r="L115" s="4"/>
      <c r="M115" s="4"/>
      <c r="N115" s="9"/>
      <c r="O115" s="11"/>
      <c r="P115" s="4"/>
      <c r="Q115" s="4"/>
      <c r="R115" s="9"/>
      <c r="S115" s="4"/>
      <c r="T115" s="4"/>
      <c r="U115" s="4"/>
      <c r="V115" s="9"/>
      <c r="W115" s="4"/>
      <c r="X115" s="4"/>
      <c r="Y115" s="4"/>
      <c r="Z115" s="9"/>
    </row>
    <row r="116" spans="1:26" s="63" customFormat="1" ht="15" customHeight="1" x14ac:dyDescent="0.3">
      <c r="A116" s="11"/>
      <c r="B116" s="27" t="s">
        <v>292</v>
      </c>
      <c r="C116" s="27"/>
      <c r="D116" s="21">
        <f>+D25-D27+D110</f>
        <v>14427.89000000001</v>
      </c>
      <c r="E116" s="15"/>
      <c r="F116" s="23">
        <f>IF(D$12=0,0,D116/D$12)</f>
        <v>3.565949725212416E-2</v>
      </c>
      <c r="G116" s="15"/>
      <c r="H116" s="21">
        <f>+H25-H27+H110</f>
        <v>62256.738387417077</v>
      </c>
      <c r="I116" s="15"/>
      <c r="J116" s="23">
        <f>IF(H$12=0,0,H116/H$12)</f>
        <v>0.13354570713092728</v>
      </c>
      <c r="K116" s="16"/>
      <c r="L116" s="21">
        <f>+D116-H116</f>
        <v>-47828.848387417063</v>
      </c>
      <c r="M116" s="16"/>
      <c r="N116" s="23">
        <f>IF(H116=0,0,L116/H116)</f>
        <v>-0.76825175276262003</v>
      </c>
      <c r="O116" s="28"/>
      <c r="P116" s="21">
        <f>+P25-P27+P110</f>
        <v>-909396.90000000049</v>
      </c>
      <c r="Q116" s="15"/>
      <c r="R116" s="23">
        <f>IF(P$12=0,0,P116/P$12)</f>
        <v>-0.65035325694538593</v>
      </c>
      <c r="S116" s="15"/>
      <c r="T116" s="21">
        <f>+T25-T27+T110</f>
        <v>-751015.30904378311</v>
      </c>
      <c r="U116" s="15"/>
      <c r="V116" s="23">
        <f>IF(T$12=0,0,T116/T$12)</f>
        <v>-0.41770203437533299</v>
      </c>
      <c r="W116" s="16"/>
      <c r="X116" s="21">
        <f>+P116-T116</f>
        <v>-158381.59095621738</v>
      </c>
      <c r="Y116" s="16"/>
      <c r="Z116" s="23">
        <f>IF(T116=0,0,X116/T116)</f>
        <v>0.21088996329232479</v>
      </c>
    </row>
    <row r="117" spans="1:26" ht="15" customHeight="1" x14ac:dyDescent="0.3">
      <c r="A117" s="10"/>
      <c r="B117" s="11"/>
      <c r="C117" s="10"/>
      <c r="D117" s="4"/>
      <c r="E117" s="4"/>
      <c r="F117" s="9"/>
      <c r="G117" s="4"/>
      <c r="H117" s="4"/>
      <c r="I117" s="4"/>
      <c r="J117" s="9"/>
      <c r="K117" s="4"/>
      <c r="L117" s="4"/>
      <c r="M117" s="4"/>
      <c r="N117" s="9"/>
      <c r="P117" s="4"/>
      <c r="Q117" s="4"/>
      <c r="R117" s="9"/>
      <c r="S117" s="4"/>
      <c r="T117" s="4"/>
      <c r="U117" s="4"/>
      <c r="V117" s="9"/>
      <c r="W117" s="4"/>
      <c r="X117" s="4"/>
      <c r="Y117" s="4"/>
      <c r="Z117" s="9"/>
    </row>
    <row r="118" spans="1:26" s="63" customFormat="1" ht="15" customHeight="1" x14ac:dyDescent="0.3">
      <c r="A118" s="49"/>
      <c r="B118" s="11" t="s">
        <v>293</v>
      </c>
      <c r="C118" s="11"/>
      <c r="D118" s="5">
        <v>42847.46</v>
      </c>
      <c r="E118" s="5"/>
      <c r="F118" s="13">
        <f>IF(D$12=0,0,D118/D$12)</f>
        <v>0.10590036950174271</v>
      </c>
      <c r="G118" s="5"/>
      <c r="H118" s="5">
        <v>56152</v>
      </c>
      <c r="I118" s="5"/>
      <c r="J118" s="13">
        <f>IF(H$12=0,0,H118/H$12)</f>
        <v>0.12045055267995615</v>
      </c>
      <c r="K118" s="5"/>
      <c r="L118" s="5">
        <f>+D118-H118</f>
        <v>-13304.54</v>
      </c>
      <c r="M118" s="5"/>
      <c r="N118" s="13">
        <f>IF(H118=0,0,L118/H118)</f>
        <v>-0.23693795412451918</v>
      </c>
      <c r="O118" s="11"/>
      <c r="P118" s="5">
        <v>166885.12</v>
      </c>
      <c r="Q118" s="5"/>
      <c r="R118" s="13">
        <f>IF(P$12=0,0,P118/P$12)</f>
        <v>0.1193475382725865</v>
      </c>
      <c r="S118" s="5"/>
      <c r="T118" s="5">
        <v>218959</v>
      </c>
      <c r="U118" s="5"/>
      <c r="V118" s="13">
        <f>IF(T$12=0,0,T118/T$12)</f>
        <v>0.12178129878768766</v>
      </c>
      <c r="W118" s="5"/>
      <c r="X118" s="5">
        <f>+P118-T118</f>
        <v>-52073.880000000005</v>
      </c>
      <c r="Y118" s="5"/>
      <c r="Z118" s="13">
        <f>IF(T118=0,0,X118/T118)</f>
        <v>-0.23782479824990069</v>
      </c>
    </row>
    <row r="119" spans="1:26" ht="15" customHeight="1" x14ac:dyDescent="0.3">
      <c r="A119" s="10"/>
      <c r="B119" s="11"/>
      <c r="C119" s="11"/>
      <c r="D119" s="4"/>
      <c r="E119" s="4"/>
      <c r="F119" s="9"/>
      <c r="G119" s="4"/>
      <c r="H119" s="4"/>
      <c r="I119" s="4"/>
      <c r="J119" s="9"/>
      <c r="K119" s="4"/>
      <c r="L119" s="4"/>
      <c r="M119" s="4"/>
      <c r="N119" s="9"/>
      <c r="O119" s="11"/>
      <c r="P119" s="4"/>
      <c r="Q119" s="4"/>
      <c r="R119" s="9"/>
      <c r="S119" s="4"/>
      <c r="T119" s="4"/>
      <c r="U119" s="4"/>
      <c r="V119" s="9"/>
      <c r="W119" s="4"/>
      <c r="X119" s="4"/>
      <c r="Y119" s="4"/>
      <c r="Z119" s="9"/>
    </row>
    <row r="120" spans="1:26" s="63" customFormat="1" ht="15" customHeight="1" x14ac:dyDescent="0.3">
      <c r="A120" s="11"/>
      <c r="B120" s="27" t="s">
        <v>294</v>
      </c>
      <c r="C120" s="27"/>
      <c r="D120" s="34">
        <f>+D116-D118</f>
        <v>-28419.569999999989</v>
      </c>
      <c r="E120" s="15"/>
      <c r="F120" s="29">
        <f>IF(D$12=0,0,D120/D$12)</f>
        <v>-7.0240872249618558E-2</v>
      </c>
      <c r="G120" s="15"/>
      <c r="H120" s="34">
        <f>+H116-H118</f>
        <v>6104.7383874170773</v>
      </c>
      <c r="I120" s="15"/>
      <c r="J120" s="29">
        <f>IF(H$12=0,0,H120/H$12)</f>
        <v>1.3095154450971137E-2</v>
      </c>
      <c r="K120" s="16"/>
      <c r="L120" s="34">
        <f>D120-H120</f>
        <v>-34524.30838741707</v>
      </c>
      <c r="M120" s="16"/>
      <c r="N120" s="29">
        <f>IF(H120=0,0,L120/H120)</f>
        <v>-5.6553297121753241</v>
      </c>
      <c r="O120" s="28"/>
      <c r="P120" s="34">
        <f>+P116-P118</f>
        <v>-1076282.0200000005</v>
      </c>
      <c r="Q120" s="15"/>
      <c r="R120" s="29">
        <f>IF(P$12=0,0,P120/P$12)</f>
        <v>-0.76970079521797252</v>
      </c>
      <c r="S120" s="15"/>
      <c r="T120" s="34">
        <f>+T116-T118</f>
        <v>-969974.30904378311</v>
      </c>
      <c r="U120" s="15"/>
      <c r="V120" s="29">
        <f>IF(T$12=0,0,T120/T$12)</f>
        <v>-0.53948333316302066</v>
      </c>
      <c r="W120" s="16"/>
      <c r="X120" s="34">
        <f>P120-T120</f>
        <v>-106307.71095621737</v>
      </c>
      <c r="Y120" s="16"/>
      <c r="Z120" s="29">
        <f>IF(T120=0,0,X120/T120)</f>
        <v>0.10959848107834659</v>
      </c>
    </row>
    <row r="121" spans="1:26" ht="15" customHeight="1" x14ac:dyDescent="0.3">
      <c r="A121" s="10"/>
      <c r="B121" s="10"/>
      <c r="C121" s="10"/>
      <c r="D121" s="4"/>
      <c r="E121" s="4"/>
      <c r="F121" s="9"/>
      <c r="G121" s="4"/>
      <c r="H121" s="4"/>
      <c r="I121" s="4"/>
      <c r="J121" s="9"/>
      <c r="K121" s="4"/>
      <c r="L121" s="4"/>
      <c r="M121" s="4"/>
      <c r="N121" s="9"/>
      <c r="P121" s="4"/>
      <c r="Q121" s="4"/>
      <c r="R121" s="9"/>
      <c r="S121" s="4"/>
      <c r="T121" s="4"/>
      <c r="U121" s="4"/>
      <c r="V121" s="9"/>
      <c r="W121" s="4"/>
      <c r="X121" s="4"/>
      <c r="Y121" s="4"/>
      <c r="Z121" s="9"/>
    </row>
    <row r="122" spans="1:26" ht="15" customHeight="1" x14ac:dyDescent="0.3">
      <c r="A122" s="10"/>
      <c r="B122" s="10"/>
      <c r="C122" s="10"/>
      <c r="D122" s="4"/>
      <c r="E122" s="4"/>
      <c r="F122" s="9"/>
      <c r="G122" s="4"/>
      <c r="H122" s="4"/>
      <c r="I122" s="4"/>
      <c r="J122" s="9"/>
      <c r="K122" s="4"/>
      <c r="L122" s="4"/>
      <c r="M122" s="4"/>
      <c r="N122" s="9"/>
      <c r="P122" s="4"/>
      <c r="Q122" s="4"/>
      <c r="R122" s="9"/>
      <c r="S122" s="4"/>
      <c r="T122" s="4"/>
      <c r="U122" s="4"/>
      <c r="V122" s="9"/>
      <c r="W122" s="4"/>
      <c r="X122" s="4"/>
      <c r="Y122" s="4"/>
      <c r="Z122" s="9"/>
    </row>
    <row r="123" spans="1:26" s="63" customFormat="1" ht="15" customHeight="1" x14ac:dyDescent="0.3">
      <c r="A123" s="11"/>
      <c r="B123" s="27" t="s">
        <v>297</v>
      </c>
      <c r="C123" s="27"/>
      <c r="D123" s="32">
        <f>SUM(D120:D122)</f>
        <v>-28419.569999999989</v>
      </c>
      <c r="E123" s="15"/>
      <c r="F123" s="31">
        <f>IF(D$12=0,0,D123/D$12)</f>
        <v>-7.0240872249618558E-2</v>
      </c>
      <c r="G123" s="15"/>
      <c r="H123" s="32">
        <f>SUM(H120:H122)</f>
        <v>6104.7383874170773</v>
      </c>
      <c r="I123" s="15"/>
      <c r="J123" s="31">
        <f>IF(H$12=0,0,H123/H$12)</f>
        <v>1.3095154450971137E-2</v>
      </c>
      <c r="K123" s="16"/>
      <c r="L123" s="32">
        <f>+D123-H123</f>
        <v>-34524.30838741707</v>
      </c>
      <c r="M123" s="16"/>
      <c r="N123" s="31">
        <f>IF(H123=0,0,L123/H123)</f>
        <v>-5.6553297121753241</v>
      </c>
      <c r="O123" s="28"/>
      <c r="P123" s="32">
        <f>SUM(P120:P122)</f>
        <v>-1076282.0200000005</v>
      </c>
      <c r="Q123" s="15"/>
      <c r="R123" s="31">
        <f>IF(P$12=0,0,P123/P$12)</f>
        <v>-0.76970079521797252</v>
      </c>
      <c r="S123" s="15"/>
      <c r="T123" s="32">
        <f>SUM(T120:T122)</f>
        <v>-969974.30904378311</v>
      </c>
      <c r="U123" s="15"/>
      <c r="V123" s="31">
        <f>IF(T$12=0,0,T123/T$12)</f>
        <v>-0.53948333316302066</v>
      </c>
      <c r="W123" s="16"/>
      <c r="X123" s="32">
        <f>+P123-T123</f>
        <v>-106307.71095621737</v>
      </c>
      <c r="Y123" s="16"/>
      <c r="Z123" s="31">
        <f>IF(T123=0,0,X123/T123)</f>
        <v>0.10959848107834659</v>
      </c>
    </row>
    <row r="124" spans="1:26" ht="15" customHeight="1" x14ac:dyDescent="0.3">
      <c r="A124" s="10"/>
      <c r="C124" s="10"/>
      <c r="D124" s="19"/>
      <c r="E124" s="19"/>
      <c r="G124" s="19"/>
      <c r="H124" s="19"/>
      <c r="I124" s="19"/>
      <c r="J124" s="40"/>
      <c r="K124" s="19"/>
      <c r="L124" s="19"/>
      <c r="M124" s="19"/>
      <c r="P124" s="19"/>
      <c r="Q124" s="19"/>
      <c r="R124" s="40"/>
      <c r="S124" s="19"/>
      <c r="T124" s="19"/>
      <c r="U124" s="19"/>
      <c r="V124" s="40"/>
      <c r="W124" s="19"/>
      <c r="X124" s="19"/>
    </row>
    <row r="125" spans="1:26" ht="15" customHeight="1" x14ac:dyDescent="0.3">
      <c r="A125" s="10"/>
      <c r="B125" s="51">
        <v>44663.047622337966</v>
      </c>
      <c r="D125" s="19"/>
      <c r="E125" s="19"/>
      <c r="G125" s="19"/>
      <c r="H125" s="19"/>
      <c r="I125" s="19"/>
      <c r="J125" s="40"/>
      <c r="K125" s="19"/>
      <c r="L125" s="19"/>
      <c r="M125" s="19"/>
      <c r="P125" s="19"/>
      <c r="Q125" s="19"/>
      <c r="R125" s="40"/>
      <c r="S125" s="19"/>
      <c r="T125" s="19"/>
      <c r="U125" s="19"/>
      <c r="V125" s="40"/>
      <c r="W125" s="19"/>
      <c r="X125" s="19"/>
    </row>
    <row r="126" spans="1:26" ht="15" customHeight="1" x14ac:dyDescent="0.3">
      <c r="A126" s="10"/>
      <c r="B126" s="58" t="s">
        <v>298</v>
      </c>
      <c r="D126" s="19"/>
      <c r="E126" s="19"/>
      <c r="G126" s="19"/>
      <c r="H126" s="19"/>
      <c r="I126" s="19"/>
      <c r="J126" s="40"/>
      <c r="K126" s="19"/>
      <c r="L126" s="19"/>
      <c r="M126" s="19"/>
      <c r="P126" s="19"/>
      <c r="Q126" s="19"/>
      <c r="R126" s="40"/>
      <c r="S126" s="19"/>
      <c r="T126" s="19"/>
      <c r="U126" s="19"/>
      <c r="V126" s="40"/>
      <c r="W126" s="19"/>
      <c r="X126" s="19"/>
    </row>
    <row r="127" spans="1:26" ht="15" customHeight="1" x14ac:dyDescent="0.3">
      <c r="A127" s="10"/>
      <c r="B127" s="50"/>
      <c r="D127" s="19"/>
      <c r="E127" s="19"/>
      <c r="G127" s="19"/>
      <c r="H127" s="19"/>
      <c r="I127" s="19"/>
      <c r="J127" s="40"/>
      <c r="K127" s="19"/>
      <c r="L127" s="19"/>
      <c r="M127" s="19"/>
      <c r="P127" s="19"/>
      <c r="Q127" s="19"/>
      <c r="R127" s="40"/>
      <c r="S127" s="19"/>
      <c r="T127" s="19"/>
      <c r="U127" s="19"/>
      <c r="V127" s="40"/>
      <c r="W127" s="19"/>
      <c r="X127" s="19"/>
    </row>
    <row r="128" spans="1:26" ht="15" customHeight="1" x14ac:dyDescent="0.3">
      <c r="D128" s="19"/>
      <c r="E128" s="19"/>
      <c r="G128" s="19"/>
      <c r="H128" s="19"/>
      <c r="I128" s="19"/>
      <c r="J128" s="40"/>
      <c r="K128" s="19"/>
      <c r="L128" s="19"/>
      <c r="M128" s="19"/>
      <c r="P128" s="19"/>
      <c r="Q128" s="19"/>
      <c r="R128" s="40"/>
      <c r="S128" s="19"/>
      <c r="T128" s="19"/>
      <c r="U128" s="19"/>
      <c r="V128" s="40"/>
      <c r="W128" s="19"/>
      <c r="X128" s="19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7B97EA-1713-B433-653F-1CD5543FAD2D}">
  <sheetPr>
    <tabColor rgb="FFFFFF00"/>
    <outlinePr summaryBelow="0" summaryRight="0"/>
  </sheetPr>
  <dimension ref="A2:Z126"/>
  <sheetViews>
    <sheetView showGridLines="0" defaultGridColor="0" colorId="8"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6" customWidth="1"/>
    <col min="2" max="2" width="33.44140625" style="66" customWidth="1"/>
    <col min="3" max="3" width="1.88671875" style="66" customWidth="1"/>
    <col min="4" max="4" width="15" style="66" customWidth="1"/>
    <col min="5" max="5" width="1.88671875" style="66" customWidth="1" outlineLevel="1"/>
    <col min="6" max="6" width="15" style="67" customWidth="1" outlineLevel="1"/>
    <col min="7" max="7" width="1.88671875" style="66" customWidth="1" outlineLevel="1"/>
    <col min="8" max="8" width="15" style="66" customWidth="1" outlineLevel="1"/>
    <col min="9" max="9" width="1.88671875" style="66" customWidth="1" outlineLevel="1"/>
    <col min="10" max="10" width="15" style="68" customWidth="1" outlineLevel="1"/>
    <col min="11" max="11" width="1.88671875" style="66" customWidth="1" outlineLevel="1"/>
    <col min="12" max="12" width="15" style="66" customWidth="1" outlineLevel="1"/>
    <col min="13" max="13" width="1.88671875" style="66" customWidth="1" outlineLevel="1"/>
    <col min="14" max="14" width="15" style="67" customWidth="1" outlineLevel="1"/>
    <col min="15" max="15" width="1.88671875" style="64" customWidth="1"/>
    <col min="16" max="16" width="15" style="66" customWidth="1"/>
    <col min="17" max="17" width="1.88671875" style="66" customWidth="1" outlineLevel="1"/>
    <col min="18" max="18" width="15" style="68" customWidth="1" outlineLevel="1"/>
    <col min="19" max="19" width="1.88671875" style="66" customWidth="1" outlineLevel="1"/>
    <col min="20" max="20" width="15" style="66" customWidth="1" outlineLevel="1"/>
    <col min="21" max="21" width="1.88671875" style="66" customWidth="1" outlineLevel="1"/>
    <col min="22" max="22" width="15" style="68" customWidth="1" outlineLevel="1"/>
    <col min="23" max="23" width="1.88671875" style="66" customWidth="1" outlineLevel="1"/>
    <col min="24" max="24" width="15" style="66" customWidth="1" outlineLevel="1"/>
    <col min="25" max="25" width="1.88671875" style="66" customWidth="1" outlineLevel="1"/>
    <col min="26" max="26" width="15" style="68" customWidth="1" outlineLevel="1"/>
  </cols>
  <sheetData>
    <row r="2" spans="1:26" ht="15" customHeight="1" x14ac:dyDescent="0.3">
      <c r="D2" s="54" t="s">
        <v>276</v>
      </c>
    </row>
    <row r="3" spans="1:26" ht="15" customHeight="1" x14ac:dyDescent="0.3">
      <c r="D3" s="54" t="s">
        <v>277</v>
      </c>
      <c r="E3" s="18"/>
      <c r="F3" s="44"/>
      <c r="G3" s="18"/>
      <c r="H3" s="18"/>
      <c r="I3" s="18"/>
      <c r="J3" s="38"/>
      <c r="K3" s="18"/>
      <c r="L3" s="18"/>
      <c r="M3" s="18"/>
      <c r="N3" s="44"/>
      <c r="O3" s="53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ht="15" customHeight="1" x14ac:dyDescent="0.3">
      <c r="D4" s="54" t="str">
        <f>CONCATENATE("Period ",RIGHT(202209,2),", ",2022)</f>
        <v>Period 09, 2022</v>
      </c>
      <c r="E4" s="18"/>
      <c r="F4" s="44"/>
      <c r="G4" s="18"/>
      <c r="H4" s="18"/>
      <c r="I4" s="18"/>
      <c r="J4" s="38"/>
      <c r="K4" s="18"/>
      <c r="L4" s="18"/>
      <c r="M4" s="18"/>
      <c r="N4" s="44"/>
      <c r="O4" s="53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ht="15" customHeight="1" x14ac:dyDescent="0.3">
      <c r="A5" s="24"/>
      <c r="D5" s="60">
        <v>44646</v>
      </c>
      <c r="E5" s="18"/>
      <c r="F5" s="44"/>
      <c r="G5" s="18"/>
      <c r="H5" s="18"/>
      <c r="I5" s="18"/>
      <c r="J5" s="38"/>
      <c r="K5" s="18"/>
      <c r="L5" s="18"/>
      <c r="M5" s="18"/>
      <c r="N5" s="44"/>
      <c r="O5" s="53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ht="15" customHeight="1" x14ac:dyDescent="0.3">
      <c r="A6" s="24"/>
      <c r="B6" s="47"/>
      <c r="C6" s="47"/>
      <c r="D6" s="24" t="s">
        <v>312</v>
      </c>
      <c r="E6" s="18"/>
      <c r="F6" s="44"/>
      <c r="G6" s="18"/>
      <c r="H6" s="18"/>
      <c r="I6" s="18"/>
      <c r="J6" s="38"/>
      <c r="K6" s="18"/>
      <c r="L6" s="18"/>
      <c r="M6" s="18"/>
      <c r="N6" s="44"/>
      <c r="O6" s="59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ht="15" customHeight="1" x14ac:dyDescent="0.3">
      <c r="B7" s="52"/>
    </row>
    <row r="8" spans="1:26" ht="15" customHeight="1" x14ac:dyDescent="0.3">
      <c r="B8" s="52"/>
    </row>
    <row r="9" spans="1:26" ht="15" customHeight="1" x14ac:dyDescent="0.3">
      <c r="B9" s="10"/>
      <c r="C9" s="10"/>
      <c r="D9" s="17" t="s">
        <v>279</v>
      </c>
      <c r="E9" s="17"/>
      <c r="F9" s="36"/>
      <c r="G9" s="17"/>
      <c r="H9" s="17"/>
      <c r="I9" s="17"/>
      <c r="J9" s="43"/>
      <c r="K9" s="17"/>
      <c r="L9" s="17"/>
      <c r="M9" s="17"/>
      <c r="N9" s="36"/>
      <c r="P9" s="17" t="s">
        <v>280</v>
      </c>
      <c r="Q9" s="17"/>
      <c r="R9" s="36"/>
      <c r="S9" s="17"/>
      <c r="T9" s="17"/>
      <c r="U9" s="17"/>
      <c r="V9" s="43"/>
      <c r="W9" s="17"/>
      <c r="X9" s="17"/>
      <c r="Y9" s="17"/>
      <c r="Z9" s="36"/>
    </row>
    <row r="10" spans="1:26" ht="15" customHeight="1" x14ac:dyDescent="0.3">
      <c r="A10" s="11"/>
      <c r="B10" s="57"/>
      <c r="C10" s="11"/>
      <c r="D10" s="41" t="s">
        <v>281</v>
      </c>
      <c r="E10" s="33"/>
      <c r="F10" s="37" t="s">
        <v>282</v>
      </c>
      <c r="G10" s="33"/>
      <c r="H10" s="48" t="s">
        <v>283</v>
      </c>
      <c r="I10" s="33"/>
      <c r="J10" s="45" t="s">
        <v>284</v>
      </c>
      <c r="K10" s="11"/>
      <c r="L10" s="41" t="s">
        <v>285</v>
      </c>
      <c r="M10" s="11"/>
      <c r="N10" s="37" t="s">
        <v>286</v>
      </c>
      <c r="O10" s="11"/>
      <c r="P10" s="56" t="s">
        <v>281</v>
      </c>
      <c r="Q10" s="33"/>
      <c r="R10" s="37" t="s">
        <v>282</v>
      </c>
      <c r="S10" s="33"/>
      <c r="T10" s="48" t="s">
        <v>283</v>
      </c>
      <c r="U10" s="33"/>
      <c r="V10" s="45" t="s">
        <v>284</v>
      </c>
      <c r="W10" s="11"/>
      <c r="X10" s="41" t="s">
        <v>285</v>
      </c>
      <c r="Y10" s="11"/>
      <c r="Z10" s="37" t="s">
        <v>286</v>
      </c>
    </row>
    <row r="11" spans="1:26" ht="16.5" customHeight="1" x14ac:dyDescent="0.3">
      <c r="A11" s="10"/>
      <c r="B11" s="55"/>
      <c r="C11" s="10"/>
      <c r="D11" s="10"/>
      <c r="E11" s="10"/>
      <c r="F11" s="9"/>
      <c r="G11" s="10"/>
      <c r="H11" s="10"/>
      <c r="I11" s="10"/>
      <c r="J11" s="46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6"/>
      <c r="W11" s="10"/>
      <c r="X11" s="10"/>
      <c r="Y11" s="10"/>
      <c r="Z11" s="9"/>
    </row>
    <row r="12" spans="1:26" s="63" customFormat="1" ht="15" customHeight="1" collapsed="1" x14ac:dyDescent="0.3">
      <c r="A12" s="11"/>
      <c r="B12" s="28" t="s">
        <v>287</v>
      </c>
      <c r="C12" s="11"/>
      <c r="D12" s="5">
        <f>SUM(OSRRefD13x_0)</f>
        <v>271668.8</v>
      </c>
      <c r="E12" s="5"/>
      <c r="F12" s="13"/>
      <c r="G12" s="5"/>
      <c r="H12" s="5">
        <f>SUM(OSRRefH13x_0)</f>
        <v>373729</v>
      </c>
      <c r="I12" s="5"/>
      <c r="J12" s="13"/>
      <c r="K12" s="5"/>
      <c r="L12" s="5">
        <f t="shared" ref="L12:L17" si="0">+D12-H12</f>
        <v>-102060.20000000001</v>
      </c>
      <c r="M12" s="5"/>
      <c r="N12" s="13">
        <f t="shared" ref="N12:N17" si="1">IF(H12=0,0,L12/H12)</f>
        <v>-0.27308611319967147</v>
      </c>
      <c r="O12" s="11"/>
      <c r="P12" s="5">
        <f>SUM(OSRRefP13x_0)</f>
        <v>1090272.48</v>
      </c>
      <c r="Q12" s="5"/>
      <c r="R12" s="13"/>
      <c r="S12" s="5"/>
      <c r="T12" s="5">
        <f>SUM(OSRRefT13x_0)</f>
        <v>1419934</v>
      </c>
      <c r="U12" s="5"/>
      <c r="V12" s="13"/>
      <c r="W12" s="5"/>
      <c r="X12" s="5">
        <f t="shared" ref="X12:X17" si="2">+P12-T12</f>
        <v>-329661.52</v>
      </c>
      <c r="Y12" s="5"/>
      <c r="Z12" s="13">
        <f t="shared" ref="Z12:Z17" si="3">IF(T12=0,0,X12/T12)</f>
        <v>-0.23216679085084238</v>
      </c>
    </row>
    <row r="13" spans="1:26" s="70" customFormat="1" ht="15" hidden="1" customHeight="1" outlineLevel="1" x14ac:dyDescent="0.3">
      <c r="A13" s="42"/>
      <c r="B13" s="12" t="str">
        <f>CONCATENATE("          ","4000"," - ","TAXABLE SALES")</f>
        <v xml:space="preserve">          4000 - TAXABLE SALES</v>
      </c>
      <c r="C13" s="12"/>
      <c r="D13" s="3">
        <f>0</f>
        <v>0</v>
      </c>
      <c r="E13" s="3"/>
      <c r="F13" s="20"/>
      <c r="G13" s="3"/>
      <c r="H13" s="3">
        <v>161911</v>
      </c>
      <c r="I13" s="3"/>
      <c r="J13" s="20"/>
      <c r="K13" s="3"/>
      <c r="L13" s="3">
        <f t="shared" si="0"/>
        <v>-161911</v>
      </c>
      <c r="M13" s="3"/>
      <c r="N13" s="20">
        <f t="shared" si="1"/>
        <v>-1</v>
      </c>
      <c r="O13" s="12"/>
      <c r="P13" s="3">
        <f>0</f>
        <v>0</v>
      </c>
      <c r="Q13" s="3"/>
      <c r="R13" s="20"/>
      <c r="S13" s="3"/>
      <c r="T13" s="3">
        <v>552635</v>
      </c>
      <c r="U13" s="3"/>
      <c r="V13" s="20"/>
      <c r="W13" s="3"/>
      <c r="X13" s="3">
        <f t="shared" si="2"/>
        <v>-552635</v>
      </c>
      <c r="Y13" s="3"/>
      <c r="Z13" s="20">
        <f t="shared" si="3"/>
        <v>-1</v>
      </c>
    </row>
    <row r="14" spans="1:26" s="70" customFormat="1" ht="15" hidden="1" customHeight="1" outlineLevel="1" x14ac:dyDescent="0.3">
      <c r="A14" s="42"/>
      <c r="B14" s="12" t="str">
        <f>CONCATENATE("          ","4051"," - ","TAXABLE SALES-FOOD")</f>
        <v xml:space="preserve">          4051 - TAXABLE SALES-FOOD</v>
      </c>
      <c r="C14" s="12"/>
      <c r="D14" s="3">
        <f>--58129.76</f>
        <v>58129.760000000002</v>
      </c>
      <c r="E14" s="3"/>
      <c r="F14" s="20"/>
      <c r="G14" s="3"/>
      <c r="H14" s="3"/>
      <c r="I14" s="3"/>
      <c r="J14" s="20"/>
      <c r="K14" s="3"/>
      <c r="L14" s="3">
        <f t="shared" si="0"/>
        <v>58129.760000000002</v>
      </c>
      <c r="M14" s="3"/>
      <c r="N14" s="20">
        <f t="shared" si="1"/>
        <v>0</v>
      </c>
      <c r="O14" s="12"/>
      <c r="P14" s="3">
        <f>--263794.88</f>
        <v>263794.88</v>
      </c>
      <c r="Q14" s="3"/>
      <c r="R14" s="20"/>
      <c r="S14" s="3"/>
      <c r="T14" s="3"/>
      <c r="U14" s="3"/>
      <c r="V14" s="20"/>
      <c r="W14" s="3"/>
      <c r="X14" s="3">
        <f t="shared" si="2"/>
        <v>263794.88</v>
      </c>
      <c r="Y14" s="3"/>
      <c r="Z14" s="20">
        <f t="shared" si="3"/>
        <v>0</v>
      </c>
    </row>
    <row r="15" spans="1:26" s="70" customFormat="1" ht="15" hidden="1" customHeight="1" outlineLevel="1" x14ac:dyDescent="0.3">
      <c r="A15" s="42"/>
      <c r="B15" s="12" t="str">
        <f>CONCATENATE("          ","4053"," - ","TAXABLE SALES-FOOD")</f>
        <v xml:space="preserve">          4053 - TAXABLE SALES-FOOD</v>
      </c>
      <c r="C15" s="12"/>
      <c r="D15" s="3">
        <f>--2334.69</f>
        <v>2334.69</v>
      </c>
      <c r="E15" s="3"/>
      <c r="F15" s="20"/>
      <c r="G15" s="3"/>
      <c r="H15" s="3"/>
      <c r="I15" s="3"/>
      <c r="J15" s="20"/>
      <c r="K15" s="3"/>
      <c r="L15" s="3">
        <f t="shared" si="0"/>
        <v>2334.69</v>
      </c>
      <c r="M15" s="3"/>
      <c r="N15" s="20">
        <f t="shared" si="1"/>
        <v>0</v>
      </c>
      <c r="O15" s="12"/>
      <c r="P15" s="3">
        <f>--16870.43</f>
        <v>16870.43</v>
      </c>
      <c r="Q15" s="3"/>
      <c r="R15" s="20"/>
      <c r="S15" s="3"/>
      <c r="T15" s="3"/>
      <c r="U15" s="3"/>
      <c r="V15" s="20"/>
      <c r="W15" s="3"/>
      <c r="X15" s="3">
        <f t="shared" si="2"/>
        <v>16870.43</v>
      </c>
      <c r="Y15" s="3"/>
      <c r="Z15" s="20">
        <f t="shared" si="3"/>
        <v>0</v>
      </c>
    </row>
    <row r="16" spans="1:26" s="70" customFormat="1" ht="15" hidden="1" customHeight="1" outlineLevel="1" x14ac:dyDescent="0.3">
      <c r="A16" s="42"/>
      <c r="B16" s="12" t="str">
        <f>CONCATENATE("          ","4100"," - ","NON-TAXABLE SALES")</f>
        <v xml:space="preserve">          4100 - NON-TAXABLE SALES</v>
      </c>
      <c r="C16" s="12"/>
      <c r="D16" s="3">
        <f>0</f>
        <v>0</v>
      </c>
      <c r="E16" s="3"/>
      <c r="F16" s="20"/>
      <c r="G16" s="3"/>
      <c r="H16" s="3">
        <v>211818</v>
      </c>
      <c r="I16" s="3"/>
      <c r="J16" s="20"/>
      <c r="K16" s="3"/>
      <c r="L16" s="3">
        <f t="shared" si="0"/>
        <v>-211818</v>
      </c>
      <c r="M16" s="3"/>
      <c r="N16" s="20">
        <f t="shared" si="1"/>
        <v>-1</v>
      </c>
      <c r="O16" s="12"/>
      <c r="P16" s="3">
        <f>0</f>
        <v>0</v>
      </c>
      <c r="Q16" s="3"/>
      <c r="R16" s="20"/>
      <c r="S16" s="3"/>
      <c r="T16" s="3">
        <v>867299</v>
      </c>
      <c r="U16" s="3"/>
      <c r="V16" s="20"/>
      <c r="W16" s="3"/>
      <c r="X16" s="3">
        <f t="shared" si="2"/>
        <v>-867299</v>
      </c>
      <c r="Y16" s="3"/>
      <c r="Z16" s="20">
        <f t="shared" si="3"/>
        <v>-1</v>
      </c>
    </row>
    <row r="17" spans="1:26" s="70" customFormat="1" ht="15" hidden="1" customHeight="1" outlineLevel="1" x14ac:dyDescent="0.3">
      <c r="A17" s="42"/>
      <c r="B17" s="12" t="str">
        <f>CONCATENATE("          ","4151"," - ","NON-TAXABLE SALES-FOOD")</f>
        <v xml:space="preserve">          4151 - NON-TAXABLE SALES-FOOD</v>
      </c>
      <c r="C17" s="12"/>
      <c r="D17" s="3">
        <f>--211204.35</f>
        <v>211204.35</v>
      </c>
      <c r="E17" s="3"/>
      <c r="F17" s="20"/>
      <c r="G17" s="3"/>
      <c r="H17" s="3"/>
      <c r="I17" s="3"/>
      <c r="J17" s="20"/>
      <c r="K17" s="3"/>
      <c r="L17" s="3">
        <f t="shared" si="0"/>
        <v>211204.35</v>
      </c>
      <c r="M17" s="3"/>
      <c r="N17" s="20">
        <f t="shared" si="1"/>
        <v>0</v>
      </c>
      <c r="O17" s="12"/>
      <c r="P17" s="3">
        <f>--809607.17</f>
        <v>809607.17</v>
      </c>
      <c r="Q17" s="3"/>
      <c r="R17" s="20"/>
      <c r="S17" s="3"/>
      <c r="T17" s="3"/>
      <c r="U17" s="3"/>
      <c r="V17" s="20"/>
      <c r="W17" s="3"/>
      <c r="X17" s="3">
        <f t="shared" si="2"/>
        <v>809607.17</v>
      </c>
      <c r="Y17" s="3"/>
      <c r="Z17" s="20">
        <f t="shared" si="3"/>
        <v>0</v>
      </c>
    </row>
    <row r="18" spans="1:26" ht="15" customHeight="1" x14ac:dyDescent="0.3">
      <c r="A18" s="10"/>
      <c r="B18" s="11"/>
      <c r="C18" s="10"/>
      <c r="D18" s="4"/>
      <c r="E18" s="4"/>
      <c r="F18" s="9"/>
      <c r="G18" s="4"/>
      <c r="H18" s="4"/>
      <c r="I18" s="4"/>
      <c r="J18" s="9"/>
      <c r="K18" s="4"/>
      <c r="L18" s="4"/>
      <c r="M18" s="4"/>
      <c r="N18" s="9"/>
      <c r="P18" s="4"/>
      <c r="Q18" s="4"/>
      <c r="R18" s="9"/>
      <c r="S18" s="4"/>
      <c r="T18" s="4"/>
      <c r="U18" s="4"/>
      <c r="V18" s="9"/>
      <c r="W18" s="4"/>
      <c r="X18" s="4"/>
      <c r="Y18" s="4"/>
      <c r="Z18" s="9"/>
    </row>
    <row r="19" spans="1:26" s="63" customFormat="1" ht="15" customHeight="1" collapsed="1" x14ac:dyDescent="0.3">
      <c r="A19" s="11"/>
      <c r="B19" s="28" t="s">
        <v>288</v>
      </c>
      <c r="C19" s="11"/>
      <c r="D19" s="5">
        <f>SUM(OSRRefD16x_0)</f>
        <v>101614.43</v>
      </c>
      <c r="E19" s="5"/>
      <c r="F19" s="13">
        <f>IF(D$12=0,0,D19/D$12)</f>
        <v>0.37403790939555809</v>
      </c>
      <c r="G19" s="5"/>
      <c r="H19" s="5">
        <f>SUM(OSRRefH16x_0)</f>
        <v>127913</v>
      </c>
      <c r="I19" s="5"/>
      <c r="J19" s="13">
        <f>IF(H$12=0,0,H19/H$12)</f>
        <v>0.34226137120747924</v>
      </c>
      <c r="K19" s="5"/>
      <c r="L19" s="5">
        <f>+D19-H19</f>
        <v>-26298.570000000007</v>
      </c>
      <c r="M19" s="5"/>
      <c r="N19" s="13">
        <f>IF(H19=0,0,L19/H19)</f>
        <v>-0.20559732005347389</v>
      </c>
      <c r="O19" s="11"/>
      <c r="P19" s="5">
        <f>SUM(OSRRefP16x_0)</f>
        <v>422544.6</v>
      </c>
      <c r="Q19" s="5"/>
      <c r="R19" s="13">
        <f>IF(P$12=0,0,P19/P$12)</f>
        <v>0.38755871376300355</v>
      </c>
      <c r="S19" s="5"/>
      <c r="T19" s="5">
        <f>SUM(OSRRefT16x_0)</f>
        <v>486279</v>
      </c>
      <c r="U19" s="5"/>
      <c r="V19" s="13">
        <f>IF(T$12=0,0,T19/T$12)</f>
        <v>0.34246591742996507</v>
      </c>
      <c r="W19" s="5"/>
      <c r="X19" s="5">
        <f>+P19-T19</f>
        <v>-63734.400000000023</v>
      </c>
      <c r="Y19" s="5"/>
      <c r="Z19" s="13">
        <f>IF(T19=0,0,X19/T19)</f>
        <v>-0.1310654994355093</v>
      </c>
    </row>
    <row r="20" spans="1:26" s="70" customFormat="1" ht="15" hidden="1" customHeight="1" outlineLevel="1" x14ac:dyDescent="0.3">
      <c r="A20" s="42"/>
      <c r="B20" s="12" t="str">
        <f>CONCATENATE("          ","5000"," - ","PURCHASES @ COST")</f>
        <v xml:space="preserve">          5000 - PURCHASES @ COST</v>
      </c>
      <c r="C20" s="12"/>
      <c r="D20" s="3"/>
      <c r="E20" s="3"/>
      <c r="F20" s="20">
        <f>IF(D$12=0,0,D20/D$12)</f>
        <v>0</v>
      </c>
      <c r="G20" s="3"/>
      <c r="H20" s="3">
        <v>127913</v>
      </c>
      <c r="I20" s="3"/>
      <c r="J20" s="20">
        <f>IF(H$12=0,0,H20/H$12)</f>
        <v>0.34226137120747924</v>
      </c>
      <c r="K20" s="3"/>
      <c r="L20" s="3">
        <f>+D20-H20</f>
        <v>-127913</v>
      </c>
      <c r="M20" s="3"/>
      <c r="N20" s="20">
        <f>IF(H20=0,0,L20/H20)</f>
        <v>-1</v>
      </c>
      <c r="O20" s="12"/>
      <c r="P20" s="3"/>
      <c r="Q20" s="3"/>
      <c r="R20" s="20">
        <f>IF(P$12=0,0,P20/P$12)</f>
        <v>0</v>
      </c>
      <c r="S20" s="3"/>
      <c r="T20" s="3">
        <v>486279</v>
      </c>
      <c r="U20" s="3"/>
      <c r="V20" s="20">
        <f>IF(T$12=0,0,T20/T$12)</f>
        <v>0.34246591742996507</v>
      </c>
      <c r="W20" s="3"/>
      <c r="X20" s="3">
        <f>+P20-T20</f>
        <v>-486279</v>
      </c>
      <c r="Y20" s="3"/>
      <c r="Z20" s="20">
        <f>IF(T20=0,0,X20/T20)</f>
        <v>-1</v>
      </c>
    </row>
    <row r="21" spans="1:26" s="70" customFormat="1" ht="15" hidden="1" customHeight="1" outlineLevel="1" x14ac:dyDescent="0.3">
      <c r="A21" s="42"/>
      <c r="B21" s="12" t="str">
        <f>CONCATENATE("          ","5053"," - ","PURCHASES @ COST-FOOD")</f>
        <v xml:space="preserve">          5053 - PURCHASES @ COST-FOOD</v>
      </c>
      <c r="C21" s="12"/>
      <c r="D21" s="3">
        <v>78261.679999999993</v>
      </c>
      <c r="E21" s="3"/>
      <c r="F21" s="20">
        <f>IF(D$12=0,0,D21/D$12)</f>
        <v>0.2880775414769749</v>
      </c>
      <c r="G21" s="3"/>
      <c r="H21" s="3"/>
      <c r="I21" s="3"/>
      <c r="J21" s="20">
        <f>IF(H$12=0,0,H21/H$12)</f>
        <v>0</v>
      </c>
      <c r="K21" s="3"/>
      <c r="L21" s="3">
        <f>+D21-H21</f>
        <v>78261.679999999993</v>
      </c>
      <c r="M21" s="3"/>
      <c r="N21" s="20">
        <f>IF(H21=0,0,L21/H21)</f>
        <v>0</v>
      </c>
      <c r="O21" s="12"/>
      <c r="P21" s="3">
        <v>375493.36</v>
      </c>
      <c r="Q21" s="3"/>
      <c r="R21" s="20">
        <f>IF(P$12=0,0,P21/P$12)</f>
        <v>0.3444032266135893</v>
      </c>
      <c r="S21" s="3"/>
      <c r="T21" s="3"/>
      <c r="U21" s="3"/>
      <c r="V21" s="20">
        <f>IF(T$12=0,0,T21/T$12)</f>
        <v>0</v>
      </c>
      <c r="W21" s="3"/>
      <c r="X21" s="3">
        <f>+P21-T21</f>
        <v>375493.36</v>
      </c>
      <c r="Y21" s="3"/>
      <c r="Z21" s="20">
        <f>IF(T21=0,0,X21/T21)</f>
        <v>0</v>
      </c>
    </row>
    <row r="22" spans="1:26" s="70" customFormat="1" ht="15" hidden="1" customHeight="1" outlineLevel="1" x14ac:dyDescent="0.3">
      <c r="A22" s="42"/>
      <c r="B22" s="12" t="str">
        <f>CONCATENATE("          ","5059"," - ","PURCHASES @ COST-FOOD")</f>
        <v xml:space="preserve">          5059 - PURCHASES @ COST-FOOD</v>
      </c>
      <c r="C22" s="12"/>
      <c r="D22" s="3">
        <v>23352.75</v>
      </c>
      <c r="E22" s="3"/>
      <c r="F22" s="20">
        <f>IF(D$12=0,0,D22/D$12)</f>
        <v>8.5960367918583219E-2</v>
      </c>
      <c r="G22" s="3"/>
      <c r="H22" s="3"/>
      <c r="I22" s="3"/>
      <c r="J22" s="20">
        <f>IF(H$12=0,0,H22/H$12)</f>
        <v>0</v>
      </c>
      <c r="K22" s="3"/>
      <c r="L22" s="3">
        <f>+D22-H22</f>
        <v>23352.75</v>
      </c>
      <c r="M22" s="3"/>
      <c r="N22" s="20">
        <f>IF(H22=0,0,L22/H22)</f>
        <v>0</v>
      </c>
      <c r="O22" s="12"/>
      <c r="P22" s="3">
        <v>47051.24</v>
      </c>
      <c r="Q22" s="3"/>
      <c r="R22" s="20">
        <f>IF(P$12=0,0,P22/P$12)</f>
        <v>4.3155487149414244E-2</v>
      </c>
      <c r="S22" s="3"/>
      <c r="T22" s="3"/>
      <c r="U22" s="3"/>
      <c r="V22" s="20">
        <f>IF(T$12=0,0,T22/T$12)</f>
        <v>0</v>
      </c>
      <c r="W22" s="3"/>
      <c r="X22" s="3">
        <f>+P22-T22</f>
        <v>47051.24</v>
      </c>
      <c r="Y22" s="3"/>
      <c r="Z22" s="20">
        <f>IF(T22=0,0,X22/T22)</f>
        <v>0</v>
      </c>
    </row>
    <row r="23" spans="1:26" ht="15" customHeight="1" x14ac:dyDescent="0.3">
      <c r="A23" s="10"/>
      <c r="B23" s="11"/>
      <c r="C23" s="11"/>
      <c r="D23" s="4"/>
      <c r="E23" s="4"/>
      <c r="F23" s="9"/>
      <c r="G23" s="4"/>
      <c r="H23" s="4"/>
      <c r="I23" s="4"/>
      <c r="J23" s="9"/>
      <c r="K23" s="4"/>
      <c r="L23" s="4"/>
      <c r="M23" s="4"/>
      <c r="N23" s="9"/>
      <c r="O23" s="11"/>
      <c r="P23" s="4"/>
      <c r="Q23" s="4"/>
      <c r="R23" s="9"/>
      <c r="S23" s="4"/>
      <c r="T23" s="4"/>
      <c r="U23" s="4"/>
      <c r="V23" s="9"/>
      <c r="W23" s="4"/>
      <c r="X23" s="4"/>
      <c r="Y23" s="4"/>
      <c r="Z23" s="9"/>
    </row>
    <row r="24" spans="1:26" s="63" customFormat="1" ht="15" customHeight="1" x14ac:dyDescent="0.3">
      <c r="A24" s="11"/>
      <c r="B24" s="27" t="s">
        <v>289</v>
      </c>
      <c r="C24" s="27"/>
      <c r="D24" s="21">
        <f>D12-D19</f>
        <v>170054.37</v>
      </c>
      <c r="E24" s="15"/>
      <c r="F24" s="23">
        <f>IF(D$12=0,0,D24/D$12)</f>
        <v>0.62596209060444186</v>
      </c>
      <c r="G24" s="15"/>
      <c r="H24" s="21">
        <f>H12-H19</f>
        <v>245816</v>
      </c>
      <c r="I24" s="15"/>
      <c r="J24" s="23">
        <f>IF(H$12=0,0,H24/H$12)</f>
        <v>0.65773862879252076</v>
      </c>
      <c r="K24" s="16"/>
      <c r="L24" s="21">
        <f>+D24-H24</f>
        <v>-75761.63</v>
      </c>
      <c r="M24" s="16"/>
      <c r="N24" s="23">
        <f>IF(H24=0,0,L24/H24)</f>
        <v>-0.30820463273342663</v>
      </c>
      <c r="O24" s="28"/>
      <c r="P24" s="21">
        <f>P12-P19</f>
        <v>667727.88</v>
      </c>
      <c r="Q24" s="15"/>
      <c r="R24" s="23">
        <f>IF(P$12=0,0,P24/P$12)</f>
        <v>0.61244128623699645</v>
      </c>
      <c r="S24" s="15"/>
      <c r="T24" s="21">
        <f>T12-T19</f>
        <v>933655</v>
      </c>
      <c r="U24" s="15"/>
      <c r="V24" s="23">
        <f>IF(T$12=0,0,T24/T$12)</f>
        <v>0.65753408257003498</v>
      </c>
      <c r="W24" s="16"/>
      <c r="X24" s="21">
        <f>+P24-T24</f>
        <v>-265927.12</v>
      </c>
      <c r="Y24" s="16"/>
      <c r="Z24" s="23">
        <f>IF(T24=0,0,X24/T24)</f>
        <v>-0.28482375181410691</v>
      </c>
    </row>
    <row r="25" spans="1:26" ht="15" customHeight="1" x14ac:dyDescent="0.3">
      <c r="A25" s="10"/>
      <c r="B25" s="11"/>
      <c r="C25" s="10"/>
      <c r="D25" s="2"/>
      <c r="E25" s="2"/>
      <c r="F25" s="6"/>
      <c r="G25" s="2"/>
      <c r="H25" s="2"/>
      <c r="I25" s="2"/>
      <c r="J25" s="6"/>
      <c r="K25" s="2"/>
      <c r="L25" s="2"/>
      <c r="M25" s="2"/>
      <c r="N25" s="6"/>
      <c r="O25" s="35"/>
      <c r="P25" s="2"/>
      <c r="Q25" s="2"/>
      <c r="R25" s="6"/>
      <c r="S25" s="2"/>
      <c r="T25" s="2"/>
      <c r="U25" s="2"/>
      <c r="V25" s="6"/>
      <c r="W25" s="2"/>
      <c r="X25" s="2"/>
      <c r="Y25" s="2"/>
      <c r="Z25" s="6"/>
    </row>
    <row r="26" spans="1:26" s="63" customFormat="1" ht="15" customHeight="1" x14ac:dyDescent="0.3">
      <c r="A26" s="11"/>
      <c r="B26" s="28" t="s">
        <v>290</v>
      </c>
      <c r="C26" s="11"/>
      <c r="D26" s="22" cm="1">
        <f t="array" ref="D26">SUM(OSRRefD22x_0)</f>
        <v>210446.30000000005</v>
      </c>
      <c r="E26" s="22"/>
      <c r="F26" s="30">
        <f t="shared" ref="F26:F57" si="4">IF(D$12=0,0,D26/D$12)</f>
        <v>0.77464287397006959</v>
      </c>
      <c r="G26" s="22"/>
      <c r="H26" s="22" cm="1">
        <f t="array" ref="H26">SUM(OSRRefH22x_0)</f>
        <v>211217.07392352523</v>
      </c>
      <c r="I26" s="22"/>
      <c r="J26" s="30">
        <f t="shared" ref="J26:J57" si="5">IF(H$12=0,0,H26/H$12)</f>
        <v>0.5651610496470042</v>
      </c>
      <c r="K26" s="5"/>
      <c r="L26" s="22">
        <f t="shared" ref="L26:L57" si="6">+D26-H26</f>
        <v>-770.77392352517927</v>
      </c>
      <c r="M26" s="5"/>
      <c r="N26" s="30">
        <f t="shared" ref="N26:N57" si="7">IF(H26=0,0,L26/H26)</f>
        <v>-3.6492027335074777E-3</v>
      </c>
      <c r="O26" s="11"/>
      <c r="P26" s="22" cm="1">
        <f t="array" ref="P26">SUM(OSRRefP22x_0)</f>
        <v>1648550.94</v>
      </c>
      <c r="Q26" s="22"/>
      <c r="R26" s="30">
        <f t="shared" ref="R26:R57" si="8">IF(P$12=0,0,P26/P$12)</f>
        <v>1.5120540692726647</v>
      </c>
      <c r="S26" s="22"/>
      <c r="T26" s="22" cm="1">
        <f t="array" ref="T26">SUM(OSRRefT22x_0)</f>
        <v>1654453.7202877831</v>
      </c>
      <c r="U26" s="22"/>
      <c r="V26" s="30">
        <f t="shared" ref="V26:V57" si="9">IF(T$12=0,0,T26/T$12)</f>
        <v>1.1651624091597095</v>
      </c>
      <c r="W26" s="5"/>
      <c r="X26" s="22">
        <f t="shared" ref="X26:X57" si="10">+P26-T26</f>
        <v>-5902.7802877831273</v>
      </c>
      <c r="Y26" s="5"/>
      <c r="Z26" s="30">
        <f t="shared" ref="Z26:Z57" si="11">IF(T26=0,0,X26/T26)</f>
        <v>-3.5678122726553944E-3</v>
      </c>
    </row>
    <row r="27" spans="1:26" s="69" customFormat="1" ht="15" customHeight="1" outlineLevel="1" collapsed="1" x14ac:dyDescent="0.3">
      <c r="A27" s="25"/>
      <c r="B27" s="14" t="str">
        <f>CONCATENATE("     ","*Benefits                                         ")</f>
        <v xml:space="preserve">     *Benefits                                         </v>
      </c>
      <c r="C27" s="14"/>
      <c r="D27" s="2">
        <f>SUM(OSRRefD22_0x_0)</f>
        <v>30872.3</v>
      </c>
      <c r="E27" s="2"/>
      <c r="F27" s="6">
        <f t="shared" si="4"/>
        <v>0.11363947571454654</v>
      </c>
      <c r="G27" s="2"/>
      <c r="H27" s="2">
        <f>SUM(OSRRefH22_0x_0)</f>
        <v>30566.730883525222</v>
      </c>
      <c r="I27" s="2"/>
      <c r="J27" s="6">
        <f t="shared" si="5"/>
        <v>8.1788490814267076E-2</v>
      </c>
      <c r="K27" s="2"/>
      <c r="L27" s="2">
        <f t="shared" si="6"/>
        <v>305.56911647477682</v>
      </c>
      <c r="M27" s="2"/>
      <c r="N27" s="6">
        <f t="shared" si="7"/>
        <v>9.9967876067332956E-3</v>
      </c>
      <c r="O27" s="14"/>
      <c r="P27" s="2">
        <f>SUM(OSRRefP22_0x_0)</f>
        <v>275776.11</v>
      </c>
      <c r="Q27" s="2"/>
      <c r="R27" s="6">
        <f t="shared" si="8"/>
        <v>0.25294237455209362</v>
      </c>
      <c r="S27" s="2"/>
      <c r="T27" s="2">
        <f>SUM(OSRRefT22_0x_0)</f>
        <v>258665.045872783</v>
      </c>
      <c r="U27" s="2"/>
      <c r="V27" s="6">
        <f t="shared" si="9"/>
        <v>0.18216694992357602</v>
      </c>
      <c r="W27" s="2"/>
      <c r="X27" s="2">
        <f t="shared" si="10"/>
        <v>17111.064127216989</v>
      </c>
      <c r="Y27" s="2"/>
      <c r="Z27" s="6">
        <f t="shared" si="11"/>
        <v>6.6151435612342366E-2</v>
      </c>
    </row>
    <row r="28" spans="1:26" s="70" customFormat="1" ht="15" hidden="1" customHeight="1" outlineLevel="2" x14ac:dyDescent="0.3">
      <c r="A28" s="26"/>
      <c r="B28" s="12" t="str">
        <f>CONCATENATE("          ","6111"," - ","F.I.C.A.")</f>
        <v xml:space="preserve">          6111 - F.I.C.A.</v>
      </c>
      <c r="C28" s="12"/>
      <c r="D28" s="7">
        <v>5062.03</v>
      </c>
      <c r="E28" s="3"/>
      <c r="F28" s="8">
        <f t="shared" si="4"/>
        <v>1.8633092942583026E-2</v>
      </c>
      <c r="G28" s="3"/>
      <c r="H28" s="7">
        <v>3693.8873301406102</v>
      </c>
      <c r="I28" s="3"/>
      <c r="J28" s="8">
        <f t="shared" si="5"/>
        <v>9.8838659299669285E-3</v>
      </c>
      <c r="K28" s="3"/>
      <c r="L28" s="7">
        <f t="shared" si="6"/>
        <v>1368.1426698593896</v>
      </c>
      <c r="M28" s="3"/>
      <c r="N28" s="8">
        <f t="shared" si="7"/>
        <v>0.37038018422920072</v>
      </c>
      <c r="O28" s="12"/>
      <c r="P28" s="7">
        <v>39759.56</v>
      </c>
      <c r="Q28" s="3"/>
      <c r="R28" s="8">
        <f t="shared" si="8"/>
        <v>3.646754433350459E-2</v>
      </c>
      <c r="S28" s="3"/>
      <c r="T28" s="7">
        <v>33092.764697090999</v>
      </c>
      <c r="U28" s="3"/>
      <c r="V28" s="8">
        <f t="shared" si="9"/>
        <v>2.3305847100703977E-2</v>
      </c>
      <c r="W28" s="3"/>
      <c r="X28" s="7">
        <f t="shared" si="10"/>
        <v>6666.7953029089986</v>
      </c>
      <c r="Y28" s="3"/>
      <c r="Z28" s="8">
        <f t="shared" si="11"/>
        <v>0.20145779187482149</v>
      </c>
    </row>
    <row r="29" spans="1:26" s="70" customFormat="1" ht="15" hidden="1" customHeight="1" outlineLevel="2" x14ac:dyDescent="0.3">
      <c r="A29" s="26"/>
      <c r="B29" s="12" t="str">
        <f>CONCATENATE("          ","6112"," - ","COMPENSATION INSURANCE")</f>
        <v xml:space="preserve">          6112 - COMPENSATION INSURANCE</v>
      </c>
      <c r="C29" s="12"/>
      <c r="D29" s="7">
        <v>3109.84</v>
      </c>
      <c r="E29" s="3"/>
      <c r="F29" s="8">
        <f t="shared" si="4"/>
        <v>1.1447173911763147E-2</v>
      </c>
      <c r="G29" s="3"/>
      <c r="H29" s="7">
        <v>3435.2046676569198</v>
      </c>
      <c r="I29" s="3"/>
      <c r="J29" s="8">
        <f t="shared" si="5"/>
        <v>9.1916995139711393E-3</v>
      </c>
      <c r="K29" s="3"/>
      <c r="L29" s="7">
        <f t="shared" si="6"/>
        <v>-325.36466765691966</v>
      </c>
      <c r="M29" s="3"/>
      <c r="N29" s="8">
        <f t="shared" si="7"/>
        <v>-9.4714783873079675E-2</v>
      </c>
      <c r="O29" s="12"/>
      <c r="P29" s="7">
        <v>19002.45</v>
      </c>
      <c r="Q29" s="3"/>
      <c r="R29" s="8">
        <f t="shared" si="8"/>
        <v>1.7429083415918194E-2</v>
      </c>
      <c r="S29" s="3"/>
      <c r="T29" s="7">
        <v>25081.805931129998</v>
      </c>
      <c r="U29" s="3"/>
      <c r="V29" s="8">
        <f t="shared" si="9"/>
        <v>1.7664064619292163E-2</v>
      </c>
      <c r="W29" s="3"/>
      <c r="X29" s="7">
        <f t="shared" si="10"/>
        <v>-6079.3559311299978</v>
      </c>
      <c r="Y29" s="3"/>
      <c r="Z29" s="8">
        <f t="shared" si="11"/>
        <v>-0.24238110875360352</v>
      </c>
    </row>
    <row r="30" spans="1:26" s="70" customFormat="1" ht="15" hidden="1" customHeight="1" outlineLevel="2" x14ac:dyDescent="0.3">
      <c r="A30" s="26"/>
      <c r="B30" s="12" t="str">
        <f>CONCATENATE("          ","6113"," - ","GROUP INSURANCE")</f>
        <v xml:space="preserve">          6113 - GROUP INSURANCE</v>
      </c>
      <c r="C30" s="12"/>
      <c r="D30" s="7">
        <v>11880.48</v>
      </c>
      <c r="E30" s="3"/>
      <c r="F30" s="8">
        <f t="shared" si="4"/>
        <v>4.3731484807972058E-2</v>
      </c>
      <c r="G30" s="3"/>
      <c r="H30" s="7">
        <v>14056.7076923077</v>
      </c>
      <c r="I30" s="3"/>
      <c r="J30" s="8">
        <f t="shared" si="5"/>
        <v>3.7612033565251023E-2</v>
      </c>
      <c r="K30" s="3"/>
      <c r="L30" s="7">
        <f t="shared" si="6"/>
        <v>-2176.2276923077006</v>
      </c>
      <c r="M30" s="3"/>
      <c r="N30" s="8">
        <f t="shared" si="7"/>
        <v>-0.15481773826019055</v>
      </c>
      <c r="O30" s="12"/>
      <c r="P30" s="7">
        <v>110573</v>
      </c>
      <c r="Q30" s="3"/>
      <c r="R30" s="8">
        <f t="shared" si="8"/>
        <v>0.10141776668526019</v>
      </c>
      <c r="S30" s="3"/>
      <c r="T30" s="7">
        <v>121559.042307692</v>
      </c>
      <c r="U30" s="3"/>
      <c r="V30" s="8">
        <f t="shared" si="9"/>
        <v>8.560893837860914E-2</v>
      </c>
      <c r="W30" s="3"/>
      <c r="X30" s="7">
        <f t="shared" si="10"/>
        <v>-10986.042307691998</v>
      </c>
      <c r="Y30" s="3"/>
      <c r="Z30" s="8">
        <f t="shared" si="11"/>
        <v>-9.0376183450705125E-2</v>
      </c>
    </row>
    <row r="31" spans="1:26" s="70" customFormat="1" ht="15" hidden="1" customHeight="1" outlineLevel="2" x14ac:dyDescent="0.3">
      <c r="A31" s="26"/>
      <c r="B31" s="12" t="str">
        <f>CONCATENATE("          ","6114"," - ","STATE UNEMPLOYMENT INSURANCE")</f>
        <v xml:space="preserve">          6114 - STATE UNEMPLOYMENT INSURANCE</v>
      </c>
      <c r="C31" s="12"/>
      <c r="D31" s="7">
        <v>254.72</v>
      </c>
      <c r="E31" s="3"/>
      <c r="F31" s="8">
        <f t="shared" si="4"/>
        <v>9.3761226905702828E-4</v>
      </c>
      <c r="G31" s="3"/>
      <c r="H31" s="7">
        <v>190.34115572769201</v>
      </c>
      <c r="I31" s="3"/>
      <c r="J31" s="8">
        <f t="shared" si="5"/>
        <v>5.0930261159206811E-4</v>
      </c>
      <c r="K31" s="3"/>
      <c r="L31" s="7">
        <f t="shared" si="6"/>
        <v>64.378844272307987</v>
      </c>
      <c r="M31" s="3"/>
      <c r="N31" s="8">
        <f t="shared" si="7"/>
        <v>0.33822871373341018</v>
      </c>
      <c r="O31" s="12"/>
      <c r="P31" s="7">
        <v>1654.37</v>
      </c>
      <c r="Q31" s="3"/>
      <c r="R31" s="8">
        <f t="shared" si="8"/>
        <v>1.517391322213324E-3</v>
      </c>
      <c r="S31" s="3"/>
      <c r="T31" s="7">
        <v>1389.75705687</v>
      </c>
      <c r="U31" s="3"/>
      <c r="V31" s="8">
        <f t="shared" si="9"/>
        <v>9.7874764381302229E-4</v>
      </c>
      <c r="W31" s="3"/>
      <c r="X31" s="7">
        <f t="shared" si="10"/>
        <v>264.61294312999985</v>
      </c>
      <c r="Y31" s="3"/>
      <c r="Z31" s="8">
        <f t="shared" si="11"/>
        <v>0.1904023022023425</v>
      </c>
    </row>
    <row r="32" spans="1:26" s="70" customFormat="1" ht="15" hidden="1" customHeight="1" outlineLevel="2" x14ac:dyDescent="0.3">
      <c r="A32" s="26"/>
      <c r="B32" s="12" t="str">
        <f>CONCATENATE("          ","6115"," - ","P.E.R.S.")</f>
        <v xml:space="preserve">          6115 - P.E.R.S.</v>
      </c>
      <c r="C32" s="12"/>
      <c r="D32" s="7">
        <v>3081.52</v>
      </c>
      <c r="E32" s="3"/>
      <c r="F32" s="8">
        <f t="shared" si="4"/>
        <v>1.1342929331597888E-2</v>
      </c>
      <c r="G32" s="3"/>
      <c r="H32" s="7">
        <v>2801.24234307692</v>
      </c>
      <c r="I32" s="3"/>
      <c r="J32" s="8">
        <f t="shared" si="5"/>
        <v>7.4953839361594091E-3</v>
      </c>
      <c r="K32" s="3"/>
      <c r="L32" s="7">
        <f t="shared" si="6"/>
        <v>280.27765692308003</v>
      </c>
      <c r="M32" s="3"/>
      <c r="N32" s="8">
        <f t="shared" si="7"/>
        <v>0.10005476949031818</v>
      </c>
      <c r="O32" s="12"/>
      <c r="P32" s="7">
        <v>30442.65</v>
      </c>
      <c r="Q32" s="3"/>
      <c r="R32" s="8">
        <f t="shared" si="8"/>
        <v>2.7922056695405172E-2</v>
      </c>
      <c r="S32" s="3"/>
      <c r="T32" s="7">
        <v>24371.325645000001</v>
      </c>
      <c r="U32" s="3"/>
      <c r="V32" s="8">
        <f t="shared" si="9"/>
        <v>1.7163703133385073E-2</v>
      </c>
      <c r="W32" s="3"/>
      <c r="X32" s="7">
        <f t="shared" si="10"/>
        <v>6071.3243550000007</v>
      </c>
      <c r="Y32" s="3"/>
      <c r="Z32" s="8">
        <f t="shared" si="11"/>
        <v>0.2491175262042255</v>
      </c>
    </row>
    <row r="33" spans="1:26" s="70" customFormat="1" ht="15" hidden="1" customHeight="1" outlineLevel="2" x14ac:dyDescent="0.3">
      <c r="A33" s="26"/>
      <c r="B33" s="12" t="str">
        <f>CONCATENATE("          ","6116"," - ","EDUCATIONAL BENEFITS")</f>
        <v xml:space="preserve">          6116 - EDUCATIONAL BENEFITS</v>
      </c>
      <c r="C33" s="12"/>
      <c r="D33" s="7"/>
      <c r="E33" s="3"/>
      <c r="F33" s="8">
        <f t="shared" si="4"/>
        <v>0</v>
      </c>
      <c r="G33" s="3"/>
      <c r="H33" s="7">
        <v>0</v>
      </c>
      <c r="I33" s="3"/>
      <c r="J33" s="8">
        <f t="shared" si="5"/>
        <v>0</v>
      </c>
      <c r="K33" s="3"/>
      <c r="L33" s="7">
        <f t="shared" si="6"/>
        <v>0</v>
      </c>
      <c r="M33" s="3"/>
      <c r="N33" s="8">
        <f t="shared" si="7"/>
        <v>0</v>
      </c>
      <c r="O33" s="12"/>
      <c r="P33" s="7"/>
      <c r="Q33" s="3"/>
      <c r="R33" s="8">
        <f t="shared" si="8"/>
        <v>0</v>
      </c>
      <c r="S33" s="3"/>
      <c r="T33" s="7">
        <v>0</v>
      </c>
      <c r="U33" s="3"/>
      <c r="V33" s="8">
        <f t="shared" si="9"/>
        <v>0</v>
      </c>
      <c r="W33" s="3"/>
      <c r="X33" s="7">
        <f t="shared" si="10"/>
        <v>0</v>
      </c>
      <c r="Y33" s="3"/>
      <c r="Z33" s="8">
        <f t="shared" si="11"/>
        <v>0</v>
      </c>
    </row>
    <row r="34" spans="1:26" s="70" customFormat="1" ht="15" hidden="1" customHeight="1" outlineLevel="2" x14ac:dyDescent="0.3">
      <c r="A34" s="26"/>
      <c r="B34" s="12" t="str">
        <f>CONCATENATE("          ","6117"," - ","RETIREMENT STAFF HOURLY")</f>
        <v xml:space="preserve">          6117 - RETIREMENT STAFF HOURLY</v>
      </c>
      <c r="C34" s="12"/>
      <c r="D34" s="7">
        <v>136.52000000000001</v>
      </c>
      <c r="E34" s="3"/>
      <c r="F34" s="8">
        <f t="shared" si="4"/>
        <v>5.025236611638878E-4</v>
      </c>
      <c r="G34" s="3"/>
      <c r="H34" s="7"/>
      <c r="I34" s="3"/>
      <c r="J34" s="8">
        <f t="shared" si="5"/>
        <v>0</v>
      </c>
      <c r="K34" s="3"/>
      <c r="L34" s="7">
        <f t="shared" si="6"/>
        <v>136.52000000000001</v>
      </c>
      <c r="M34" s="3"/>
      <c r="N34" s="8">
        <f t="shared" si="7"/>
        <v>0</v>
      </c>
      <c r="O34" s="12"/>
      <c r="P34" s="7">
        <v>136.52000000000001</v>
      </c>
      <c r="Q34" s="3"/>
      <c r="R34" s="8">
        <f t="shared" si="8"/>
        <v>1.2521640461841247E-4</v>
      </c>
      <c r="S34" s="3"/>
      <c r="T34" s="7"/>
      <c r="U34" s="3"/>
      <c r="V34" s="8">
        <f t="shared" si="9"/>
        <v>0</v>
      </c>
      <c r="W34" s="3"/>
      <c r="X34" s="7">
        <f t="shared" si="10"/>
        <v>136.52000000000001</v>
      </c>
      <c r="Y34" s="3"/>
      <c r="Z34" s="8">
        <f t="shared" si="11"/>
        <v>0</v>
      </c>
    </row>
    <row r="35" spans="1:26" s="70" customFormat="1" ht="15" hidden="1" customHeight="1" outlineLevel="2" x14ac:dyDescent="0.3">
      <c r="A35" s="26"/>
      <c r="B35" s="12" t="str">
        <f>CONCATENATE("          ","6118"," - ","VACATION")</f>
        <v xml:space="preserve">          6118 - VACATION</v>
      </c>
      <c r="C35" s="12"/>
      <c r="D35" s="7">
        <v>3126.34</v>
      </c>
      <c r="E35" s="3"/>
      <c r="F35" s="8">
        <f t="shared" si="4"/>
        <v>1.1507909631139094E-2</v>
      </c>
      <c r="G35" s="3"/>
      <c r="H35" s="7">
        <v>2423.4102483076899</v>
      </c>
      <c r="I35" s="3"/>
      <c r="J35" s="8">
        <f t="shared" si="5"/>
        <v>6.4844051393059942E-3</v>
      </c>
      <c r="K35" s="3"/>
      <c r="L35" s="7">
        <f t="shared" si="6"/>
        <v>702.92975169231022</v>
      </c>
      <c r="M35" s="3"/>
      <c r="N35" s="8">
        <f t="shared" si="7"/>
        <v>0.29005809156050999</v>
      </c>
      <c r="O35" s="12"/>
      <c r="P35" s="7">
        <v>31967.279999999999</v>
      </c>
      <c r="Q35" s="3"/>
      <c r="R35" s="8">
        <f t="shared" si="8"/>
        <v>2.9320450241943189E-2</v>
      </c>
      <c r="S35" s="3"/>
      <c r="T35" s="7">
        <v>22450.166840999998</v>
      </c>
      <c r="U35" s="3"/>
      <c r="V35" s="8">
        <f t="shared" si="9"/>
        <v>1.581071151264777E-2</v>
      </c>
      <c r="W35" s="3"/>
      <c r="X35" s="7">
        <f t="shared" si="10"/>
        <v>9517.1131590000005</v>
      </c>
      <c r="Y35" s="3"/>
      <c r="Z35" s="8">
        <f t="shared" si="11"/>
        <v>0.42392171186982947</v>
      </c>
    </row>
    <row r="36" spans="1:26" s="70" customFormat="1" ht="15" hidden="1" customHeight="1" outlineLevel="2" x14ac:dyDescent="0.3">
      <c r="A36" s="26"/>
      <c r="B36" s="12" t="str">
        <f>CONCATENATE("          ","6119"," - ","SICK LEAVE")</f>
        <v xml:space="preserve">          6119 - SICK LEAVE</v>
      </c>
      <c r="C36" s="12"/>
      <c r="D36" s="7">
        <v>2205.6</v>
      </c>
      <c r="E36" s="3"/>
      <c r="F36" s="8">
        <f t="shared" si="4"/>
        <v>8.1187092518537271E-3</v>
      </c>
      <c r="G36" s="3"/>
      <c r="H36" s="7">
        <v>1844.9374463076899</v>
      </c>
      <c r="I36" s="3"/>
      <c r="J36" s="8">
        <f t="shared" si="5"/>
        <v>4.9365648539655468E-3</v>
      </c>
      <c r="K36" s="3"/>
      <c r="L36" s="7">
        <f t="shared" si="6"/>
        <v>360.66255369230998</v>
      </c>
      <c r="M36" s="3"/>
      <c r="N36" s="8">
        <f t="shared" si="7"/>
        <v>0.19548768681242346</v>
      </c>
      <c r="O36" s="12"/>
      <c r="P36" s="7">
        <v>27970.81</v>
      </c>
      <c r="Q36" s="3"/>
      <c r="R36" s="8">
        <f t="shared" si="8"/>
        <v>2.5654880328631245E-2</v>
      </c>
      <c r="S36" s="3"/>
      <c r="T36" s="7">
        <v>12295.183394</v>
      </c>
      <c r="U36" s="3"/>
      <c r="V36" s="8">
        <f t="shared" si="9"/>
        <v>8.6589823146709637E-3</v>
      </c>
      <c r="W36" s="3"/>
      <c r="X36" s="7">
        <f t="shared" si="10"/>
        <v>15675.626606000002</v>
      </c>
      <c r="Y36" s="3"/>
      <c r="Z36" s="8">
        <f t="shared" si="11"/>
        <v>1.2749404464881462</v>
      </c>
    </row>
    <row r="37" spans="1:26" s="70" customFormat="1" ht="15" hidden="1" customHeight="1" outlineLevel="2" x14ac:dyDescent="0.3">
      <c r="A37" s="26"/>
      <c r="B37" s="12" t="str">
        <f>CONCATENATE("          ","6156"," - ","EMPLOYEE MEALS")</f>
        <v xml:space="preserve">          6156 - EMPLOYEE MEALS</v>
      </c>
      <c r="C37" s="12"/>
      <c r="D37" s="7">
        <v>2015.25</v>
      </c>
      <c r="E37" s="3"/>
      <c r="F37" s="8">
        <f t="shared" si="4"/>
        <v>7.4180399074166787E-3</v>
      </c>
      <c r="G37" s="3"/>
      <c r="H37" s="7">
        <v>2121</v>
      </c>
      <c r="I37" s="3"/>
      <c r="J37" s="8">
        <f t="shared" si="5"/>
        <v>5.6752352640549704E-3</v>
      </c>
      <c r="K37" s="3"/>
      <c r="L37" s="7">
        <f t="shared" si="6"/>
        <v>-105.75</v>
      </c>
      <c r="M37" s="3"/>
      <c r="N37" s="8">
        <f t="shared" si="7"/>
        <v>-4.9858557284299859E-2</v>
      </c>
      <c r="O37" s="12"/>
      <c r="P37" s="7">
        <v>14269.47</v>
      </c>
      <c r="Q37" s="3"/>
      <c r="R37" s="8">
        <f t="shared" si="8"/>
        <v>1.308798512459931E-2</v>
      </c>
      <c r="S37" s="3"/>
      <c r="T37" s="7">
        <v>18425</v>
      </c>
      <c r="U37" s="3"/>
      <c r="V37" s="8">
        <f t="shared" si="9"/>
        <v>1.2975955220453908E-2</v>
      </c>
      <c r="W37" s="3"/>
      <c r="X37" s="7">
        <f t="shared" si="10"/>
        <v>-4155.5300000000007</v>
      </c>
      <c r="Y37" s="3"/>
      <c r="Z37" s="8">
        <f t="shared" si="11"/>
        <v>-0.22553758480325647</v>
      </c>
    </row>
    <row r="38" spans="1:26" s="69" customFormat="1" ht="15" customHeight="1" outlineLevel="1" collapsed="1" x14ac:dyDescent="0.3">
      <c r="A38" s="25"/>
      <c r="B38" s="14" t="str">
        <f>CONCATENATE("     ","*Payroll                                          ")</f>
        <v xml:space="preserve">     *Payroll                                          </v>
      </c>
      <c r="C38" s="14"/>
      <c r="D38" s="2">
        <f>SUM(OSRRefD22_1x_0)</f>
        <v>96922.94</v>
      </c>
      <c r="E38" s="2"/>
      <c r="F38" s="6">
        <f t="shared" si="4"/>
        <v>0.35676875666252439</v>
      </c>
      <c r="G38" s="2"/>
      <c r="H38" s="2">
        <f>SUM(OSRRefH22_1x_0)</f>
        <v>86475.343039999992</v>
      </c>
      <c r="I38" s="2"/>
      <c r="J38" s="6">
        <f t="shared" si="5"/>
        <v>0.23138515619606717</v>
      </c>
      <c r="K38" s="2"/>
      <c r="L38" s="2">
        <f t="shared" si="6"/>
        <v>10447.59696000001</v>
      </c>
      <c r="M38" s="2"/>
      <c r="N38" s="6">
        <f t="shared" si="7"/>
        <v>0.12081590650837169</v>
      </c>
      <c r="O38" s="14"/>
      <c r="P38" s="2">
        <f>SUM(OSRRefP22_1x_0)</f>
        <v>626213.82999999996</v>
      </c>
      <c r="Q38" s="2"/>
      <c r="R38" s="6">
        <f t="shared" si="8"/>
        <v>0.57436452032614815</v>
      </c>
      <c r="S38" s="2"/>
      <c r="T38" s="2">
        <f>SUM(OSRRefT22_1x_0)</f>
        <v>627781.67441500002</v>
      </c>
      <c r="U38" s="2"/>
      <c r="V38" s="6">
        <f t="shared" si="9"/>
        <v>0.44212031996909718</v>
      </c>
      <c r="W38" s="2"/>
      <c r="X38" s="2">
        <f t="shared" si="10"/>
        <v>-1567.8444150000578</v>
      </c>
      <c r="Y38" s="2"/>
      <c r="Z38" s="6">
        <f t="shared" si="11"/>
        <v>-2.4974357788654115E-3</v>
      </c>
    </row>
    <row r="39" spans="1:26" s="70" customFormat="1" ht="15" hidden="1" customHeight="1" outlineLevel="2" x14ac:dyDescent="0.3">
      <c r="A39" s="26"/>
      <c r="B39" s="12" t="str">
        <f>CONCATENATE("          ","6001"," - ","ADMINISTRATIVE SALARIES")</f>
        <v xml:space="preserve">          6001 - ADMINISTRATIVE SALARIES</v>
      </c>
      <c r="C39" s="12"/>
      <c r="D39" s="7">
        <v>11512.06</v>
      </c>
      <c r="E39" s="3"/>
      <c r="F39" s="8">
        <f t="shared" si="4"/>
        <v>4.2375348218124421E-2</v>
      </c>
      <c r="G39" s="3"/>
      <c r="H39" s="7">
        <v>10268.307692307701</v>
      </c>
      <c r="I39" s="3"/>
      <c r="J39" s="8">
        <f t="shared" si="5"/>
        <v>2.7475276717374625E-2</v>
      </c>
      <c r="K39" s="3"/>
      <c r="L39" s="7">
        <f t="shared" si="6"/>
        <v>1243.7523076922989</v>
      </c>
      <c r="M39" s="3"/>
      <c r="N39" s="8">
        <f t="shared" si="7"/>
        <v>0.12112534460026274</v>
      </c>
      <c r="O39" s="12"/>
      <c r="P39" s="7">
        <v>100708.35</v>
      </c>
      <c r="Q39" s="3"/>
      <c r="R39" s="8">
        <f t="shared" si="8"/>
        <v>9.2369890873518157E-2</v>
      </c>
      <c r="S39" s="3"/>
      <c r="T39" s="7">
        <v>100116</v>
      </c>
      <c r="U39" s="3"/>
      <c r="V39" s="8">
        <f t="shared" si="9"/>
        <v>7.0507502461382002E-2</v>
      </c>
      <c r="W39" s="3"/>
      <c r="X39" s="7">
        <f t="shared" si="10"/>
        <v>592.35000000000582</v>
      </c>
      <c r="Y39" s="3"/>
      <c r="Z39" s="8">
        <f t="shared" si="11"/>
        <v>5.9166367014264034E-3</v>
      </c>
    </row>
    <row r="40" spans="1:26" s="70" customFormat="1" ht="15" hidden="1" customHeight="1" outlineLevel="2" x14ac:dyDescent="0.3">
      <c r="A40" s="26"/>
      <c r="B40" s="12" t="str">
        <f>CONCATENATE("          ","6002"," - ","STAFF SALARIES")</f>
        <v xml:space="preserve">          6002 - STAFF SALARIES</v>
      </c>
      <c r="C40" s="12"/>
      <c r="D40" s="7">
        <v>21494.53</v>
      </c>
      <c r="E40" s="3"/>
      <c r="F40" s="8">
        <f t="shared" si="4"/>
        <v>7.9120348011991068E-2</v>
      </c>
      <c r="G40" s="3"/>
      <c r="H40" s="7">
        <v>19788.263807692299</v>
      </c>
      <c r="I40" s="3"/>
      <c r="J40" s="8">
        <f t="shared" si="5"/>
        <v>5.2948162459140982E-2</v>
      </c>
      <c r="K40" s="3"/>
      <c r="L40" s="7">
        <f t="shared" si="6"/>
        <v>1706.2661923076994</v>
      </c>
      <c r="M40" s="3"/>
      <c r="N40" s="8">
        <f t="shared" si="7"/>
        <v>8.622616965741188E-2</v>
      </c>
      <c r="O40" s="12"/>
      <c r="P40" s="7">
        <v>201682.97</v>
      </c>
      <c r="Q40" s="3"/>
      <c r="R40" s="8">
        <f t="shared" si="8"/>
        <v>0.18498400509934912</v>
      </c>
      <c r="S40" s="3"/>
      <c r="T40" s="7">
        <v>160450.132125</v>
      </c>
      <c r="U40" s="3"/>
      <c r="V40" s="8">
        <f t="shared" si="9"/>
        <v>0.11299830282604685</v>
      </c>
      <c r="W40" s="3"/>
      <c r="X40" s="7">
        <f t="shared" si="10"/>
        <v>41232.837874999997</v>
      </c>
      <c r="Y40" s="3"/>
      <c r="Z40" s="8">
        <f t="shared" si="11"/>
        <v>0.2569822618960339</v>
      </c>
    </row>
    <row r="41" spans="1:26" s="70" customFormat="1" ht="15" hidden="1" customHeight="1" outlineLevel="2" x14ac:dyDescent="0.3">
      <c r="A41" s="26"/>
      <c r="B41" s="12" t="str">
        <f>CONCATENATE("          ","6003"," - ","STAFF HOURLY-9 MONTH")</f>
        <v xml:space="preserve">          6003 - STAFF HOURLY-9 MONTH</v>
      </c>
      <c r="C41" s="12"/>
      <c r="D41" s="7"/>
      <c r="E41" s="3"/>
      <c r="F41" s="8">
        <f t="shared" si="4"/>
        <v>0</v>
      </c>
      <c r="G41" s="3"/>
      <c r="H41" s="7">
        <v>0</v>
      </c>
      <c r="I41" s="3"/>
      <c r="J41" s="8">
        <f t="shared" si="5"/>
        <v>0</v>
      </c>
      <c r="K41" s="3"/>
      <c r="L41" s="7">
        <f t="shared" si="6"/>
        <v>0</v>
      </c>
      <c r="M41" s="3"/>
      <c r="N41" s="8">
        <f t="shared" si="7"/>
        <v>0</v>
      </c>
      <c r="O41" s="12"/>
      <c r="P41" s="7"/>
      <c r="Q41" s="3"/>
      <c r="R41" s="8">
        <f t="shared" si="8"/>
        <v>0</v>
      </c>
      <c r="S41" s="3"/>
      <c r="T41" s="7">
        <v>0</v>
      </c>
      <c r="U41" s="3"/>
      <c r="V41" s="8">
        <f t="shared" si="9"/>
        <v>0</v>
      </c>
      <c r="W41" s="3"/>
      <c r="X41" s="7">
        <f t="shared" si="10"/>
        <v>0</v>
      </c>
      <c r="Y41" s="3"/>
      <c r="Z41" s="8">
        <f t="shared" si="11"/>
        <v>0</v>
      </c>
    </row>
    <row r="42" spans="1:26" s="70" customFormat="1" ht="15" hidden="1" customHeight="1" outlineLevel="2" x14ac:dyDescent="0.3">
      <c r="A42" s="26"/>
      <c r="B42" s="12" t="str">
        <f>CONCATENATE("          ","6004"," - ","STAFF HOURLY")</f>
        <v xml:space="preserve">          6004 - STAFF HOURLY</v>
      </c>
      <c r="C42" s="12"/>
      <c r="D42" s="7">
        <v>9723.27</v>
      </c>
      <c r="E42" s="3"/>
      <c r="F42" s="8">
        <f t="shared" si="4"/>
        <v>3.579089685676088E-2</v>
      </c>
      <c r="G42" s="3"/>
      <c r="H42" s="7">
        <v>13684.00944</v>
      </c>
      <c r="I42" s="3"/>
      <c r="J42" s="8">
        <f t="shared" si="5"/>
        <v>3.6614791573573363E-2</v>
      </c>
      <c r="K42" s="3"/>
      <c r="L42" s="7">
        <f t="shared" si="6"/>
        <v>-3960.7394399999994</v>
      </c>
      <c r="M42" s="3"/>
      <c r="N42" s="8">
        <f t="shared" si="7"/>
        <v>-0.28944290468130512</v>
      </c>
      <c r="O42" s="12"/>
      <c r="P42" s="7">
        <v>90453.43</v>
      </c>
      <c r="Q42" s="3"/>
      <c r="R42" s="8">
        <f t="shared" si="8"/>
        <v>8.2964058672745727E-2</v>
      </c>
      <c r="S42" s="3"/>
      <c r="T42" s="7">
        <v>127874.06784</v>
      </c>
      <c r="U42" s="3"/>
      <c r="V42" s="8">
        <f t="shared" si="9"/>
        <v>9.0056346168202184E-2</v>
      </c>
      <c r="W42" s="3"/>
      <c r="X42" s="7">
        <f t="shared" si="10"/>
        <v>-37420.63784000001</v>
      </c>
      <c r="Y42" s="3"/>
      <c r="Z42" s="8">
        <f t="shared" si="11"/>
        <v>-0.29263664222226726</v>
      </c>
    </row>
    <row r="43" spans="1:26" s="70" customFormat="1" ht="15" hidden="1" customHeight="1" outlineLevel="2" x14ac:dyDescent="0.3">
      <c r="A43" s="26"/>
      <c r="B43" s="12" t="str">
        <f>CONCATENATE("          ","6005"," - ","TEMPORARY WAGES-HOURLY")</f>
        <v xml:space="preserve">          6005 - TEMPORARY WAGES-HOURLY</v>
      </c>
      <c r="C43" s="12"/>
      <c r="D43" s="7">
        <v>14098.88</v>
      </c>
      <c r="E43" s="3"/>
      <c r="F43" s="8">
        <f t="shared" si="4"/>
        <v>5.1897310254250761E-2</v>
      </c>
      <c r="G43" s="3"/>
      <c r="H43" s="7">
        <v>12499.94865</v>
      </c>
      <c r="I43" s="3"/>
      <c r="J43" s="8">
        <f t="shared" si="5"/>
        <v>3.3446557933689919E-2</v>
      </c>
      <c r="K43" s="3"/>
      <c r="L43" s="7">
        <f t="shared" si="6"/>
        <v>1598.9313499999989</v>
      </c>
      <c r="M43" s="3"/>
      <c r="N43" s="8">
        <f t="shared" si="7"/>
        <v>0.12791503347495742</v>
      </c>
      <c r="O43" s="12"/>
      <c r="P43" s="7">
        <v>95156.72</v>
      </c>
      <c r="Q43" s="3"/>
      <c r="R43" s="8">
        <f t="shared" si="8"/>
        <v>8.7277925239386031E-2</v>
      </c>
      <c r="S43" s="3"/>
      <c r="T43" s="7">
        <v>90885.532250000004</v>
      </c>
      <c r="U43" s="3"/>
      <c r="V43" s="8">
        <f t="shared" si="9"/>
        <v>6.4006870917944075E-2</v>
      </c>
      <c r="W43" s="3"/>
      <c r="X43" s="7">
        <f t="shared" si="10"/>
        <v>4271.1877499999973</v>
      </c>
      <c r="Y43" s="3"/>
      <c r="Z43" s="8">
        <f t="shared" si="11"/>
        <v>4.6995243844214787E-2</v>
      </c>
    </row>
    <row r="44" spans="1:26" s="70" customFormat="1" ht="15" hidden="1" customHeight="1" outlineLevel="2" x14ac:dyDescent="0.3">
      <c r="A44" s="26"/>
      <c r="B44" s="12" t="str">
        <f>CONCATENATE("          ","6006"," - ","TEMPORARY PART TIME")</f>
        <v xml:space="preserve">          6006 - TEMPORARY PART TIME</v>
      </c>
      <c r="C44" s="12"/>
      <c r="D44" s="7"/>
      <c r="E44" s="3"/>
      <c r="F44" s="8">
        <f t="shared" si="4"/>
        <v>0</v>
      </c>
      <c r="G44" s="3"/>
      <c r="H44" s="7">
        <v>0</v>
      </c>
      <c r="I44" s="3"/>
      <c r="J44" s="8">
        <f t="shared" si="5"/>
        <v>0</v>
      </c>
      <c r="K44" s="3"/>
      <c r="L44" s="7">
        <f t="shared" si="6"/>
        <v>0</v>
      </c>
      <c r="M44" s="3"/>
      <c r="N44" s="8">
        <f t="shared" si="7"/>
        <v>0</v>
      </c>
      <c r="O44" s="12"/>
      <c r="P44" s="7"/>
      <c r="Q44" s="3"/>
      <c r="R44" s="8">
        <f t="shared" si="8"/>
        <v>0</v>
      </c>
      <c r="S44" s="3"/>
      <c r="T44" s="7">
        <v>0</v>
      </c>
      <c r="U44" s="3"/>
      <c r="V44" s="8">
        <f t="shared" si="9"/>
        <v>0</v>
      </c>
      <c r="W44" s="3"/>
      <c r="X44" s="7">
        <f t="shared" si="10"/>
        <v>0</v>
      </c>
      <c r="Y44" s="3"/>
      <c r="Z44" s="8">
        <f t="shared" si="11"/>
        <v>0</v>
      </c>
    </row>
    <row r="45" spans="1:26" s="70" customFormat="1" ht="15" hidden="1" customHeight="1" outlineLevel="2" x14ac:dyDescent="0.3">
      <c r="A45" s="26"/>
      <c r="B45" s="12" t="str">
        <f>CONCATENATE("          ","6007"," - ","STUDENT HOURLY")</f>
        <v xml:space="preserve">          6007 - STUDENT HOURLY</v>
      </c>
      <c r="C45" s="12"/>
      <c r="D45" s="7">
        <v>38000.68</v>
      </c>
      <c r="E45" s="3"/>
      <c r="F45" s="8">
        <f t="shared" si="4"/>
        <v>0.13987870524697721</v>
      </c>
      <c r="G45" s="3"/>
      <c r="H45" s="7">
        <v>1415.6956</v>
      </c>
      <c r="I45" s="3"/>
      <c r="J45" s="8">
        <f t="shared" si="5"/>
        <v>3.788027153365139E-3</v>
      </c>
      <c r="K45" s="3"/>
      <c r="L45" s="7">
        <f t="shared" si="6"/>
        <v>36584.984400000001</v>
      </c>
      <c r="M45" s="3"/>
      <c r="N45" s="8">
        <f t="shared" si="7"/>
        <v>25.842408777706169</v>
      </c>
      <c r="O45" s="12"/>
      <c r="P45" s="7">
        <v>134977.24</v>
      </c>
      <c r="Q45" s="3"/>
      <c r="R45" s="8">
        <f t="shared" si="8"/>
        <v>0.12380138220126403</v>
      </c>
      <c r="S45" s="3"/>
      <c r="T45" s="7">
        <v>15577.346799999999</v>
      </c>
      <c r="U45" s="3"/>
      <c r="V45" s="8">
        <f t="shared" si="9"/>
        <v>1.0970472430408737E-2</v>
      </c>
      <c r="W45" s="3"/>
      <c r="X45" s="7">
        <f t="shared" si="10"/>
        <v>119399.89319999999</v>
      </c>
      <c r="Y45" s="3"/>
      <c r="Z45" s="8">
        <f t="shared" si="11"/>
        <v>7.6649698265689246</v>
      </c>
    </row>
    <row r="46" spans="1:26" s="70" customFormat="1" ht="15" hidden="1" customHeight="1" outlineLevel="2" x14ac:dyDescent="0.3">
      <c r="A46" s="26"/>
      <c r="B46" s="12" t="str">
        <f>CONCATENATE("          ","6008"," - ","STUDENT HOURLY-FICA EXEMPT")</f>
        <v xml:space="preserve">          6008 - STUDENT HOURLY-FICA EXEMPT</v>
      </c>
      <c r="C46" s="12"/>
      <c r="D46" s="7">
        <v>2093.52</v>
      </c>
      <c r="E46" s="3"/>
      <c r="F46" s="8">
        <f t="shared" si="4"/>
        <v>7.7061480744200295E-3</v>
      </c>
      <c r="G46" s="3"/>
      <c r="H46" s="7">
        <v>28819.117849999999</v>
      </c>
      <c r="I46" s="3"/>
      <c r="J46" s="8">
        <f t="shared" si="5"/>
        <v>7.711234035892317E-2</v>
      </c>
      <c r="K46" s="3"/>
      <c r="L46" s="7">
        <f t="shared" si="6"/>
        <v>-26725.597849999998</v>
      </c>
      <c r="M46" s="3"/>
      <c r="N46" s="8">
        <f t="shared" si="7"/>
        <v>-0.92735655508622727</v>
      </c>
      <c r="O46" s="12"/>
      <c r="P46" s="7">
        <v>3235.12</v>
      </c>
      <c r="Q46" s="3"/>
      <c r="R46" s="8">
        <f t="shared" si="8"/>
        <v>2.9672582398851339E-3</v>
      </c>
      <c r="S46" s="3"/>
      <c r="T46" s="7">
        <v>132878.59539999999</v>
      </c>
      <c r="U46" s="3"/>
      <c r="V46" s="8">
        <f t="shared" si="9"/>
        <v>9.3580825165113304E-2</v>
      </c>
      <c r="W46" s="3"/>
      <c r="X46" s="7">
        <f t="shared" si="10"/>
        <v>-129643.4754</v>
      </c>
      <c r="Y46" s="3"/>
      <c r="Z46" s="8">
        <f t="shared" si="11"/>
        <v>-0.97565356564568262</v>
      </c>
    </row>
    <row r="47" spans="1:26" s="70" customFormat="1" ht="15" hidden="1" customHeight="1" outlineLevel="2" x14ac:dyDescent="0.3">
      <c r="A47" s="26"/>
      <c r="B47" s="12" t="str">
        <f>CONCATENATE("          ","6009"," - ","TEMPORARY-SEASONAL")</f>
        <v xml:space="preserve">          6009 - TEMPORARY-SEASONAL</v>
      </c>
      <c r="C47" s="12"/>
      <c r="D47" s="7"/>
      <c r="E47" s="3"/>
      <c r="F47" s="8">
        <f t="shared" si="4"/>
        <v>0</v>
      </c>
      <c r="G47" s="3"/>
      <c r="H47" s="7">
        <v>0</v>
      </c>
      <c r="I47" s="3"/>
      <c r="J47" s="8">
        <f t="shared" si="5"/>
        <v>0</v>
      </c>
      <c r="K47" s="3"/>
      <c r="L47" s="7">
        <f t="shared" si="6"/>
        <v>0</v>
      </c>
      <c r="M47" s="3"/>
      <c r="N47" s="8">
        <f t="shared" si="7"/>
        <v>0</v>
      </c>
      <c r="O47" s="12"/>
      <c r="P47" s="7"/>
      <c r="Q47" s="3"/>
      <c r="R47" s="8">
        <f t="shared" si="8"/>
        <v>0</v>
      </c>
      <c r="S47" s="3"/>
      <c r="T47" s="7">
        <v>0</v>
      </c>
      <c r="U47" s="3"/>
      <c r="V47" s="8">
        <f t="shared" si="9"/>
        <v>0</v>
      </c>
      <c r="W47" s="3"/>
      <c r="X47" s="7">
        <f t="shared" si="10"/>
        <v>0</v>
      </c>
      <c r="Y47" s="3"/>
      <c r="Z47" s="8">
        <f t="shared" si="11"/>
        <v>0</v>
      </c>
    </row>
    <row r="48" spans="1:26" s="70" customFormat="1" ht="15" hidden="1" customHeight="1" outlineLevel="2" x14ac:dyDescent="0.3">
      <c r="A48" s="26"/>
      <c r="B48" s="12" t="str">
        <f>CONCATENATE("          ","6010"," - ","GRATUITY")</f>
        <v xml:space="preserve">          6010 - GRATUITY</v>
      </c>
      <c r="C48" s="12"/>
      <c r="D48" s="7"/>
      <c r="E48" s="3"/>
      <c r="F48" s="8">
        <f t="shared" si="4"/>
        <v>0</v>
      </c>
      <c r="G48" s="3"/>
      <c r="H48" s="7">
        <v>0</v>
      </c>
      <c r="I48" s="3"/>
      <c r="J48" s="8">
        <f t="shared" si="5"/>
        <v>0</v>
      </c>
      <c r="K48" s="3"/>
      <c r="L48" s="7">
        <f t="shared" si="6"/>
        <v>0</v>
      </c>
      <c r="M48" s="3"/>
      <c r="N48" s="8">
        <f t="shared" si="7"/>
        <v>0</v>
      </c>
      <c r="O48" s="12"/>
      <c r="P48" s="7"/>
      <c r="Q48" s="3"/>
      <c r="R48" s="8">
        <f t="shared" si="8"/>
        <v>0</v>
      </c>
      <c r="S48" s="3"/>
      <c r="T48" s="7">
        <v>0</v>
      </c>
      <c r="U48" s="3"/>
      <c r="V48" s="8">
        <f t="shared" si="9"/>
        <v>0</v>
      </c>
      <c r="W48" s="3"/>
      <c r="X48" s="7">
        <f t="shared" si="10"/>
        <v>0</v>
      </c>
      <c r="Y48" s="3"/>
      <c r="Z48" s="8">
        <f t="shared" si="11"/>
        <v>0</v>
      </c>
    </row>
    <row r="49" spans="1:26" s="69" customFormat="1" ht="15" customHeight="1" outlineLevel="1" collapsed="1" x14ac:dyDescent="0.3">
      <c r="A49" s="25"/>
      <c r="B49" s="14" t="str">
        <f>CONCATENATE("     ","Advertising/Promo                                 ")</f>
        <v xml:space="preserve">     Advertising/Promo                                 </v>
      </c>
      <c r="C49" s="14"/>
      <c r="D49" s="2">
        <f>SUM(OSRRefD22_2x_0)</f>
        <v>213.04</v>
      </c>
      <c r="E49" s="2"/>
      <c r="F49" s="6">
        <f t="shared" si="4"/>
        <v>7.8419016096069924E-4</v>
      </c>
      <c r="G49" s="2"/>
      <c r="H49" s="2">
        <f>SUM(OSRRefH22_2x_0)</f>
        <v>0</v>
      </c>
      <c r="I49" s="2"/>
      <c r="J49" s="6">
        <f t="shared" si="5"/>
        <v>0</v>
      </c>
      <c r="K49" s="2"/>
      <c r="L49" s="2">
        <f t="shared" si="6"/>
        <v>213.04</v>
      </c>
      <c r="M49" s="2"/>
      <c r="N49" s="6">
        <f t="shared" si="7"/>
        <v>0</v>
      </c>
      <c r="O49" s="14"/>
      <c r="P49" s="2">
        <f>SUM(OSRRefP22_2x_0)</f>
        <v>1541.88</v>
      </c>
      <c r="Q49" s="2"/>
      <c r="R49" s="6">
        <f t="shared" si="8"/>
        <v>1.4142152794684867E-3</v>
      </c>
      <c r="S49" s="2"/>
      <c r="T49" s="2">
        <f>SUM(OSRRefT22_2x_0)</f>
        <v>0</v>
      </c>
      <c r="U49" s="2"/>
      <c r="V49" s="6">
        <f t="shared" si="9"/>
        <v>0</v>
      </c>
      <c r="W49" s="2"/>
      <c r="X49" s="2">
        <f t="shared" si="10"/>
        <v>1541.88</v>
      </c>
      <c r="Y49" s="2"/>
      <c r="Z49" s="6">
        <f t="shared" si="11"/>
        <v>0</v>
      </c>
    </row>
    <row r="50" spans="1:26" s="70" customFormat="1" ht="15" hidden="1" customHeight="1" outlineLevel="2" x14ac:dyDescent="0.3">
      <c r="A50" s="26"/>
      <c r="B50" s="12" t="str">
        <f>CONCATENATE("          ","6362"," - ","ADVERTISING EXPENSE")</f>
        <v xml:space="preserve">          6362 - ADVERTISING EXPENSE</v>
      </c>
      <c r="C50" s="12"/>
      <c r="D50" s="7">
        <v>213.04</v>
      </c>
      <c r="E50" s="3"/>
      <c r="F50" s="8">
        <f t="shared" si="4"/>
        <v>7.8419016096069924E-4</v>
      </c>
      <c r="G50" s="3"/>
      <c r="H50" s="7"/>
      <c r="I50" s="3"/>
      <c r="J50" s="8">
        <f t="shared" si="5"/>
        <v>0</v>
      </c>
      <c r="K50" s="3"/>
      <c r="L50" s="7">
        <f t="shared" si="6"/>
        <v>213.04</v>
      </c>
      <c r="M50" s="3"/>
      <c r="N50" s="8">
        <f t="shared" si="7"/>
        <v>0</v>
      </c>
      <c r="O50" s="12"/>
      <c r="P50" s="7">
        <v>1541.88</v>
      </c>
      <c r="Q50" s="3"/>
      <c r="R50" s="8">
        <f t="shared" si="8"/>
        <v>1.4142152794684867E-3</v>
      </c>
      <c r="S50" s="3"/>
      <c r="T50" s="7"/>
      <c r="U50" s="3"/>
      <c r="V50" s="8">
        <f t="shared" si="9"/>
        <v>0</v>
      </c>
      <c r="W50" s="3"/>
      <c r="X50" s="7">
        <f t="shared" si="10"/>
        <v>1541.88</v>
      </c>
      <c r="Y50" s="3"/>
      <c r="Z50" s="8">
        <f t="shared" si="11"/>
        <v>0</v>
      </c>
    </row>
    <row r="51" spans="1:26" s="69" customFormat="1" ht="15" customHeight="1" outlineLevel="1" collapsed="1" x14ac:dyDescent="0.3">
      <c r="A51" s="25"/>
      <c r="B51" s="14" t="str">
        <f>CONCATENATE("     ","Bad Debts/Over/Short                              ")</f>
        <v xml:space="preserve">     Bad Debts/Over/Short                              </v>
      </c>
      <c r="C51" s="14"/>
      <c r="D51" s="2">
        <f>SUM(OSRRefD22_3x_0)</f>
        <v>52.57</v>
      </c>
      <c r="E51" s="2"/>
      <c r="F51" s="6">
        <f t="shared" si="4"/>
        <v>1.9350768288445343E-4</v>
      </c>
      <c r="G51" s="2"/>
      <c r="H51" s="2">
        <f>SUM(OSRRefH22_3x_0)</f>
        <v>0</v>
      </c>
      <c r="I51" s="2"/>
      <c r="J51" s="6">
        <f t="shared" si="5"/>
        <v>0</v>
      </c>
      <c r="K51" s="2"/>
      <c r="L51" s="2">
        <f t="shared" si="6"/>
        <v>52.57</v>
      </c>
      <c r="M51" s="2"/>
      <c r="N51" s="6">
        <f t="shared" si="7"/>
        <v>0</v>
      </c>
      <c r="O51" s="14"/>
      <c r="P51" s="2">
        <f>SUM(OSRRefP22_3x_0)</f>
        <v>-28.82</v>
      </c>
      <c r="Q51" s="2"/>
      <c r="R51" s="6">
        <f t="shared" si="8"/>
        <v>-2.6433759017745729E-5</v>
      </c>
      <c r="S51" s="2"/>
      <c r="T51" s="2">
        <f>SUM(OSRRefT22_3x_0)</f>
        <v>60</v>
      </c>
      <c r="U51" s="2"/>
      <c r="V51" s="6">
        <f t="shared" si="9"/>
        <v>4.225548511409685E-5</v>
      </c>
      <c r="W51" s="2"/>
      <c r="X51" s="2">
        <f t="shared" si="10"/>
        <v>-88.82</v>
      </c>
      <c r="Y51" s="2"/>
      <c r="Z51" s="6">
        <f t="shared" si="11"/>
        <v>-1.4803333333333333</v>
      </c>
    </row>
    <row r="52" spans="1:26" s="70" customFormat="1" ht="15" hidden="1" customHeight="1" outlineLevel="2" x14ac:dyDescent="0.3">
      <c r="A52" s="26"/>
      <c r="B52" s="12" t="str">
        <f>CONCATENATE("          ","6272"," - ","CASH (OVER/SHORT)")</f>
        <v xml:space="preserve">          6272 - CASH (OVER/SHORT)</v>
      </c>
      <c r="C52" s="12"/>
      <c r="D52" s="7">
        <v>52.57</v>
      </c>
      <c r="E52" s="3"/>
      <c r="F52" s="8">
        <f t="shared" si="4"/>
        <v>1.9350768288445343E-4</v>
      </c>
      <c r="G52" s="3"/>
      <c r="H52" s="7"/>
      <c r="I52" s="3"/>
      <c r="J52" s="8">
        <f t="shared" si="5"/>
        <v>0</v>
      </c>
      <c r="K52" s="3"/>
      <c r="L52" s="7">
        <f t="shared" si="6"/>
        <v>52.57</v>
      </c>
      <c r="M52" s="3"/>
      <c r="N52" s="8">
        <f t="shared" si="7"/>
        <v>0</v>
      </c>
      <c r="O52" s="12"/>
      <c r="P52" s="7">
        <v>-28.82</v>
      </c>
      <c r="Q52" s="3"/>
      <c r="R52" s="8">
        <f t="shared" si="8"/>
        <v>-2.6433759017745729E-5</v>
      </c>
      <c r="S52" s="3"/>
      <c r="T52" s="7">
        <v>60</v>
      </c>
      <c r="U52" s="3"/>
      <c r="V52" s="8">
        <f t="shared" si="9"/>
        <v>4.225548511409685E-5</v>
      </c>
      <c r="W52" s="3"/>
      <c r="X52" s="7">
        <f t="shared" si="10"/>
        <v>-88.82</v>
      </c>
      <c r="Y52" s="3"/>
      <c r="Z52" s="8">
        <f t="shared" si="11"/>
        <v>-1.4803333333333333</v>
      </c>
    </row>
    <row r="53" spans="1:26" s="69" customFormat="1" ht="15" customHeight="1" outlineLevel="1" collapsed="1" x14ac:dyDescent="0.3">
      <c r="A53" s="25"/>
      <c r="B53" s="14" t="str">
        <f>CONCATENATE("     ","Bank/card Fees                                    ")</f>
        <v xml:space="preserve">     Bank/card Fees                                    </v>
      </c>
      <c r="C53" s="14"/>
      <c r="D53" s="2">
        <f>SUM(OSRRefD22_4x_0)</f>
        <v>9440.35</v>
      </c>
      <c r="E53" s="2"/>
      <c r="F53" s="6">
        <f t="shared" si="4"/>
        <v>3.4749481721861326E-2</v>
      </c>
      <c r="G53" s="2"/>
      <c r="H53" s="2">
        <f>SUM(OSRRefH22_4x_0)</f>
        <v>16912</v>
      </c>
      <c r="I53" s="2"/>
      <c r="J53" s="6">
        <f t="shared" si="5"/>
        <v>4.5252040917349204E-2</v>
      </c>
      <c r="K53" s="2"/>
      <c r="L53" s="2">
        <f t="shared" si="6"/>
        <v>-7471.65</v>
      </c>
      <c r="M53" s="2"/>
      <c r="N53" s="6">
        <f t="shared" si="7"/>
        <v>-0.44179576631977291</v>
      </c>
      <c r="O53" s="14"/>
      <c r="P53" s="2">
        <f>SUM(OSRRefP22_4x_0)</f>
        <v>38774.01</v>
      </c>
      <c r="Q53" s="2"/>
      <c r="R53" s="6">
        <f t="shared" si="8"/>
        <v>3.5563595992077139E-2</v>
      </c>
      <c r="S53" s="2"/>
      <c r="T53" s="2">
        <f>SUM(OSRRefT22_4x_0)</f>
        <v>68302</v>
      </c>
      <c r="U53" s="2"/>
      <c r="V53" s="6">
        <f t="shared" si="9"/>
        <v>4.8102235737717387E-2</v>
      </c>
      <c r="W53" s="2"/>
      <c r="X53" s="2">
        <f t="shared" si="10"/>
        <v>-29527.989999999998</v>
      </c>
      <c r="Y53" s="2"/>
      <c r="Z53" s="6">
        <f t="shared" si="11"/>
        <v>-0.43231515914614504</v>
      </c>
    </row>
    <row r="54" spans="1:26" s="70" customFormat="1" ht="15" hidden="1" customHeight="1" outlineLevel="2" x14ac:dyDescent="0.3">
      <c r="A54" s="26"/>
      <c r="B54" s="12" t="str">
        <f>CONCATENATE("          ","6381"," - ","BANK/CREDIT CARD FEES")</f>
        <v xml:space="preserve">          6381 - BANK/CREDIT CARD FEES</v>
      </c>
      <c r="C54" s="12"/>
      <c r="D54" s="7">
        <v>9440.35</v>
      </c>
      <c r="E54" s="3"/>
      <c r="F54" s="8">
        <f t="shared" si="4"/>
        <v>3.4749481721861326E-2</v>
      </c>
      <c r="G54" s="3"/>
      <c r="H54" s="7">
        <v>16912</v>
      </c>
      <c r="I54" s="3"/>
      <c r="J54" s="8">
        <f t="shared" si="5"/>
        <v>4.5252040917349204E-2</v>
      </c>
      <c r="K54" s="3"/>
      <c r="L54" s="7">
        <f t="shared" si="6"/>
        <v>-7471.65</v>
      </c>
      <c r="M54" s="3"/>
      <c r="N54" s="8">
        <f t="shared" si="7"/>
        <v>-0.44179576631977291</v>
      </c>
      <c r="O54" s="12"/>
      <c r="P54" s="7">
        <v>38774.01</v>
      </c>
      <c r="Q54" s="3"/>
      <c r="R54" s="8">
        <f t="shared" si="8"/>
        <v>3.5563595992077139E-2</v>
      </c>
      <c r="S54" s="3"/>
      <c r="T54" s="7">
        <v>68302</v>
      </c>
      <c r="U54" s="3"/>
      <c r="V54" s="8">
        <f t="shared" si="9"/>
        <v>4.8102235737717387E-2</v>
      </c>
      <c r="W54" s="3"/>
      <c r="X54" s="7">
        <f t="shared" si="10"/>
        <v>-29527.989999999998</v>
      </c>
      <c r="Y54" s="3"/>
      <c r="Z54" s="8">
        <f t="shared" si="11"/>
        <v>-0.43231515914614504</v>
      </c>
    </row>
    <row r="55" spans="1:26" s="69" customFormat="1" ht="15" customHeight="1" outlineLevel="1" collapsed="1" x14ac:dyDescent="0.3">
      <c r="A55" s="25"/>
      <c r="B55" s="14" t="str">
        <f>CONCATENATE("     ","Depreciation                                      ")</f>
        <v xml:space="preserve">     Depreciation                                      </v>
      </c>
      <c r="C55" s="14"/>
      <c r="D55" s="2">
        <f>SUM(OSRRefD22_5x_0)</f>
        <v>32207.24</v>
      </c>
      <c r="E55" s="2"/>
      <c r="F55" s="6">
        <f t="shared" si="4"/>
        <v>0.11855332669780264</v>
      </c>
      <c r="G55" s="2"/>
      <c r="H55" s="2">
        <f>SUM(OSRRefH22_5x_0)</f>
        <v>32208</v>
      </c>
      <c r="I55" s="2"/>
      <c r="J55" s="6">
        <f t="shared" si="5"/>
        <v>8.61800930620851E-2</v>
      </c>
      <c r="K55" s="2"/>
      <c r="L55" s="2">
        <f t="shared" si="6"/>
        <v>-0.75999999999839929</v>
      </c>
      <c r="M55" s="2"/>
      <c r="N55" s="6">
        <f t="shared" si="7"/>
        <v>-2.3596621957227994E-5</v>
      </c>
      <c r="O55" s="14"/>
      <c r="P55" s="2">
        <f>SUM(OSRRefP22_5x_0)</f>
        <v>294551.7</v>
      </c>
      <c r="Q55" s="2"/>
      <c r="R55" s="6">
        <f t="shared" si="8"/>
        <v>0.27016338154293323</v>
      </c>
      <c r="S55" s="2"/>
      <c r="T55" s="2">
        <f>SUM(OSRRefT22_5x_0)</f>
        <v>294560</v>
      </c>
      <c r="U55" s="2"/>
      <c r="V55" s="6">
        <f t="shared" si="9"/>
        <v>0.20744626158680615</v>
      </c>
      <c r="W55" s="2"/>
      <c r="X55" s="2">
        <f t="shared" si="10"/>
        <v>-8.2999999999883585</v>
      </c>
      <c r="Y55" s="2"/>
      <c r="Z55" s="6">
        <f t="shared" si="11"/>
        <v>-2.81776208581897E-5</v>
      </c>
    </row>
    <row r="56" spans="1:26" s="70" customFormat="1" ht="15" hidden="1" customHeight="1" outlineLevel="2" x14ac:dyDescent="0.3">
      <c r="A56" s="26"/>
      <c r="B56" s="12" t="str">
        <f>CONCATENATE("          ","6321"," - ","BUILDING DEPRECIATION")</f>
        <v xml:space="preserve">          6321 - BUILDING DEPRECIATION</v>
      </c>
      <c r="C56" s="12"/>
      <c r="D56" s="7">
        <v>23539.4</v>
      </c>
      <c r="E56" s="3"/>
      <c r="F56" s="8">
        <f t="shared" si="4"/>
        <v>8.6647417738069304E-2</v>
      </c>
      <c r="G56" s="3"/>
      <c r="H56" s="7"/>
      <c r="I56" s="3"/>
      <c r="J56" s="8">
        <f t="shared" si="5"/>
        <v>0</v>
      </c>
      <c r="K56" s="3"/>
      <c r="L56" s="7">
        <f t="shared" si="6"/>
        <v>23539.4</v>
      </c>
      <c r="M56" s="3"/>
      <c r="N56" s="8">
        <f t="shared" si="7"/>
        <v>0</v>
      </c>
      <c r="O56" s="12"/>
      <c r="P56" s="7">
        <v>211942.74</v>
      </c>
      <c r="Q56" s="3"/>
      <c r="R56" s="8">
        <f t="shared" si="8"/>
        <v>0.19439428572938022</v>
      </c>
      <c r="S56" s="3"/>
      <c r="T56" s="7"/>
      <c r="U56" s="3"/>
      <c r="V56" s="8">
        <f t="shared" si="9"/>
        <v>0</v>
      </c>
      <c r="W56" s="3"/>
      <c r="X56" s="7">
        <f t="shared" si="10"/>
        <v>211942.74</v>
      </c>
      <c r="Y56" s="3"/>
      <c r="Z56" s="8">
        <f t="shared" si="11"/>
        <v>0</v>
      </c>
    </row>
    <row r="57" spans="1:26" s="70" customFormat="1" ht="15" hidden="1" customHeight="1" outlineLevel="2" x14ac:dyDescent="0.3">
      <c r="A57" s="26"/>
      <c r="B57" s="12" t="str">
        <f>CONCATENATE("          ","6322"," - ","EQUIPMENT DEPRECIATION EXPENSE")</f>
        <v xml:space="preserve">          6322 - EQUIPMENT DEPRECIATION EXPENSE</v>
      </c>
      <c r="C57" s="12"/>
      <c r="D57" s="7">
        <v>8667.84</v>
      </c>
      <c r="E57" s="3"/>
      <c r="F57" s="8">
        <f t="shared" si="4"/>
        <v>3.1905908959733324E-2</v>
      </c>
      <c r="G57" s="3"/>
      <c r="H57" s="7">
        <v>32208</v>
      </c>
      <c r="I57" s="3"/>
      <c r="J57" s="8">
        <f t="shared" si="5"/>
        <v>8.61800930620851E-2</v>
      </c>
      <c r="K57" s="3"/>
      <c r="L57" s="7">
        <f t="shared" si="6"/>
        <v>-23540.16</v>
      </c>
      <c r="M57" s="3"/>
      <c r="N57" s="8">
        <f t="shared" si="7"/>
        <v>-0.73087928464977647</v>
      </c>
      <c r="O57" s="12"/>
      <c r="P57" s="7">
        <v>82608.960000000006</v>
      </c>
      <c r="Q57" s="3"/>
      <c r="R57" s="8">
        <f t="shared" si="8"/>
        <v>7.576909581355297E-2</v>
      </c>
      <c r="S57" s="3"/>
      <c r="T57" s="7">
        <v>294560</v>
      </c>
      <c r="U57" s="3"/>
      <c r="V57" s="8">
        <f t="shared" si="9"/>
        <v>0.20744626158680615</v>
      </c>
      <c r="W57" s="3"/>
      <c r="X57" s="7">
        <f t="shared" si="10"/>
        <v>-211951.03999999998</v>
      </c>
      <c r="Y57" s="3"/>
      <c r="Z57" s="8">
        <f t="shared" si="11"/>
        <v>-0.71955133079847899</v>
      </c>
    </row>
    <row r="58" spans="1:26" s="69" customFormat="1" ht="15" customHeight="1" outlineLevel="1" collapsed="1" x14ac:dyDescent="0.3">
      <c r="A58" s="25"/>
      <c r="B58" s="14" t="str">
        <f>CONCATENATE("     ","Employees' Appreciation                           ")</f>
        <v xml:space="preserve">     Employees' Appreciation                           </v>
      </c>
      <c r="C58" s="14"/>
      <c r="D58" s="2">
        <f>SUM(OSRRefD22_6x_0)</f>
        <v>0</v>
      </c>
      <c r="E58" s="2"/>
      <c r="F58" s="6">
        <f t="shared" ref="F58:F89" si="12">IF(D$12=0,0,D58/D$12)</f>
        <v>0</v>
      </c>
      <c r="G58" s="2"/>
      <c r="H58" s="2">
        <f>SUM(OSRRefH22_6x_0)</f>
        <v>40</v>
      </c>
      <c r="I58" s="2"/>
      <c r="J58" s="6">
        <f t="shared" ref="J58:J89" si="13">IF(H$12=0,0,H58/H$12)</f>
        <v>1.070294250646859E-4</v>
      </c>
      <c r="K58" s="2"/>
      <c r="L58" s="2">
        <f t="shared" ref="L58:L89" si="14">+D58-H58</f>
        <v>-40</v>
      </c>
      <c r="M58" s="2"/>
      <c r="N58" s="6">
        <f t="shared" ref="N58:N89" si="15">IF(H58=0,0,L58/H58)</f>
        <v>-1</v>
      </c>
      <c r="O58" s="14"/>
      <c r="P58" s="2">
        <f>SUM(OSRRefP22_6x_0)</f>
        <v>314.87</v>
      </c>
      <c r="Q58" s="2"/>
      <c r="R58" s="6">
        <f t="shared" ref="R58:R89" si="16">IF(P$12=0,0,P58/P$12)</f>
        <v>2.8879936509082575E-4</v>
      </c>
      <c r="S58" s="2"/>
      <c r="T58" s="2">
        <f>SUM(OSRRefT22_6x_0)</f>
        <v>270</v>
      </c>
      <c r="U58" s="2"/>
      <c r="V58" s="6">
        <f t="shared" ref="V58:V89" si="17">IF(T$12=0,0,T58/T$12)</f>
        <v>1.9014968301343585E-4</v>
      </c>
      <c r="W58" s="2"/>
      <c r="X58" s="2">
        <f t="shared" ref="X58:X89" si="18">+P58-T58</f>
        <v>44.870000000000005</v>
      </c>
      <c r="Y58" s="2"/>
      <c r="Z58" s="6">
        <f t="shared" ref="Z58:Z89" si="19">IF(T58=0,0,X58/T58)</f>
        <v>0.16618518518518521</v>
      </c>
    </row>
    <row r="59" spans="1:26" s="70" customFormat="1" ht="15" hidden="1" customHeight="1" outlineLevel="2" x14ac:dyDescent="0.3">
      <c r="A59" s="26"/>
      <c r="B59" s="12" t="str">
        <f>CONCATENATE("          ","6277"," - ","EMPLOYEE APPRECIATION")</f>
        <v xml:space="preserve">          6277 - EMPLOYEE APPRECIATION</v>
      </c>
      <c r="C59" s="12"/>
      <c r="D59" s="7"/>
      <c r="E59" s="3"/>
      <c r="F59" s="8">
        <f t="shared" si="12"/>
        <v>0</v>
      </c>
      <c r="G59" s="3"/>
      <c r="H59" s="7">
        <v>40</v>
      </c>
      <c r="I59" s="3"/>
      <c r="J59" s="8">
        <f t="shared" si="13"/>
        <v>1.070294250646859E-4</v>
      </c>
      <c r="K59" s="3"/>
      <c r="L59" s="7">
        <f t="shared" si="14"/>
        <v>-40</v>
      </c>
      <c r="M59" s="3"/>
      <c r="N59" s="8">
        <f t="shared" si="15"/>
        <v>-1</v>
      </c>
      <c r="O59" s="12"/>
      <c r="P59" s="7">
        <v>314.87</v>
      </c>
      <c r="Q59" s="3"/>
      <c r="R59" s="8">
        <f t="shared" si="16"/>
        <v>2.8879936509082575E-4</v>
      </c>
      <c r="S59" s="3"/>
      <c r="T59" s="7">
        <v>270</v>
      </c>
      <c r="U59" s="3"/>
      <c r="V59" s="8">
        <f t="shared" si="17"/>
        <v>1.9014968301343585E-4</v>
      </c>
      <c r="W59" s="3"/>
      <c r="X59" s="7">
        <f t="shared" si="18"/>
        <v>44.870000000000005</v>
      </c>
      <c r="Y59" s="3"/>
      <c r="Z59" s="8">
        <f t="shared" si="19"/>
        <v>0.16618518518518521</v>
      </c>
    </row>
    <row r="60" spans="1:26" s="69" customFormat="1" ht="15" customHeight="1" outlineLevel="1" collapsed="1" x14ac:dyDescent="0.3">
      <c r="A60" s="25"/>
      <c r="B60" s="14" t="str">
        <f>CONCATENATE("     ","Equipment Rental                                  ")</f>
        <v xml:space="preserve">     Equipment Rental                                  </v>
      </c>
      <c r="C60" s="14"/>
      <c r="D60" s="2">
        <f>SUM(OSRRefD22_7x_0)</f>
        <v>632.67999999999995</v>
      </c>
      <c r="E60" s="2"/>
      <c r="F60" s="6">
        <f t="shared" si="12"/>
        <v>2.3288651475620314E-3</v>
      </c>
      <c r="G60" s="2"/>
      <c r="H60" s="2">
        <f>SUM(OSRRefH22_7x_0)</f>
        <v>775</v>
      </c>
      <c r="I60" s="2"/>
      <c r="J60" s="6">
        <f t="shared" si="13"/>
        <v>2.0736951106282895E-3</v>
      </c>
      <c r="K60" s="2"/>
      <c r="L60" s="2">
        <f t="shared" si="14"/>
        <v>-142.32000000000005</v>
      </c>
      <c r="M60" s="2"/>
      <c r="N60" s="6">
        <f t="shared" si="15"/>
        <v>-0.18363870967741941</v>
      </c>
      <c r="O60" s="14"/>
      <c r="P60" s="2">
        <f>SUM(OSRRefP22_7x_0)</f>
        <v>8023.34</v>
      </c>
      <c r="Q60" s="2"/>
      <c r="R60" s="6">
        <f t="shared" si="16"/>
        <v>7.3590227646578776E-3</v>
      </c>
      <c r="S60" s="2"/>
      <c r="T60" s="2">
        <f>SUM(OSRRefT22_7x_0)</f>
        <v>6975</v>
      </c>
      <c r="U60" s="2"/>
      <c r="V60" s="6">
        <f t="shared" si="17"/>
        <v>4.9122001445137588E-3</v>
      </c>
      <c r="W60" s="2"/>
      <c r="X60" s="2">
        <f t="shared" si="18"/>
        <v>1048.3400000000001</v>
      </c>
      <c r="Y60" s="2"/>
      <c r="Z60" s="6">
        <f t="shared" si="19"/>
        <v>0.15029964157706097</v>
      </c>
    </row>
    <row r="61" spans="1:26" s="70" customFormat="1" ht="15" hidden="1" customHeight="1" outlineLevel="2" x14ac:dyDescent="0.3">
      <c r="A61" s="26"/>
      <c r="B61" s="12" t="str">
        <f>CONCATENATE("          ","6351"," - ","EQUIPMENT RENTAL")</f>
        <v xml:space="preserve">          6351 - EQUIPMENT RENTAL</v>
      </c>
      <c r="C61" s="12"/>
      <c r="D61" s="7">
        <v>632.67999999999995</v>
      </c>
      <c r="E61" s="3"/>
      <c r="F61" s="8">
        <f t="shared" si="12"/>
        <v>2.3288651475620314E-3</v>
      </c>
      <c r="G61" s="3"/>
      <c r="H61" s="7">
        <v>775</v>
      </c>
      <c r="I61" s="3"/>
      <c r="J61" s="8">
        <f t="shared" si="13"/>
        <v>2.0736951106282895E-3</v>
      </c>
      <c r="K61" s="3"/>
      <c r="L61" s="7">
        <f t="shared" si="14"/>
        <v>-142.32000000000005</v>
      </c>
      <c r="M61" s="3"/>
      <c r="N61" s="8">
        <f t="shared" si="15"/>
        <v>-0.18363870967741941</v>
      </c>
      <c r="O61" s="12"/>
      <c r="P61" s="7">
        <v>8023.34</v>
      </c>
      <c r="Q61" s="3"/>
      <c r="R61" s="8">
        <f t="shared" si="16"/>
        <v>7.3590227646578776E-3</v>
      </c>
      <c r="S61" s="3"/>
      <c r="T61" s="7">
        <v>6975</v>
      </c>
      <c r="U61" s="3"/>
      <c r="V61" s="8">
        <f t="shared" si="17"/>
        <v>4.9122001445137588E-3</v>
      </c>
      <c r="W61" s="3"/>
      <c r="X61" s="7">
        <f t="shared" si="18"/>
        <v>1048.3400000000001</v>
      </c>
      <c r="Y61" s="3"/>
      <c r="Z61" s="8">
        <f t="shared" si="19"/>
        <v>0.15029964157706097</v>
      </c>
    </row>
    <row r="62" spans="1:26" s="69" customFormat="1" ht="15" customHeight="1" outlineLevel="1" collapsed="1" x14ac:dyDescent="0.3">
      <c r="A62" s="25"/>
      <c r="B62" s="14" t="str">
        <f>CONCATENATE("     ","General                                           ")</f>
        <v xml:space="preserve">     General                                           </v>
      </c>
      <c r="C62" s="14"/>
      <c r="D62" s="2">
        <f>SUM(OSRRefD22_8x_0)</f>
        <v>1494.65</v>
      </c>
      <c r="E62" s="2"/>
      <c r="F62" s="6">
        <f t="shared" si="12"/>
        <v>5.5017359372883457E-3</v>
      </c>
      <c r="G62" s="2"/>
      <c r="H62" s="2">
        <f>SUM(OSRRefH22_8x_0)</f>
        <v>250</v>
      </c>
      <c r="I62" s="2"/>
      <c r="J62" s="6">
        <f t="shared" si="13"/>
        <v>6.6893390665428694E-4</v>
      </c>
      <c r="K62" s="2"/>
      <c r="L62" s="2">
        <f t="shared" si="14"/>
        <v>1244.6500000000001</v>
      </c>
      <c r="M62" s="2"/>
      <c r="N62" s="6">
        <f t="shared" si="15"/>
        <v>4.9786000000000001</v>
      </c>
      <c r="O62" s="14"/>
      <c r="P62" s="2">
        <f>SUM(OSRRefP22_8x_0)</f>
        <v>19956.09</v>
      </c>
      <c r="Q62" s="2"/>
      <c r="R62" s="6">
        <f t="shared" si="16"/>
        <v>1.8303763844429055E-2</v>
      </c>
      <c r="S62" s="2"/>
      <c r="T62" s="2">
        <f>SUM(OSRRefT22_8x_0)</f>
        <v>5690</v>
      </c>
      <c r="U62" s="2"/>
      <c r="V62" s="6">
        <f t="shared" si="17"/>
        <v>4.0072285049868516E-3</v>
      </c>
      <c r="W62" s="2"/>
      <c r="X62" s="2">
        <f t="shared" si="18"/>
        <v>14266.09</v>
      </c>
      <c r="Y62" s="2"/>
      <c r="Z62" s="6">
        <f t="shared" si="19"/>
        <v>2.5072214411247802</v>
      </c>
    </row>
    <row r="63" spans="1:26" s="70" customFormat="1" ht="15" hidden="1" customHeight="1" outlineLevel="2" x14ac:dyDescent="0.3">
      <c r="A63" s="26"/>
      <c r="B63" s="12" t="str">
        <f>CONCATENATE("          ","6269"," - ","ENTERTAINMENT")</f>
        <v xml:space="preserve">          6269 - ENTERTAINMENT</v>
      </c>
      <c r="C63" s="12"/>
      <c r="D63" s="7"/>
      <c r="E63" s="3"/>
      <c r="F63" s="8">
        <f t="shared" si="12"/>
        <v>0</v>
      </c>
      <c r="G63" s="3"/>
      <c r="H63" s="7">
        <v>250</v>
      </c>
      <c r="I63" s="3"/>
      <c r="J63" s="8">
        <f t="shared" si="13"/>
        <v>6.6893390665428694E-4</v>
      </c>
      <c r="K63" s="3"/>
      <c r="L63" s="7">
        <f t="shared" si="14"/>
        <v>-250</v>
      </c>
      <c r="M63" s="3"/>
      <c r="N63" s="8">
        <f t="shared" si="15"/>
        <v>-1</v>
      </c>
      <c r="O63" s="12"/>
      <c r="P63" s="7"/>
      <c r="Q63" s="3"/>
      <c r="R63" s="8">
        <f t="shared" si="16"/>
        <v>0</v>
      </c>
      <c r="S63" s="3"/>
      <c r="T63" s="7">
        <v>500</v>
      </c>
      <c r="U63" s="3"/>
      <c r="V63" s="8">
        <f t="shared" si="17"/>
        <v>3.5212904261747375E-4</v>
      </c>
      <c r="W63" s="3"/>
      <c r="X63" s="7">
        <f t="shared" si="18"/>
        <v>-500</v>
      </c>
      <c r="Y63" s="3"/>
      <c r="Z63" s="8">
        <f t="shared" si="19"/>
        <v>-1</v>
      </c>
    </row>
    <row r="64" spans="1:26" s="70" customFormat="1" ht="15" hidden="1" customHeight="1" outlineLevel="2" x14ac:dyDescent="0.3">
      <c r="A64" s="26"/>
      <c r="B64" s="12" t="str">
        <f>CONCATENATE("          ","6279"," - ","GENERAL EXPENSE")</f>
        <v xml:space="preserve">          6279 - GENERAL EXPENSE</v>
      </c>
      <c r="C64" s="12"/>
      <c r="D64" s="7">
        <v>1494.65</v>
      </c>
      <c r="E64" s="3"/>
      <c r="F64" s="8">
        <f t="shared" si="12"/>
        <v>5.5017359372883457E-3</v>
      </c>
      <c r="G64" s="3"/>
      <c r="H64" s="7"/>
      <c r="I64" s="3"/>
      <c r="J64" s="8">
        <f t="shared" si="13"/>
        <v>0</v>
      </c>
      <c r="K64" s="3"/>
      <c r="L64" s="7">
        <f t="shared" si="14"/>
        <v>1494.65</v>
      </c>
      <c r="M64" s="3"/>
      <c r="N64" s="8">
        <f t="shared" si="15"/>
        <v>0</v>
      </c>
      <c r="O64" s="12"/>
      <c r="P64" s="7">
        <v>19956.09</v>
      </c>
      <c r="Q64" s="3"/>
      <c r="R64" s="8">
        <f t="shared" si="16"/>
        <v>1.8303763844429055E-2</v>
      </c>
      <c r="S64" s="3"/>
      <c r="T64" s="7">
        <v>5190</v>
      </c>
      <c r="U64" s="3"/>
      <c r="V64" s="8">
        <f t="shared" si="17"/>
        <v>3.6550994623693778E-3</v>
      </c>
      <c r="W64" s="3"/>
      <c r="X64" s="7">
        <f t="shared" si="18"/>
        <v>14766.09</v>
      </c>
      <c r="Y64" s="3"/>
      <c r="Z64" s="8">
        <f t="shared" si="19"/>
        <v>2.8451040462427746</v>
      </c>
    </row>
    <row r="65" spans="1:26" s="69" customFormat="1" ht="15" customHeight="1" outlineLevel="1" collapsed="1" x14ac:dyDescent="0.3">
      <c r="A65" s="25"/>
      <c r="B65" s="14" t="str">
        <f>CONCATENATE("     ","Insurance                                         ")</f>
        <v xml:space="preserve">     Insurance                                         </v>
      </c>
      <c r="C65" s="14"/>
      <c r="D65" s="2">
        <f>SUM(OSRRefD22_9x_0)</f>
        <v>5756.21</v>
      </c>
      <c r="E65" s="2"/>
      <c r="F65" s="6">
        <f t="shared" si="12"/>
        <v>2.1188336680546312E-2</v>
      </c>
      <c r="G65" s="2"/>
      <c r="H65" s="2">
        <f>SUM(OSRRefH22_9x_0)</f>
        <v>5670</v>
      </c>
      <c r="I65" s="2"/>
      <c r="J65" s="6">
        <f t="shared" si="13"/>
        <v>1.5171421002919228E-2</v>
      </c>
      <c r="K65" s="2"/>
      <c r="L65" s="2">
        <f t="shared" si="14"/>
        <v>86.210000000000036</v>
      </c>
      <c r="M65" s="2"/>
      <c r="N65" s="6">
        <f t="shared" si="15"/>
        <v>1.5204585537918877E-2</v>
      </c>
      <c r="O65" s="14"/>
      <c r="P65" s="2">
        <f>SUM(OSRRefP22_9x_0)</f>
        <v>58688.89</v>
      </c>
      <c r="Q65" s="2"/>
      <c r="R65" s="6">
        <f t="shared" si="16"/>
        <v>5.3829561945835776E-2</v>
      </c>
      <c r="S65" s="2"/>
      <c r="T65" s="2">
        <f>SUM(OSRRefT22_9x_0)</f>
        <v>51030</v>
      </c>
      <c r="U65" s="2"/>
      <c r="V65" s="6">
        <f t="shared" si="17"/>
        <v>3.5938290089539374E-2</v>
      </c>
      <c r="W65" s="2"/>
      <c r="X65" s="2">
        <f t="shared" si="18"/>
        <v>7658.8899999999994</v>
      </c>
      <c r="Y65" s="2"/>
      <c r="Z65" s="6">
        <f t="shared" si="19"/>
        <v>0.15008602782676855</v>
      </c>
    </row>
    <row r="66" spans="1:26" s="70" customFormat="1" ht="15" hidden="1" customHeight="1" outlineLevel="2" x14ac:dyDescent="0.3">
      <c r="A66" s="26"/>
      <c r="B66" s="12" t="str">
        <f>CONCATENATE("          ","6314"," - ","LIABILITY INSURANCE")</f>
        <v xml:space="preserve">          6314 - LIABILITY INSURANCE</v>
      </c>
      <c r="C66" s="12"/>
      <c r="D66" s="7">
        <v>5756.21</v>
      </c>
      <c r="E66" s="3"/>
      <c r="F66" s="8">
        <f t="shared" si="12"/>
        <v>2.1188336680546312E-2</v>
      </c>
      <c r="G66" s="3"/>
      <c r="H66" s="7">
        <v>5670</v>
      </c>
      <c r="I66" s="3"/>
      <c r="J66" s="8">
        <f t="shared" si="13"/>
        <v>1.5171421002919228E-2</v>
      </c>
      <c r="K66" s="3"/>
      <c r="L66" s="7">
        <f t="shared" si="14"/>
        <v>86.210000000000036</v>
      </c>
      <c r="M66" s="3"/>
      <c r="N66" s="8">
        <f t="shared" si="15"/>
        <v>1.5204585537918877E-2</v>
      </c>
      <c r="O66" s="12"/>
      <c r="P66" s="7">
        <v>58688.89</v>
      </c>
      <c r="Q66" s="3"/>
      <c r="R66" s="8">
        <f t="shared" si="16"/>
        <v>5.3829561945835776E-2</v>
      </c>
      <c r="S66" s="3"/>
      <c r="T66" s="7">
        <v>51030</v>
      </c>
      <c r="U66" s="3"/>
      <c r="V66" s="8">
        <f t="shared" si="17"/>
        <v>3.5938290089539374E-2</v>
      </c>
      <c r="W66" s="3"/>
      <c r="X66" s="7">
        <f t="shared" si="18"/>
        <v>7658.8899999999994</v>
      </c>
      <c r="Y66" s="3"/>
      <c r="Z66" s="8">
        <f t="shared" si="19"/>
        <v>0.15008602782676855</v>
      </c>
    </row>
    <row r="67" spans="1:26" s="69" customFormat="1" ht="15" customHeight="1" outlineLevel="1" collapsed="1" x14ac:dyDescent="0.3">
      <c r="A67" s="25"/>
      <c r="B67" s="14" t="str">
        <f>CONCATENATE("     ","Interest                                          ")</f>
        <v xml:space="preserve">     Interest                                          </v>
      </c>
      <c r="C67" s="14"/>
      <c r="D67" s="2">
        <f>SUM(OSRRefD22_10x_0)</f>
        <v>7253</v>
      </c>
      <c r="E67" s="2"/>
      <c r="F67" s="6">
        <f t="shared" si="12"/>
        <v>2.6697949856590086E-2</v>
      </c>
      <c r="G67" s="2"/>
      <c r="H67" s="2">
        <f>SUM(OSRRefH22_10x_0)</f>
        <v>7253</v>
      </c>
      <c r="I67" s="2"/>
      <c r="J67" s="6">
        <f t="shared" si="13"/>
        <v>1.9407110499854174E-2</v>
      </c>
      <c r="K67" s="2"/>
      <c r="L67" s="2">
        <f t="shared" si="14"/>
        <v>0</v>
      </c>
      <c r="M67" s="2"/>
      <c r="N67" s="6">
        <f t="shared" si="15"/>
        <v>0</v>
      </c>
      <c r="O67" s="14"/>
      <c r="P67" s="2">
        <f>SUM(OSRRefP22_10x_0)</f>
        <v>64763</v>
      </c>
      <c r="Q67" s="2"/>
      <c r="R67" s="6">
        <f t="shared" si="16"/>
        <v>5.9400747233388854E-2</v>
      </c>
      <c r="S67" s="2"/>
      <c r="T67" s="2">
        <f>SUM(OSRRefT22_10x_0)</f>
        <v>65277</v>
      </c>
      <c r="U67" s="2"/>
      <c r="V67" s="6">
        <f t="shared" si="17"/>
        <v>4.5971855029881672E-2</v>
      </c>
      <c r="W67" s="2"/>
      <c r="X67" s="2">
        <f t="shared" si="18"/>
        <v>-514</v>
      </c>
      <c r="Y67" s="2"/>
      <c r="Z67" s="6">
        <f t="shared" si="19"/>
        <v>-7.8741363726886962E-3</v>
      </c>
    </row>
    <row r="68" spans="1:26" s="70" customFormat="1" ht="15" hidden="1" customHeight="1" outlineLevel="2" x14ac:dyDescent="0.3">
      <c r="A68" s="26"/>
      <c r="B68" s="12" t="str">
        <f>CONCATENATE("          ","6401"," - ","INTEREST EXPENSE")</f>
        <v xml:space="preserve">          6401 - INTEREST EXPENSE</v>
      </c>
      <c r="C68" s="12"/>
      <c r="D68" s="7">
        <v>7253</v>
      </c>
      <c r="E68" s="3"/>
      <c r="F68" s="8">
        <f t="shared" si="12"/>
        <v>2.6697949856590086E-2</v>
      </c>
      <c r="G68" s="3"/>
      <c r="H68" s="7">
        <v>7253</v>
      </c>
      <c r="I68" s="3"/>
      <c r="J68" s="8">
        <f t="shared" si="13"/>
        <v>1.9407110499854174E-2</v>
      </c>
      <c r="K68" s="3"/>
      <c r="L68" s="7">
        <f t="shared" si="14"/>
        <v>0</v>
      </c>
      <c r="M68" s="3"/>
      <c r="N68" s="8">
        <f t="shared" si="15"/>
        <v>0</v>
      </c>
      <c r="O68" s="12"/>
      <c r="P68" s="7">
        <v>64763</v>
      </c>
      <c r="Q68" s="3"/>
      <c r="R68" s="8">
        <f t="shared" si="16"/>
        <v>5.9400747233388854E-2</v>
      </c>
      <c r="S68" s="3"/>
      <c r="T68" s="7">
        <v>65277</v>
      </c>
      <c r="U68" s="3"/>
      <c r="V68" s="8">
        <f t="shared" si="17"/>
        <v>4.5971855029881672E-2</v>
      </c>
      <c r="W68" s="3"/>
      <c r="X68" s="7">
        <f t="shared" si="18"/>
        <v>-514</v>
      </c>
      <c r="Y68" s="3"/>
      <c r="Z68" s="8">
        <f t="shared" si="19"/>
        <v>-7.8741363726886962E-3</v>
      </c>
    </row>
    <row r="69" spans="1:26" s="69" customFormat="1" ht="15" customHeight="1" outlineLevel="1" collapsed="1" x14ac:dyDescent="0.3">
      <c r="A69" s="25"/>
      <c r="B69" s="14" t="str">
        <f>CONCATENATE("     ","Rent                                              ")</f>
        <v xml:space="preserve">     Rent                                              </v>
      </c>
      <c r="C69" s="14"/>
      <c r="D69" s="2">
        <f>SUM(OSRRefD22_11x_0)</f>
        <v>1850</v>
      </c>
      <c r="E69" s="2"/>
      <c r="F69" s="6">
        <f t="shared" si="12"/>
        <v>6.8097624754848551E-3</v>
      </c>
      <c r="G69" s="2"/>
      <c r="H69" s="2">
        <f>SUM(OSRRefH22_11x_0)</f>
        <v>1850</v>
      </c>
      <c r="I69" s="2"/>
      <c r="J69" s="6">
        <f t="shared" si="13"/>
        <v>4.9501109092417233E-3</v>
      </c>
      <c r="K69" s="2"/>
      <c r="L69" s="2">
        <f t="shared" si="14"/>
        <v>0</v>
      </c>
      <c r="M69" s="2"/>
      <c r="N69" s="6">
        <f t="shared" si="15"/>
        <v>0</v>
      </c>
      <c r="O69" s="14"/>
      <c r="P69" s="2">
        <f>SUM(OSRRefP22_11x_0)</f>
        <v>16650</v>
      </c>
      <c r="Q69" s="2"/>
      <c r="R69" s="6">
        <f t="shared" si="16"/>
        <v>1.5271411785061291E-2</v>
      </c>
      <c r="S69" s="2"/>
      <c r="T69" s="2">
        <f>SUM(OSRRefT22_11x_0)</f>
        <v>16650</v>
      </c>
      <c r="U69" s="2"/>
      <c r="V69" s="6">
        <f t="shared" si="17"/>
        <v>1.1725897119161877E-2</v>
      </c>
      <c r="W69" s="2"/>
      <c r="X69" s="2">
        <f t="shared" si="18"/>
        <v>0</v>
      </c>
      <c r="Y69" s="2"/>
      <c r="Z69" s="6">
        <f t="shared" si="19"/>
        <v>0</v>
      </c>
    </row>
    <row r="70" spans="1:26" s="70" customFormat="1" ht="15" hidden="1" customHeight="1" outlineLevel="2" x14ac:dyDescent="0.3">
      <c r="A70" s="26"/>
      <c r="B70" s="12" t="str">
        <f>CONCATENATE("          ","6273"," - ","RENT")</f>
        <v xml:space="preserve">          6273 - RENT</v>
      </c>
      <c r="C70" s="12"/>
      <c r="D70" s="7">
        <v>1850</v>
      </c>
      <c r="E70" s="3"/>
      <c r="F70" s="8">
        <f t="shared" si="12"/>
        <v>6.8097624754848551E-3</v>
      </c>
      <c r="G70" s="3"/>
      <c r="H70" s="7">
        <v>1850</v>
      </c>
      <c r="I70" s="3"/>
      <c r="J70" s="8">
        <f t="shared" si="13"/>
        <v>4.9501109092417233E-3</v>
      </c>
      <c r="K70" s="3"/>
      <c r="L70" s="7">
        <f t="shared" si="14"/>
        <v>0</v>
      </c>
      <c r="M70" s="3"/>
      <c r="N70" s="8">
        <f t="shared" si="15"/>
        <v>0</v>
      </c>
      <c r="O70" s="12"/>
      <c r="P70" s="7">
        <v>16650</v>
      </c>
      <c r="Q70" s="3"/>
      <c r="R70" s="8">
        <f t="shared" si="16"/>
        <v>1.5271411785061291E-2</v>
      </c>
      <c r="S70" s="3"/>
      <c r="T70" s="7">
        <v>16650</v>
      </c>
      <c r="U70" s="3"/>
      <c r="V70" s="8">
        <f t="shared" si="17"/>
        <v>1.1725897119161877E-2</v>
      </c>
      <c r="W70" s="3"/>
      <c r="X70" s="7">
        <f t="shared" si="18"/>
        <v>0</v>
      </c>
      <c r="Y70" s="3"/>
      <c r="Z70" s="8">
        <f t="shared" si="19"/>
        <v>0</v>
      </c>
    </row>
    <row r="71" spans="1:26" s="69" customFormat="1" ht="15" customHeight="1" outlineLevel="1" collapsed="1" x14ac:dyDescent="0.3">
      <c r="A71" s="25"/>
      <c r="B71" s="14" t="str">
        <f>CONCATENATE("     ","Repair and Maintenance                            ")</f>
        <v xml:space="preserve">     Repair and Maintenance                            </v>
      </c>
      <c r="C71" s="14"/>
      <c r="D71" s="2">
        <f>SUM(OSRRefD22_12x_0)</f>
        <v>4021.2799999999997</v>
      </c>
      <c r="E71" s="2"/>
      <c r="F71" s="6">
        <f t="shared" si="12"/>
        <v>1.4802141431036616E-2</v>
      </c>
      <c r="G71" s="2"/>
      <c r="H71" s="2">
        <f>SUM(OSRRefH22_12x_0)</f>
        <v>3450</v>
      </c>
      <c r="I71" s="2"/>
      <c r="J71" s="6">
        <f t="shared" si="13"/>
        <v>9.2312879118291603E-3</v>
      </c>
      <c r="K71" s="2"/>
      <c r="L71" s="2">
        <f t="shared" si="14"/>
        <v>571.27999999999975</v>
      </c>
      <c r="M71" s="2"/>
      <c r="N71" s="6">
        <f t="shared" si="15"/>
        <v>0.16558840579710138</v>
      </c>
      <c r="O71" s="14"/>
      <c r="P71" s="2">
        <f>SUM(OSRRefP22_12x_0)</f>
        <v>65875.64</v>
      </c>
      <c r="Q71" s="2"/>
      <c r="R71" s="6">
        <f t="shared" si="16"/>
        <v>6.0421262765432728E-2</v>
      </c>
      <c r="S71" s="2"/>
      <c r="T71" s="2">
        <f>SUM(OSRRefT22_12x_0)</f>
        <v>43309</v>
      </c>
      <c r="U71" s="2"/>
      <c r="V71" s="6">
        <f t="shared" si="17"/>
        <v>3.0500713413440343E-2</v>
      </c>
      <c r="W71" s="2"/>
      <c r="X71" s="2">
        <f t="shared" si="18"/>
        <v>22566.639999999999</v>
      </c>
      <c r="Y71" s="2"/>
      <c r="Z71" s="6">
        <f t="shared" si="19"/>
        <v>0.5210612112955737</v>
      </c>
    </row>
    <row r="72" spans="1:26" s="70" customFormat="1" ht="15" hidden="1" customHeight="1" outlineLevel="2" x14ac:dyDescent="0.3">
      <c r="A72" s="26"/>
      <c r="B72" s="12" t="str">
        <f>CONCATENATE("          ","6371"," - ","COMPUTER SOFTWARE MAINTENANCE")</f>
        <v xml:space="preserve">          6371 - COMPUTER SOFTWARE MAINTENANCE</v>
      </c>
      <c r="C72" s="12"/>
      <c r="D72" s="7">
        <v>783.7</v>
      </c>
      <c r="E72" s="3"/>
      <c r="F72" s="8">
        <f t="shared" si="12"/>
        <v>2.884762622722963E-3</v>
      </c>
      <c r="G72" s="3"/>
      <c r="H72" s="7"/>
      <c r="I72" s="3"/>
      <c r="J72" s="8">
        <f t="shared" si="13"/>
        <v>0</v>
      </c>
      <c r="K72" s="3"/>
      <c r="L72" s="7">
        <f t="shared" si="14"/>
        <v>783.7</v>
      </c>
      <c r="M72" s="3"/>
      <c r="N72" s="8">
        <f t="shared" si="15"/>
        <v>0</v>
      </c>
      <c r="O72" s="12"/>
      <c r="P72" s="7">
        <v>7600.87</v>
      </c>
      <c r="Q72" s="3"/>
      <c r="R72" s="8">
        <f t="shared" si="16"/>
        <v>6.9715324741572863E-3</v>
      </c>
      <c r="S72" s="3"/>
      <c r="T72" s="7"/>
      <c r="U72" s="3"/>
      <c r="V72" s="8">
        <f t="shared" si="17"/>
        <v>0</v>
      </c>
      <c r="W72" s="3"/>
      <c r="X72" s="7">
        <f t="shared" si="18"/>
        <v>7600.87</v>
      </c>
      <c r="Y72" s="3"/>
      <c r="Z72" s="8">
        <f t="shared" si="19"/>
        <v>0</v>
      </c>
    </row>
    <row r="73" spans="1:26" s="70" customFormat="1" ht="15" hidden="1" customHeight="1" outlineLevel="2" x14ac:dyDescent="0.3">
      <c r="A73" s="26"/>
      <c r="B73" s="12" t="str">
        <f>CONCATENATE("          ","6372"," - ","COMPUTER HARDWARE MAINTENANCE")</f>
        <v xml:space="preserve">          6372 - COMPUTER HARDWARE MAINTENANCE</v>
      </c>
      <c r="C73" s="12"/>
      <c r="D73" s="7"/>
      <c r="E73" s="3"/>
      <c r="F73" s="8">
        <f t="shared" si="12"/>
        <v>0</v>
      </c>
      <c r="G73" s="3"/>
      <c r="H73" s="7"/>
      <c r="I73" s="3"/>
      <c r="J73" s="8">
        <f t="shared" si="13"/>
        <v>0</v>
      </c>
      <c r="K73" s="3"/>
      <c r="L73" s="7">
        <f t="shared" si="14"/>
        <v>0</v>
      </c>
      <c r="M73" s="3"/>
      <c r="N73" s="8">
        <f t="shared" si="15"/>
        <v>0</v>
      </c>
      <c r="O73" s="12"/>
      <c r="P73" s="7"/>
      <c r="Q73" s="3"/>
      <c r="R73" s="8">
        <f t="shared" si="16"/>
        <v>0</v>
      </c>
      <c r="S73" s="3"/>
      <c r="T73" s="7">
        <v>8000</v>
      </c>
      <c r="U73" s="3"/>
      <c r="V73" s="8">
        <f t="shared" si="17"/>
        <v>5.63406468187958E-3</v>
      </c>
      <c r="W73" s="3"/>
      <c r="X73" s="7">
        <f t="shared" si="18"/>
        <v>-8000</v>
      </c>
      <c r="Y73" s="3"/>
      <c r="Z73" s="8">
        <f t="shared" si="19"/>
        <v>-1</v>
      </c>
    </row>
    <row r="74" spans="1:26" s="70" customFormat="1" ht="15" hidden="1" customHeight="1" outlineLevel="2" x14ac:dyDescent="0.3">
      <c r="A74" s="26"/>
      <c r="B74" s="12" t="str">
        <f>CONCATENATE("          ","6373"," - ","MAINTENANCE CONTRACTS")</f>
        <v xml:space="preserve">          6373 - MAINTENANCE CONTRACTS</v>
      </c>
      <c r="C74" s="12"/>
      <c r="D74" s="7">
        <v>1890.26</v>
      </c>
      <c r="E74" s="3"/>
      <c r="F74" s="8">
        <f t="shared" si="12"/>
        <v>6.9579576307621637E-3</v>
      </c>
      <c r="G74" s="3"/>
      <c r="H74" s="7"/>
      <c r="I74" s="3"/>
      <c r="J74" s="8">
        <f t="shared" si="13"/>
        <v>0</v>
      </c>
      <c r="K74" s="3"/>
      <c r="L74" s="7">
        <f t="shared" si="14"/>
        <v>1890.26</v>
      </c>
      <c r="M74" s="3"/>
      <c r="N74" s="8">
        <f t="shared" si="15"/>
        <v>0</v>
      </c>
      <c r="O74" s="12"/>
      <c r="P74" s="7">
        <v>16534.150000000001</v>
      </c>
      <c r="Q74" s="3"/>
      <c r="R74" s="8">
        <f t="shared" si="16"/>
        <v>1.5165153943902172E-2</v>
      </c>
      <c r="S74" s="3"/>
      <c r="T74" s="7">
        <v>4615</v>
      </c>
      <c r="U74" s="3"/>
      <c r="V74" s="8">
        <f t="shared" si="17"/>
        <v>3.2501510633592828E-3</v>
      </c>
      <c r="W74" s="3"/>
      <c r="X74" s="7">
        <f t="shared" si="18"/>
        <v>11919.150000000001</v>
      </c>
      <c r="Y74" s="3"/>
      <c r="Z74" s="8">
        <f t="shared" si="19"/>
        <v>2.5826977248104011</v>
      </c>
    </row>
    <row r="75" spans="1:26" s="70" customFormat="1" ht="15" hidden="1" customHeight="1" outlineLevel="2" x14ac:dyDescent="0.3">
      <c r="A75" s="26"/>
      <c r="B75" s="12" t="str">
        <f>CONCATENATE("          ","6375"," - ","OUTSIDE REPAIRS &amp; MAINTENANCE")</f>
        <v xml:space="preserve">          6375 - OUTSIDE REPAIRS &amp; MAINTENANCE</v>
      </c>
      <c r="C75" s="12"/>
      <c r="D75" s="7">
        <v>1347.32</v>
      </c>
      <c r="E75" s="3"/>
      <c r="F75" s="8">
        <f t="shared" si="12"/>
        <v>4.9594211775514895E-3</v>
      </c>
      <c r="G75" s="3"/>
      <c r="H75" s="7">
        <v>3450</v>
      </c>
      <c r="I75" s="3"/>
      <c r="J75" s="8">
        <f t="shared" si="13"/>
        <v>9.2312879118291603E-3</v>
      </c>
      <c r="K75" s="3"/>
      <c r="L75" s="7">
        <f t="shared" si="14"/>
        <v>-2102.6800000000003</v>
      </c>
      <c r="M75" s="3"/>
      <c r="N75" s="8">
        <f t="shared" si="15"/>
        <v>-0.60947246376811604</v>
      </c>
      <c r="O75" s="12"/>
      <c r="P75" s="7">
        <v>41740.620000000003</v>
      </c>
      <c r="Q75" s="3"/>
      <c r="R75" s="8">
        <f t="shared" si="16"/>
        <v>3.8284576347373277E-2</v>
      </c>
      <c r="S75" s="3"/>
      <c r="T75" s="7">
        <v>30694</v>
      </c>
      <c r="U75" s="3"/>
      <c r="V75" s="8">
        <f t="shared" si="17"/>
        <v>2.1616497668201479E-2</v>
      </c>
      <c r="W75" s="3"/>
      <c r="X75" s="7">
        <f t="shared" si="18"/>
        <v>11046.620000000003</v>
      </c>
      <c r="Y75" s="3"/>
      <c r="Z75" s="8">
        <f t="shared" si="19"/>
        <v>0.35989509350361643</v>
      </c>
    </row>
    <row r="76" spans="1:26" s="69" customFormat="1" ht="15" customHeight="1" outlineLevel="1" collapsed="1" x14ac:dyDescent="0.3">
      <c r="A76" s="25"/>
      <c r="B76" s="14" t="str">
        <f>CONCATENATE("     ","Royalty &amp; Commissions                             ")</f>
        <v xml:space="preserve">     Royalty &amp; Commissions                             </v>
      </c>
      <c r="C76" s="14"/>
      <c r="D76" s="2">
        <f>SUM(OSRRefD22_13x_0)</f>
        <v>583.67999999999995</v>
      </c>
      <c r="E76" s="2"/>
      <c r="F76" s="6">
        <f t="shared" si="12"/>
        <v>2.1484984657789189E-3</v>
      </c>
      <c r="G76" s="2"/>
      <c r="H76" s="2">
        <f>SUM(OSRRefH22_13x_0)</f>
        <v>0</v>
      </c>
      <c r="I76" s="2"/>
      <c r="J76" s="6">
        <f t="shared" si="13"/>
        <v>0</v>
      </c>
      <c r="K76" s="2"/>
      <c r="L76" s="2">
        <f t="shared" si="14"/>
        <v>583.67999999999995</v>
      </c>
      <c r="M76" s="2"/>
      <c r="N76" s="6">
        <f t="shared" si="15"/>
        <v>0</v>
      </c>
      <c r="O76" s="14"/>
      <c r="P76" s="2">
        <f>SUM(OSRRefP22_13x_0)</f>
        <v>4217.71</v>
      </c>
      <c r="Q76" s="2"/>
      <c r="R76" s="6">
        <f t="shared" si="16"/>
        <v>3.8684916636619131E-3</v>
      </c>
      <c r="S76" s="2"/>
      <c r="T76" s="2">
        <f>SUM(OSRRefT22_13x_0)</f>
        <v>0</v>
      </c>
      <c r="U76" s="2"/>
      <c r="V76" s="6">
        <f t="shared" si="17"/>
        <v>0</v>
      </c>
      <c r="W76" s="2"/>
      <c r="X76" s="2">
        <f t="shared" si="18"/>
        <v>4217.71</v>
      </c>
      <c r="Y76" s="2"/>
      <c r="Z76" s="6">
        <f t="shared" si="19"/>
        <v>0</v>
      </c>
    </row>
    <row r="77" spans="1:26" s="70" customFormat="1" ht="15" hidden="1" customHeight="1" outlineLevel="2" x14ac:dyDescent="0.3">
      <c r="A77" s="26"/>
      <c r="B77" s="12" t="str">
        <f>CONCATENATE("          ","6254"," - ","ROYALTY &amp; COMMISSIONS")</f>
        <v xml:space="preserve">          6254 - ROYALTY &amp; COMMISSIONS</v>
      </c>
      <c r="C77" s="12"/>
      <c r="D77" s="7">
        <v>583.67999999999995</v>
      </c>
      <c r="E77" s="3"/>
      <c r="F77" s="8">
        <f t="shared" si="12"/>
        <v>2.1484984657789189E-3</v>
      </c>
      <c r="G77" s="3"/>
      <c r="H77" s="7"/>
      <c r="I77" s="3"/>
      <c r="J77" s="8">
        <f t="shared" si="13"/>
        <v>0</v>
      </c>
      <c r="K77" s="3"/>
      <c r="L77" s="7">
        <f t="shared" si="14"/>
        <v>583.67999999999995</v>
      </c>
      <c r="M77" s="3"/>
      <c r="N77" s="8">
        <f t="shared" si="15"/>
        <v>0</v>
      </c>
      <c r="O77" s="12"/>
      <c r="P77" s="7">
        <v>4217.71</v>
      </c>
      <c r="Q77" s="3"/>
      <c r="R77" s="8">
        <f t="shared" si="16"/>
        <v>3.8684916636619131E-3</v>
      </c>
      <c r="S77" s="3"/>
      <c r="T77" s="7"/>
      <c r="U77" s="3"/>
      <c r="V77" s="8">
        <f t="shared" si="17"/>
        <v>0</v>
      </c>
      <c r="W77" s="3"/>
      <c r="X77" s="7">
        <f t="shared" si="18"/>
        <v>4217.71</v>
      </c>
      <c r="Y77" s="3"/>
      <c r="Z77" s="8">
        <f t="shared" si="19"/>
        <v>0</v>
      </c>
    </row>
    <row r="78" spans="1:26" s="69" customFormat="1" ht="15" customHeight="1" outlineLevel="1" collapsed="1" x14ac:dyDescent="0.3">
      <c r="A78" s="25"/>
      <c r="B78" s="14" t="str">
        <f>CONCATENATE("     ","Services                                          ")</f>
        <v xml:space="preserve">     Services                                          </v>
      </c>
      <c r="C78" s="14"/>
      <c r="D78" s="2">
        <f>SUM(OSRRefD22_14x_0)</f>
        <v>5671.2300000000005</v>
      </c>
      <c r="E78" s="2"/>
      <c r="F78" s="6">
        <f t="shared" si="12"/>
        <v>2.0875529320996747E-2</v>
      </c>
      <c r="G78" s="2"/>
      <c r="H78" s="2">
        <f>SUM(OSRRefH22_14x_0)</f>
        <v>11005</v>
      </c>
      <c r="I78" s="2"/>
      <c r="J78" s="6">
        <f t="shared" si="13"/>
        <v>2.9446470570921712E-2</v>
      </c>
      <c r="K78" s="2"/>
      <c r="L78" s="2">
        <f t="shared" si="14"/>
        <v>-5333.7699999999995</v>
      </c>
      <c r="M78" s="2"/>
      <c r="N78" s="6">
        <f t="shared" si="15"/>
        <v>-0.4846678782371649</v>
      </c>
      <c r="O78" s="14"/>
      <c r="P78" s="2">
        <f>SUM(OSRRefP22_14x_0)</f>
        <v>60805.549999999996</v>
      </c>
      <c r="Q78" s="2"/>
      <c r="R78" s="6">
        <f t="shared" si="16"/>
        <v>5.5770966538566578E-2</v>
      </c>
      <c r="S78" s="2"/>
      <c r="T78" s="2">
        <f>SUM(OSRRefT22_14x_0)</f>
        <v>95148</v>
      </c>
      <c r="U78" s="2"/>
      <c r="V78" s="6">
        <f t="shared" si="17"/>
        <v>6.7008748293934786E-2</v>
      </c>
      <c r="W78" s="2"/>
      <c r="X78" s="2">
        <f t="shared" si="18"/>
        <v>-34342.450000000004</v>
      </c>
      <c r="Y78" s="2"/>
      <c r="Z78" s="6">
        <f t="shared" si="19"/>
        <v>-0.36093717156429989</v>
      </c>
    </row>
    <row r="79" spans="1:26" s="70" customFormat="1" ht="15" hidden="1" customHeight="1" outlineLevel="2" x14ac:dyDescent="0.3">
      <c r="A79" s="26"/>
      <c r="B79" s="12" t="str">
        <f>CONCATENATE("          ","6282"," - ","JANITORIAL/EXTERMINATOR EXPENS")</f>
        <v xml:space="preserve">          6282 - JANITORIAL/EXTERMINATOR EXPENS</v>
      </c>
      <c r="C79" s="12"/>
      <c r="D79" s="7">
        <v>1116.6500000000001</v>
      </c>
      <c r="E79" s="3"/>
      <c r="F79" s="8">
        <f t="shared" si="12"/>
        <v>4.1103358206757649E-3</v>
      </c>
      <c r="G79" s="3"/>
      <c r="H79" s="7">
        <v>1128</v>
      </c>
      <c r="I79" s="3"/>
      <c r="J79" s="8">
        <f t="shared" si="13"/>
        <v>3.0182297868241426E-3</v>
      </c>
      <c r="K79" s="3"/>
      <c r="L79" s="7">
        <f t="shared" si="14"/>
        <v>-11.349999999999909</v>
      </c>
      <c r="M79" s="3"/>
      <c r="N79" s="8">
        <f t="shared" si="15"/>
        <v>-1.0062056737588572E-2</v>
      </c>
      <c r="O79" s="12"/>
      <c r="P79" s="7">
        <v>9580.16</v>
      </c>
      <c r="Q79" s="3"/>
      <c r="R79" s="8">
        <f t="shared" si="16"/>
        <v>8.786941040647013E-3</v>
      </c>
      <c r="S79" s="3"/>
      <c r="T79" s="7">
        <v>10052</v>
      </c>
      <c r="U79" s="3"/>
      <c r="V79" s="8">
        <f t="shared" si="17"/>
        <v>7.0792022727816928E-3</v>
      </c>
      <c r="W79" s="3"/>
      <c r="X79" s="7">
        <f t="shared" si="18"/>
        <v>-471.84000000000015</v>
      </c>
      <c r="Y79" s="3"/>
      <c r="Z79" s="8">
        <f t="shared" si="19"/>
        <v>-4.6939912455232803E-2</v>
      </c>
    </row>
    <row r="80" spans="1:26" s="70" customFormat="1" ht="15" hidden="1" customHeight="1" outlineLevel="2" x14ac:dyDescent="0.3">
      <c r="A80" s="26"/>
      <c r="B80" s="12" t="str">
        <f>CONCATENATE("          ","6283"," - ","PLANT SERVICE")</f>
        <v xml:space="preserve">          6283 - PLANT SERVICE</v>
      </c>
      <c r="C80" s="12"/>
      <c r="D80" s="7"/>
      <c r="E80" s="3"/>
      <c r="F80" s="8">
        <f t="shared" si="12"/>
        <v>0</v>
      </c>
      <c r="G80" s="3"/>
      <c r="H80" s="7">
        <v>100</v>
      </c>
      <c r="I80" s="3"/>
      <c r="J80" s="8">
        <f t="shared" si="13"/>
        <v>2.6757356266171475E-4</v>
      </c>
      <c r="K80" s="3"/>
      <c r="L80" s="7">
        <f t="shared" si="14"/>
        <v>-100</v>
      </c>
      <c r="M80" s="3"/>
      <c r="N80" s="8">
        <f t="shared" si="15"/>
        <v>-1</v>
      </c>
      <c r="O80" s="12"/>
      <c r="P80" s="7"/>
      <c r="Q80" s="3"/>
      <c r="R80" s="8">
        <f t="shared" si="16"/>
        <v>0</v>
      </c>
      <c r="S80" s="3"/>
      <c r="T80" s="7">
        <v>900</v>
      </c>
      <c r="U80" s="3"/>
      <c r="V80" s="8">
        <f t="shared" si="17"/>
        <v>6.3383227671145277E-4</v>
      </c>
      <c r="W80" s="3"/>
      <c r="X80" s="7">
        <f t="shared" si="18"/>
        <v>-900</v>
      </c>
      <c r="Y80" s="3"/>
      <c r="Z80" s="8">
        <f t="shared" si="19"/>
        <v>-1</v>
      </c>
    </row>
    <row r="81" spans="1:26" s="70" customFormat="1" ht="15" hidden="1" customHeight="1" outlineLevel="2" x14ac:dyDescent="0.3">
      <c r="A81" s="26"/>
      <c r="B81" s="12" t="str">
        <f>CONCATENATE("          ","6284"," - ","TRASH REMOVAL EXPENSE")</f>
        <v xml:space="preserve">          6284 - TRASH REMOVAL EXPENSE</v>
      </c>
      <c r="C81" s="12"/>
      <c r="D81" s="7"/>
      <c r="E81" s="3"/>
      <c r="F81" s="8">
        <f t="shared" si="12"/>
        <v>0</v>
      </c>
      <c r="G81" s="3"/>
      <c r="H81" s="7">
        <v>1000</v>
      </c>
      <c r="I81" s="3"/>
      <c r="J81" s="8">
        <f t="shared" si="13"/>
        <v>2.6757356266171478E-3</v>
      </c>
      <c r="K81" s="3"/>
      <c r="L81" s="7">
        <f t="shared" si="14"/>
        <v>-1000</v>
      </c>
      <c r="M81" s="3"/>
      <c r="N81" s="8">
        <f t="shared" si="15"/>
        <v>-1</v>
      </c>
      <c r="O81" s="12"/>
      <c r="P81" s="7"/>
      <c r="Q81" s="3"/>
      <c r="R81" s="8">
        <f t="shared" si="16"/>
        <v>0</v>
      </c>
      <c r="S81" s="3"/>
      <c r="T81" s="7">
        <v>9000</v>
      </c>
      <c r="U81" s="3"/>
      <c r="V81" s="8">
        <f t="shared" si="17"/>
        <v>6.3383227671145277E-3</v>
      </c>
      <c r="W81" s="3"/>
      <c r="X81" s="7">
        <f t="shared" si="18"/>
        <v>-9000</v>
      </c>
      <c r="Y81" s="3"/>
      <c r="Z81" s="8">
        <f t="shared" si="19"/>
        <v>-1</v>
      </c>
    </row>
    <row r="82" spans="1:26" s="70" customFormat="1" ht="15" hidden="1" customHeight="1" outlineLevel="2" x14ac:dyDescent="0.3">
      <c r="A82" s="26"/>
      <c r="B82" s="12" t="str">
        <f>CONCATENATE("          ","6285"," - ","JANITORIAL SERVICES")</f>
        <v xml:space="preserve">          6285 - JANITORIAL SERVICES</v>
      </c>
      <c r="C82" s="12"/>
      <c r="D82" s="7">
        <v>4060.07</v>
      </c>
      <c r="E82" s="3"/>
      <c r="F82" s="8">
        <f t="shared" si="12"/>
        <v>1.4944925585860431E-2</v>
      </c>
      <c r="G82" s="3"/>
      <c r="H82" s="7">
        <v>8224</v>
      </c>
      <c r="I82" s="3"/>
      <c r="J82" s="8">
        <f t="shared" si="13"/>
        <v>2.2005249793299424E-2</v>
      </c>
      <c r="K82" s="3"/>
      <c r="L82" s="7">
        <f t="shared" si="14"/>
        <v>-4163.93</v>
      </c>
      <c r="M82" s="3"/>
      <c r="N82" s="8">
        <f t="shared" si="15"/>
        <v>-0.50631444552529181</v>
      </c>
      <c r="O82" s="12"/>
      <c r="P82" s="7">
        <v>47808.18</v>
      </c>
      <c r="Q82" s="3"/>
      <c r="R82" s="8">
        <f t="shared" si="16"/>
        <v>4.3849753962422314E-2</v>
      </c>
      <c r="S82" s="3"/>
      <c r="T82" s="7">
        <v>69708</v>
      </c>
      <c r="U82" s="3"/>
      <c r="V82" s="8">
        <f t="shared" si="17"/>
        <v>4.9092422605557726E-2</v>
      </c>
      <c r="W82" s="3"/>
      <c r="X82" s="7">
        <f t="shared" si="18"/>
        <v>-21899.82</v>
      </c>
      <c r="Y82" s="3"/>
      <c r="Z82" s="8">
        <f t="shared" si="19"/>
        <v>-0.3141650886555345</v>
      </c>
    </row>
    <row r="83" spans="1:26" s="70" customFormat="1" ht="15" hidden="1" customHeight="1" outlineLevel="2" x14ac:dyDescent="0.3">
      <c r="A83" s="26"/>
      <c r="B83" s="12" t="str">
        <f>CONCATENATE("          ","6286"," - ","LAUNDRY EXPENSE")</f>
        <v xml:space="preserve">          6286 - LAUNDRY EXPENSE</v>
      </c>
      <c r="C83" s="12"/>
      <c r="D83" s="7">
        <v>494.51</v>
      </c>
      <c r="E83" s="3"/>
      <c r="F83" s="8">
        <f t="shared" si="12"/>
        <v>1.8202679144605491E-3</v>
      </c>
      <c r="G83" s="3"/>
      <c r="H83" s="7">
        <v>553</v>
      </c>
      <c r="I83" s="3"/>
      <c r="J83" s="8">
        <f t="shared" si="13"/>
        <v>1.4796818015192826E-3</v>
      </c>
      <c r="K83" s="3"/>
      <c r="L83" s="7">
        <f t="shared" si="14"/>
        <v>-58.490000000000009</v>
      </c>
      <c r="M83" s="3"/>
      <c r="N83" s="8">
        <f t="shared" si="15"/>
        <v>-0.10576853526220617</v>
      </c>
      <c r="O83" s="12"/>
      <c r="P83" s="7">
        <v>3417.21</v>
      </c>
      <c r="Q83" s="3"/>
      <c r="R83" s="8">
        <f t="shared" si="16"/>
        <v>3.1342715354972547E-3</v>
      </c>
      <c r="S83" s="3"/>
      <c r="T83" s="7">
        <v>5488</v>
      </c>
      <c r="U83" s="3"/>
      <c r="V83" s="8">
        <f t="shared" si="17"/>
        <v>3.8649683717693921E-3</v>
      </c>
      <c r="W83" s="3"/>
      <c r="X83" s="7">
        <f t="shared" si="18"/>
        <v>-2070.79</v>
      </c>
      <c r="Y83" s="3"/>
      <c r="Z83" s="8">
        <f t="shared" si="19"/>
        <v>-0.37733053935860056</v>
      </c>
    </row>
    <row r="84" spans="1:26" s="69" customFormat="1" ht="15" customHeight="1" outlineLevel="1" collapsed="1" x14ac:dyDescent="0.3">
      <c r="A84" s="25"/>
      <c r="B84" s="14" t="str">
        <f>CONCATENATE("     ","Subscriptions &amp; Dues                              ")</f>
        <v xml:space="preserve">     Subscriptions &amp; Dues                              </v>
      </c>
      <c r="C84" s="14"/>
      <c r="D84" s="2">
        <f>SUM(OSRRefD22_15x_0)</f>
        <v>691.54</v>
      </c>
      <c r="E84" s="2"/>
      <c r="F84" s="6">
        <f t="shared" si="12"/>
        <v>2.5455260228631335E-3</v>
      </c>
      <c r="G84" s="2"/>
      <c r="H84" s="2">
        <f>SUM(OSRRefH22_15x_0)</f>
        <v>610</v>
      </c>
      <c r="I84" s="2"/>
      <c r="J84" s="6">
        <f t="shared" si="13"/>
        <v>1.6321987322364601E-3</v>
      </c>
      <c r="K84" s="2"/>
      <c r="L84" s="2">
        <f t="shared" si="14"/>
        <v>81.539999999999964</v>
      </c>
      <c r="M84" s="2"/>
      <c r="N84" s="6">
        <f t="shared" si="15"/>
        <v>0.13367213114754092</v>
      </c>
      <c r="O84" s="14"/>
      <c r="P84" s="2">
        <f>SUM(OSRRefP22_15x_0)</f>
        <v>5846.9</v>
      </c>
      <c r="Q84" s="2"/>
      <c r="R84" s="6">
        <f t="shared" si="16"/>
        <v>5.3627878418062973E-3</v>
      </c>
      <c r="S84" s="2"/>
      <c r="T84" s="2">
        <f>SUM(OSRRefT22_15x_0)</f>
        <v>5260</v>
      </c>
      <c r="U84" s="2"/>
      <c r="V84" s="6">
        <f t="shared" si="17"/>
        <v>3.7043975283358242E-3</v>
      </c>
      <c r="W84" s="2"/>
      <c r="X84" s="2">
        <f t="shared" si="18"/>
        <v>586.89999999999964</v>
      </c>
      <c r="Y84" s="2"/>
      <c r="Z84" s="6">
        <f t="shared" si="19"/>
        <v>0.11157794676806077</v>
      </c>
    </row>
    <row r="85" spans="1:26" s="70" customFormat="1" ht="15" hidden="1" customHeight="1" outlineLevel="2" x14ac:dyDescent="0.3">
      <c r="A85" s="26"/>
      <c r="B85" s="12" t="str">
        <f>CONCATENATE("          ","6275"," - ","SUBSCRIPTIONS")</f>
        <v xml:space="preserve">          6275 - SUBSCRIPTIONS</v>
      </c>
      <c r="C85" s="12"/>
      <c r="D85" s="7">
        <v>691.54</v>
      </c>
      <c r="E85" s="3"/>
      <c r="F85" s="8">
        <f t="shared" si="12"/>
        <v>2.5455260228631335E-3</v>
      </c>
      <c r="G85" s="3"/>
      <c r="H85" s="7">
        <v>610</v>
      </c>
      <c r="I85" s="3"/>
      <c r="J85" s="8">
        <f t="shared" si="13"/>
        <v>1.6321987322364601E-3</v>
      </c>
      <c r="K85" s="3"/>
      <c r="L85" s="7">
        <f t="shared" si="14"/>
        <v>81.539999999999964</v>
      </c>
      <c r="M85" s="3"/>
      <c r="N85" s="8">
        <f t="shared" si="15"/>
        <v>0.13367213114754092</v>
      </c>
      <c r="O85" s="12"/>
      <c r="P85" s="7">
        <v>5846.9</v>
      </c>
      <c r="Q85" s="3"/>
      <c r="R85" s="8">
        <f t="shared" si="16"/>
        <v>5.3627878418062973E-3</v>
      </c>
      <c r="S85" s="3"/>
      <c r="T85" s="7">
        <v>5260</v>
      </c>
      <c r="U85" s="3"/>
      <c r="V85" s="8">
        <f t="shared" si="17"/>
        <v>3.7043975283358242E-3</v>
      </c>
      <c r="W85" s="3"/>
      <c r="X85" s="7">
        <f t="shared" si="18"/>
        <v>586.89999999999964</v>
      </c>
      <c r="Y85" s="3"/>
      <c r="Z85" s="8">
        <f t="shared" si="19"/>
        <v>0.11157794676806077</v>
      </c>
    </row>
    <row r="86" spans="1:26" s="69" customFormat="1" ht="15" customHeight="1" outlineLevel="1" collapsed="1" x14ac:dyDescent="0.3">
      <c r="A86" s="25"/>
      <c r="B86" s="14" t="str">
        <f>CONCATENATE("     ","Supplies                                          ")</f>
        <v xml:space="preserve">     Supplies                                          </v>
      </c>
      <c r="C86" s="14"/>
      <c r="D86" s="2">
        <f>SUM(OSRRefD22_16x_0)</f>
        <v>3973.4399999999996</v>
      </c>
      <c r="E86" s="2"/>
      <c r="F86" s="6">
        <f t="shared" si="12"/>
        <v>1.4626044654373265E-2</v>
      </c>
      <c r="G86" s="2"/>
      <c r="H86" s="2">
        <f>SUM(OSRRefH22_16x_0)</f>
        <v>1225</v>
      </c>
      <c r="I86" s="2"/>
      <c r="J86" s="6">
        <f t="shared" si="13"/>
        <v>3.277776142606006E-3</v>
      </c>
      <c r="K86" s="2"/>
      <c r="L86" s="2">
        <f t="shared" si="14"/>
        <v>2748.4399999999996</v>
      </c>
      <c r="M86" s="2"/>
      <c r="N86" s="6">
        <f t="shared" si="15"/>
        <v>2.2436244897959181</v>
      </c>
      <c r="O86" s="14"/>
      <c r="P86" s="2">
        <f>SUM(OSRRefP22_16x_0)</f>
        <v>29120.46</v>
      </c>
      <c r="Q86" s="2"/>
      <c r="R86" s="6">
        <f t="shared" si="16"/>
        <v>2.6709341503327683E-2</v>
      </c>
      <c r="S86" s="2"/>
      <c r="T86" s="2">
        <f>SUM(OSRRefT22_16x_0)</f>
        <v>27423</v>
      </c>
      <c r="U86" s="2"/>
      <c r="V86" s="6">
        <f t="shared" si="17"/>
        <v>1.9312869471397966E-2</v>
      </c>
      <c r="W86" s="2"/>
      <c r="X86" s="2">
        <f t="shared" si="18"/>
        <v>1697.4599999999991</v>
      </c>
      <c r="Y86" s="2"/>
      <c r="Z86" s="6">
        <f t="shared" si="19"/>
        <v>6.1899135761951614E-2</v>
      </c>
    </row>
    <row r="87" spans="1:26" s="70" customFormat="1" ht="15" hidden="1" customHeight="1" outlineLevel="2" x14ac:dyDescent="0.3">
      <c r="A87" s="26"/>
      <c r="B87" s="12" t="str">
        <f>CONCATENATE("          ","6234"," - ","EXPENDABLE SUPPLIES &amp; EQUIPMEN")</f>
        <v xml:space="preserve">          6234 - EXPENDABLE SUPPLIES &amp; EQUIPMEN</v>
      </c>
      <c r="C87" s="12"/>
      <c r="D87" s="7">
        <v>108.73</v>
      </c>
      <c r="E87" s="3"/>
      <c r="F87" s="8">
        <f t="shared" si="12"/>
        <v>4.0022998592403696E-4</v>
      </c>
      <c r="G87" s="3"/>
      <c r="H87" s="7"/>
      <c r="I87" s="3"/>
      <c r="J87" s="8">
        <f t="shared" si="13"/>
        <v>0</v>
      </c>
      <c r="K87" s="3"/>
      <c r="L87" s="7">
        <f t="shared" si="14"/>
        <v>108.73</v>
      </c>
      <c r="M87" s="3"/>
      <c r="N87" s="8">
        <f t="shared" si="15"/>
        <v>0</v>
      </c>
      <c r="O87" s="12"/>
      <c r="P87" s="7">
        <v>166.5</v>
      </c>
      <c r="Q87" s="3"/>
      <c r="R87" s="8">
        <f t="shared" si="16"/>
        <v>1.527141178506129E-4</v>
      </c>
      <c r="S87" s="3"/>
      <c r="T87" s="7"/>
      <c r="U87" s="3"/>
      <c r="V87" s="8">
        <f t="shared" si="17"/>
        <v>0</v>
      </c>
      <c r="W87" s="3"/>
      <c r="X87" s="7">
        <f t="shared" si="18"/>
        <v>166.5</v>
      </c>
      <c r="Y87" s="3"/>
      <c r="Z87" s="8">
        <f t="shared" si="19"/>
        <v>0</v>
      </c>
    </row>
    <row r="88" spans="1:26" s="70" customFormat="1" ht="15" hidden="1" customHeight="1" outlineLevel="2" x14ac:dyDescent="0.3">
      <c r="A88" s="26"/>
      <c r="B88" s="12" t="str">
        <f>CONCATENATE("          ","6235"," - ","COVID-19 EXPENSES")</f>
        <v xml:space="preserve">          6235 - COVID-19 EXPENSES</v>
      </c>
      <c r="C88" s="12"/>
      <c r="D88" s="7">
        <v>107.16</v>
      </c>
      <c r="E88" s="3"/>
      <c r="F88" s="8">
        <f t="shared" si="12"/>
        <v>3.9445089020159844E-4</v>
      </c>
      <c r="G88" s="3"/>
      <c r="H88" s="7">
        <v>250</v>
      </c>
      <c r="I88" s="3"/>
      <c r="J88" s="8">
        <f t="shared" si="13"/>
        <v>6.6893390665428694E-4</v>
      </c>
      <c r="K88" s="3"/>
      <c r="L88" s="7">
        <f t="shared" si="14"/>
        <v>-142.84</v>
      </c>
      <c r="M88" s="3"/>
      <c r="N88" s="8">
        <f t="shared" si="15"/>
        <v>-0.57135999999999998</v>
      </c>
      <c r="O88" s="12"/>
      <c r="P88" s="7">
        <v>619.08000000000004</v>
      </c>
      <c r="Q88" s="3"/>
      <c r="R88" s="8">
        <f t="shared" si="16"/>
        <v>5.6782135783157626E-4</v>
      </c>
      <c r="S88" s="3"/>
      <c r="T88" s="7">
        <v>2500</v>
      </c>
      <c r="U88" s="3"/>
      <c r="V88" s="8">
        <f t="shared" si="17"/>
        <v>1.7606452130873688E-3</v>
      </c>
      <c r="W88" s="3"/>
      <c r="X88" s="7">
        <f t="shared" si="18"/>
        <v>-1880.92</v>
      </c>
      <c r="Y88" s="3"/>
      <c r="Z88" s="8">
        <f t="shared" si="19"/>
        <v>-0.75236800000000004</v>
      </c>
    </row>
    <row r="89" spans="1:26" s="70" customFormat="1" ht="15" hidden="1" customHeight="1" outlineLevel="2" x14ac:dyDescent="0.3">
      <c r="A89" s="26"/>
      <c r="B89" s="12" t="str">
        <f>CONCATENATE("          ","6237"," - ","JANITORIAL SUPPLIES")</f>
        <v xml:space="preserve">          6237 - JANITORIAL SUPPLIES</v>
      </c>
      <c r="C89" s="12"/>
      <c r="D89" s="7">
        <v>414.52</v>
      </c>
      <c r="E89" s="3"/>
      <c r="F89" s="8">
        <f t="shared" si="12"/>
        <v>1.5258285088313418E-3</v>
      </c>
      <c r="G89" s="3"/>
      <c r="H89" s="7">
        <v>225</v>
      </c>
      <c r="I89" s="3"/>
      <c r="J89" s="8">
        <f t="shared" si="13"/>
        <v>6.0204051598885828E-4</v>
      </c>
      <c r="K89" s="3"/>
      <c r="L89" s="7">
        <f t="shared" si="14"/>
        <v>189.51999999999998</v>
      </c>
      <c r="M89" s="3"/>
      <c r="N89" s="8">
        <f t="shared" si="15"/>
        <v>0.84231111111111101</v>
      </c>
      <c r="O89" s="12"/>
      <c r="P89" s="7">
        <v>6874.62</v>
      </c>
      <c r="Q89" s="3"/>
      <c r="R89" s="8">
        <f t="shared" si="16"/>
        <v>6.3054145877368198E-3</v>
      </c>
      <c r="S89" s="3"/>
      <c r="T89" s="7">
        <v>3503</v>
      </c>
      <c r="U89" s="3"/>
      <c r="V89" s="8">
        <f t="shared" si="17"/>
        <v>2.4670160725780211E-3</v>
      </c>
      <c r="W89" s="3"/>
      <c r="X89" s="7">
        <f t="shared" si="18"/>
        <v>3371.62</v>
      </c>
      <c r="Y89" s="3"/>
      <c r="Z89" s="8">
        <f t="shared" si="19"/>
        <v>0.96249500428204393</v>
      </c>
    </row>
    <row r="90" spans="1:26" s="70" customFormat="1" ht="15" hidden="1" customHeight="1" outlineLevel="2" x14ac:dyDescent="0.3">
      <c r="A90" s="26"/>
      <c r="B90" s="12" t="str">
        <f>CONCATENATE("          ","6239"," - ","KITCHEN SUPPLIES")</f>
        <v xml:space="preserve">          6239 - KITCHEN SUPPLIES</v>
      </c>
      <c r="C90" s="12"/>
      <c r="D90" s="7">
        <v>2501.89</v>
      </c>
      <c r="E90" s="3"/>
      <c r="F90" s="8">
        <f t="shared" ref="F90:F106" si="20">IF(D$12=0,0,D90/D$12)</f>
        <v>9.2093387242112457E-3</v>
      </c>
      <c r="G90" s="3"/>
      <c r="H90" s="7"/>
      <c r="I90" s="3"/>
      <c r="J90" s="8">
        <f t="shared" ref="J90:J106" si="21">IF(H$12=0,0,H90/H$12)</f>
        <v>0</v>
      </c>
      <c r="K90" s="3"/>
      <c r="L90" s="7">
        <f t="shared" ref="L90:L106" si="22">+D90-H90</f>
        <v>2501.89</v>
      </c>
      <c r="M90" s="3"/>
      <c r="N90" s="8">
        <f t="shared" ref="N90:N106" si="23">IF(H90=0,0,L90/H90)</f>
        <v>0</v>
      </c>
      <c r="O90" s="12"/>
      <c r="P90" s="7">
        <v>7200.94</v>
      </c>
      <c r="Q90" s="3"/>
      <c r="R90" s="8">
        <f t="shared" ref="R90:R106" si="24">IF(P$12=0,0,P90/P$12)</f>
        <v>6.6047159146858407E-3</v>
      </c>
      <c r="S90" s="3"/>
      <c r="T90" s="7">
        <v>5349</v>
      </c>
      <c r="U90" s="3"/>
      <c r="V90" s="8">
        <f t="shared" ref="V90:V106" si="25">IF(T$12=0,0,T90/T$12)</f>
        <v>3.7670764979217345E-3</v>
      </c>
      <c r="W90" s="3"/>
      <c r="X90" s="7">
        <f t="shared" ref="X90:X106" si="26">+P90-T90</f>
        <v>1851.9399999999996</v>
      </c>
      <c r="Y90" s="3"/>
      <c r="Z90" s="8">
        <f t="shared" ref="Z90:Z106" si="27">IF(T90=0,0,X90/T90)</f>
        <v>0.34622172368667031</v>
      </c>
    </row>
    <row r="91" spans="1:26" s="70" customFormat="1" ht="15" hidden="1" customHeight="1" outlineLevel="2" x14ac:dyDescent="0.3">
      <c r="A91" s="26"/>
      <c r="B91" s="12" t="str">
        <f>CONCATENATE("          ","6241"," - ","OFFICE EXPENSE")</f>
        <v xml:space="preserve">          6241 - OFFICE EXPENSE</v>
      </c>
      <c r="C91" s="12"/>
      <c r="D91" s="7">
        <v>165.64</v>
      </c>
      <c r="E91" s="3"/>
      <c r="F91" s="8">
        <f t="shared" si="20"/>
        <v>6.0971300348070879E-4</v>
      </c>
      <c r="G91" s="3"/>
      <c r="H91" s="7">
        <v>50</v>
      </c>
      <c r="I91" s="3"/>
      <c r="J91" s="8">
        <f t="shared" si="21"/>
        <v>1.3378678133085738E-4</v>
      </c>
      <c r="K91" s="3"/>
      <c r="L91" s="7">
        <f t="shared" si="22"/>
        <v>115.63999999999999</v>
      </c>
      <c r="M91" s="3"/>
      <c r="N91" s="8">
        <f t="shared" si="23"/>
        <v>2.3127999999999997</v>
      </c>
      <c r="O91" s="12"/>
      <c r="P91" s="7">
        <v>7515.47</v>
      </c>
      <c r="Q91" s="3"/>
      <c r="R91" s="8">
        <f t="shared" si="24"/>
        <v>6.8932034311276029E-3</v>
      </c>
      <c r="S91" s="3"/>
      <c r="T91" s="7">
        <v>3177</v>
      </c>
      <c r="U91" s="3"/>
      <c r="V91" s="8">
        <f t="shared" si="25"/>
        <v>2.2374279367914284E-3</v>
      </c>
      <c r="W91" s="3"/>
      <c r="X91" s="7">
        <f t="shared" si="26"/>
        <v>4338.47</v>
      </c>
      <c r="Y91" s="3"/>
      <c r="Z91" s="8">
        <f t="shared" si="27"/>
        <v>1.3655870317909979</v>
      </c>
    </row>
    <row r="92" spans="1:26" s="70" customFormat="1" ht="15" hidden="1" customHeight="1" outlineLevel="2" x14ac:dyDescent="0.3">
      <c r="A92" s="26"/>
      <c r="B92" s="12" t="str">
        <f>CONCATENATE("          ","6243"," - ","PAPER SUPPLIES")</f>
        <v xml:space="preserve">          6243 - PAPER SUPPLIES</v>
      </c>
      <c r="C92" s="12"/>
      <c r="D92" s="7"/>
      <c r="E92" s="3"/>
      <c r="F92" s="8">
        <f t="shared" si="20"/>
        <v>0</v>
      </c>
      <c r="G92" s="3"/>
      <c r="H92" s="7">
        <v>600</v>
      </c>
      <c r="I92" s="3"/>
      <c r="J92" s="8">
        <f t="shared" si="21"/>
        <v>1.6054413759702885E-3</v>
      </c>
      <c r="K92" s="3"/>
      <c r="L92" s="7">
        <f t="shared" si="22"/>
        <v>-600</v>
      </c>
      <c r="M92" s="3"/>
      <c r="N92" s="8">
        <f t="shared" si="23"/>
        <v>-1</v>
      </c>
      <c r="O92" s="12"/>
      <c r="P92" s="7">
        <v>1821.91</v>
      </c>
      <c r="Q92" s="3"/>
      <c r="R92" s="8">
        <f t="shared" si="24"/>
        <v>1.6710593300493103E-3</v>
      </c>
      <c r="S92" s="3"/>
      <c r="T92" s="7">
        <v>6833</v>
      </c>
      <c r="U92" s="3"/>
      <c r="V92" s="8">
        <f t="shared" si="25"/>
        <v>4.8121954964103963E-3</v>
      </c>
      <c r="W92" s="3"/>
      <c r="X92" s="7">
        <f t="shared" si="26"/>
        <v>-5011.09</v>
      </c>
      <c r="Y92" s="3"/>
      <c r="Z92" s="8">
        <f t="shared" si="27"/>
        <v>-0.73336601785452948</v>
      </c>
    </row>
    <row r="93" spans="1:26" s="70" customFormat="1" ht="15" hidden="1" customHeight="1" outlineLevel="2" x14ac:dyDescent="0.3">
      <c r="A93" s="26"/>
      <c r="B93" s="12" t="str">
        <f>CONCATENATE("          ","6244"," - ","SAFETY SUPPLY EXPENSE")</f>
        <v xml:space="preserve">          6244 - SAFETY SUPPLY EXPENSE</v>
      </c>
      <c r="C93" s="12"/>
      <c r="D93" s="7"/>
      <c r="E93" s="3"/>
      <c r="F93" s="8">
        <f t="shared" si="20"/>
        <v>0</v>
      </c>
      <c r="G93" s="3"/>
      <c r="H93" s="7"/>
      <c r="I93" s="3"/>
      <c r="J93" s="8">
        <f t="shared" si="21"/>
        <v>0</v>
      </c>
      <c r="K93" s="3"/>
      <c r="L93" s="7">
        <f t="shared" si="22"/>
        <v>0</v>
      </c>
      <c r="M93" s="3"/>
      <c r="N93" s="8">
        <f t="shared" si="23"/>
        <v>0</v>
      </c>
      <c r="O93" s="12"/>
      <c r="P93" s="7"/>
      <c r="Q93" s="3"/>
      <c r="R93" s="8">
        <f t="shared" si="24"/>
        <v>0</v>
      </c>
      <c r="S93" s="3"/>
      <c r="T93" s="7">
        <v>100</v>
      </c>
      <c r="U93" s="3"/>
      <c r="V93" s="8">
        <f t="shared" si="25"/>
        <v>7.0425808523494755E-5</v>
      </c>
      <c r="W93" s="3"/>
      <c r="X93" s="7">
        <f t="shared" si="26"/>
        <v>-100</v>
      </c>
      <c r="Y93" s="3"/>
      <c r="Z93" s="8">
        <f t="shared" si="27"/>
        <v>-1</v>
      </c>
    </row>
    <row r="94" spans="1:26" s="70" customFormat="1" ht="15" hidden="1" customHeight="1" outlineLevel="2" x14ac:dyDescent="0.3">
      <c r="A94" s="26"/>
      <c r="B94" s="12" t="str">
        <f>CONCATENATE("          ","6245"," - ","PRINTING")</f>
        <v xml:space="preserve">          6245 - PRINTING</v>
      </c>
      <c r="C94" s="12"/>
      <c r="D94" s="7"/>
      <c r="E94" s="3"/>
      <c r="F94" s="8">
        <f t="shared" si="20"/>
        <v>0</v>
      </c>
      <c r="G94" s="3"/>
      <c r="H94" s="7">
        <v>100</v>
      </c>
      <c r="I94" s="3"/>
      <c r="J94" s="8">
        <f t="shared" si="21"/>
        <v>2.6757356266171475E-4</v>
      </c>
      <c r="K94" s="3"/>
      <c r="L94" s="7">
        <f t="shared" si="22"/>
        <v>-100</v>
      </c>
      <c r="M94" s="3"/>
      <c r="N94" s="8">
        <f t="shared" si="23"/>
        <v>-1</v>
      </c>
      <c r="O94" s="12"/>
      <c r="P94" s="7">
        <v>1071</v>
      </c>
      <c r="Q94" s="3"/>
      <c r="R94" s="8">
        <f t="shared" si="24"/>
        <v>9.8232324455259108E-4</v>
      </c>
      <c r="S94" s="3"/>
      <c r="T94" s="7">
        <v>1700</v>
      </c>
      <c r="U94" s="3"/>
      <c r="V94" s="8">
        <f t="shared" si="25"/>
        <v>1.1972387448994108E-3</v>
      </c>
      <c r="W94" s="3"/>
      <c r="X94" s="7">
        <f t="shared" si="26"/>
        <v>-629</v>
      </c>
      <c r="Y94" s="3"/>
      <c r="Z94" s="8">
        <f t="shared" si="27"/>
        <v>-0.37</v>
      </c>
    </row>
    <row r="95" spans="1:26" s="70" customFormat="1" ht="15" hidden="1" customHeight="1" outlineLevel="2" x14ac:dyDescent="0.3">
      <c r="A95" s="26"/>
      <c r="B95" s="12" t="str">
        <f>CONCATENATE("          ","6247"," - ","STORE SUPPLIES")</f>
        <v xml:space="preserve">          6247 - STORE SUPPLIES</v>
      </c>
      <c r="C95" s="12"/>
      <c r="D95" s="7">
        <v>10</v>
      </c>
      <c r="E95" s="3"/>
      <c r="F95" s="8">
        <f t="shared" si="20"/>
        <v>3.6809526894512734E-5</v>
      </c>
      <c r="G95" s="3"/>
      <c r="H95" s="7"/>
      <c r="I95" s="3"/>
      <c r="J95" s="8">
        <f t="shared" si="21"/>
        <v>0</v>
      </c>
      <c r="K95" s="3"/>
      <c r="L95" s="7">
        <f t="shared" si="22"/>
        <v>10</v>
      </c>
      <c r="M95" s="3"/>
      <c r="N95" s="8">
        <f t="shared" si="23"/>
        <v>0</v>
      </c>
      <c r="O95" s="12"/>
      <c r="P95" s="7">
        <v>1060.94</v>
      </c>
      <c r="Q95" s="3"/>
      <c r="R95" s="8">
        <f t="shared" si="24"/>
        <v>9.7309619334792351E-4</v>
      </c>
      <c r="S95" s="3"/>
      <c r="T95" s="7">
        <v>411</v>
      </c>
      <c r="U95" s="3"/>
      <c r="V95" s="8">
        <f t="shared" si="25"/>
        <v>2.8945007303156345E-4</v>
      </c>
      <c r="W95" s="3"/>
      <c r="X95" s="7">
        <f t="shared" si="26"/>
        <v>649.94000000000005</v>
      </c>
      <c r="Y95" s="3"/>
      <c r="Z95" s="8">
        <f t="shared" si="27"/>
        <v>1.5813625304136254</v>
      </c>
    </row>
    <row r="96" spans="1:26" s="70" customFormat="1" ht="15" hidden="1" customHeight="1" outlineLevel="2" x14ac:dyDescent="0.3">
      <c r="A96" s="26"/>
      <c r="B96" s="12" t="str">
        <f>CONCATENATE("          ","6248"," - ","UNIFORMS")</f>
        <v xml:space="preserve">          6248 - UNIFORMS</v>
      </c>
      <c r="C96" s="12"/>
      <c r="D96" s="7">
        <v>665.5</v>
      </c>
      <c r="E96" s="3"/>
      <c r="F96" s="8">
        <f t="shared" si="20"/>
        <v>2.4496740148298225E-3</v>
      </c>
      <c r="G96" s="3"/>
      <c r="H96" s="7"/>
      <c r="I96" s="3"/>
      <c r="J96" s="8">
        <f t="shared" si="21"/>
        <v>0</v>
      </c>
      <c r="K96" s="3"/>
      <c r="L96" s="7">
        <f t="shared" si="22"/>
        <v>665.5</v>
      </c>
      <c r="M96" s="3"/>
      <c r="N96" s="8">
        <f t="shared" si="23"/>
        <v>0</v>
      </c>
      <c r="O96" s="12"/>
      <c r="P96" s="7">
        <v>2790</v>
      </c>
      <c r="Q96" s="3"/>
      <c r="R96" s="8">
        <f t="shared" si="24"/>
        <v>2.5589933261454052E-3</v>
      </c>
      <c r="S96" s="3"/>
      <c r="T96" s="7">
        <v>3850</v>
      </c>
      <c r="U96" s="3"/>
      <c r="V96" s="8">
        <f t="shared" si="25"/>
        <v>2.7113936281545482E-3</v>
      </c>
      <c r="W96" s="3"/>
      <c r="X96" s="7">
        <f t="shared" si="26"/>
        <v>-1060</v>
      </c>
      <c r="Y96" s="3"/>
      <c r="Z96" s="8">
        <f t="shared" si="27"/>
        <v>-0.27532467532467531</v>
      </c>
    </row>
    <row r="97" spans="1:26" s="69" customFormat="1" ht="15" customHeight="1" outlineLevel="1" collapsed="1" x14ac:dyDescent="0.3">
      <c r="A97" s="25"/>
      <c r="B97" s="14" t="str">
        <f>CONCATENATE("     ","Telephone/Data Lines                              ")</f>
        <v xml:space="preserve">     Telephone/Data Lines                              </v>
      </c>
      <c r="C97" s="14"/>
      <c r="D97" s="2">
        <f>SUM(OSRRefD22_17x_0)</f>
        <v>660.15</v>
      </c>
      <c r="E97" s="2"/>
      <c r="F97" s="6">
        <f t="shared" si="20"/>
        <v>2.4299809179412577E-3</v>
      </c>
      <c r="G97" s="2"/>
      <c r="H97" s="2">
        <f>SUM(OSRRefH22_17x_0)</f>
        <v>360</v>
      </c>
      <c r="I97" s="2"/>
      <c r="J97" s="6">
        <f t="shared" si="21"/>
        <v>9.6326482558217318E-4</v>
      </c>
      <c r="K97" s="2"/>
      <c r="L97" s="2">
        <f t="shared" si="22"/>
        <v>300.14999999999998</v>
      </c>
      <c r="M97" s="2"/>
      <c r="N97" s="6">
        <f t="shared" si="23"/>
        <v>0.83374999999999999</v>
      </c>
      <c r="O97" s="14"/>
      <c r="P97" s="2">
        <f>SUM(OSRRefP22_17x_0)</f>
        <v>5888.54</v>
      </c>
      <c r="Q97" s="2"/>
      <c r="R97" s="6">
        <f t="shared" si="24"/>
        <v>5.4009801292975862E-3</v>
      </c>
      <c r="S97" s="2"/>
      <c r="T97" s="2">
        <f>SUM(OSRRefT22_17x_0)</f>
        <v>3690</v>
      </c>
      <c r="U97" s="2"/>
      <c r="V97" s="6">
        <f t="shared" si="25"/>
        <v>2.5987123345169562E-3</v>
      </c>
      <c r="W97" s="2"/>
      <c r="X97" s="2">
        <f t="shared" si="26"/>
        <v>2198.54</v>
      </c>
      <c r="Y97" s="2"/>
      <c r="Z97" s="6">
        <f t="shared" si="27"/>
        <v>0.59581029810298103</v>
      </c>
    </row>
    <row r="98" spans="1:26" s="70" customFormat="1" ht="15" hidden="1" customHeight="1" outlineLevel="2" x14ac:dyDescent="0.3">
      <c r="A98" s="26"/>
      <c r="B98" s="12" t="str">
        <f>CONCATENATE("          ","6303"," - ","DATA PHONE LINES")</f>
        <v xml:space="preserve">          6303 - DATA PHONE LINES</v>
      </c>
      <c r="C98" s="12"/>
      <c r="D98" s="7"/>
      <c r="E98" s="3"/>
      <c r="F98" s="8">
        <f t="shared" si="20"/>
        <v>0</v>
      </c>
      <c r="G98" s="3"/>
      <c r="H98" s="7">
        <v>135</v>
      </c>
      <c r="I98" s="3"/>
      <c r="J98" s="8">
        <f t="shared" si="21"/>
        <v>3.6122430959331496E-4</v>
      </c>
      <c r="K98" s="3"/>
      <c r="L98" s="7">
        <f t="shared" si="22"/>
        <v>-135</v>
      </c>
      <c r="M98" s="3"/>
      <c r="N98" s="8">
        <f t="shared" si="23"/>
        <v>-1</v>
      </c>
      <c r="O98" s="12"/>
      <c r="P98" s="7"/>
      <c r="Q98" s="3"/>
      <c r="R98" s="8">
        <f t="shared" si="24"/>
        <v>0</v>
      </c>
      <c r="S98" s="3"/>
      <c r="T98" s="7">
        <v>1215</v>
      </c>
      <c r="U98" s="3"/>
      <c r="V98" s="8">
        <f t="shared" si="25"/>
        <v>8.5567357356046122E-4</v>
      </c>
      <c r="W98" s="3"/>
      <c r="X98" s="7">
        <f t="shared" si="26"/>
        <v>-1215</v>
      </c>
      <c r="Y98" s="3"/>
      <c r="Z98" s="8">
        <f t="shared" si="27"/>
        <v>-1</v>
      </c>
    </row>
    <row r="99" spans="1:26" s="70" customFormat="1" ht="15" hidden="1" customHeight="1" outlineLevel="2" x14ac:dyDescent="0.3">
      <c r="A99" s="26"/>
      <c r="B99" s="12" t="str">
        <f>CONCATENATE("          ","6309"," - ","TELEPHONE")</f>
        <v xml:space="preserve">          6309 - TELEPHONE</v>
      </c>
      <c r="C99" s="12"/>
      <c r="D99" s="7">
        <v>660.15</v>
      </c>
      <c r="E99" s="3"/>
      <c r="F99" s="8">
        <f t="shared" si="20"/>
        <v>2.4299809179412577E-3</v>
      </c>
      <c r="G99" s="3"/>
      <c r="H99" s="7">
        <v>225</v>
      </c>
      <c r="I99" s="3"/>
      <c r="J99" s="8">
        <f t="shared" si="21"/>
        <v>6.0204051598885828E-4</v>
      </c>
      <c r="K99" s="3"/>
      <c r="L99" s="7">
        <f t="shared" si="22"/>
        <v>435.15</v>
      </c>
      <c r="M99" s="3"/>
      <c r="N99" s="8">
        <f t="shared" si="23"/>
        <v>1.9339999999999999</v>
      </c>
      <c r="O99" s="12"/>
      <c r="P99" s="7">
        <v>5888.54</v>
      </c>
      <c r="Q99" s="3"/>
      <c r="R99" s="8">
        <f t="shared" si="24"/>
        <v>5.4009801292975862E-3</v>
      </c>
      <c r="S99" s="3"/>
      <c r="T99" s="7">
        <v>2475</v>
      </c>
      <c r="U99" s="3"/>
      <c r="V99" s="8">
        <f t="shared" si="25"/>
        <v>1.7430387609564952E-3</v>
      </c>
      <c r="W99" s="3"/>
      <c r="X99" s="7">
        <f t="shared" si="26"/>
        <v>3413.54</v>
      </c>
      <c r="Y99" s="3"/>
      <c r="Z99" s="8">
        <f t="shared" si="27"/>
        <v>1.3792080808080809</v>
      </c>
    </row>
    <row r="100" spans="1:26" s="69" customFormat="1" ht="15" customHeight="1" outlineLevel="1" collapsed="1" x14ac:dyDescent="0.3">
      <c r="A100" s="25"/>
      <c r="B100" s="14" t="str">
        <f>CONCATENATE("     ","Training                                          ")</f>
        <v xml:space="preserve">     Training                                          </v>
      </c>
      <c r="C100" s="14"/>
      <c r="D100" s="2">
        <f>SUM(OSRRefD22_18x_0)</f>
        <v>0</v>
      </c>
      <c r="E100" s="2"/>
      <c r="F100" s="6">
        <f t="shared" si="20"/>
        <v>0</v>
      </c>
      <c r="G100" s="2"/>
      <c r="H100" s="2">
        <f>SUM(OSRRefH22_18x_0)</f>
        <v>3300</v>
      </c>
      <c r="I100" s="2"/>
      <c r="J100" s="6">
        <f t="shared" si="21"/>
        <v>8.8299275678365881E-3</v>
      </c>
      <c r="K100" s="2"/>
      <c r="L100" s="2">
        <f t="shared" si="22"/>
        <v>-3300</v>
      </c>
      <c r="M100" s="2"/>
      <c r="N100" s="6">
        <f t="shared" si="23"/>
        <v>-1</v>
      </c>
      <c r="O100" s="14"/>
      <c r="P100" s="2">
        <f>SUM(OSRRefP22_18x_0)</f>
        <v>480</v>
      </c>
      <c r="Q100" s="2"/>
      <c r="R100" s="6">
        <f t="shared" si="24"/>
        <v>4.4025691632609127E-4</v>
      </c>
      <c r="S100" s="2"/>
      <c r="T100" s="2">
        <f>SUM(OSRRefT22_18x_0)</f>
        <v>5160</v>
      </c>
      <c r="U100" s="2"/>
      <c r="V100" s="6">
        <f t="shared" si="25"/>
        <v>3.6339717198123293E-3</v>
      </c>
      <c r="W100" s="2"/>
      <c r="X100" s="2">
        <f t="shared" si="26"/>
        <v>-4680</v>
      </c>
      <c r="Y100" s="2"/>
      <c r="Z100" s="6">
        <f t="shared" si="27"/>
        <v>-0.90697674418604646</v>
      </c>
    </row>
    <row r="101" spans="1:26" s="70" customFormat="1" ht="15" hidden="1" customHeight="1" outlineLevel="2" x14ac:dyDescent="0.3">
      <c r="A101" s="26"/>
      <c r="B101" s="12" t="str">
        <f>CONCATENATE("          ","6376"," - ","TRAINING")</f>
        <v xml:space="preserve">          6376 - TRAINING</v>
      </c>
      <c r="C101" s="12"/>
      <c r="D101" s="7"/>
      <c r="E101" s="3"/>
      <c r="F101" s="8">
        <f t="shared" si="20"/>
        <v>0</v>
      </c>
      <c r="G101" s="3"/>
      <c r="H101" s="7">
        <v>3300</v>
      </c>
      <c r="I101" s="3"/>
      <c r="J101" s="8">
        <f t="shared" si="21"/>
        <v>8.8299275678365881E-3</v>
      </c>
      <c r="K101" s="3"/>
      <c r="L101" s="7">
        <f t="shared" si="22"/>
        <v>-3300</v>
      </c>
      <c r="M101" s="3"/>
      <c r="N101" s="8">
        <f t="shared" si="23"/>
        <v>-1</v>
      </c>
      <c r="O101" s="12"/>
      <c r="P101" s="7">
        <v>480</v>
      </c>
      <c r="Q101" s="3"/>
      <c r="R101" s="8">
        <f t="shared" si="24"/>
        <v>4.4025691632609127E-4</v>
      </c>
      <c r="S101" s="3"/>
      <c r="T101" s="7">
        <v>5160</v>
      </c>
      <c r="U101" s="3"/>
      <c r="V101" s="8">
        <f t="shared" si="25"/>
        <v>3.6339717198123293E-3</v>
      </c>
      <c r="W101" s="3"/>
      <c r="X101" s="7">
        <f t="shared" si="26"/>
        <v>-4680</v>
      </c>
      <c r="Y101" s="3"/>
      <c r="Z101" s="8">
        <f t="shared" si="27"/>
        <v>-0.90697674418604646</v>
      </c>
    </row>
    <row r="102" spans="1:26" s="69" customFormat="1" ht="15" customHeight="1" outlineLevel="1" collapsed="1" x14ac:dyDescent="0.3">
      <c r="A102" s="25"/>
      <c r="B102" s="14" t="str">
        <f>CONCATENATE("     ","Travel                                            ")</f>
        <v xml:space="preserve">     Travel                                            </v>
      </c>
      <c r="C102" s="14"/>
      <c r="D102" s="2">
        <f>SUM(OSRRefD22_19x_0)</f>
        <v>0</v>
      </c>
      <c r="E102" s="2"/>
      <c r="F102" s="6">
        <f t="shared" si="20"/>
        <v>0</v>
      </c>
      <c r="G102" s="2"/>
      <c r="H102" s="2">
        <f>SUM(OSRRefH22_19x_0)</f>
        <v>600</v>
      </c>
      <c r="I102" s="2"/>
      <c r="J102" s="6">
        <f t="shared" si="21"/>
        <v>1.6054413759702885E-3</v>
      </c>
      <c r="K102" s="2"/>
      <c r="L102" s="2">
        <f t="shared" si="22"/>
        <v>-600</v>
      </c>
      <c r="M102" s="2"/>
      <c r="N102" s="6">
        <f t="shared" si="23"/>
        <v>-1</v>
      </c>
      <c r="O102" s="14"/>
      <c r="P102" s="2">
        <f>SUM(OSRRefP22_19x_0)</f>
        <v>141.24</v>
      </c>
      <c r="Q102" s="2"/>
      <c r="R102" s="6">
        <f t="shared" si="24"/>
        <v>1.2954559762895236E-4</v>
      </c>
      <c r="S102" s="2"/>
      <c r="T102" s="2">
        <f>SUM(OSRRefT22_19x_0)</f>
        <v>1200</v>
      </c>
      <c r="U102" s="2"/>
      <c r="V102" s="6">
        <f t="shared" si="25"/>
        <v>8.4510970228193706E-4</v>
      </c>
      <c r="W102" s="2"/>
      <c r="X102" s="2">
        <f t="shared" si="26"/>
        <v>-1058.76</v>
      </c>
      <c r="Y102" s="2"/>
      <c r="Z102" s="6">
        <f t="shared" si="27"/>
        <v>-0.88229999999999997</v>
      </c>
    </row>
    <row r="103" spans="1:26" s="70" customFormat="1" ht="15" hidden="1" customHeight="1" outlineLevel="2" x14ac:dyDescent="0.3">
      <c r="A103" s="26"/>
      <c r="B103" s="12" t="str">
        <f>CONCATENATE("          ","6292"," - ","TRAVEL/CONFERENCE")</f>
        <v xml:space="preserve">          6292 - TRAVEL/CONFERENCE</v>
      </c>
      <c r="C103" s="12"/>
      <c r="D103" s="7"/>
      <c r="E103" s="3"/>
      <c r="F103" s="8">
        <f t="shared" si="20"/>
        <v>0</v>
      </c>
      <c r="G103" s="3"/>
      <c r="H103" s="7">
        <v>600</v>
      </c>
      <c r="I103" s="3"/>
      <c r="J103" s="8">
        <f t="shared" si="21"/>
        <v>1.6054413759702885E-3</v>
      </c>
      <c r="K103" s="3"/>
      <c r="L103" s="7">
        <f t="shared" si="22"/>
        <v>-600</v>
      </c>
      <c r="M103" s="3"/>
      <c r="N103" s="8">
        <f t="shared" si="23"/>
        <v>-1</v>
      </c>
      <c r="O103" s="12"/>
      <c r="P103" s="7">
        <v>18.59</v>
      </c>
      <c r="Q103" s="3"/>
      <c r="R103" s="8">
        <f t="shared" si="24"/>
        <v>1.705078348854591E-5</v>
      </c>
      <c r="S103" s="3"/>
      <c r="T103" s="7">
        <v>1200</v>
      </c>
      <c r="U103" s="3"/>
      <c r="V103" s="8">
        <f t="shared" si="25"/>
        <v>8.4510970228193706E-4</v>
      </c>
      <c r="W103" s="3"/>
      <c r="X103" s="7">
        <f t="shared" si="26"/>
        <v>-1181.4100000000001</v>
      </c>
      <c r="Y103" s="3"/>
      <c r="Z103" s="8">
        <f t="shared" si="27"/>
        <v>-0.98450833333333343</v>
      </c>
    </row>
    <row r="104" spans="1:26" s="70" customFormat="1" ht="15" hidden="1" customHeight="1" outlineLevel="2" x14ac:dyDescent="0.3">
      <c r="A104" s="26"/>
      <c r="B104" s="12" t="str">
        <f>CONCATENATE("          ","6298"," - ","VEHICLE MILEAGE")</f>
        <v xml:space="preserve">          6298 - VEHICLE MILEAGE</v>
      </c>
      <c r="C104" s="12"/>
      <c r="D104" s="7"/>
      <c r="E104" s="3"/>
      <c r="F104" s="8">
        <f t="shared" si="20"/>
        <v>0</v>
      </c>
      <c r="G104" s="3"/>
      <c r="H104" s="7"/>
      <c r="I104" s="3"/>
      <c r="J104" s="8">
        <f t="shared" si="21"/>
        <v>0</v>
      </c>
      <c r="K104" s="3"/>
      <c r="L104" s="7">
        <f t="shared" si="22"/>
        <v>0</v>
      </c>
      <c r="M104" s="3"/>
      <c r="N104" s="8">
        <f t="shared" si="23"/>
        <v>0</v>
      </c>
      <c r="O104" s="12"/>
      <c r="P104" s="7">
        <v>122.65</v>
      </c>
      <c r="Q104" s="3"/>
      <c r="R104" s="8">
        <f t="shared" si="24"/>
        <v>1.1249481414040646E-4</v>
      </c>
      <c r="S104" s="3"/>
      <c r="T104" s="7"/>
      <c r="U104" s="3"/>
      <c r="V104" s="8">
        <f t="shared" si="25"/>
        <v>0</v>
      </c>
      <c r="W104" s="3"/>
      <c r="X104" s="7">
        <f t="shared" si="26"/>
        <v>122.65</v>
      </c>
      <c r="Y104" s="3"/>
      <c r="Z104" s="8">
        <f t="shared" si="27"/>
        <v>0</v>
      </c>
    </row>
    <row r="105" spans="1:26" s="69" customFormat="1" ht="15" customHeight="1" outlineLevel="1" collapsed="1" x14ac:dyDescent="0.3">
      <c r="A105" s="25"/>
      <c r="B105" s="14" t="str">
        <f>CONCATENATE("     ","Utilities                                         ")</f>
        <v xml:space="preserve">     Utilities                                         </v>
      </c>
      <c r="C105" s="14"/>
      <c r="D105" s="2">
        <f>SUM(OSRRefD22_20x_0)</f>
        <v>8150</v>
      </c>
      <c r="E105" s="2"/>
      <c r="F105" s="6">
        <f t="shared" si="20"/>
        <v>2.9999764419027877E-2</v>
      </c>
      <c r="G105" s="2"/>
      <c r="H105" s="2">
        <f>SUM(OSRRefH22_20x_0)</f>
        <v>8667</v>
      </c>
      <c r="I105" s="2"/>
      <c r="J105" s="6">
        <f t="shared" si="21"/>
        <v>2.3190600675890818E-2</v>
      </c>
      <c r="K105" s="2"/>
      <c r="L105" s="2">
        <f t="shared" si="22"/>
        <v>-517</v>
      </c>
      <c r="M105" s="2"/>
      <c r="N105" s="6">
        <f t="shared" si="23"/>
        <v>-5.9651551863389871E-2</v>
      </c>
      <c r="O105" s="14"/>
      <c r="P105" s="2">
        <f>SUM(OSRRefP22_20x_0)</f>
        <v>70950</v>
      </c>
      <c r="Q105" s="2"/>
      <c r="R105" s="6">
        <f t="shared" si="24"/>
        <v>6.5075475444450359E-2</v>
      </c>
      <c r="S105" s="2"/>
      <c r="T105" s="2">
        <f>SUM(OSRRefT22_20x_0)</f>
        <v>78003</v>
      </c>
      <c r="U105" s="2"/>
      <c r="V105" s="6">
        <f t="shared" si="25"/>
        <v>5.4934243422581616E-2</v>
      </c>
      <c r="W105" s="2"/>
      <c r="X105" s="2">
        <f t="shared" si="26"/>
        <v>-7053</v>
      </c>
      <c r="Y105" s="2"/>
      <c r="Z105" s="6">
        <f t="shared" si="27"/>
        <v>-9.0419599246182841E-2</v>
      </c>
    </row>
    <row r="106" spans="1:26" s="70" customFormat="1" ht="15" hidden="1" customHeight="1" outlineLevel="2" x14ac:dyDescent="0.3">
      <c r="A106" s="26"/>
      <c r="B106" s="12" t="str">
        <f>CONCATENATE("          ","6274"," - ","UTILITIES")</f>
        <v xml:space="preserve">          6274 - UTILITIES</v>
      </c>
      <c r="C106" s="12"/>
      <c r="D106" s="7">
        <v>8150</v>
      </c>
      <c r="E106" s="3"/>
      <c r="F106" s="8">
        <f t="shared" si="20"/>
        <v>2.9999764419027877E-2</v>
      </c>
      <c r="G106" s="3"/>
      <c r="H106" s="7">
        <v>8667</v>
      </c>
      <c r="I106" s="3"/>
      <c r="J106" s="8">
        <f t="shared" si="21"/>
        <v>2.3190600675890818E-2</v>
      </c>
      <c r="K106" s="3"/>
      <c r="L106" s="7">
        <f t="shared" si="22"/>
        <v>-517</v>
      </c>
      <c r="M106" s="3"/>
      <c r="N106" s="8">
        <f t="shared" si="23"/>
        <v>-5.9651551863389871E-2</v>
      </c>
      <c r="O106" s="12"/>
      <c r="P106" s="7">
        <v>70950</v>
      </c>
      <c r="Q106" s="3"/>
      <c r="R106" s="8">
        <f t="shared" si="24"/>
        <v>6.5075475444450359E-2</v>
      </c>
      <c r="S106" s="3"/>
      <c r="T106" s="7">
        <v>78003</v>
      </c>
      <c r="U106" s="3"/>
      <c r="V106" s="8">
        <f t="shared" si="25"/>
        <v>5.4934243422581616E-2</v>
      </c>
      <c r="W106" s="3"/>
      <c r="X106" s="7">
        <f t="shared" si="26"/>
        <v>-7053</v>
      </c>
      <c r="Y106" s="3"/>
      <c r="Z106" s="8">
        <f t="shared" si="27"/>
        <v>-9.0419599246182841E-2</v>
      </c>
    </row>
    <row r="107" spans="1:26" s="65" customFormat="1" ht="15" customHeight="1" x14ac:dyDescent="0.3">
      <c r="A107" s="35"/>
      <c r="B107" s="35"/>
      <c r="C107" s="35"/>
      <c r="D107" s="2"/>
      <c r="E107" s="2"/>
      <c r="F107" s="6"/>
      <c r="G107" s="2"/>
      <c r="H107" s="2"/>
      <c r="I107" s="2"/>
      <c r="J107" s="6"/>
      <c r="K107" s="2"/>
      <c r="L107" s="2"/>
      <c r="M107" s="2"/>
      <c r="N107" s="6"/>
      <c r="O107" s="35"/>
      <c r="P107" s="2"/>
      <c r="Q107" s="2"/>
      <c r="R107" s="6"/>
      <c r="S107" s="2"/>
      <c r="T107" s="2"/>
      <c r="U107" s="2"/>
      <c r="V107" s="6"/>
      <c r="W107" s="2"/>
      <c r="X107" s="2"/>
      <c r="Y107" s="2"/>
      <c r="Z107" s="6"/>
    </row>
    <row r="108" spans="1:26" s="63" customFormat="1" ht="15" customHeight="1" collapsed="1" x14ac:dyDescent="0.3">
      <c r="A108" s="11"/>
      <c r="B108" s="28" t="s">
        <v>291</v>
      </c>
      <c r="C108" s="11"/>
      <c r="D108" s="5">
        <f>SUM(OSRRefD25x_0)</f>
        <v>25319.38</v>
      </c>
      <c r="E108" s="5"/>
      <c r="F108" s="13">
        <f>IF(D$12=0,0,D108/D$12)</f>
        <v>9.3199439906238787E-2</v>
      </c>
      <c r="G108" s="5"/>
      <c r="H108" s="5">
        <f>SUM(OSRRefH25x_0)</f>
        <v>21607.09</v>
      </c>
      <c r="I108" s="5"/>
      <c r="J108" s="13">
        <f>IF(H$12=0,0,H108/H$12)</f>
        <v>5.7814860500523105E-2</v>
      </c>
      <c r="K108" s="5"/>
      <c r="L108" s="5">
        <f>+D108-H108</f>
        <v>3712.2900000000009</v>
      </c>
      <c r="M108" s="5"/>
      <c r="N108" s="13">
        <f>IF(H108=0,0,L108/H108)</f>
        <v>0.17180888310272235</v>
      </c>
      <c r="O108" s="11"/>
      <c r="P108" s="5">
        <f>SUM(OSRRefP25x_0)</f>
        <v>168534.85</v>
      </c>
      <c r="Q108" s="5"/>
      <c r="R108" s="13">
        <f>IF(P$12=0,0,P108/P$12)</f>
        <v>0.1545804861551674</v>
      </c>
      <c r="S108" s="5"/>
      <c r="T108" s="5">
        <f>SUM(OSRRefT25x_0)</f>
        <v>105980.4</v>
      </c>
      <c r="U108" s="5"/>
      <c r="V108" s="13">
        <f>IF(T$12=0,0,T108/T$12)</f>
        <v>7.4637553576433827E-2</v>
      </c>
      <c r="W108" s="5"/>
      <c r="X108" s="5">
        <f>+P108-T108</f>
        <v>62554.450000000012</v>
      </c>
      <c r="Y108" s="5"/>
      <c r="Z108" s="13">
        <f>IF(T108=0,0,X108/T108)</f>
        <v>0.59024546048137216</v>
      </c>
    </row>
    <row r="109" spans="1:26" s="70" customFormat="1" ht="15" hidden="1" customHeight="1" outlineLevel="1" x14ac:dyDescent="0.3">
      <c r="A109" s="42"/>
      <c r="B109" s="12" t="str">
        <f>CONCATENATE("          ","9150"," - ","MISC. INCOME")</f>
        <v xml:space="preserve">          9150 - MISC. INCOME</v>
      </c>
      <c r="C109" s="12"/>
      <c r="D109" s="3">
        <f>--25319.38</f>
        <v>25319.38</v>
      </c>
      <c r="E109" s="3"/>
      <c r="F109" s="20">
        <f>IF(D$12=0,0,D109/D$12)</f>
        <v>9.3199439906238787E-2</v>
      </c>
      <c r="G109" s="3"/>
      <c r="H109" s="3"/>
      <c r="I109" s="3"/>
      <c r="J109" s="20">
        <f>IF(H$12=0,0,H109/H$12)</f>
        <v>0</v>
      </c>
      <c r="K109" s="3"/>
      <c r="L109" s="3">
        <f>+D109-H109</f>
        <v>25319.38</v>
      </c>
      <c r="M109" s="3"/>
      <c r="N109" s="20">
        <f>IF(H109=0,0,L109/H109)</f>
        <v>0</v>
      </c>
      <c r="O109" s="12"/>
      <c r="P109" s="3">
        <f>--168534.85</f>
        <v>168534.85</v>
      </c>
      <c r="Q109" s="3"/>
      <c r="R109" s="20">
        <f>IF(P$12=0,0,P109/P$12)</f>
        <v>0.1545804861551674</v>
      </c>
      <c r="S109" s="3"/>
      <c r="T109" s="3">
        <v>1000</v>
      </c>
      <c r="U109" s="3"/>
      <c r="V109" s="20">
        <f>IF(T$12=0,0,T109/T$12)</f>
        <v>7.042580852349475E-4</v>
      </c>
      <c r="W109" s="3"/>
      <c r="X109" s="3">
        <f>+P109-T109</f>
        <v>167534.85</v>
      </c>
      <c r="Y109" s="3"/>
      <c r="Z109" s="20">
        <f>IF(T109=0,0,X109/T109)</f>
        <v>167.53485000000001</v>
      </c>
    </row>
    <row r="110" spans="1:26" s="70" customFormat="1" ht="15" hidden="1" customHeight="1" outlineLevel="1" x14ac:dyDescent="0.3">
      <c r="A110" s="42"/>
      <c r="B110" s="12" t="str">
        <f>CONCATENATE("          ","9151"," - ","MISC. INCOME")</f>
        <v xml:space="preserve">          9151 - MISC. INCOME</v>
      </c>
      <c r="C110" s="12"/>
      <c r="D110" s="3">
        <f>0</f>
        <v>0</v>
      </c>
      <c r="E110" s="3"/>
      <c r="F110" s="20">
        <f>IF(D$12=0,0,D110/D$12)</f>
        <v>0</v>
      </c>
      <c r="G110" s="3"/>
      <c r="H110" s="3">
        <v>11876.31</v>
      </c>
      <c r="I110" s="3"/>
      <c r="J110" s="20">
        <f>IF(H$12=0,0,H110/H$12)</f>
        <v>3.1777865779749496E-2</v>
      </c>
      <c r="K110" s="3"/>
      <c r="L110" s="3">
        <f>+D110-H110</f>
        <v>-11876.31</v>
      </c>
      <c r="M110" s="3"/>
      <c r="N110" s="20">
        <f>IF(H110=0,0,L110/H110)</f>
        <v>-1</v>
      </c>
      <c r="O110" s="12"/>
      <c r="P110" s="3">
        <f>0</f>
        <v>0</v>
      </c>
      <c r="Q110" s="3"/>
      <c r="R110" s="20">
        <f>IF(P$12=0,0,P110/P$12)</f>
        <v>0</v>
      </c>
      <c r="S110" s="3"/>
      <c r="T110" s="3">
        <v>44768.53</v>
      </c>
      <c r="U110" s="3"/>
      <c r="V110" s="20">
        <f>IF(T$12=0,0,T110/T$12)</f>
        <v>3.1528599216583304E-2</v>
      </c>
      <c r="W110" s="3"/>
      <c r="X110" s="3">
        <f>+P110-T110</f>
        <v>-44768.53</v>
      </c>
      <c r="Y110" s="3"/>
      <c r="Z110" s="20">
        <f>IF(T110=0,0,X110/T110)</f>
        <v>-1</v>
      </c>
    </row>
    <row r="111" spans="1:26" s="70" customFormat="1" ht="15" hidden="1" customHeight="1" outlineLevel="1" x14ac:dyDescent="0.3">
      <c r="A111" s="42"/>
      <c r="B111" s="12" t="str">
        <f>CONCATENATE("          ","9160"," - ","MISC. INCOME")</f>
        <v xml:space="preserve">          9160 - MISC. INCOME</v>
      </c>
      <c r="C111" s="12"/>
      <c r="D111" s="3">
        <f>0</f>
        <v>0</v>
      </c>
      <c r="E111" s="3"/>
      <c r="F111" s="20">
        <f>IF(D$12=0,0,D111/D$12)</f>
        <v>0</v>
      </c>
      <c r="G111" s="3"/>
      <c r="H111" s="3">
        <v>9730.7800000000007</v>
      </c>
      <c r="I111" s="3"/>
      <c r="J111" s="20">
        <f>IF(H$12=0,0,H111/H$12)</f>
        <v>2.6036994720773612E-2</v>
      </c>
      <c r="K111" s="3"/>
      <c r="L111" s="3">
        <f>+D111-H111</f>
        <v>-9730.7800000000007</v>
      </c>
      <c r="M111" s="3"/>
      <c r="N111" s="20">
        <f>IF(H111=0,0,L111/H111)</f>
        <v>-1</v>
      </c>
      <c r="O111" s="12"/>
      <c r="P111" s="3">
        <f>0</f>
        <v>0</v>
      </c>
      <c r="Q111" s="3"/>
      <c r="R111" s="20">
        <f>IF(P$12=0,0,P111/P$12)</f>
        <v>0</v>
      </c>
      <c r="S111" s="3"/>
      <c r="T111" s="3">
        <v>60211.87</v>
      </c>
      <c r="U111" s="3"/>
      <c r="V111" s="20">
        <f>IF(T$12=0,0,T111/T$12)</f>
        <v>4.2404696274615586E-2</v>
      </c>
      <c r="W111" s="3"/>
      <c r="X111" s="3">
        <f>+P111-T111</f>
        <v>-60211.87</v>
      </c>
      <c r="Y111" s="3"/>
      <c r="Z111" s="20">
        <f>IF(T111=0,0,X111/T111)</f>
        <v>-1</v>
      </c>
    </row>
    <row r="112" spans="1:26" s="70" customFormat="1" ht="15" hidden="1" customHeight="1" outlineLevel="1" x14ac:dyDescent="0.3">
      <c r="A112" s="42"/>
      <c r="B112" s="12" t="str">
        <f>CONCATENATE("          ","9165"," - ","OTHER INCOME")</f>
        <v xml:space="preserve">          9165 - OTHER INCOME</v>
      </c>
      <c r="C112" s="12"/>
      <c r="D112" s="3">
        <f>0</f>
        <v>0</v>
      </c>
      <c r="E112" s="3"/>
      <c r="F112" s="20">
        <f>IF(D$12=0,0,D112/D$12)</f>
        <v>0</v>
      </c>
      <c r="G112" s="3"/>
      <c r="H112" s="3"/>
      <c r="I112" s="3"/>
      <c r="J112" s="20">
        <f>IF(H$12=0,0,H112/H$12)</f>
        <v>0</v>
      </c>
      <c r="K112" s="3"/>
      <c r="L112" s="3">
        <f>+D112-H112</f>
        <v>0</v>
      </c>
      <c r="M112" s="3"/>
      <c r="N112" s="20">
        <f>IF(H112=0,0,L112/H112)</f>
        <v>0</v>
      </c>
      <c r="O112" s="12"/>
      <c r="P112" s="3">
        <f>0</f>
        <v>0</v>
      </c>
      <c r="Q112" s="3"/>
      <c r="R112" s="20">
        <f>IF(P$12=0,0,P112/P$12)</f>
        <v>0</v>
      </c>
      <c r="S112" s="3"/>
      <c r="T112" s="3"/>
      <c r="U112" s="3"/>
      <c r="V112" s="20">
        <f>IF(T$12=0,0,T112/T$12)</f>
        <v>0</v>
      </c>
      <c r="W112" s="3"/>
      <c r="X112" s="3">
        <f>+P112-T112</f>
        <v>0</v>
      </c>
      <c r="Y112" s="3"/>
      <c r="Z112" s="20">
        <f>IF(T112=0,0,X112/T112)</f>
        <v>0</v>
      </c>
    </row>
    <row r="113" spans="1:26" ht="15" customHeight="1" x14ac:dyDescent="0.3">
      <c r="A113" s="10"/>
      <c r="B113" s="11"/>
      <c r="C113" s="11"/>
      <c r="D113" s="4"/>
      <c r="E113" s="4"/>
      <c r="F113" s="9"/>
      <c r="G113" s="4"/>
      <c r="H113" s="4"/>
      <c r="I113" s="4"/>
      <c r="J113" s="9"/>
      <c r="K113" s="4"/>
      <c r="L113" s="4"/>
      <c r="M113" s="4"/>
      <c r="N113" s="9"/>
      <c r="O113" s="11"/>
      <c r="P113" s="4"/>
      <c r="Q113" s="4"/>
      <c r="R113" s="9"/>
      <c r="S113" s="4"/>
      <c r="T113" s="4"/>
      <c r="U113" s="4"/>
      <c r="V113" s="9"/>
      <c r="W113" s="4"/>
      <c r="X113" s="4"/>
      <c r="Y113" s="4"/>
      <c r="Z113" s="9"/>
    </row>
    <row r="114" spans="1:26" s="63" customFormat="1" ht="15" customHeight="1" x14ac:dyDescent="0.3">
      <c r="A114" s="11"/>
      <c r="B114" s="27" t="s">
        <v>292</v>
      </c>
      <c r="C114" s="27"/>
      <c r="D114" s="21">
        <f>+D24-D26+D108</f>
        <v>-15072.55000000005</v>
      </c>
      <c r="E114" s="15"/>
      <c r="F114" s="23">
        <f>IF(D$12=0,0,D114/D$12)</f>
        <v>-5.5481343459388974E-2</v>
      </c>
      <c r="G114" s="15"/>
      <c r="H114" s="21">
        <f>+H24-H26+H108</f>
        <v>56206.016076474771</v>
      </c>
      <c r="I114" s="15"/>
      <c r="J114" s="23">
        <f>IF(H$12=0,0,H114/H$12)</f>
        <v>0.15039243964603971</v>
      </c>
      <c r="K114" s="16"/>
      <c r="L114" s="21">
        <f>+D114-H114</f>
        <v>-71278.566076474817</v>
      </c>
      <c r="M114" s="16"/>
      <c r="N114" s="23">
        <f>IF(H114=0,0,L114/H114)</f>
        <v>-1.2681661333102154</v>
      </c>
      <c r="O114" s="28"/>
      <c r="P114" s="21">
        <f>+P24-P26+P108</f>
        <v>-812288.21</v>
      </c>
      <c r="Q114" s="15"/>
      <c r="R114" s="23">
        <f>IF(P$12=0,0,P114/P$12)</f>
        <v>-0.74503229688050088</v>
      </c>
      <c r="S114" s="15"/>
      <c r="T114" s="21">
        <f>+T24-T26+T108</f>
        <v>-614818.32028778305</v>
      </c>
      <c r="U114" s="15"/>
      <c r="V114" s="23">
        <f>IF(T$12=0,0,T114/T$12)</f>
        <v>-0.43299077301324079</v>
      </c>
      <c r="W114" s="16"/>
      <c r="X114" s="21">
        <f>+P114-T114</f>
        <v>-197469.88971221691</v>
      </c>
      <c r="Y114" s="16"/>
      <c r="Z114" s="23">
        <f>IF(T114=0,0,X114/T114)</f>
        <v>0.3211841339076974</v>
      </c>
    </row>
    <row r="115" spans="1:26" ht="15" customHeight="1" x14ac:dyDescent="0.3">
      <c r="A115" s="10"/>
      <c r="B115" s="11"/>
      <c r="C115" s="10"/>
      <c r="D115" s="4"/>
      <c r="E115" s="4"/>
      <c r="F115" s="9"/>
      <c r="G115" s="4"/>
      <c r="H115" s="4"/>
      <c r="I115" s="4"/>
      <c r="J115" s="9"/>
      <c r="K115" s="4"/>
      <c r="L115" s="4"/>
      <c r="M115" s="4"/>
      <c r="N115" s="9"/>
      <c r="P115" s="4"/>
      <c r="Q115" s="4"/>
      <c r="R115" s="9"/>
      <c r="S115" s="4"/>
      <c r="T115" s="4"/>
      <c r="U115" s="4"/>
      <c r="V115" s="9"/>
      <c r="W115" s="4"/>
      <c r="X115" s="4"/>
      <c r="Y115" s="4"/>
      <c r="Z115" s="9"/>
    </row>
    <row r="116" spans="1:26" s="63" customFormat="1" ht="15" customHeight="1" x14ac:dyDescent="0.3">
      <c r="A116" s="49"/>
      <c r="B116" s="11" t="s">
        <v>293</v>
      </c>
      <c r="C116" s="11"/>
      <c r="D116" s="5">
        <v>27941.01</v>
      </c>
      <c r="E116" s="5"/>
      <c r="F116" s="13">
        <f>IF(D$12=0,0,D116/D$12)</f>
        <v>0.10284953590548492</v>
      </c>
      <c r="G116" s="5"/>
      <c r="H116" s="5">
        <v>45026</v>
      </c>
      <c r="I116" s="5"/>
      <c r="J116" s="13">
        <f>IF(H$12=0,0,H116/H$12)</f>
        <v>0.12047767232406369</v>
      </c>
      <c r="K116" s="5"/>
      <c r="L116" s="5">
        <f>+D116-H116</f>
        <v>-17084.990000000002</v>
      </c>
      <c r="M116" s="5"/>
      <c r="N116" s="13">
        <f>IF(H116=0,0,L116/H116)</f>
        <v>-0.37944720827966066</v>
      </c>
      <c r="O116" s="11"/>
      <c r="P116" s="5">
        <v>130121.34</v>
      </c>
      <c r="Q116" s="5"/>
      <c r="R116" s="13">
        <f>IF(P$12=0,0,P116/P$12)</f>
        <v>0.11934754145128931</v>
      </c>
      <c r="S116" s="5"/>
      <c r="T116" s="5">
        <v>172922</v>
      </c>
      <c r="U116" s="5"/>
      <c r="V116" s="13">
        <f>IF(T$12=0,0,T116/T$12)</f>
        <v>0.12178171661499759</v>
      </c>
      <c r="W116" s="5"/>
      <c r="X116" s="5">
        <f>+P116-T116</f>
        <v>-42800.66</v>
      </c>
      <c r="Y116" s="5"/>
      <c r="Z116" s="13">
        <f>IF(T116=0,0,X116/T116)</f>
        <v>-0.24751425498201504</v>
      </c>
    </row>
    <row r="117" spans="1:26" ht="15" customHeight="1" x14ac:dyDescent="0.3">
      <c r="A117" s="10"/>
      <c r="B117" s="11"/>
      <c r="C117" s="11"/>
      <c r="D117" s="4"/>
      <c r="E117" s="4"/>
      <c r="F117" s="9"/>
      <c r="G117" s="4"/>
      <c r="H117" s="4"/>
      <c r="I117" s="4"/>
      <c r="J117" s="9"/>
      <c r="K117" s="4"/>
      <c r="L117" s="4"/>
      <c r="M117" s="4"/>
      <c r="N117" s="9"/>
      <c r="O117" s="11"/>
      <c r="P117" s="4"/>
      <c r="Q117" s="4"/>
      <c r="R117" s="9"/>
      <c r="S117" s="4"/>
      <c r="T117" s="4"/>
      <c r="U117" s="4"/>
      <c r="V117" s="9"/>
      <c r="W117" s="4"/>
      <c r="X117" s="4"/>
      <c r="Y117" s="4"/>
      <c r="Z117" s="9"/>
    </row>
    <row r="118" spans="1:26" s="63" customFormat="1" ht="15" customHeight="1" x14ac:dyDescent="0.3">
      <c r="A118" s="11"/>
      <c r="B118" s="27" t="s">
        <v>294</v>
      </c>
      <c r="C118" s="27"/>
      <c r="D118" s="34">
        <f>+D114-D116</f>
        <v>-43013.560000000049</v>
      </c>
      <c r="E118" s="15"/>
      <c r="F118" s="29">
        <f>IF(D$12=0,0,D118/D$12)</f>
        <v>-0.15833087936487389</v>
      </c>
      <c r="G118" s="15"/>
      <c r="H118" s="34">
        <f>+H114-H116</f>
        <v>11180.016076474771</v>
      </c>
      <c r="I118" s="15"/>
      <c r="J118" s="29">
        <f>IF(H$12=0,0,H118/H$12)</f>
        <v>2.9914767321976007E-2</v>
      </c>
      <c r="K118" s="16"/>
      <c r="L118" s="34">
        <f>D118-H118</f>
        <v>-54193.576076474819</v>
      </c>
      <c r="M118" s="16"/>
      <c r="N118" s="29">
        <f>IF(H118=0,0,L118/H118)</f>
        <v>-4.8473611939172523</v>
      </c>
      <c r="O118" s="28"/>
      <c r="P118" s="34">
        <f>+P114-P116</f>
        <v>-942409.54999999993</v>
      </c>
      <c r="Q118" s="15"/>
      <c r="R118" s="29">
        <f>IF(P$12=0,0,P118/P$12)</f>
        <v>-0.86437983833179022</v>
      </c>
      <c r="S118" s="15"/>
      <c r="T118" s="34">
        <f>+T114-T116</f>
        <v>-787740.32028778305</v>
      </c>
      <c r="U118" s="15"/>
      <c r="V118" s="29">
        <f>IF(T$12=0,0,T118/T$12)</f>
        <v>-0.55477248962823844</v>
      </c>
      <c r="W118" s="16"/>
      <c r="X118" s="34">
        <f>P118-T118</f>
        <v>-154669.22971221688</v>
      </c>
      <c r="Y118" s="16"/>
      <c r="Z118" s="29">
        <f>IF(T118=0,0,X118/T118)</f>
        <v>0.19634545259243807</v>
      </c>
    </row>
    <row r="119" spans="1:26" ht="15" customHeight="1" x14ac:dyDescent="0.3">
      <c r="A119" s="10"/>
      <c r="B119" s="10"/>
      <c r="C119" s="10"/>
      <c r="D119" s="4"/>
      <c r="E119" s="4"/>
      <c r="F119" s="9"/>
      <c r="G119" s="4"/>
      <c r="H119" s="4"/>
      <c r="I119" s="4"/>
      <c r="J119" s="9"/>
      <c r="K119" s="4"/>
      <c r="L119" s="4"/>
      <c r="M119" s="4"/>
      <c r="N119" s="9"/>
      <c r="P119" s="4"/>
      <c r="Q119" s="4"/>
      <c r="R119" s="9"/>
      <c r="S119" s="4"/>
      <c r="T119" s="4"/>
      <c r="U119" s="4"/>
      <c r="V119" s="9"/>
      <c r="W119" s="4"/>
      <c r="X119" s="4"/>
      <c r="Y119" s="4"/>
      <c r="Z119" s="9"/>
    </row>
    <row r="120" spans="1:26" ht="15" customHeight="1" x14ac:dyDescent="0.3">
      <c r="A120" s="10"/>
      <c r="B120" s="10"/>
      <c r="C120" s="10"/>
      <c r="D120" s="4"/>
      <c r="E120" s="4"/>
      <c r="F120" s="9"/>
      <c r="G120" s="4"/>
      <c r="H120" s="4"/>
      <c r="I120" s="4"/>
      <c r="J120" s="9"/>
      <c r="K120" s="4"/>
      <c r="L120" s="4"/>
      <c r="M120" s="4"/>
      <c r="N120" s="9"/>
      <c r="P120" s="4"/>
      <c r="Q120" s="4"/>
      <c r="R120" s="9"/>
      <c r="S120" s="4"/>
      <c r="T120" s="4"/>
      <c r="U120" s="4"/>
      <c r="V120" s="9"/>
      <c r="W120" s="4"/>
      <c r="X120" s="4"/>
      <c r="Y120" s="4"/>
      <c r="Z120" s="9"/>
    </row>
    <row r="121" spans="1:26" s="63" customFormat="1" ht="15" customHeight="1" x14ac:dyDescent="0.3">
      <c r="A121" s="11"/>
      <c r="B121" s="27" t="s">
        <v>297</v>
      </c>
      <c r="C121" s="27"/>
      <c r="D121" s="32">
        <f>SUM(D118:D120)</f>
        <v>-43013.560000000049</v>
      </c>
      <c r="E121" s="15"/>
      <c r="F121" s="31">
        <f>IF(D$12=0,0,D121/D$12)</f>
        <v>-0.15833087936487389</v>
      </c>
      <c r="G121" s="15"/>
      <c r="H121" s="32">
        <f>SUM(H118:H120)</f>
        <v>11180.016076474771</v>
      </c>
      <c r="I121" s="15"/>
      <c r="J121" s="31">
        <f>IF(H$12=0,0,H121/H$12)</f>
        <v>2.9914767321976007E-2</v>
      </c>
      <c r="K121" s="16"/>
      <c r="L121" s="32">
        <f>+D121-H121</f>
        <v>-54193.576076474819</v>
      </c>
      <c r="M121" s="16"/>
      <c r="N121" s="31">
        <f>IF(H121=0,0,L121/H121)</f>
        <v>-4.8473611939172523</v>
      </c>
      <c r="O121" s="28"/>
      <c r="P121" s="32">
        <f>SUM(P118:P120)</f>
        <v>-942409.54999999993</v>
      </c>
      <c r="Q121" s="15"/>
      <c r="R121" s="31">
        <f>IF(P$12=0,0,P121/P$12)</f>
        <v>-0.86437983833179022</v>
      </c>
      <c r="S121" s="15"/>
      <c r="T121" s="32">
        <f>SUM(T118:T120)</f>
        <v>-787740.32028778305</v>
      </c>
      <c r="U121" s="15"/>
      <c r="V121" s="31">
        <f>IF(T$12=0,0,T121/T$12)</f>
        <v>-0.55477248962823844</v>
      </c>
      <c r="W121" s="16"/>
      <c r="X121" s="32">
        <f>+P121-T121</f>
        <v>-154669.22971221688</v>
      </c>
      <c r="Y121" s="16"/>
      <c r="Z121" s="31">
        <f>IF(T121=0,0,X121/T121)</f>
        <v>0.19634545259243807</v>
      </c>
    </row>
    <row r="122" spans="1:26" ht="15" customHeight="1" x14ac:dyDescent="0.3">
      <c r="A122" s="10"/>
      <c r="C122" s="10"/>
      <c r="D122" s="19"/>
      <c r="E122" s="19"/>
      <c r="G122" s="19"/>
      <c r="H122" s="19"/>
      <c r="I122" s="19"/>
      <c r="J122" s="40"/>
      <c r="K122" s="19"/>
      <c r="L122" s="19"/>
      <c r="M122" s="19"/>
      <c r="P122" s="19"/>
      <c r="Q122" s="19"/>
      <c r="R122" s="40"/>
      <c r="S122" s="19"/>
      <c r="T122" s="19"/>
      <c r="U122" s="19"/>
      <c r="V122" s="40"/>
      <c r="W122" s="19"/>
      <c r="X122" s="19"/>
    </row>
    <row r="123" spans="1:26" ht="15" customHeight="1" x14ac:dyDescent="0.3">
      <c r="A123" s="10"/>
      <c r="B123" s="51">
        <v>44663.047638113429</v>
      </c>
      <c r="D123" s="19"/>
      <c r="E123" s="19"/>
      <c r="G123" s="19"/>
      <c r="H123" s="19"/>
      <c r="I123" s="19"/>
      <c r="J123" s="40"/>
      <c r="K123" s="19"/>
      <c r="L123" s="19"/>
      <c r="M123" s="19"/>
      <c r="P123" s="19"/>
      <c r="Q123" s="19"/>
      <c r="R123" s="40"/>
      <c r="S123" s="19"/>
      <c r="T123" s="19"/>
      <c r="U123" s="19"/>
      <c r="V123" s="40"/>
      <c r="W123" s="19"/>
      <c r="X123" s="19"/>
    </row>
    <row r="124" spans="1:26" ht="15" customHeight="1" x14ac:dyDescent="0.3">
      <c r="A124" s="10"/>
      <c r="B124" s="58" t="s">
        <v>298</v>
      </c>
      <c r="D124" s="19"/>
      <c r="E124" s="19"/>
      <c r="G124" s="19"/>
      <c r="H124" s="19"/>
      <c r="I124" s="19"/>
      <c r="J124" s="40"/>
      <c r="K124" s="19"/>
      <c r="L124" s="19"/>
      <c r="M124" s="19"/>
      <c r="P124" s="19"/>
      <c r="Q124" s="19"/>
      <c r="R124" s="40"/>
      <c r="S124" s="19"/>
      <c r="T124" s="19"/>
      <c r="U124" s="19"/>
      <c r="V124" s="40"/>
      <c r="W124" s="19"/>
      <c r="X124" s="19"/>
    </row>
    <row r="125" spans="1:26" ht="15" customHeight="1" x14ac:dyDescent="0.3">
      <c r="A125" s="10"/>
      <c r="B125" s="50"/>
      <c r="D125" s="19"/>
      <c r="E125" s="19"/>
      <c r="G125" s="19"/>
      <c r="H125" s="19"/>
      <c r="I125" s="19"/>
      <c r="J125" s="40"/>
      <c r="K125" s="19"/>
      <c r="L125" s="19"/>
      <c r="M125" s="19"/>
      <c r="P125" s="19"/>
      <c r="Q125" s="19"/>
      <c r="R125" s="40"/>
      <c r="S125" s="19"/>
      <c r="T125" s="19"/>
      <c r="U125" s="19"/>
      <c r="V125" s="40"/>
      <c r="W125" s="19"/>
      <c r="X125" s="19"/>
    </row>
    <row r="126" spans="1:26" ht="15" customHeight="1" x14ac:dyDescent="0.3">
      <c r="D126" s="19"/>
      <c r="E126" s="19"/>
      <c r="G126" s="19"/>
      <c r="H126" s="19"/>
      <c r="I126" s="19"/>
      <c r="J126" s="40"/>
      <c r="K126" s="19"/>
      <c r="L126" s="19"/>
      <c r="M126" s="19"/>
      <c r="P126" s="19"/>
      <c r="Q126" s="19"/>
      <c r="R126" s="40"/>
      <c r="S126" s="19"/>
      <c r="T126" s="19"/>
      <c r="U126" s="19"/>
      <c r="V126" s="40"/>
      <c r="W126" s="19"/>
      <c r="X126" s="19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84A1BC-57DC-6F44-0D7B-62146AFE4706}">
  <sheetPr>
    <tabColor rgb="FF92D050"/>
    <outlinePr summaryBelow="0" summaryRight="0"/>
  </sheetPr>
  <dimension ref="A2:Z106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6" customWidth="1"/>
    <col min="2" max="2" width="33.44140625" style="66" customWidth="1"/>
    <col min="3" max="3" width="1.88671875" style="66" customWidth="1"/>
    <col min="4" max="4" width="15" style="66" customWidth="1"/>
    <col min="5" max="5" width="1.88671875" style="66" customWidth="1" outlineLevel="1"/>
    <col min="6" max="6" width="15" style="67" customWidth="1" outlineLevel="1"/>
    <col min="7" max="7" width="1.88671875" style="66" customWidth="1" outlineLevel="1"/>
    <col min="8" max="8" width="15" style="66" customWidth="1" outlineLevel="1"/>
    <col min="9" max="9" width="1.88671875" style="66" customWidth="1" outlineLevel="1"/>
    <col min="10" max="10" width="15" style="68" customWidth="1" outlineLevel="1"/>
    <col min="11" max="11" width="1.88671875" style="66" customWidth="1" outlineLevel="1"/>
    <col min="12" max="12" width="15" style="66" customWidth="1" outlineLevel="1"/>
    <col min="13" max="13" width="1.88671875" style="66" customWidth="1" outlineLevel="1"/>
    <col min="14" max="14" width="15" style="67" customWidth="1" outlineLevel="1"/>
    <col min="15" max="15" width="1.88671875" style="64" customWidth="1"/>
    <col min="16" max="16" width="15" style="66" customWidth="1"/>
    <col min="17" max="17" width="1.88671875" style="66" customWidth="1" outlineLevel="1"/>
    <col min="18" max="18" width="15" style="68" customWidth="1" outlineLevel="1"/>
    <col min="19" max="19" width="1.88671875" style="66" customWidth="1" outlineLevel="1"/>
    <col min="20" max="20" width="15" style="66" customWidth="1" outlineLevel="1"/>
    <col min="21" max="21" width="1.88671875" style="66" customWidth="1" outlineLevel="1"/>
    <col min="22" max="22" width="15" style="68" customWidth="1" outlineLevel="1"/>
    <col min="23" max="23" width="1.88671875" style="66" customWidth="1" outlineLevel="1"/>
    <col min="24" max="24" width="15" style="66" customWidth="1" outlineLevel="1"/>
    <col min="25" max="25" width="1.88671875" style="66" customWidth="1" outlineLevel="1"/>
    <col min="26" max="26" width="15" style="68" customWidth="1" outlineLevel="1"/>
  </cols>
  <sheetData>
    <row r="2" spans="1:26" ht="15" customHeight="1" x14ac:dyDescent="0.3">
      <c r="D2" s="54" t="s">
        <v>276</v>
      </c>
    </row>
    <row r="3" spans="1:26" ht="15" customHeight="1" x14ac:dyDescent="0.3">
      <c r="D3" s="54" t="s">
        <v>277</v>
      </c>
      <c r="E3" s="18"/>
      <c r="F3" s="44"/>
      <c r="G3" s="18"/>
      <c r="H3" s="18"/>
      <c r="I3" s="18"/>
      <c r="J3" s="38"/>
      <c r="K3" s="18"/>
      <c r="L3" s="18"/>
      <c r="M3" s="18"/>
      <c r="N3" s="44"/>
      <c r="O3" s="53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ht="15" customHeight="1" x14ac:dyDescent="0.3">
      <c r="D4" s="54" t="str">
        <f>CONCATENATE("Period ",RIGHT(202209,2),", ",2022)</f>
        <v>Period 09, 2022</v>
      </c>
      <c r="E4" s="18"/>
      <c r="F4" s="44"/>
      <c r="G4" s="18"/>
      <c r="H4" s="18"/>
      <c r="I4" s="18"/>
      <c r="J4" s="38"/>
      <c r="K4" s="18"/>
      <c r="L4" s="18"/>
      <c r="M4" s="18"/>
      <c r="N4" s="44"/>
      <c r="O4" s="53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ht="15" customHeight="1" x14ac:dyDescent="0.3">
      <c r="A5" s="24"/>
      <c r="D5" s="60">
        <v>44646</v>
      </c>
      <c r="E5" s="18"/>
      <c r="F5" s="44"/>
      <c r="G5" s="18"/>
      <c r="H5" s="18"/>
      <c r="I5" s="18"/>
      <c r="J5" s="38"/>
      <c r="K5" s="18"/>
      <c r="L5" s="18"/>
      <c r="M5" s="18"/>
      <c r="N5" s="44"/>
      <c r="O5" s="53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ht="15" customHeight="1" x14ac:dyDescent="0.3">
      <c r="A6" s="24"/>
      <c r="B6" s="47"/>
      <c r="C6" s="47"/>
      <c r="D6" s="24" t="str">
        <f>CONCATENATE("Department ","405"," - ","Caffeine Lab")</f>
        <v>Department 405 - Caffeine Lab</v>
      </c>
      <c r="E6" s="18"/>
      <c r="F6" s="44"/>
      <c r="G6" s="18"/>
      <c r="H6" s="18"/>
      <c r="I6" s="18"/>
      <c r="J6" s="38"/>
      <c r="K6" s="18"/>
      <c r="L6" s="18"/>
      <c r="M6" s="18"/>
      <c r="N6" s="44"/>
      <c r="O6" s="59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ht="15" customHeight="1" x14ac:dyDescent="0.3">
      <c r="B7" s="52"/>
    </row>
    <row r="8" spans="1:26" ht="15" customHeight="1" x14ac:dyDescent="0.3">
      <c r="B8" s="52"/>
    </row>
    <row r="9" spans="1:26" ht="15" customHeight="1" x14ac:dyDescent="0.3">
      <c r="B9" s="10"/>
      <c r="C9" s="10"/>
      <c r="D9" s="17" t="s">
        <v>279</v>
      </c>
      <c r="E9" s="17"/>
      <c r="F9" s="36"/>
      <c r="G9" s="17"/>
      <c r="H9" s="17"/>
      <c r="I9" s="17"/>
      <c r="J9" s="43"/>
      <c r="K9" s="17"/>
      <c r="L9" s="17"/>
      <c r="M9" s="17"/>
      <c r="N9" s="36"/>
      <c r="P9" s="17" t="s">
        <v>280</v>
      </c>
      <c r="Q9" s="17"/>
      <c r="R9" s="36"/>
      <c r="S9" s="17"/>
      <c r="T9" s="17"/>
      <c r="U9" s="17"/>
      <c r="V9" s="43"/>
      <c r="W9" s="17"/>
      <c r="X9" s="17"/>
      <c r="Y9" s="17"/>
      <c r="Z9" s="36"/>
    </row>
    <row r="10" spans="1:26" ht="15" customHeight="1" x14ac:dyDescent="0.3">
      <c r="A10" s="11"/>
      <c r="B10" s="57"/>
      <c r="C10" s="11"/>
      <c r="D10" s="41" t="s">
        <v>281</v>
      </c>
      <c r="E10" s="33"/>
      <c r="F10" s="37" t="s">
        <v>282</v>
      </c>
      <c r="G10" s="33"/>
      <c r="H10" s="48" t="s">
        <v>283</v>
      </c>
      <c r="I10" s="33"/>
      <c r="J10" s="45" t="s">
        <v>284</v>
      </c>
      <c r="K10" s="11"/>
      <c r="L10" s="41" t="s">
        <v>285</v>
      </c>
      <c r="M10" s="11"/>
      <c r="N10" s="37" t="s">
        <v>286</v>
      </c>
      <c r="O10" s="11"/>
      <c r="P10" s="56" t="s">
        <v>281</v>
      </c>
      <c r="Q10" s="33"/>
      <c r="R10" s="37" t="s">
        <v>282</v>
      </c>
      <c r="S10" s="33"/>
      <c r="T10" s="48" t="s">
        <v>283</v>
      </c>
      <c r="U10" s="33"/>
      <c r="V10" s="45" t="s">
        <v>284</v>
      </c>
      <c r="W10" s="11"/>
      <c r="X10" s="41" t="s">
        <v>285</v>
      </c>
      <c r="Y10" s="11"/>
      <c r="Z10" s="37" t="s">
        <v>286</v>
      </c>
    </row>
    <row r="11" spans="1:26" ht="16.5" customHeight="1" x14ac:dyDescent="0.3">
      <c r="A11" s="10"/>
      <c r="B11" s="55"/>
      <c r="C11" s="10"/>
      <c r="D11" s="10"/>
      <c r="E11" s="10"/>
      <c r="F11" s="9"/>
      <c r="G11" s="10"/>
      <c r="H11" s="10"/>
      <c r="I11" s="10"/>
      <c r="J11" s="46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6"/>
      <c r="W11" s="10"/>
      <c r="X11" s="10"/>
      <c r="Y11" s="10"/>
      <c r="Z11" s="9"/>
    </row>
    <row r="12" spans="1:26" s="63" customFormat="1" ht="15" customHeight="1" collapsed="1" x14ac:dyDescent="0.3">
      <c r="A12" s="11"/>
      <c r="B12" s="28" t="s">
        <v>287</v>
      </c>
      <c r="C12" s="11"/>
      <c r="D12" s="5">
        <f>SUM(OSRRefD13x_0)</f>
        <v>120253.98</v>
      </c>
      <c r="E12" s="5"/>
      <c r="F12" s="13"/>
      <c r="G12" s="5"/>
      <c r="H12" s="5">
        <f>SUM(OSRRefH13x_0)</f>
        <v>84222</v>
      </c>
      <c r="I12" s="5"/>
      <c r="J12" s="13"/>
      <c r="K12" s="5"/>
      <c r="L12" s="5">
        <f>+D12-H12</f>
        <v>36031.979999999996</v>
      </c>
      <c r="M12" s="5"/>
      <c r="N12" s="13">
        <f>IF(H12=0,0,L12/H12)</f>
        <v>0.42782147182446389</v>
      </c>
      <c r="O12" s="11"/>
      <c r="P12" s="5">
        <f>SUM(OSRRefP13x_0)</f>
        <v>482825.42</v>
      </c>
      <c r="Q12" s="5"/>
      <c r="R12" s="13"/>
      <c r="S12" s="5"/>
      <c r="T12" s="5">
        <f>SUM(OSRRefT13x_0)</f>
        <v>339506</v>
      </c>
      <c r="U12" s="5"/>
      <c r="V12" s="13"/>
      <c r="W12" s="5"/>
      <c r="X12" s="5">
        <f>+P12-T12</f>
        <v>143319.41999999998</v>
      </c>
      <c r="Y12" s="5"/>
      <c r="Z12" s="13">
        <f>IF(T12=0,0,X12/T12)</f>
        <v>0.42214105199908097</v>
      </c>
    </row>
    <row r="13" spans="1:26" s="70" customFormat="1" ht="15" hidden="1" customHeight="1" outlineLevel="1" x14ac:dyDescent="0.3">
      <c r="A13" s="42"/>
      <c r="B13" s="12" t="str">
        <f>CONCATENATE("          ","4000"," - ","TAXABLE SALES")</f>
        <v xml:space="preserve">          4000 - TAXABLE SALES</v>
      </c>
      <c r="C13" s="12"/>
      <c r="D13" s="3">
        <f>0</f>
        <v>0</v>
      </c>
      <c r="E13" s="3"/>
      <c r="F13" s="20"/>
      <c r="G13" s="3"/>
      <c r="H13" s="3">
        <v>17637</v>
      </c>
      <c r="I13" s="3"/>
      <c r="J13" s="20"/>
      <c r="K13" s="3"/>
      <c r="L13" s="3">
        <f>+D13-H13</f>
        <v>-17637</v>
      </c>
      <c r="M13" s="3"/>
      <c r="N13" s="20">
        <f>IF(H13=0,0,L13/H13)</f>
        <v>-1</v>
      </c>
      <c r="O13" s="12"/>
      <c r="P13" s="3">
        <f>0</f>
        <v>0</v>
      </c>
      <c r="Q13" s="3"/>
      <c r="R13" s="20"/>
      <c r="S13" s="3"/>
      <c r="T13" s="3">
        <v>71096</v>
      </c>
      <c r="U13" s="3"/>
      <c r="V13" s="20"/>
      <c r="W13" s="3"/>
      <c r="X13" s="3">
        <f>+P13-T13</f>
        <v>-71096</v>
      </c>
      <c r="Y13" s="3"/>
      <c r="Z13" s="20">
        <f>IF(T13=0,0,X13/T13)</f>
        <v>-1</v>
      </c>
    </row>
    <row r="14" spans="1:26" s="70" customFormat="1" ht="15" hidden="1" customHeight="1" outlineLevel="1" x14ac:dyDescent="0.3">
      <c r="A14" s="42"/>
      <c r="B14" s="12" t="str">
        <f>CONCATENATE("          ","4051"," - ","TAXABLE SALES-FOOD")</f>
        <v xml:space="preserve">          4051 - TAXABLE SALES-FOOD</v>
      </c>
      <c r="C14" s="12"/>
      <c r="D14" s="3">
        <f>--7118.64</f>
        <v>7118.64</v>
      </c>
      <c r="E14" s="3"/>
      <c r="F14" s="20"/>
      <c r="G14" s="3"/>
      <c r="H14" s="3"/>
      <c r="I14" s="3"/>
      <c r="J14" s="20"/>
      <c r="K14" s="3"/>
      <c r="L14" s="3">
        <f>+D14-H14</f>
        <v>7118.64</v>
      </c>
      <c r="M14" s="3"/>
      <c r="N14" s="20">
        <f>IF(H14=0,0,L14/H14)</f>
        <v>0</v>
      </c>
      <c r="O14" s="12"/>
      <c r="P14" s="3">
        <f>--50602.69</f>
        <v>50602.69</v>
      </c>
      <c r="Q14" s="3"/>
      <c r="R14" s="20"/>
      <c r="S14" s="3"/>
      <c r="T14" s="3"/>
      <c r="U14" s="3"/>
      <c r="V14" s="20"/>
      <c r="W14" s="3"/>
      <c r="X14" s="3">
        <f>+P14-T14</f>
        <v>50602.69</v>
      </c>
      <c r="Y14" s="3"/>
      <c r="Z14" s="20">
        <f>IF(T14=0,0,X14/T14)</f>
        <v>0</v>
      </c>
    </row>
    <row r="15" spans="1:26" s="70" customFormat="1" ht="15" hidden="1" customHeight="1" outlineLevel="1" x14ac:dyDescent="0.3">
      <c r="A15" s="42"/>
      <c r="B15" s="12" t="str">
        <f>CONCATENATE("          ","4100"," - ","NON-TAXABLE SALES")</f>
        <v xml:space="preserve">          4100 - NON-TAXABLE SALES</v>
      </c>
      <c r="C15" s="12"/>
      <c r="D15" s="3">
        <f>0</f>
        <v>0</v>
      </c>
      <c r="E15" s="3"/>
      <c r="F15" s="20"/>
      <c r="G15" s="3"/>
      <c r="H15" s="3">
        <v>66585</v>
      </c>
      <c r="I15" s="3"/>
      <c r="J15" s="20"/>
      <c r="K15" s="3"/>
      <c r="L15" s="3">
        <f>+D15-H15</f>
        <v>-66585</v>
      </c>
      <c r="M15" s="3"/>
      <c r="N15" s="20">
        <f>IF(H15=0,0,L15/H15)</f>
        <v>-1</v>
      </c>
      <c r="O15" s="12"/>
      <c r="P15" s="3">
        <f>0</f>
        <v>0</v>
      </c>
      <c r="Q15" s="3"/>
      <c r="R15" s="20"/>
      <c r="S15" s="3"/>
      <c r="T15" s="3">
        <v>268410</v>
      </c>
      <c r="U15" s="3"/>
      <c r="V15" s="20"/>
      <c r="W15" s="3"/>
      <c r="X15" s="3">
        <f>+P15-T15</f>
        <v>-268410</v>
      </c>
      <c r="Y15" s="3"/>
      <c r="Z15" s="20">
        <f>IF(T15=0,0,X15/T15)</f>
        <v>-1</v>
      </c>
    </row>
    <row r="16" spans="1:26" s="70" customFormat="1" ht="15" hidden="1" customHeight="1" outlineLevel="1" x14ac:dyDescent="0.3">
      <c r="A16" s="42"/>
      <c r="B16" s="12" t="str">
        <f>CONCATENATE("          ","4151"," - ","NON-TAXABLE SALES-FOOD")</f>
        <v xml:space="preserve">          4151 - NON-TAXABLE SALES-FOOD</v>
      </c>
      <c r="C16" s="12"/>
      <c r="D16" s="3">
        <f>--113135.34</f>
        <v>113135.34</v>
      </c>
      <c r="E16" s="3"/>
      <c r="F16" s="20"/>
      <c r="G16" s="3"/>
      <c r="H16" s="3"/>
      <c r="I16" s="3"/>
      <c r="J16" s="20"/>
      <c r="K16" s="3"/>
      <c r="L16" s="3">
        <f>+D16-H16</f>
        <v>113135.34</v>
      </c>
      <c r="M16" s="3"/>
      <c r="N16" s="20">
        <f>IF(H16=0,0,L16/H16)</f>
        <v>0</v>
      </c>
      <c r="O16" s="12"/>
      <c r="P16" s="3">
        <f>--432222.73</f>
        <v>432222.73</v>
      </c>
      <c r="Q16" s="3"/>
      <c r="R16" s="20"/>
      <c r="S16" s="3"/>
      <c r="T16" s="3"/>
      <c r="U16" s="3"/>
      <c r="V16" s="20"/>
      <c r="W16" s="3"/>
      <c r="X16" s="3">
        <f>+P16-T16</f>
        <v>432222.73</v>
      </c>
      <c r="Y16" s="3"/>
      <c r="Z16" s="20">
        <f>IF(T16=0,0,X16/T16)</f>
        <v>0</v>
      </c>
    </row>
    <row r="17" spans="1:26" ht="15" customHeight="1" x14ac:dyDescent="0.3">
      <c r="A17" s="10"/>
      <c r="B17" s="11"/>
      <c r="C17" s="10"/>
      <c r="D17" s="4"/>
      <c r="E17" s="4"/>
      <c r="F17" s="9"/>
      <c r="G17" s="4"/>
      <c r="H17" s="4"/>
      <c r="I17" s="4"/>
      <c r="J17" s="9"/>
      <c r="K17" s="4"/>
      <c r="L17" s="4"/>
      <c r="M17" s="4"/>
      <c r="N17" s="9"/>
      <c r="P17" s="4"/>
      <c r="Q17" s="4"/>
      <c r="R17" s="9"/>
      <c r="S17" s="4"/>
      <c r="T17" s="4"/>
      <c r="U17" s="4"/>
      <c r="V17" s="9"/>
      <c r="W17" s="4"/>
      <c r="X17" s="4"/>
      <c r="Y17" s="4"/>
      <c r="Z17" s="9"/>
    </row>
    <row r="18" spans="1:26" s="63" customFormat="1" ht="15" customHeight="1" collapsed="1" x14ac:dyDescent="0.3">
      <c r="A18" s="11"/>
      <c r="B18" s="28" t="s">
        <v>288</v>
      </c>
      <c r="C18" s="11"/>
      <c r="D18" s="5">
        <f>SUM(OSRRefD16x_0)</f>
        <v>54439.47</v>
      </c>
      <c r="E18" s="5"/>
      <c r="F18" s="13">
        <f>IF(D$12=0,0,D18/D$12)</f>
        <v>0.45270410176860676</v>
      </c>
      <c r="G18" s="5"/>
      <c r="H18" s="5">
        <f>SUM(OSRRefH16x_0)</f>
        <v>32004</v>
      </c>
      <c r="I18" s="5"/>
      <c r="J18" s="13">
        <f>IF(H$12=0,0,H18/H$12)</f>
        <v>0.37999572558238942</v>
      </c>
      <c r="K18" s="5"/>
      <c r="L18" s="5">
        <f>+D18-H18</f>
        <v>22435.47</v>
      </c>
      <c r="M18" s="5"/>
      <c r="N18" s="13">
        <f>IF(H18=0,0,L18/H18)</f>
        <v>0.7010208098987627</v>
      </c>
      <c r="O18" s="11"/>
      <c r="P18" s="5">
        <f>SUM(OSRRefP16x_0)</f>
        <v>212263.07</v>
      </c>
      <c r="Q18" s="5"/>
      <c r="R18" s="13">
        <f>IF(P$12=0,0,P18/P$12)</f>
        <v>0.43962695667514773</v>
      </c>
      <c r="S18" s="5"/>
      <c r="T18" s="5">
        <f>SUM(OSRRefT16x_0)</f>
        <v>129011</v>
      </c>
      <c r="U18" s="5"/>
      <c r="V18" s="13">
        <f>IF(T$12=0,0,T18/T$12)</f>
        <v>0.37999622981626247</v>
      </c>
      <c r="W18" s="5"/>
      <c r="X18" s="5">
        <f>+P18-T18</f>
        <v>83252.070000000007</v>
      </c>
      <c r="Y18" s="5"/>
      <c r="Z18" s="13">
        <f>IF(T18=0,0,X18/T18)</f>
        <v>0.64530985729899004</v>
      </c>
    </row>
    <row r="19" spans="1:26" s="70" customFormat="1" ht="15" hidden="1" customHeight="1" outlineLevel="1" x14ac:dyDescent="0.3">
      <c r="A19" s="42"/>
      <c r="B19" s="12" t="str">
        <f>CONCATENATE("          ","5000"," - ","PURCHASES @ COST")</f>
        <v xml:space="preserve">          5000 - PURCHASES @ COST</v>
      </c>
      <c r="C19" s="12"/>
      <c r="D19" s="3"/>
      <c r="E19" s="3"/>
      <c r="F19" s="20">
        <f>IF(D$12=0,0,D19/D$12)</f>
        <v>0</v>
      </c>
      <c r="G19" s="3"/>
      <c r="H19" s="3">
        <v>32004</v>
      </c>
      <c r="I19" s="3"/>
      <c r="J19" s="20">
        <f>IF(H$12=0,0,H19/H$12)</f>
        <v>0.37999572558238942</v>
      </c>
      <c r="K19" s="3"/>
      <c r="L19" s="3">
        <f>+D19-H19</f>
        <v>-32004</v>
      </c>
      <c r="M19" s="3"/>
      <c r="N19" s="20">
        <f>IF(H19=0,0,L19/H19)</f>
        <v>-1</v>
      </c>
      <c r="O19" s="12"/>
      <c r="P19" s="3"/>
      <c r="Q19" s="3"/>
      <c r="R19" s="20">
        <f>IF(P$12=0,0,P19/P$12)</f>
        <v>0</v>
      </c>
      <c r="S19" s="3"/>
      <c r="T19" s="3">
        <v>129011</v>
      </c>
      <c r="U19" s="3"/>
      <c r="V19" s="20">
        <f>IF(T$12=0,0,T19/T$12)</f>
        <v>0.37999622981626247</v>
      </c>
      <c r="W19" s="3"/>
      <c r="X19" s="3">
        <f>+P19-T19</f>
        <v>-129011</v>
      </c>
      <c r="Y19" s="3"/>
      <c r="Z19" s="20">
        <f>IF(T19=0,0,X19/T19)</f>
        <v>-1</v>
      </c>
    </row>
    <row r="20" spans="1:26" s="70" customFormat="1" ht="15" hidden="1" customHeight="1" outlineLevel="1" x14ac:dyDescent="0.3">
      <c r="A20" s="42"/>
      <c r="B20" s="12" t="str">
        <f>CONCATENATE("          ","5053"," - ","PURCHASES @ COST-FOOD")</f>
        <v xml:space="preserve">          5053 - PURCHASES @ COST-FOOD</v>
      </c>
      <c r="C20" s="12"/>
      <c r="D20" s="3">
        <v>32911.18</v>
      </c>
      <c r="E20" s="3"/>
      <c r="F20" s="20">
        <f>IF(D$12=0,0,D20/D$12)</f>
        <v>0.27368058836805237</v>
      </c>
      <c r="G20" s="3"/>
      <c r="H20" s="3"/>
      <c r="I20" s="3"/>
      <c r="J20" s="20">
        <f>IF(H$12=0,0,H20/H$12)</f>
        <v>0</v>
      </c>
      <c r="K20" s="3"/>
      <c r="L20" s="3">
        <f>+D20-H20</f>
        <v>32911.18</v>
      </c>
      <c r="M20" s="3"/>
      <c r="N20" s="20">
        <f>IF(H20=0,0,L20/H20)</f>
        <v>0</v>
      </c>
      <c r="O20" s="12"/>
      <c r="P20" s="3">
        <v>159755.06</v>
      </c>
      <c r="Q20" s="3"/>
      <c r="R20" s="20">
        <f>IF(P$12=0,0,P20/P$12)</f>
        <v>0.33087541248346036</v>
      </c>
      <c r="S20" s="3"/>
      <c r="T20" s="3"/>
      <c r="U20" s="3"/>
      <c r="V20" s="20">
        <f>IF(T$12=0,0,T20/T$12)</f>
        <v>0</v>
      </c>
      <c r="W20" s="3"/>
      <c r="X20" s="3">
        <f>+P20-T20</f>
        <v>159755.06</v>
      </c>
      <c r="Y20" s="3"/>
      <c r="Z20" s="20">
        <f>IF(T20=0,0,X20/T20)</f>
        <v>0</v>
      </c>
    </row>
    <row r="21" spans="1:26" s="70" customFormat="1" ht="15" hidden="1" customHeight="1" outlineLevel="1" x14ac:dyDescent="0.3">
      <c r="A21" s="42"/>
      <c r="B21" s="12" t="str">
        <f>CONCATENATE("          ","5059"," - ","PURCHASES @ COST-FOOD")</f>
        <v xml:space="preserve">          5059 - PURCHASES @ COST-FOOD</v>
      </c>
      <c r="C21" s="12"/>
      <c r="D21" s="3">
        <v>21528.29</v>
      </c>
      <c r="E21" s="3"/>
      <c r="F21" s="20">
        <f>IF(D$12=0,0,D21/D$12)</f>
        <v>0.17902351340055442</v>
      </c>
      <c r="G21" s="3"/>
      <c r="H21" s="3"/>
      <c r="I21" s="3"/>
      <c r="J21" s="20">
        <f>IF(H$12=0,0,H21/H$12)</f>
        <v>0</v>
      </c>
      <c r="K21" s="3"/>
      <c r="L21" s="3">
        <f>+D21-H21</f>
        <v>21528.29</v>
      </c>
      <c r="M21" s="3"/>
      <c r="N21" s="20">
        <f>IF(H21=0,0,L21/H21)</f>
        <v>0</v>
      </c>
      <c r="O21" s="12"/>
      <c r="P21" s="3">
        <v>52508.01</v>
      </c>
      <c r="Q21" s="3"/>
      <c r="R21" s="20">
        <f>IF(P$12=0,0,P21/P$12)</f>
        <v>0.10875154419168735</v>
      </c>
      <c r="S21" s="3"/>
      <c r="T21" s="3"/>
      <c r="U21" s="3"/>
      <c r="V21" s="20">
        <f>IF(T$12=0,0,T21/T$12)</f>
        <v>0</v>
      </c>
      <c r="W21" s="3"/>
      <c r="X21" s="3">
        <f>+P21-T21</f>
        <v>52508.01</v>
      </c>
      <c r="Y21" s="3"/>
      <c r="Z21" s="20">
        <f>IF(T21=0,0,X21/T21)</f>
        <v>0</v>
      </c>
    </row>
    <row r="22" spans="1:26" ht="15" customHeight="1" x14ac:dyDescent="0.3">
      <c r="A22" s="10"/>
      <c r="B22" s="11"/>
      <c r="C22" s="11"/>
      <c r="D22" s="4"/>
      <c r="E22" s="4"/>
      <c r="F22" s="9"/>
      <c r="G22" s="4"/>
      <c r="H22" s="4"/>
      <c r="I22" s="4"/>
      <c r="J22" s="9"/>
      <c r="K22" s="4"/>
      <c r="L22" s="4"/>
      <c r="M22" s="4"/>
      <c r="N22" s="9"/>
      <c r="O22" s="11"/>
      <c r="P22" s="4"/>
      <c r="Q22" s="4"/>
      <c r="R22" s="9"/>
      <c r="S22" s="4"/>
      <c r="T22" s="4"/>
      <c r="U22" s="4"/>
      <c r="V22" s="9"/>
      <c r="W22" s="4"/>
      <c r="X22" s="4"/>
      <c r="Y22" s="4"/>
      <c r="Z22" s="9"/>
    </row>
    <row r="23" spans="1:26" s="63" customFormat="1" ht="15" customHeight="1" x14ac:dyDescent="0.3">
      <c r="A23" s="11"/>
      <c r="B23" s="27" t="s">
        <v>289</v>
      </c>
      <c r="C23" s="27"/>
      <c r="D23" s="21">
        <f>D12-D18</f>
        <v>65814.509999999995</v>
      </c>
      <c r="E23" s="15"/>
      <c r="F23" s="23">
        <f>IF(D$12=0,0,D23/D$12)</f>
        <v>0.54729589823139324</v>
      </c>
      <c r="G23" s="15"/>
      <c r="H23" s="21">
        <f>H12-H18</f>
        <v>52218</v>
      </c>
      <c r="I23" s="15"/>
      <c r="J23" s="23">
        <f>IF(H$12=0,0,H23/H$12)</f>
        <v>0.62000427441761063</v>
      </c>
      <c r="K23" s="16"/>
      <c r="L23" s="21">
        <f>+D23-H23</f>
        <v>13596.509999999995</v>
      </c>
      <c r="M23" s="16"/>
      <c r="N23" s="23">
        <f>IF(H23=0,0,L23/H23)</f>
        <v>0.2603797541077788</v>
      </c>
      <c r="O23" s="28"/>
      <c r="P23" s="21">
        <f>P12-P18</f>
        <v>270562.34999999998</v>
      </c>
      <c r="Q23" s="15"/>
      <c r="R23" s="23">
        <f>IF(P$12=0,0,P23/P$12)</f>
        <v>0.56037304332485227</v>
      </c>
      <c r="S23" s="15"/>
      <c r="T23" s="21">
        <f>T12-T18</f>
        <v>210495</v>
      </c>
      <c r="U23" s="15"/>
      <c r="V23" s="23">
        <f>IF(T$12=0,0,T23/T$12)</f>
        <v>0.62000377018373753</v>
      </c>
      <c r="W23" s="16"/>
      <c r="X23" s="21">
        <f>+P23-T23</f>
        <v>60067.349999999977</v>
      </c>
      <c r="Y23" s="16"/>
      <c r="Z23" s="23">
        <f>IF(T23=0,0,X23/T23)</f>
        <v>0.28536236015107236</v>
      </c>
    </row>
    <row r="24" spans="1:26" ht="15" customHeight="1" x14ac:dyDescent="0.3">
      <c r="A24" s="10"/>
      <c r="B24" s="11"/>
      <c r="C24" s="10"/>
      <c r="D24" s="2"/>
      <c r="E24" s="2"/>
      <c r="F24" s="6"/>
      <c r="G24" s="2"/>
      <c r="H24" s="2"/>
      <c r="I24" s="2"/>
      <c r="J24" s="6"/>
      <c r="K24" s="2"/>
      <c r="L24" s="2"/>
      <c r="M24" s="2"/>
      <c r="N24" s="6"/>
      <c r="O24" s="35"/>
      <c r="P24" s="2"/>
      <c r="Q24" s="2"/>
      <c r="R24" s="6"/>
      <c r="S24" s="2"/>
      <c r="T24" s="2"/>
      <c r="U24" s="2"/>
      <c r="V24" s="6"/>
      <c r="W24" s="2"/>
      <c r="X24" s="2"/>
      <c r="Y24" s="2"/>
      <c r="Z24" s="6"/>
    </row>
    <row r="25" spans="1:26" s="63" customFormat="1" ht="15" customHeight="1" x14ac:dyDescent="0.3">
      <c r="A25" s="11"/>
      <c r="B25" s="28" t="s">
        <v>290</v>
      </c>
      <c r="C25" s="11"/>
      <c r="D25" s="22" cm="1">
        <f t="array" ref="D25">SUM(OSRRefD22x_0)</f>
        <v>50636.709999999992</v>
      </c>
      <c r="E25" s="22"/>
      <c r="F25" s="30">
        <f t="shared" ref="F25:F56" si="0">IF(D$12=0,0,D25/D$12)</f>
        <v>0.42108136462510426</v>
      </c>
      <c r="G25" s="22"/>
      <c r="H25" s="22" cm="1">
        <f t="array" ref="H25">SUM(OSRRefH22x_0)</f>
        <v>40826.971977846159</v>
      </c>
      <c r="I25" s="22"/>
      <c r="J25" s="30">
        <f t="shared" ref="J25:J56" si="1">IF(H$12=0,0,H25/H$12)</f>
        <v>0.48475424447111393</v>
      </c>
      <c r="K25" s="5"/>
      <c r="L25" s="22">
        <f t="shared" ref="L25:L56" si="2">+D25-H25</f>
        <v>9809.7380221538333</v>
      </c>
      <c r="M25" s="5"/>
      <c r="N25" s="30">
        <f t="shared" ref="N25:N56" si="3">IF(H25=0,0,L25/H25)</f>
        <v>0.24027591435085777</v>
      </c>
      <c r="O25" s="11"/>
      <c r="P25" s="22" cm="1">
        <f t="array" ref="P25">SUM(OSRRefP22x_0)</f>
        <v>315633.77999999997</v>
      </c>
      <c r="Q25" s="22"/>
      <c r="R25" s="30">
        <f t="shared" ref="R25:R56" si="4">IF(P$12=0,0,P25/P$12)</f>
        <v>0.65372237443504944</v>
      </c>
      <c r="S25" s="22"/>
      <c r="T25" s="22" cm="1">
        <f t="array" ref="T25">SUM(OSRRefT22x_0)</f>
        <v>304475.69979800005</v>
      </c>
      <c r="U25" s="22"/>
      <c r="V25" s="30">
        <f t="shared" ref="V25:V56" si="5">IF(T$12=0,0,T25/T$12)</f>
        <v>0.89681979051327532</v>
      </c>
      <c r="W25" s="5"/>
      <c r="X25" s="22">
        <f t="shared" ref="X25:X56" si="6">+P25-T25</f>
        <v>11158.080201999925</v>
      </c>
      <c r="Y25" s="5"/>
      <c r="Z25" s="30">
        <f t="shared" ref="Z25:Z56" si="7">IF(T25=0,0,X25/T25)</f>
        <v>3.664686610262359E-2</v>
      </c>
    </row>
    <row r="26" spans="1:26" s="69" customFormat="1" ht="15" customHeight="1" outlineLevel="1" collapsed="1" x14ac:dyDescent="0.3">
      <c r="A26" s="25"/>
      <c r="B26" s="14" t="str">
        <f>CONCATENATE("     ","*Benefits                                         ")</f>
        <v xml:space="preserve">     *Benefits                                         </v>
      </c>
      <c r="C26" s="14"/>
      <c r="D26" s="2">
        <f>SUM(OSRRefD22_0x_0)</f>
        <v>5733.9600000000009</v>
      </c>
      <c r="E26" s="2"/>
      <c r="F26" s="6">
        <f t="shared" si="0"/>
        <v>4.7682080875826323E-2</v>
      </c>
      <c r="G26" s="2"/>
      <c r="H26" s="2">
        <f>SUM(OSRRefH22_0x_0)</f>
        <v>4506.8230163076923</v>
      </c>
      <c r="I26" s="2"/>
      <c r="J26" s="6">
        <f t="shared" si="1"/>
        <v>5.351123241323754E-2</v>
      </c>
      <c r="K26" s="2"/>
      <c r="L26" s="2">
        <f t="shared" si="2"/>
        <v>1227.1369836923086</v>
      </c>
      <c r="M26" s="2"/>
      <c r="N26" s="6">
        <f t="shared" si="3"/>
        <v>0.27228426305004227</v>
      </c>
      <c r="O26" s="14"/>
      <c r="P26" s="2">
        <f>SUM(OSRRefP22_0x_0)</f>
        <v>40771.79</v>
      </c>
      <c r="Q26" s="2"/>
      <c r="R26" s="6">
        <f t="shared" si="4"/>
        <v>8.4444166175012089E-2</v>
      </c>
      <c r="S26" s="2"/>
      <c r="T26" s="2">
        <f>SUM(OSRRefT22_0x_0)</f>
        <v>37851.038548000004</v>
      </c>
      <c r="U26" s="2"/>
      <c r="V26" s="6">
        <f t="shared" si="5"/>
        <v>0.11148857029919944</v>
      </c>
      <c r="W26" s="2"/>
      <c r="X26" s="2">
        <f t="shared" si="6"/>
        <v>2920.7514519999968</v>
      </c>
      <c r="Y26" s="2"/>
      <c r="Z26" s="6">
        <f t="shared" si="7"/>
        <v>7.7164367585214513E-2</v>
      </c>
    </row>
    <row r="27" spans="1:26" s="70" customFormat="1" ht="15" hidden="1" customHeight="1" outlineLevel="2" x14ac:dyDescent="0.3">
      <c r="A27" s="26"/>
      <c r="B27" s="12" t="str">
        <f>CONCATENATE("          ","6111"," - ","F.I.C.A.")</f>
        <v xml:space="preserve">          6111 - F.I.C.A.</v>
      </c>
      <c r="C27" s="12"/>
      <c r="D27" s="7">
        <v>987.32</v>
      </c>
      <c r="E27" s="3"/>
      <c r="F27" s="8">
        <f t="shared" si="0"/>
        <v>8.210289588752074E-3</v>
      </c>
      <c r="G27" s="3"/>
      <c r="H27" s="7">
        <v>367.28748553846202</v>
      </c>
      <c r="I27" s="3"/>
      <c r="J27" s="8">
        <f t="shared" si="1"/>
        <v>4.3609447120522195E-3</v>
      </c>
      <c r="K27" s="3"/>
      <c r="L27" s="7">
        <f t="shared" si="2"/>
        <v>620.03251446153809</v>
      </c>
      <c r="M27" s="3"/>
      <c r="N27" s="8">
        <f t="shared" si="3"/>
        <v>1.6881395061760383</v>
      </c>
      <c r="O27" s="12"/>
      <c r="P27" s="7">
        <v>7301.62</v>
      </c>
      <c r="Q27" s="3"/>
      <c r="R27" s="8">
        <f t="shared" si="4"/>
        <v>1.5122691758855613E-2</v>
      </c>
      <c r="S27" s="3"/>
      <c r="T27" s="7">
        <v>3755.8321980000001</v>
      </c>
      <c r="U27" s="3"/>
      <c r="V27" s="8">
        <f t="shared" si="5"/>
        <v>1.1062638651452404E-2</v>
      </c>
      <c r="W27" s="3"/>
      <c r="X27" s="7">
        <f t="shared" si="6"/>
        <v>3545.7878019999998</v>
      </c>
      <c r="Y27" s="3"/>
      <c r="Z27" s="8">
        <f t="shared" si="7"/>
        <v>0.94407513836431511</v>
      </c>
    </row>
    <row r="28" spans="1:26" s="70" customFormat="1" ht="15" hidden="1" customHeight="1" outlineLevel="2" x14ac:dyDescent="0.3">
      <c r="A28" s="26"/>
      <c r="B28" s="12" t="str">
        <f>CONCATENATE("          ","6112"," - ","COMPENSATION INSURANCE")</f>
        <v xml:space="preserve">          6112 - COMPENSATION INSURANCE</v>
      </c>
      <c r="C28" s="12"/>
      <c r="D28" s="7">
        <v>1111.4100000000001</v>
      </c>
      <c r="E28" s="3"/>
      <c r="F28" s="8">
        <f t="shared" si="0"/>
        <v>9.2421889071779596E-3</v>
      </c>
      <c r="G28" s="3"/>
      <c r="H28" s="7">
        <v>895.42204730769197</v>
      </c>
      <c r="I28" s="3"/>
      <c r="J28" s="8">
        <f t="shared" si="1"/>
        <v>1.0631688244255562E-2</v>
      </c>
      <c r="K28" s="3"/>
      <c r="L28" s="7">
        <f t="shared" si="2"/>
        <v>215.98795269230811</v>
      </c>
      <c r="M28" s="3"/>
      <c r="N28" s="8">
        <f t="shared" si="3"/>
        <v>0.24121357447220487</v>
      </c>
      <c r="O28" s="12"/>
      <c r="P28" s="7">
        <v>6034.16</v>
      </c>
      <c r="Q28" s="3"/>
      <c r="R28" s="8">
        <f t="shared" si="4"/>
        <v>1.2497602135363958E-2</v>
      </c>
      <c r="S28" s="3"/>
      <c r="T28" s="7">
        <v>6261.2211774999996</v>
      </c>
      <c r="U28" s="3"/>
      <c r="V28" s="8">
        <f t="shared" si="5"/>
        <v>1.8442151766095444E-2</v>
      </c>
      <c r="W28" s="3"/>
      <c r="X28" s="7">
        <f t="shared" si="6"/>
        <v>-227.06117749999976</v>
      </c>
      <c r="Y28" s="3"/>
      <c r="Z28" s="8">
        <f t="shared" si="7"/>
        <v>-3.6264679215606541E-2</v>
      </c>
    </row>
    <row r="29" spans="1:26" s="70" customFormat="1" ht="15" hidden="1" customHeight="1" outlineLevel="2" x14ac:dyDescent="0.3">
      <c r="A29" s="26"/>
      <c r="B29" s="12" t="str">
        <f>CONCATENATE("          ","6113"," - ","GROUP INSURANCE")</f>
        <v xml:space="preserve">          6113 - GROUP INSURANCE</v>
      </c>
      <c r="C29" s="12"/>
      <c r="D29" s="7">
        <v>2033.2</v>
      </c>
      <c r="E29" s="3"/>
      <c r="F29" s="8">
        <f t="shared" si="0"/>
        <v>1.6907548506918443E-2</v>
      </c>
      <c r="G29" s="3"/>
      <c r="H29" s="7">
        <v>1977</v>
      </c>
      <c r="I29" s="3"/>
      <c r="J29" s="8">
        <f t="shared" si="1"/>
        <v>2.3473676711548052E-2</v>
      </c>
      <c r="K29" s="3"/>
      <c r="L29" s="7">
        <f t="shared" si="2"/>
        <v>56.200000000000045</v>
      </c>
      <c r="M29" s="3"/>
      <c r="N29" s="8">
        <f t="shared" si="3"/>
        <v>2.8426909458775945E-2</v>
      </c>
      <c r="O29" s="12"/>
      <c r="P29" s="7">
        <v>13699.43</v>
      </c>
      <c r="Q29" s="3"/>
      <c r="R29" s="8">
        <f t="shared" si="4"/>
        <v>2.8373464677978223E-2</v>
      </c>
      <c r="S29" s="3"/>
      <c r="T29" s="7">
        <v>17793</v>
      </c>
      <c r="U29" s="3"/>
      <c r="V29" s="8">
        <f t="shared" si="5"/>
        <v>5.2408499407963334E-2</v>
      </c>
      <c r="W29" s="3"/>
      <c r="X29" s="7">
        <f t="shared" si="6"/>
        <v>-4093.5699999999997</v>
      </c>
      <c r="Y29" s="3"/>
      <c r="Z29" s="8">
        <f t="shared" si="7"/>
        <v>-0.23006631821502838</v>
      </c>
    </row>
    <row r="30" spans="1:26" s="70" customFormat="1" ht="15" hidden="1" customHeight="1" outlineLevel="2" x14ac:dyDescent="0.3">
      <c r="A30" s="26"/>
      <c r="B30" s="12" t="str">
        <f>CONCATENATE("          ","6114"," - ","STATE UNEMPLOYMENT INSURANCE")</f>
        <v xml:space="preserve">          6114 - STATE UNEMPLOYMENT INSURANCE</v>
      </c>
      <c r="C30" s="12"/>
      <c r="D30" s="7">
        <v>80.27</v>
      </c>
      <c r="E30" s="3"/>
      <c r="F30" s="8">
        <f t="shared" si="0"/>
        <v>6.6750389467359005E-4</v>
      </c>
      <c r="G30" s="3"/>
      <c r="H30" s="7">
        <v>49.614414230769199</v>
      </c>
      <c r="I30" s="3"/>
      <c r="J30" s="8">
        <f t="shared" si="1"/>
        <v>5.8909090535452964E-4</v>
      </c>
      <c r="K30" s="3"/>
      <c r="L30" s="7">
        <f t="shared" si="2"/>
        <v>30.655585769230797</v>
      </c>
      <c r="M30" s="3"/>
      <c r="N30" s="8">
        <f t="shared" si="3"/>
        <v>0.61787660389668031</v>
      </c>
      <c r="O30" s="12"/>
      <c r="P30" s="7">
        <v>435.8</v>
      </c>
      <c r="Q30" s="3"/>
      <c r="R30" s="8">
        <f t="shared" si="4"/>
        <v>9.0260367815762476E-4</v>
      </c>
      <c r="S30" s="3"/>
      <c r="T30" s="7">
        <v>346.92782249999999</v>
      </c>
      <c r="U30" s="3"/>
      <c r="V30" s="8">
        <f t="shared" si="5"/>
        <v>1.0218606519472411E-3</v>
      </c>
      <c r="W30" s="3"/>
      <c r="X30" s="7">
        <f t="shared" si="6"/>
        <v>88.872177500000021</v>
      </c>
      <c r="Y30" s="3"/>
      <c r="Z30" s="8">
        <f t="shared" si="7"/>
        <v>0.25616906957642471</v>
      </c>
    </row>
    <row r="31" spans="1:26" s="70" customFormat="1" ht="15" hidden="1" customHeight="1" outlineLevel="2" x14ac:dyDescent="0.3">
      <c r="A31" s="26"/>
      <c r="B31" s="12" t="str">
        <f>CONCATENATE("          ","6115"," - ","P.E.R.S.")</f>
        <v xml:space="preserve">          6115 - P.E.R.S.</v>
      </c>
      <c r="C31" s="12"/>
      <c r="D31" s="7">
        <v>326.95999999999998</v>
      </c>
      <c r="E31" s="3"/>
      <c r="F31" s="8">
        <f t="shared" si="0"/>
        <v>2.7189120892298119E-3</v>
      </c>
      <c r="G31" s="3"/>
      <c r="H31" s="7">
        <v>412.736492307692</v>
      </c>
      <c r="I31" s="3"/>
      <c r="J31" s="8">
        <f t="shared" si="1"/>
        <v>4.9005781423819431E-3</v>
      </c>
      <c r="K31" s="3"/>
      <c r="L31" s="7">
        <f t="shared" si="2"/>
        <v>-85.776492307692024</v>
      </c>
      <c r="M31" s="3"/>
      <c r="N31" s="8">
        <f t="shared" si="3"/>
        <v>-0.20782386318228988</v>
      </c>
      <c r="O31" s="12"/>
      <c r="P31" s="7">
        <v>3637.35</v>
      </c>
      <c r="Q31" s="3"/>
      <c r="R31" s="8">
        <f t="shared" si="4"/>
        <v>7.5334683082758985E-3</v>
      </c>
      <c r="S31" s="3"/>
      <c r="T31" s="7">
        <v>3843.9935999999998</v>
      </c>
      <c r="U31" s="3"/>
      <c r="V31" s="8">
        <f t="shared" si="5"/>
        <v>1.1322314185905404E-2</v>
      </c>
      <c r="W31" s="3"/>
      <c r="X31" s="7">
        <f t="shared" si="6"/>
        <v>-206.64359999999988</v>
      </c>
      <c r="Y31" s="3"/>
      <c r="Z31" s="8">
        <f t="shared" si="7"/>
        <v>-5.3757529669144065E-2</v>
      </c>
    </row>
    <row r="32" spans="1:26" s="70" customFormat="1" ht="15" hidden="1" customHeight="1" outlineLevel="2" x14ac:dyDescent="0.3">
      <c r="A32" s="26"/>
      <c r="B32" s="12" t="str">
        <f>CONCATENATE("          ","6116"," - ","EDUCATIONAL BENEFITS")</f>
        <v xml:space="preserve">          6116 - EDUCATIONAL BENEFITS</v>
      </c>
      <c r="C32" s="12"/>
      <c r="D32" s="7"/>
      <c r="E32" s="3"/>
      <c r="F32" s="8">
        <f t="shared" si="0"/>
        <v>0</v>
      </c>
      <c r="G32" s="3"/>
      <c r="H32" s="7">
        <v>0</v>
      </c>
      <c r="I32" s="3"/>
      <c r="J32" s="8">
        <f t="shared" si="1"/>
        <v>0</v>
      </c>
      <c r="K32" s="3"/>
      <c r="L32" s="7">
        <f t="shared" si="2"/>
        <v>0</v>
      </c>
      <c r="M32" s="3"/>
      <c r="N32" s="8">
        <f t="shared" si="3"/>
        <v>0</v>
      </c>
      <c r="O32" s="12"/>
      <c r="P32" s="7"/>
      <c r="Q32" s="3"/>
      <c r="R32" s="8">
        <f t="shared" si="4"/>
        <v>0</v>
      </c>
      <c r="S32" s="3"/>
      <c r="T32" s="7">
        <v>0</v>
      </c>
      <c r="U32" s="3"/>
      <c r="V32" s="8">
        <f t="shared" si="5"/>
        <v>0</v>
      </c>
      <c r="W32" s="3"/>
      <c r="X32" s="7">
        <f t="shared" si="6"/>
        <v>0</v>
      </c>
      <c r="Y32" s="3"/>
      <c r="Z32" s="8">
        <f t="shared" si="7"/>
        <v>0</v>
      </c>
    </row>
    <row r="33" spans="1:26" s="70" customFormat="1" ht="15" hidden="1" customHeight="1" outlineLevel="2" x14ac:dyDescent="0.3">
      <c r="A33" s="26"/>
      <c r="B33" s="12" t="str">
        <f>CONCATENATE("          ","6118"," - ","VACATION")</f>
        <v xml:space="preserve">          6118 - VACATION</v>
      </c>
      <c r="C33" s="12"/>
      <c r="D33" s="7">
        <v>324.33999999999997</v>
      </c>
      <c r="E33" s="3"/>
      <c r="F33" s="8">
        <f t="shared" si="0"/>
        <v>2.6971248685490491E-3</v>
      </c>
      <c r="G33" s="3"/>
      <c r="H33" s="7">
        <v>143.977846153846</v>
      </c>
      <c r="I33" s="3"/>
      <c r="J33" s="8">
        <f t="shared" si="1"/>
        <v>1.7095040031564913E-3</v>
      </c>
      <c r="K33" s="3"/>
      <c r="L33" s="7">
        <f t="shared" si="2"/>
        <v>180.36215384615397</v>
      </c>
      <c r="M33" s="3"/>
      <c r="N33" s="8">
        <f t="shared" si="3"/>
        <v>1.2527076815236553</v>
      </c>
      <c r="O33" s="12"/>
      <c r="P33" s="7">
        <v>2952.85</v>
      </c>
      <c r="Q33" s="3"/>
      <c r="R33" s="8">
        <f t="shared" si="4"/>
        <v>6.1157716178240991E-3</v>
      </c>
      <c r="S33" s="3"/>
      <c r="T33" s="7">
        <v>1340.9280000000001</v>
      </c>
      <c r="U33" s="3"/>
      <c r="V33" s="8">
        <f t="shared" si="5"/>
        <v>3.9496444834553734E-3</v>
      </c>
      <c r="W33" s="3"/>
      <c r="X33" s="7">
        <f t="shared" si="6"/>
        <v>1611.9219999999998</v>
      </c>
      <c r="Y33" s="3"/>
      <c r="Z33" s="8">
        <f t="shared" si="7"/>
        <v>1.2020943704658265</v>
      </c>
    </row>
    <row r="34" spans="1:26" s="70" customFormat="1" ht="15" hidden="1" customHeight="1" outlineLevel="2" x14ac:dyDescent="0.3">
      <c r="A34" s="26"/>
      <c r="B34" s="12" t="str">
        <f>CONCATENATE("          ","6119"," - ","SICK LEAVE")</f>
        <v xml:space="preserve">          6119 - SICK LEAVE</v>
      </c>
      <c r="C34" s="12"/>
      <c r="D34" s="7">
        <v>388.58</v>
      </c>
      <c r="E34" s="3"/>
      <c r="F34" s="8">
        <f t="shared" si="0"/>
        <v>3.2313275618819433E-3</v>
      </c>
      <c r="G34" s="3"/>
      <c r="H34" s="7">
        <v>660.78473076923103</v>
      </c>
      <c r="I34" s="3"/>
      <c r="J34" s="8">
        <f t="shared" si="1"/>
        <v>7.8457496944887451E-3</v>
      </c>
      <c r="K34" s="3"/>
      <c r="L34" s="7">
        <f t="shared" si="2"/>
        <v>-272.20473076923105</v>
      </c>
      <c r="M34" s="3"/>
      <c r="N34" s="8">
        <f t="shared" si="3"/>
        <v>-0.41194161743470187</v>
      </c>
      <c r="O34" s="12"/>
      <c r="P34" s="7">
        <v>3447.33</v>
      </c>
      <c r="Q34" s="3"/>
      <c r="R34" s="8">
        <f t="shared" si="4"/>
        <v>7.1399099078089138E-3</v>
      </c>
      <c r="S34" s="3"/>
      <c r="T34" s="7">
        <v>4509.1357500000004</v>
      </c>
      <c r="U34" s="3"/>
      <c r="V34" s="8">
        <f t="shared" si="5"/>
        <v>1.3281461152380224E-2</v>
      </c>
      <c r="W34" s="3"/>
      <c r="X34" s="7">
        <f t="shared" si="6"/>
        <v>-1061.8057500000004</v>
      </c>
      <c r="Y34" s="3"/>
      <c r="Z34" s="8">
        <f t="shared" si="7"/>
        <v>-0.23547877217934732</v>
      </c>
    </row>
    <row r="35" spans="1:26" s="70" customFormat="1" ht="15" hidden="1" customHeight="1" outlineLevel="2" x14ac:dyDescent="0.3">
      <c r="A35" s="26"/>
      <c r="B35" s="12" t="str">
        <f>CONCATENATE("          ","6156"," - ","EMPLOYEE MEALS")</f>
        <v xml:space="preserve">          6156 - EMPLOYEE MEALS</v>
      </c>
      <c r="C35" s="12"/>
      <c r="D35" s="7">
        <v>481.88</v>
      </c>
      <c r="E35" s="3"/>
      <c r="F35" s="8">
        <f t="shared" si="0"/>
        <v>4.0071854586434478E-3</v>
      </c>
      <c r="G35" s="3"/>
      <c r="H35" s="7"/>
      <c r="I35" s="3"/>
      <c r="J35" s="8">
        <f t="shared" si="1"/>
        <v>0</v>
      </c>
      <c r="K35" s="3"/>
      <c r="L35" s="7">
        <f t="shared" si="2"/>
        <v>481.88</v>
      </c>
      <c r="M35" s="3"/>
      <c r="N35" s="8">
        <f t="shared" si="3"/>
        <v>0</v>
      </c>
      <c r="O35" s="12"/>
      <c r="P35" s="7">
        <v>3263.25</v>
      </c>
      <c r="Q35" s="3"/>
      <c r="R35" s="8">
        <f t="shared" si="4"/>
        <v>6.7586540907477489E-3</v>
      </c>
      <c r="S35" s="3"/>
      <c r="T35" s="7"/>
      <c r="U35" s="3"/>
      <c r="V35" s="8">
        <f t="shared" si="5"/>
        <v>0</v>
      </c>
      <c r="W35" s="3"/>
      <c r="X35" s="7">
        <f t="shared" si="6"/>
        <v>3263.25</v>
      </c>
      <c r="Y35" s="3"/>
      <c r="Z35" s="8">
        <f t="shared" si="7"/>
        <v>0</v>
      </c>
    </row>
    <row r="36" spans="1:26" s="69" customFormat="1" ht="15" customHeight="1" outlineLevel="1" collapsed="1" x14ac:dyDescent="0.3">
      <c r="A36" s="25"/>
      <c r="B36" s="14" t="str">
        <f>CONCATENATE("     ","*Payroll                                          ")</f>
        <v xml:space="preserve">     *Payroll                                          </v>
      </c>
      <c r="C36" s="14"/>
      <c r="D36" s="2">
        <f>SUM(OSRRefD22_1x_0)</f>
        <v>30667.49</v>
      </c>
      <c r="E36" s="2"/>
      <c r="F36" s="6">
        <f t="shared" si="0"/>
        <v>0.25502266120422795</v>
      </c>
      <c r="G36" s="2"/>
      <c r="H36" s="2">
        <f>SUM(OSRRefH22_1x_0)</f>
        <v>22821.14896153846</v>
      </c>
      <c r="I36" s="2"/>
      <c r="J36" s="6">
        <f t="shared" si="1"/>
        <v>0.27096422504260714</v>
      </c>
      <c r="K36" s="2"/>
      <c r="L36" s="2">
        <f t="shared" si="2"/>
        <v>7846.3410384615418</v>
      </c>
      <c r="M36" s="2"/>
      <c r="N36" s="6">
        <f t="shared" si="3"/>
        <v>0.34381884328809842</v>
      </c>
      <c r="O36" s="14"/>
      <c r="P36" s="2">
        <f>SUM(OSRRefP22_1x_0)</f>
        <v>170635</v>
      </c>
      <c r="Q36" s="2"/>
      <c r="R36" s="6">
        <f t="shared" si="4"/>
        <v>0.35340931303906908</v>
      </c>
      <c r="S36" s="2"/>
      <c r="T36" s="2">
        <f>SUM(OSRRefT22_1x_0)</f>
        <v>159353.66125</v>
      </c>
      <c r="U36" s="2"/>
      <c r="V36" s="6">
        <f t="shared" si="5"/>
        <v>0.46936920481523153</v>
      </c>
      <c r="W36" s="2"/>
      <c r="X36" s="2">
        <f t="shared" si="6"/>
        <v>11281.338749999995</v>
      </c>
      <c r="Y36" s="2"/>
      <c r="Z36" s="6">
        <f t="shared" si="7"/>
        <v>7.0794349257538594E-2</v>
      </c>
    </row>
    <row r="37" spans="1:26" s="70" customFormat="1" ht="15" hidden="1" customHeight="1" outlineLevel="2" x14ac:dyDescent="0.3">
      <c r="A37" s="26"/>
      <c r="B37" s="12" t="str">
        <f>CONCATENATE("          ","6001"," - ","ADMINISTRATIVE SALARIES")</f>
        <v xml:space="preserve">          6001 - ADMINISTRATIVE SALARIES</v>
      </c>
      <c r="C37" s="12"/>
      <c r="D37" s="7"/>
      <c r="E37" s="3"/>
      <c r="F37" s="8">
        <f t="shared" si="0"/>
        <v>0</v>
      </c>
      <c r="G37" s="3"/>
      <c r="H37" s="7">
        <v>0</v>
      </c>
      <c r="I37" s="3"/>
      <c r="J37" s="8">
        <f t="shared" si="1"/>
        <v>0</v>
      </c>
      <c r="K37" s="3"/>
      <c r="L37" s="7">
        <f t="shared" si="2"/>
        <v>0</v>
      </c>
      <c r="M37" s="3"/>
      <c r="N37" s="8">
        <f t="shared" si="3"/>
        <v>0</v>
      </c>
      <c r="O37" s="12"/>
      <c r="P37" s="7"/>
      <c r="Q37" s="3"/>
      <c r="R37" s="8">
        <f t="shared" si="4"/>
        <v>0</v>
      </c>
      <c r="S37" s="3"/>
      <c r="T37" s="7">
        <v>0</v>
      </c>
      <c r="U37" s="3"/>
      <c r="V37" s="8">
        <f t="shared" si="5"/>
        <v>0</v>
      </c>
      <c r="W37" s="3"/>
      <c r="X37" s="7">
        <f t="shared" si="6"/>
        <v>0</v>
      </c>
      <c r="Y37" s="3"/>
      <c r="Z37" s="8">
        <f t="shared" si="7"/>
        <v>0</v>
      </c>
    </row>
    <row r="38" spans="1:26" s="70" customFormat="1" ht="15" hidden="1" customHeight="1" outlineLevel="2" x14ac:dyDescent="0.3">
      <c r="A38" s="26"/>
      <c r="B38" s="12" t="str">
        <f>CONCATENATE("          ","6002"," - ","STAFF SALARIES")</f>
        <v xml:space="preserve">          6002 - STAFF SALARIES</v>
      </c>
      <c r="C38" s="12"/>
      <c r="D38" s="7">
        <v>5115.3900000000003</v>
      </c>
      <c r="E38" s="3"/>
      <c r="F38" s="8">
        <f t="shared" si="0"/>
        <v>4.2538217861895301E-2</v>
      </c>
      <c r="G38" s="3"/>
      <c r="H38" s="7">
        <v>4559.2984615384603</v>
      </c>
      <c r="I38" s="3"/>
      <c r="J38" s="8">
        <f t="shared" si="1"/>
        <v>5.4134293433288933E-2</v>
      </c>
      <c r="K38" s="3"/>
      <c r="L38" s="7">
        <f t="shared" si="2"/>
        <v>556.09153846154004</v>
      </c>
      <c r="M38" s="3"/>
      <c r="N38" s="8">
        <f t="shared" si="3"/>
        <v>0.12196866319514781</v>
      </c>
      <c r="O38" s="12"/>
      <c r="P38" s="7">
        <v>48192.19</v>
      </c>
      <c r="Q38" s="3"/>
      <c r="R38" s="8">
        <f t="shared" si="4"/>
        <v>9.9812868179144351E-2</v>
      </c>
      <c r="S38" s="3"/>
      <c r="T38" s="7">
        <v>42462.720000000001</v>
      </c>
      <c r="U38" s="3"/>
      <c r="V38" s="8">
        <f t="shared" si="5"/>
        <v>0.12507207530942016</v>
      </c>
      <c r="W38" s="3"/>
      <c r="X38" s="7">
        <f t="shared" si="6"/>
        <v>5729.4700000000012</v>
      </c>
      <c r="Y38" s="3"/>
      <c r="Z38" s="8">
        <f t="shared" si="7"/>
        <v>0.13492941573219994</v>
      </c>
    </row>
    <row r="39" spans="1:26" s="70" customFormat="1" ht="15" hidden="1" customHeight="1" outlineLevel="2" x14ac:dyDescent="0.3">
      <c r="A39" s="26"/>
      <c r="B39" s="12" t="str">
        <f>CONCATENATE("          ","6003"," - ","STAFF HOURLY-9 MONTH")</f>
        <v xml:space="preserve">          6003 - STAFF HOURLY-9 MONTH</v>
      </c>
      <c r="C39" s="12"/>
      <c r="D39" s="7"/>
      <c r="E39" s="3"/>
      <c r="F39" s="8">
        <f t="shared" si="0"/>
        <v>0</v>
      </c>
      <c r="G39" s="3"/>
      <c r="H39" s="7">
        <v>0</v>
      </c>
      <c r="I39" s="3"/>
      <c r="J39" s="8">
        <f t="shared" si="1"/>
        <v>0</v>
      </c>
      <c r="K39" s="3"/>
      <c r="L39" s="7">
        <f t="shared" si="2"/>
        <v>0</v>
      </c>
      <c r="M39" s="3"/>
      <c r="N39" s="8">
        <f t="shared" si="3"/>
        <v>0</v>
      </c>
      <c r="O39" s="12"/>
      <c r="P39" s="7"/>
      <c r="Q39" s="3"/>
      <c r="R39" s="8">
        <f t="shared" si="4"/>
        <v>0</v>
      </c>
      <c r="S39" s="3"/>
      <c r="T39" s="7">
        <v>0</v>
      </c>
      <c r="U39" s="3"/>
      <c r="V39" s="8">
        <f t="shared" si="5"/>
        <v>0</v>
      </c>
      <c r="W39" s="3"/>
      <c r="X39" s="7">
        <f t="shared" si="6"/>
        <v>0</v>
      </c>
      <c r="Y39" s="3"/>
      <c r="Z39" s="8">
        <f t="shared" si="7"/>
        <v>0</v>
      </c>
    </row>
    <row r="40" spans="1:26" s="70" customFormat="1" ht="15" hidden="1" customHeight="1" outlineLevel="2" x14ac:dyDescent="0.3">
      <c r="A40" s="26"/>
      <c r="B40" s="12" t="str">
        <f>CONCATENATE("          ","6004"," - ","STAFF HOURLY")</f>
        <v xml:space="preserve">          6004 - STAFF HOURLY</v>
      </c>
      <c r="C40" s="12"/>
      <c r="D40" s="7">
        <v>2868.96</v>
      </c>
      <c r="E40" s="3"/>
      <c r="F40" s="8">
        <f t="shared" si="0"/>
        <v>2.3857505589419993E-2</v>
      </c>
      <c r="G40" s="3"/>
      <c r="H40" s="7">
        <v>0</v>
      </c>
      <c r="I40" s="3"/>
      <c r="J40" s="8">
        <f t="shared" si="1"/>
        <v>0</v>
      </c>
      <c r="K40" s="3"/>
      <c r="L40" s="7">
        <f t="shared" si="2"/>
        <v>2868.96</v>
      </c>
      <c r="M40" s="3"/>
      <c r="N40" s="8">
        <f t="shared" si="3"/>
        <v>0</v>
      </c>
      <c r="O40" s="12"/>
      <c r="P40" s="7">
        <v>19060.349999999999</v>
      </c>
      <c r="Q40" s="3"/>
      <c r="R40" s="8">
        <f t="shared" si="4"/>
        <v>3.9476691181669764E-2</v>
      </c>
      <c r="S40" s="3"/>
      <c r="T40" s="7">
        <v>0</v>
      </c>
      <c r="U40" s="3"/>
      <c r="V40" s="8">
        <f t="shared" si="5"/>
        <v>0</v>
      </c>
      <c r="W40" s="3"/>
      <c r="X40" s="7">
        <f t="shared" si="6"/>
        <v>19060.349999999999</v>
      </c>
      <c r="Y40" s="3"/>
      <c r="Z40" s="8">
        <f t="shared" si="7"/>
        <v>0</v>
      </c>
    </row>
    <row r="41" spans="1:26" s="70" customFormat="1" ht="15" hidden="1" customHeight="1" outlineLevel="2" x14ac:dyDescent="0.3">
      <c r="A41" s="26"/>
      <c r="B41" s="12" t="str">
        <f>CONCATENATE("          ","6005"," - ","TEMPORARY WAGES-HOURLY")</f>
        <v xml:space="preserve">          6005 - TEMPORARY WAGES-HOURLY</v>
      </c>
      <c r="C41" s="12"/>
      <c r="D41" s="7">
        <v>3215.71</v>
      </c>
      <c r="E41" s="3"/>
      <c r="F41" s="8">
        <f t="shared" si="0"/>
        <v>2.6740986036387322E-2</v>
      </c>
      <c r="G41" s="3"/>
      <c r="H41" s="7">
        <v>7501.4222499999996</v>
      </c>
      <c r="I41" s="3"/>
      <c r="J41" s="8">
        <f t="shared" si="1"/>
        <v>8.9067253805419008E-2</v>
      </c>
      <c r="K41" s="3"/>
      <c r="L41" s="7">
        <f t="shared" si="2"/>
        <v>-4285.7122499999996</v>
      </c>
      <c r="M41" s="3"/>
      <c r="N41" s="8">
        <f t="shared" si="3"/>
        <v>-0.57131995869183338</v>
      </c>
      <c r="O41" s="12"/>
      <c r="P41" s="7">
        <v>22138.19</v>
      </c>
      <c r="Q41" s="3"/>
      <c r="R41" s="8">
        <f t="shared" si="4"/>
        <v>4.5851334836512957E-2</v>
      </c>
      <c r="S41" s="3"/>
      <c r="T41" s="7">
        <v>54864.85385</v>
      </c>
      <c r="U41" s="3"/>
      <c r="V41" s="8">
        <f t="shared" si="5"/>
        <v>0.16160201542829877</v>
      </c>
      <c r="W41" s="3"/>
      <c r="X41" s="7">
        <f t="shared" si="6"/>
        <v>-32726.663850000001</v>
      </c>
      <c r="Y41" s="3"/>
      <c r="Z41" s="8">
        <f t="shared" si="7"/>
        <v>-0.5964959633260738</v>
      </c>
    </row>
    <row r="42" spans="1:26" s="70" customFormat="1" ht="15" hidden="1" customHeight="1" outlineLevel="2" x14ac:dyDescent="0.3">
      <c r="A42" s="26"/>
      <c r="B42" s="12" t="str">
        <f>CONCATENATE("          ","6006"," - ","TEMPORARY PART TIME")</f>
        <v xml:space="preserve">          6006 - TEMPORARY PART TIME</v>
      </c>
      <c r="C42" s="12"/>
      <c r="D42" s="7"/>
      <c r="E42" s="3"/>
      <c r="F42" s="8">
        <f t="shared" si="0"/>
        <v>0</v>
      </c>
      <c r="G42" s="3"/>
      <c r="H42" s="7">
        <v>0</v>
      </c>
      <c r="I42" s="3"/>
      <c r="J42" s="8">
        <f t="shared" si="1"/>
        <v>0</v>
      </c>
      <c r="K42" s="3"/>
      <c r="L42" s="7">
        <f t="shared" si="2"/>
        <v>0</v>
      </c>
      <c r="M42" s="3"/>
      <c r="N42" s="8">
        <f t="shared" si="3"/>
        <v>0</v>
      </c>
      <c r="O42" s="12"/>
      <c r="P42" s="7"/>
      <c r="Q42" s="3"/>
      <c r="R42" s="8">
        <f t="shared" si="4"/>
        <v>0</v>
      </c>
      <c r="S42" s="3"/>
      <c r="T42" s="7">
        <v>0</v>
      </c>
      <c r="U42" s="3"/>
      <c r="V42" s="8">
        <f t="shared" si="5"/>
        <v>0</v>
      </c>
      <c r="W42" s="3"/>
      <c r="X42" s="7">
        <f t="shared" si="6"/>
        <v>0</v>
      </c>
      <c r="Y42" s="3"/>
      <c r="Z42" s="8">
        <f t="shared" si="7"/>
        <v>0</v>
      </c>
    </row>
    <row r="43" spans="1:26" s="70" customFormat="1" ht="15" hidden="1" customHeight="1" outlineLevel="2" x14ac:dyDescent="0.3">
      <c r="A43" s="26"/>
      <c r="B43" s="12" t="str">
        <f>CONCATENATE("          ","6007"," - ","STUDENT HOURLY")</f>
        <v xml:space="preserve">          6007 - STUDENT HOURLY</v>
      </c>
      <c r="C43" s="12"/>
      <c r="D43" s="7">
        <v>19467.43</v>
      </c>
      <c r="E43" s="3"/>
      <c r="F43" s="8">
        <f t="shared" si="0"/>
        <v>0.16188595171652531</v>
      </c>
      <c r="G43" s="3"/>
      <c r="H43" s="7">
        <v>0</v>
      </c>
      <c r="I43" s="3"/>
      <c r="J43" s="8">
        <f t="shared" si="1"/>
        <v>0</v>
      </c>
      <c r="K43" s="3"/>
      <c r="L43" s="7">
        <f t="shared" si="2"/>
        <v>19467.43</v>
      </c>
      <c r="M43" s="3"/>
      <c r="N43" s="8">
        <f t="shared" si="3"/>
        <v>0</v>
      </c>
      <c r="O43" s="12"/>
      <c r="P43" s="7">
        <v>81244.27</v>
      </c>
      <c r="Q43" s="3"/>
      <c r="R43" s="8">
        <f t="shared" si="4"/>
        <v>0.16826841884174201</v>
      </c>
      <c r="S43" s="3"/>
      <c r="T43" s="7">
        <v>4247.63</v>
      </c>
      <c r="U43" s="3"/>
      <c r="V43" s="8">
        <f t="shared" si="5"/>
        <v>1.2511207460251072E-2</v>
      </c>
      <c r="W43" s="3"/>
      <c r="X43" s="7">
        <f t="shared" si="6"/>
        <v>76996.639999999999</v>
      </c>
      <c r="Y43" s="3"/>
      <c r="Z43" s="8">
        <f t="shared" si="7"/>
        <v>18.126964919260857</v>
      </c>
    </row>
    <row r="44" spans="1:26" s="70" customFormat="1" ht="15" hidden="1" customHeight="1" outlineLevel="2" x14ac:dyDescent="0.3">
      <c r="A44" s="26"/>
      <c r="B44" s="12" t="str">
        <f>CONCATENATE("          ","6008"," - ","STUDENT HOURLY-FICA EXEMPT")</f>
        <v xml:space="preserve">          6008 - STUDENT HOURLY-FICA EXEMPT</v>
      </c>
      <c r="C44" s="12"/>
      <c r="D44" s="7"/>
      <c r="E44" s="3"/>
      <c r="F44" s="8">
        <f t="shared" si="0"/>
        <v>0</v>
      </c>
      <c r="G44" s="3"/>
      <c r="H44" s="7">
        <v>10760.428250000001</v>
      </c>
      <c r="I44" s="3"/>
      <c r="J44" s="8">
        <f t="shared" si="1"/>
        <v>0.12776267780389922</v>
      </c>
      <c r="K44" s="3"/>
      <c r="L44" s="7">
        <f t="shared" si="2"/>
        <v>-10760.428250000001</v>
      </c>
      <c r="M44" s="3"/>
      <c r="N44" s="8">
        <f t="shared" si="3"/>
        <v>-1</v>
      </c>
      <c r="O44" s="12"/>
      <c r="P44" s="7"/>
      <c r="Q44" s="3"/>
      <c r="R44" s="8">
        <f t="shared" si="4"/>
        <v>0</v>
      </c>
      <c r="S44" s="3"/>
      <c r="T44" s="7">
        <v>57778.457399999999</v>
      </c>
      <c r="U44" s="3"/>
      <c r="V44" s="8">
        <f t="shared" si="5"/>
        <v>0.17018390661726154</v>
      </c>
      <c r="W44" s="3"/>
      <c r="X44" s="7">
        <f t="shared" si="6"/>
        <v>-57778.457399999999</v>
      </c>
      <c r="Y44" s="3"/>
      <c r="Z44" s="8">
        <f t="shared" si="7"/>
        <v>-1</v>
      </c>
    </row>
    <row r="45" spans="1:26" s="70" customFormat="1" ht="15" hidden="1" customHeight="1" outlineLevel="2" x14ac:dyDescent="0.3">
      <c r="A45" s="26"/>
      <c r="B45" s="12" t="str">
        <f>CONCATENATE("          ","6009"," - ","TEMPORARY-SEASONAL")</f>
        <v xml:space="preserve">          6009 - TEMPORARY-SEASONAL</v>
      </c>
      <c r="C45" s="12"/>
      <c r="D45" s="7"/>
      <c r="E45" s="3"/>
      <c r="F45" s="8">
        <f t="shared" si="0"/>
        <v>0</v>
      </c>
      <c r="G45" s="3"/>
      <c r="H45" s="7">
        <v>0</v>
      </c>
      <c r="I45" s="3"/>
      <c r="J45" s="8">
        <f t="shared" si="1"/>
        <v>0</v>
      </c>
      <c r="K45" s="3"/>
      <c r="L45" s="7">
        <f t="shared" si="2"/>
        <v>0</v>
      </c>
      <c r="M45" s="3"/>
      <c r="N45" s="8">
        <f t="shared" si="3"/>
        <v>0</v>
      </c>
      <c r="O45" s="12"/>
      <c r="P45" s="7"/>
      <c r="Q45" s="3"/>
      <c r="R45" s="8">
        <f t="shared" si="4"/>
        <v>0</v>
      </c>
      <c r="S45" s="3"/>
      <c r="T45" s="7">
        <v>0</v>
      </c>
      <c r="U45" s="3"/>
      <c r="V45" s="8">
        <f t="shared" si="5"/>
        <v>0</v>
      </c>
      <c r="W45" s="3"/>
      <c r="X45" s="7">
        <f t="shared" si="6"/>
        <v>0</v>
      </c>
      <c r="Y45" s="3"/>
      <c r="Z45" s="8">
        <f t="shared" si="7"/>
        <v>0</v>
      </c>
    </row>
    <row r="46" spans="1:26" s="70" customFormat="1" ht="15" hidden="1" customHeight="1" outlineLevel="2" x14ac:dyDescent="0.3">
      <c r="A46" s="26"/>
      <c r="B46" s="12" t="str">
        <f>CONCATENATE("          ","6010"," - ","GRATUITY")</f>
        <v xml:space="preserve">          6010 - GRATUITY</v>
      </c>
      <c r="C46" s="12"/>
      <c r="D46" s="7"/>
      <c r="E46" s="3"/>
      <c r="F46" s="8">
        <f t="shared" si="0"/>
        <v>0</v>
      </c>
      <c r="G46" s="3"/>
      <c r="H46" s="7">
        <v>0</v>
      </c>
      <c r="I46" s="3"/>
      <c r="J46" s="8">
        <f t="shared" si="1"/>
        <v>0</v>
      </c>
      <c r="K46" s="3"/>
      <c r="L46" s="7">
        <f t="shared" si="2"/>
        <v>0</v>
      </c>
      <c r="M46" s="3"/>
      <c r="N46" s="8">
        <f t="shared" si="3"/>
        <v>0</v>
      </c>
      <c r="O46" s="12"/>
      <c r="P46" s="7"/>
      <c r="Q46" s="3"/>
      <c r="R46" s="8">
        <f t="shared" si="4"/>
        <v>0</v>
      </c>
      <c r="S46" s="3"/>
      <c r="T46" s="7">
        <v>0</v>
      </c>
      <c r="U46" s="3"/>
      <c r="V46" s="8">
        <f t="shared" si="5"/>
        <v>0</v>
      </c>
      <c r="W46" s="3"/>
      <c r="X46" s="7">
        <f t="shared" si="6"/>
        <v>0</v>
      </c>
      <c r="Y46" s="3"/>
      <c r="Z46" s="8">
        <f t="shared" si="7"/>
        <v>0</v>
      </c>
    </row>
    <row r="47" spans="1:26" s="69" customFormat="1" ht="15" customHeight="1" outlineLevel="1" collapsed="1" x14ac:dyDescent="0.3">
      <c r="A47" s="25"/>
      <c r="B47" s="14" t="str">
        <f>CONCATENATE("     ","Advertising/Promo                                 ")</f>
        <v xml:space="preserve">     Advertising/Promo                                 </v>
      </c>
      <c r="C47" s="14"/>
      <c r="D47" s="2">
        <f>SUM(OSRRefD22_2x_0)</f>
        <v>0</v>
      </c>
      <c r="E47" s="2"/>
      <c r="F47" s="6">
        <f t="shared" si="0"/>
        <v>0</v>
      </c>
      <c r="G47" s="2"/>
      <c r="H47" s="2">
        <f>SUM(OSRRefH22_2x_0)</f>
        <v>0</v>
      </c>
      <c r="I47" s="2"/>
      <c r="J47" s="6">
        <f t="shared" si="1"/>
        <v>0</v>
      </c>
      <c r="K47" s="2"/>
      <c r="L47" s="2">
        <f t="shared" si="2"/>
        <v>0</v>
      </c>
      <c r="M47" s="2"/>
      <c r="N47" s="6">
        <f t="shared" si="3"/>
        <v>0</v>
      </c>
      <c r="O47" s="14"/>
      <c r="P47" s="2">
        <f>SUM(OSRRefP22_2x_0)</f>
        <v>258.61</v>
      </c>
      <c r="Q47" s="2"/>
      <c r="R47" s="6">
        <f t="shared" si="4"/>
        <v>5.3561802939041617E-4</v>
      </c>
      <c r="S47" s="2"/>
      <c r="T47" s="2">
        <f>SUM(OSRRefT22_2x_0)</f>
        <v>0</v>
      </c>
      <c r="U47" s="2"/>
      <c r="V47" s="6">
        <f t="shared" si="5"/>
        <v>0</v>
      </c>
      <c r="W47" s="2"/>
      <c r="X47" s="2">
        <f t="shared" si="6"/>
        <v>258.61</v>
      </c>
      <c r="Y47" s="2"/>
      <c r="Z47" s="6">
        <f t="shared" si="7"/>
        <v>0</v>
      </c>
    </row>
    <row r="48" spans="1:26" s="70" customFormat="1" ht="15" hidden="1" customHeight="1" outlineLevel="2" x14ac:dyDescent="0.3">
      <c r="A48" s="26"/>
      <c r="B48" s="12" t="str">
        <f>CONCATENATE("          ","6362"," - ","ADVERTISING EXPENSE")</f>
        <v xml:space="preserve">          6362 - ADVERTISING EXPENSE</v>
      </c>
      <c r="C48" s="12"/>
      <c r="D48" s="7"/>
      <c r="E48" s="3"/>
      <c r="F48" s="8">
        <f t="shared" si="0"/>
        <v>0</v>
      </c>
      <c r="G48" s="3"/>
      <c r="H48" s="7"/>
      <c r="I48" s="3"/>
      <c r="J48" s="8">
        <f t="shared" si="1"/>
        <v>0</v>
      </c>
      <c r="K48" s="3"/>
      <c r="L48" s="7">
        <f t="shared" si="2"/>
        <v>0</v>
      </c>
      <c r="M48" s="3"/>
      <c r="N48" s="8">
        <f t="shared" si="3"/>
        <v>0</v>
      </c>
      <c r="O48" s="12"/>
      <c r="P48" s="7">
        <v>258.61</v>
      </c>
      <c r="Q48" s="3"/>
      <c r="R48" s="8">
        <f t="shared" si="4"/>
        <v>5.3561802939041617E-4</v>
      </c>
      <c r="S48" s="3"/>
      <c r="T48" s="7"/>
      <c r="U48" s="3"/>
      <c r="V48" s="8">
        <f t="shared" si="5"/>
        <v>0</v>
      </c>
      <c r="W48" s="3"/>
      <c r="X48" s="7">
        <f t="shared" si="6"/>
        <v>258.61</v>
      </c>
      <c r="Y48" s="3"/>
      <c r="Z48" s="8">
        <f t="shared" si="7"/>
        <v>0</v>
      </c>
    </row>
    <row r="49" spans="1:26" s="69" customFormat="1" ht="15" customHeight="1" outlineLevel="1" collapsed="1" x14ac:dyDescent="0.3">
      <c r="A49" s="25"/>
      <c r="B49" s="14" t="str">
        <f>CONCATENATE("     ","Bad Debts/Over/Short                              ")</f>
        <v xml:space="preserve">     Bad Debts/Over/Short                              </v>
      </c>
      <c r="C49" s="14"/>
      <c r="D49" s="2">
        <f>SUM(OSRRefD22_3x_0)</f>
        <v>49.28</v>
      </c>
      <c r="E49" s="2"/>
      <c r="F49" s="6">
        <f t="shared" si="0"/>
        <v>4.0979932639235729E-4</v>
      </c>
      <c r="G49" s="2"/>
      <c r="H49" s="2">
        <f>SUM(OSRRefH22_3x_0)</f>
        <v>0</v>
      </c>
      <c r="I49" s="2"/>
      <c r="J49" s="6">
        <f t="shared" si="1"/>
        <v>0</v>
      </c>
      <c r="K49" s="2"/>
      <c r="L49" s="2">
        <f t="shared" si="2"/>
        <v>49.28</v>
      </c>
      <c r="M49" s="2"/>
      <c r="N49" s="6">
        <f t="shared" si="3"/>
        <v>0</v>
      </c>
      <c r="O49" s="14"/>
      <c r="P49" s="2">
        <f>SUM(OSRRefP22_3x_0)</f>
        <v>-15.09</v>
      </c>
      <c r="Q49" s="2"/>
      <c r="R49" s="6">
        <f t="shared" si="4"/>
        <v>-3.1253532591552451E-5</v>
      </c>
      <c r="S49" s="2"/>
      <c r="T49" s="2">
        <f>SUM(OSRRefT22_3x_0)</f>
        <v>0</v>
      </c>
      <c r="U49" s="2"/>
      <c r="V49" s="6">
        <f t="shared" si="5"/>
        <v>0</v>
      </c>
      <c r="W49" s="2"/>
      <c r="X49" s="2">
        <f t="shared" si="6"/>
        <v>-15.09</v>
      </c>
      <c r="Y49" s="2"/>
      <c r="Z49" s="6">
        <f t="shared" si="7"/>
        <v>0</v>
      </c>
    </row>
    <row r="50" spans="1:26" s="70" customFormat="1" ht="15" hidden="1" customHeight="1" outlineLevel="2" x14ac:dyDescent="0.3">
      <c r="A50" s="26"/>
      <c r="B50" s="12" t="str">
        <f>CONCATENATE("          ","6272"," - ","CASH (OVER/SHORT)")</f>
        <v xml:space="preserve">          6272 - CASH (OVER/SHORT)</v>
      </c>
      <c r="C50" s="12"/>
      <c r="D50" s="7">
        <v>49.28</v>
      </c>
      <c r="E50" s="3"/>
      <c r="F50" s="8">
        <f t="shared" si="0"/>
        <v>4.0979932639235729E-4</v>
      </c>
      <c r="G50" s="3"/>
      <c r="H50" s="7"/>
      <c r="I50" s="3"/>
      <c r="J50" s="8">
        <f t="shared" si="1"/>
        <v>0</v>
      </c>
      <c r="K50" s="3"/>
      <c r="L50" s="7">
        <f t="shared" si="2"/>
        <v>49.28</v>
      </c>
      <c r="M50" s="3"/>
      <c r="N50" s="8">
        <f t="shared" si="3"/>
        <v>0</v>
      </c>
      <c r="O50" s="12"/>
      <c r="P50" s="7">
        <v>-15.09</v>
      </c>
      <c r="Q50" s="3"/>
      <c r="R50" s="8">
        <f t="shared" si="4"/>
        <v>-3.1253532591552451E-5</v>
      </c>
      <c r="S50" s="3"/>
      <c r="T50" s="7"/>
      <c r="U50" s="3"/>
      <c r="V50" s="8">
        <f t="shared" si="5"/>
        <v>0</v>
      </c>
      <c r="W50" s="3"/>
      <c r="X50" s="7">
        <f t="shared" si="6"/>
        <v>-15.09</v>
      </c>
      <c r="Y50" s="3"/>
      <c r="Z50" s="8">
        <f t="shared" si="7"/>
        <v>0</v>
      </c>
    </row>
    <row r="51" spans="1:26" s="69" customFormat="1" ht="15" customHeight="1" outlineLevel="1" collapsed="1" x14ac:dyDescent="0.3">
      <c r="A51" s="25"/>
      <c r="B51" s="14" t="str">
        <f>CONCATENATE("     ","Bank/card Fees                                    ")</f>
        <v xml:space="preserve">     Bank/card Fees                                    </v>
      </c>
      <c r="C51" s="14"/>
      <c r="D51" s="2">
        <f>SUM(OSRRefD22_4x_0)</f>
        <v>4175.34</v>
      </c>
      <c r="E51" s="2"/>
      <c r="F51" s="6">
        <f t="shared" si="0"/>
        <v>3.472101297603622E-2</v>
      </c>
      <c r="G51" s="2"/>
      <c r="H51" s="2">
        <f>SUM(OSRRefH22_4x_0)</f>
        <v>3218</v>
      </c>
      <c r="I51" s="2"/>
      <c r="J51" s="6">
        <f t="shared" si="1"/>
        <v>3.8208544085868303E-2</v>
      </c>
      <c r="K51" s="2"/>
      <c r="L51" s="2">
        <f t="shared" si="2"/>
        <v>957.34000000000015</v>
      </c>
      <c r="M51" s="2"/>
      <c r="N51" s="6">
        <f t="shared" si="3"/>
        <v>0.29749533871970174</v>
      </c>
      <c r="O51" s="14"/>
      <c r="P51" s="2">
        <f>SUM(OSRRefP22_4x_0)</f>
        <v>17043.849999999999</v>
      </c>
      <c r="Q51" s="2"/>
      <c r="R51" s="6">
        <f t="shared" si="4"/>
        <v>3.5300233363852296E-2</v>
      </c>
      <c r="S51" s="2"/>
      <c r="T51" s="2">
        <f>SUM(OSRRefT22_4x_0)</f>
        <v>12970</v>
      </c>
      <c r="U51" s="2"/>
      <c r="V51" s="6">
        <f t="shared" si="5"/>
        <v>3.8202564903123952E-2</v>
      </c>
      <c r="W51" s="2"/>
      <c r="X51" s="2">
        <f t="shared" si="6"/>
        <v>4073.8499999999985</v>
      </c>
      <c r="Y51" s="2"/>
      <c r="Z51" s="6">
        <f t="shared" si="7"/>
        <v>0.31409791827293743</v>
      </c>
    </row>
    <row r="52" spans="1:26" s="70" customFormat="1" ht="15" hidden="1" customHeight="1" outlineLevel="2" x14ac:dyDescent="0.3">
      <c r="A52" s="26"/>
      <c r="B52" s="12" t="str">
        <f>CONCATENATE("          ","6381"," - ","BANK/CREDIT CARD FEES")</f>
        <v xml:space="preserve">          6381 - BANK/CREDIT CARD FEES</v>
      </c>
      <c r="C52" s="12"/>
      <c r="D52" s="7">
        <v>4175.34</v>
      </c>
      <c r="E52" s="3"/>
      <c r="F52" s="8">
        <f t="shared" si="0"/>
        <v>3.472101297603622E-2</v>
      </c>
      <c r="G52" s="3"/>
      <c r="H52" s="7">
        <v>3218</v>
      </c>
      <c r="I52" s="3"/>
      <c r="J52" s="8">
        <f t="shared" si="1"/>
        <v>3.8208544085868303E-2</v>
      </c>
      <c r="K52" s="3"/>
      <c r="L52" s="7">
        <f t="shared" si="2"/>
        <v>957.34000000000015</v>
      </c>
      <c r="M52" s="3"/>
      <c r="N52" s="8">
        <f t="shared" si="3"/>
        <v>0.29749533871970174</v>
      </c>
      <c r="O52" s="12"/>
      <c r="P52" s="7">
        <v>17043.849999999999</v>
      </c>
      <c r="Q52" s="3"/>
      <c r="R52" s="8">
        <f t="shared" si="4"/>
        <v>3.5300233363852296E-2</v>
      </c>
      <c r="S52" s="3"/>
      <c r="T52" s="7">
        <v>12970</v>
      </c>
      <c r="U52" s="3"/>
      <c r="V52" s="8">
        <f t="shared" si="5"/>
        <v>3.8202564903123952E-2</v>
      </c>
      <c r="W52" s="3"/>
      <c r="X52" s="7">
        <f t="shared" si="6"/>
        <v>4073.8499999999985</v>
      </c>
      <c r="Y52" s="3"/>
      <c r="Z52" s="8">
        <f t="shared" si="7"/>
        <v>0.31409791827293743</v>
      </c>
    </row>
    <row r="53" spans="1:26" s="69" customFormat="1" ht="15" customHeight="1" outlineLevel="1" collapsed="1" x14ac:dyDescent="0.3">
      <c r="A53" s="25"/>
      <c r="B53" s="14" t="str">
        <f>CONCATENATE("     ","Depreciation                                      ")</f>
        <v xml:space="preserve">     Depreciation                                      </v>
      </c>
      <c r="C53" s="14"/>
      <c r="D53" s="2">
        <f>SUM(OSRRefD22_5x_0)</f>
        <v>4626.5</v>
      </c>
      <c r="E53" s="2"/>
      <c r="F53" s="6">
        <f t="shared" si="0"/>
        <v>3.8472739114331189E-2</v>
      </c>
      <c r="G53" s="2"/>
      <c r="H53" s="2">
        <f>SUM(OSRRefH22_5x_0)</f>
        <v>4733</v>
      </c>
      <c r="I53" s="2"/>
      <c r="J53" s="6">
        <f t="shared" si="1"/>
        <v>5.619671819714564E-2</v>
      </c>
      <c r="K53" s="2"/>
      <c r="L53" s="2">
        <f t="shared" si="2"/>
        <v>-106.5</v>
      </c>
      <c r="M53" s="2"/>
      <c r="N53" s="6">
        <f t="shared" si="3"/>
        <v>-2.2501584618635113E-2</v>
      </c>
      <c r="O53" s="14"/>
      <c r="P53" s="2">
        <f>SUM(OSRRefP22_5x_0)</f>
        <v>41638.5</v>
      </c>
      <c r="Q53" s="2"/>
      <c r="R53" s="6">
        <f t="shared" si="4"/>
        <v>8.6239245647008397E-2</v>
      </c>
      <c r="S53" s="2"/>
      <c r="T53" s="2">
        <f>SUM(OSRRefT22_5x_0)</f>
        <v>42597</v>
      </c>
      <c r="U53" s="2"/>
      <c r="V53" s="6">
        <f t="shared" si="5"/>
        <v>0.12546759114713732</v>
      </c>
      <c r="W53" s="2"/>
      <c r="X53" s="2">
        <f t="shared" si="6"/>
        <v>-958.5</v>
      </c>
      <c r="Y53" s="2"/>
      <c r="Z53" s="6">
        <f t="shared" si="7"/>
        <v>-2.2501584618635113E-2</v>
      </c>
    </row>
    <row r="54" spans="1:26" s="70" customFormat="1" ht="15" hidden="1" customHeight="1" outlineLevel="2" x14ac:dyDescent="0.3">
      <c r="A54" s="26"/>
      <c r="B54" s="12" t="str">
        <f>CONCATENATE("          ","6321"," - ","BUILDING DEPRECIATION")</f>
        <v xml:space="preserve">          6321 - BUILDING DEPRECIATION</v>
      </c>
      <c r="C54" s="12"/>
      <c r="D54" s="7">
        <v>4626.5</v>
      </c>
      <c r="E54" s="3"/>
      <c r="F54" s="8">
        <f t="shared" si="0"/>
        <v>3.8472739114331189E-2</v>
      </c>
      <c r="G54" s="3"/>
      <c r="H54" s="7"/>
      <c r="I54" s="3"/>
      <c r="J54" s="8">
        <f t="shared" si="1"/>
        <v>0</v>
      </c>
      <c r="K54" s="3"/>
      <c r="L54" s="7">
        <f t="shared" si="2"/>
        <v>4626.5</v>
      </c>
      <c r="M54" s="3"/>
      <c r="N54" s="8">
        <f t="shared" si="3"/>
        <v>0</v>
      </c>
      <c r="O54" s="12"/>
      <c r="P54" s="7">
        <v>41638.5</v>
      </c>
      <c r="Q54" s="3"/>
      <c r="R54" s="8">
        <f t="shared" si="4"/>
        <v>8.6239245647008397E-2</v>
      </c>
      <c r="S54" s="3"/>
      <c r="T54" s="7"/>
      <c r="U54" s="3"/>
      <c r="V54" s="8">
        <f t="shared" si="5"/>
        <v>0</v>
      </c>
      <c r="W54" s="3"/>
      <c r="X54" s="7">
        <f t="shared" si="6"/>
        <v>41638.5</v>
      </c>
      <c r="Y54" s="3"/>
      <c r="Z54" s="8">
        <f t="shared" si="7"/>
        <v>0</v>
      </c>
    </row>
    <row r="55" spans="1:26" s="70" customFormat="1" ht="15" hidden="1" customHeight="1" outlineLevel="2" x14ac:dyDescent="0.3">
      <c r="A55" s="26"/>
      <c r="B55" s="12" t="str">
        <f>CONCATENATE("          ","6322"," - ","EQUIPMENT DEPRECIATION EXPENSE")</f>
        <v xml:space="preserve">          6322 - EQUIPMENT DEPRECIATION EXPENSE</v>
      </c>
      <c r="C55" s="12"/>
      <c r="D55" s="7"/>
      <c r="E55" s="3"/>
      <c r="F55" s="8">
        <f t="shared" si="0"/>
        <v>0</v>
      </c>
      <c r="G55" s="3"/>
      <c r="H55" s="7">
        <v>4733</v>
      </c>
      <c r="I55" s="3"/>
      <c r="J55" s="8">
        <f t="shared" si="1"/>
        <v>5.619671819714564E-2</v>
      </c>
      <c r="K55" s="3"/>
      <c r="L55" s="7">
        <f t="shared" si="2"/>
        <v>-4733</v>
      </c>
      <c r="M55" s="3"/>
      <c r="N55" s="8">
        <f t="shared" si="3"/>
        <v>-1</v>
      </c>
      <c r="O55" s="12"/>
      <c r="P55" s="7"/>
      <c r="Q55" s="3"/>
      <c r="R55" s="8">
        <f t="shared" si="4"/>
        <v>0</v>
      </c>
      <c r="S55" s="3"/>
      <c r="T55" s="7">
        <v>42597</v>
      </c>
      <c r="U55" s="3"/>
      <c r="V55" s="8">
        <f t="shared" si="5"/>
        <v>0.12546759114713732</v>
      </c>
      <c r="W55" s="3"/>
      <c r="X55" s="7">
        <f t="shared" si="6"/>
        <v>-42597</v>
      </c>
      <c r="Y55" s="3"/>
      <c r="Z55" s="8">
        <f t="shared" si="7"/>
        <v>-1</v>
      </c>
    </row>
    <row r="56" spans="1:26" s="69" customFormat="1" ht="15" customHeight="1" outlineLevel="1" collapsed="1" x14ac:dyDescent="0.3">
      <c r="A56" s="25"/>
      <c r="B56" s="14" t="str">
        <f>CONCATENATE("     ","Employees' Appreciation                           ")</f>
        <v xml:space="preserve">     Employees' Appreciation                           </v>
      </c>
      <c r="C56" s="14"/>
      <c r="D56" s="2">
        <f>SUM(OSRRefD22_6x_0)</f>
        <v>0</v>
      </c>
      <c r="E56" s="2"/>
      <c r="F56" s="6">
        <f t="shared" si="0"/>
        <v>0</v>
      </c>
      <c r="G56" s="2"/>
      <c r="H56" s="2">
        <f>SUM(OSRRefH22_6x_0)</f>
        <v>20</v>
      </c>
      <c r="I56" s="2"/>
      <c r="J56" s="6">
        <f t="shared" si="1"/>
        <v>2.374676450333642E-4</v>
      </c>
      <c r="K56" s="2"/>
      <c r="L56" s="2">
        <f t="shared" si="2"/>
        <v>-20</v>
      </c>
      <c r="M56" s="2"/>
      <c r="N56" s="6">
        <f t="shared" si="3"/>
        <v>-1</v>
      </c>
      <c r="O56" s="14"/>
      <c r="P56" s="2">
        <f>SUM(OSRRefP22_6x_0)</f>
        <v>246.92</v>
      </c>
      <c r="Q56" s="2"/>
      <c r="R56" s="6">
        <f t="shared" si="4"/>
        <v>5.1140637955640362E-4</v>
      </c>
      <c r="S56" s="2"/>
      <c r="T56" s="2">
        <f>SUM(OSRRefT22_6x_0)</f>
        <v>120</v>
      </c>
      <c r="U56" s="2"/>
      <c r="V56" s="6">
        <f t="shared" si="5"/>
        <v>3.5345472539513291E-4</v>
      </c>
      <c r="W56" s="2"/>
      <c r="X56" s="2">
        <f t="shared" si="6"/>
        <v>126.91999999999999</v>
      </c>
      <c r="Y56" s="2"/>
      <c r="Z56" s="6">
        <f t="shared" si="7"/>
        <v>1.0576666666666665</v>
      </c>
    </row>
    <row r="57" spans="1:26" s="70" customFormat="1" ht="15" hidden="1" customHeight="1" outlineLevel="2" x14ac:dyDescent="0.3">
      <c r="A57" s="26"/>
      <c r="B57" s="12" t="str">
        <f>CONCATENATE("          ","6277"," - ","EMPLOYEE APPRECIATION")</f>
        <v xml:space="preserve">          6277 - EMPLOYEE APPRECIATION</v>
      </c>
      <c r="C57" s="12"/>
      <c r="D57" s="7"/>
      <c r="E57" s="3"/>
      <c r="F57" s="8">
        <f t="shared" ref="F57:F89" si="8">IF(D$12=0,0,D57/D$12)</f>
        <v>0</v>
      </c>
      <c r="G57" s="3"/>
      <c r="H57" s="7">
        <v>20</v>
      </c>
      <c r="I57" s="3"/>
      <c r="J57" s="8">
        <f t="shared" ref="J57:J89" si="9">IF(H$12=0,0,H57/H$12)</f>
        <v>2.374676450333642E-4</v>
      </c>
      <c r="K57" s="3"/>
      <c r="L57" s="7">
        <f t="shared" ref="L57:L89" si="10">+D57-H57</f>
        <v>-20</v>
      </c>
      <c r="M57" s="3"/>
      <c r="N57" s="8">
        <f t="shared" ref="N57:N89" si="11">IF(H57=0,0,L57/H57)</f>
        <v>-1</v>
      </c>
      <c r="O57" s="12"/>
      <c r="P57" s="7">
        <v>246.92</v>
      </c>
      <c r="Q57" s="3"/>
      <c r="R57" s="8">
        <f t="shared" ref="R57:R89" si="12">IF(P$12=0,0,P57/P$12)</f>
        <v>5.1140637955640362E-4</v>
      </c>
      <c r="S57" s="3"/>
      <c r="T57" s="7">
        <v>120</v>
      </c>
      <c r="U57" s="3"/>
      <c r="V57" s="8">
        <f t="shared" ref="V57:V89" si="13">IF(T$12=0,0,T57/T$12)</f>
        <v>3.5345472539513291E-4</v>
      </c>
      <c r="W57" s="3"/>
      <c r="X57" s="7">
        <f t="shared" ref="X57:X89" si="14">+P57-T57</f>
        <v>126.91999999999999</v>
      </c>
      <c r="Y57" s="3"/>
      <c r="Z57" s="8">
        <f t="shared" ref="Z57:Z89" si="15">IF(T57=0,0,X57/T57)</f>
        <v>1.0576666666666665</v>
      </c>
    </row>
    <row r="58" spans="1:26" s="69" customFormat="1" ht="15" customHeight="1" outlineLevel="1" collapsed="1" x14ac:dyDescent="0.3">
      <c r="A58" s="25"/>
      <c r="B58" s="14" t="str">
        <f>CONCATENATE("     ","General                                           ")</f>
        <v xml:space="preserve">     General                                           </v>
      </c>
      <c r="C58" s="14"/>
      <c r="D58" s="2">
        <f>SUM(OSRRefD22_7x_0)</f>
        <v>40.049999999999997</v>
      </c>
      <c r="E58" s="2"/>
      <c r="F58" s="6">
        <f t="shared" si="8"/>
        <v>3.3304511002463287E-4</v>
      </c>
      <c r="G58" s="2"/>
      <c r="H58" s="2">
        <f>SUM(OSRRefH22_7x_0)</f>
        <v>0</v>
      </c>
      <c r="I58" s="2"/>
      <c r="J58" s="6">
        <f t="shared" si="9"/>
        <v>0</v>
      </c>
      <c r="K58" s="2"/>
      <c r="L58" s="2">
        <f t="shared" si="10"/>
        <v>40.049999999999997</v>
      </c>
      <c r="M58" s="2"/>
      <c r="N58" s="6">
        <f t="shared" si="11"/>
        <v>0</v>
      </c>
      <c r="O58" s="14"/>
      <c r="P58" s="2">
        <f>SUM(OSRRefP22_7x_0)</f>
        <v>1933.35</v>
      </c>
      <c r="Q58" s="2"/>
      <c r="R58" s="6">
        <f t="shared" si="12"/>
        <v>4.0042423615558598E-3</v>
      </c>
      <c r="S58" s="2"/>
      <c r="T58" s="2">
        <f>SUM(OSRRefT22_7x_0)</f>
        <v>500</v>
      </c>
      <c r="U58" s="2"/>
      <c r="V58" s="6">
        <f t="shared" si="13"/>
        <v>1.4727280224797205E-3</v>
      </c>
      <c r="W58" s="2"/>
      <c r="X58" s="2">
        <f t="shared" si="14"/>
        <v>1433.35</v>
      </c>
      <c r="Y58" s="2"/>
      <c r="Z58" s="6">
        <f t="shared" si="15"/>
        <v>2.8666999999999998</v>
      </c>
    </row>
    <row r="59" spans="1:26" s="70" customFormat="1" ht="15" hidden="1" customHeight="1" outlineLevel="2" x14ac:dyDescent="0.3">
      <c r="A59" s="26"/>
      <c r="B59" s="12" t="str">
        <f>CONCATENATE("          ","6279"," - ","GENERAL EXPENSE")</f>
        <v xml:space="preserve">          6279 - GENERAL EXPENSE</v>
      </c>
      <c r="C59" s="12"/>
      <c r="D59" s="7">
        <v>40.049999999999997</v>
      </c>
      <c r="E59" s="3"/>
      <c r="F59" s="8">
        <f t="shared" si="8"/>
        <v>3.3304511002463287E-4</v>
      </c>
      <c r="G59" s="3"/>
      <c r="H59" s="7"/>
      <c r="I59" s="3"/>
      <c r="J59" s="8">
        <f t="shared" si="9"/>
        <v>0</v>
      </c>
      <c r="K59" s="3"/>
      <c r="L59" s="7">
        <f t="shared" si="10"/>
        <v>40.049999999999997</v>
      </c>
      <c r="M59" s="3"/>
      <c r="N59" s="8">
        <f t="shared" si="11"/>
        <v>0</v>
      </c>
      <c r="O59" s="12"/>
      <c r="P59" s="7">
        <v>1933.35</v>
      </c>
      <c r="Q59" s="3"/>
      <c r="R59" s="8">
        <f t="shared" si="12"/>
        <v>4.0042423615558598E-3</v>
      </c>
      <c r="S59" s="3"/>
      <c r="T59" s="7">
        <v>500</v>
      </c>
      <c r="U59" s="3"/>
      <c r="V59" s="8">
        <f t="shared" si="13"/>
        <v>1.4727280224797205E-3</v>
      </c>
      <c r="W59" s="3"/>
      <c r="X59" s="7">
        <f t="shared" si="14"/>
        <v>1433.35</v>
      </c>
      <c r="Y59" s="3"/>
      <c r="Z59" s="8">
        <f t="shared" si="15"/>
        <v>2.8666999999999998</v>
      </c>
    </row>
    <row r="60" spans="1:26" s="69" customFormat="1" ht="15" customHeight="1" outlineLevel="1" collapsed="1" x14ac:dyDescent="0.3">
      <c r="A60" s="25"/>
      <c r="B60" s="14" t="str">
        <f>CONCATENATE("     ","Rent                                              ")</f>
        <v xml:space="preserve">     Rent                                              </v>
      </c>
      <c r="C60" s="14"/>
      <c r="D60" s="2">
        <f>SUM(OSRRefD22_8x_0)</f>
        <v>1850</v>
      </c>
      <c r="E60" s="2"/>
      <c r="F60" s="6">
        <f t="shared" si="8"/>
        <v>1.5384106205881919E-2</v>
      </c>
      <c r="G60" s="2"/>
      <c r="H60" s="2">
        <f>SUM(OSRRefH22_8x_0)</f>
        <v>1850</v>
      </c>
      <c r="I60" s="2"/>
      <c r="J60" s="6">
        <f t="shared" si="9"/>
        <v>2.196575716558619E-2</v>
      </c>
      <c r="K60" s="2"/>
      <c r="L60" s="2">
        <f t="shared" si="10"/>
        <v>0</v>
      </c>
      <c r="M60" s="2"/>
      <c r="N60" s="6">
        <f t="shared" si="11"/>
        <v>0</v>
      </c>
      <c r="O60" s="14"/>
      <c r="P60" s="2">
        <f>SUM(OSRRefP22_8x_0)</f>
        <v>16650</v>
      </c>
      <c r="Q60" s="2"/>
      <c r="R60" s="6">
        <f t="shared" si="12"/>
        <v>3.4484514092070796E-2</v>
      </c>
      <c r="S60" s="2"/>
      <c r="T60" s="2">
        <f>SUM(OSRRefT22_8x_0)</f>
        <v>16650</v>
      </c>
      <c r="U60" s="2"/>
      <c r="V60" s="6">
        <f t="shared" si="13"/>
        <v>4.9041843148574696E-2</v>
      </c>
      <c r="W60" s="2"/>
      <c r="X60" s="2">
        <f t="shared" si="14"/>
        <v>0</v>
      </c>
      <c r="Y60" s="2"/>
      <c r="Z60" s="6">
        <f t="shared" si="15"/>
        <v>0</v>
      </c>
    </row>
    <row r="61" spans="1:26" s="70" customFormat="1" ht="15" hidden="1" customHeight="1" outlineLevel="2" x14ac:dyDescent="0.3">
      <c r="A61" s="26"/>
      <c r="B61" s="12" t="str">
        <f>CONCATENATE("          ","6273"," - ","RENT")</f>
        <v xml:space="preserve">          6273 - RENT</v>
      </c>
      <c r="C61" s="12"/>
      <c r="D61" s="7">
        <v>1850</v>
      </c>
      <c r="E61" s="3"/>
      <c r="F61" s="8">
        <f t="shared" si="8"/>
        <v>1.5384106205881919E-2</v>
      </c>
      <c r="G61" s="3"/>
      <c r="H61" s="7">
        <v>1850</v>
      </c>
      <c r="I61" s="3"/>
      <c r="J61" s="8">
        <f t="shared" si="9"/>
        <v>2.196575716558619E-2</v>
      </c>
      <c r="K61" s="3"/>
      <c r="L61" s="7">
        <f t="shared" si="10"/>
        <v>0</v>
      </c>
      <c r="M61" s="3"/>
      <c r="N61" s="8">
        <f t="shared" si="11"/>
        <v>0</v>
      </c>
      <c r="O61" s="12"/>
      <c r="P61" s="7">
        <v>16650</v>
      </c>
      <c r="Q61" s="3"/>
      <c r="R61" s="8">
        <f t="shared" si="12"/>
        <v>3.4484514092070796E-2</v>
      </c>
      <c r="S61" s="3"/>
      <c r="T61" s="7">
        <v>16650</v>
      </c>
      <c r="U61" s="3"/>
      <c r="V61" s="8">
        <f t="shared" si="13"/>
        <v>4.9041843148574696E-2</v>
      </c>
      <c r="W61" s="3"/>
      <c r="X61" s="7">
        <f t="shared" si="14"/>
        <v>0</v>
      </c>
      <c r="Y61" s="3"/>
      <c r="Z61" s="8">
        <f t="shared" si="15"/>
        <v>0</v>
      </c>
    </row>
    <row r="62" spans="1:26" s="69" customFormat="1" ht="15" customHeight="1" outlineLevel="1" collapsed="1" x14ac:dyDescent="0.3">
      <c r="A62" s="25"/>
      <c r="B62" s="14" t="str">
        <f>CONCATENATE("     ","Repair and Maintenance                            ")</f>
        <v xml:space="preserve">     Repair and Maintenance                            </v>
      </c>
      <c r="C62" s="14"/>
      <c r="D62" s="2">
        <f>SUM(OSRRefD22_9x_0)</f>
        <v>554.38</v>
      </c>
      <c r="E62" s="2"/>
      <c r="F62" s="6">
        <f t="shared" si="8"/>
        <v>4.610076107252334E-3</v>
      </c>
      <c r="G62" s="2"/>
      <c r="H62" s="2">
        <f>SUM(OSRRefH22_9x_0)</f>
        <v>500</v>
      </c>
      <c r="I62" s="2"/>
      <c r="J62" s="6">
        <f t="shared" si="9"/>
        <v>5.9366911258341053E-3</v>
      </c>
      <c r="K62" s="2"/>
      <c r="L62" s="2">
        <f t="shared" si="10"/>
        <v>54.379999999999995</v>
      </c>
      <c r="M62" s="2"/>
      <c r="N62" s="6">
        <f t="shared" si="11"/>
        <v>0.10876</v>
      </c>
      <c r="O62" s="14"/>
      <c r="P62" s="2">
        <f>SUM(OSRRefP22_9x_0)</f>
        <v>5997.39</v>
      </c>
      <c r="Q62" s="2"/>
      <c r="R62" s="6">
        <f t="shared" si="12"/>
        <v>1.2421446244483152E-2</v>
      </c>
      <c r="S62" s="2"/>
      <c r="T62" s="2">
        <f>SUM(OSRRefT22_9x_0)</f>
        <v>4950</v>
      </c>
      <c r="U62" s="2"/>
      <c r="V62" s="6">
        <f t="shared" si="13"/>
        <v>1.4580007422549232E-2</v>
      </c>
      <c r="W62" s="2"/>
      <c r="X62" s="2">
        <f t="shared" si="14"/>
        <v>1047.3900000000003</v>
      </c>
      <c r="Y62" s="2"/>
      <c r="Z62" s="6">
        <f t="shared" si="15"/>
        <v>0.21159393939393947</v>
      </c>
    </row>
    <row r="63" spans="1:26" s="70" customFormat="1" ht="15" hidden="1" customHeight="1" outlineLevel="2" x14ac:dyDescent="0.3">
      <c r="A63" s="26"/>
      <c r="B63" s="12" t="str">
        <f>CONCATENATE("          ","6373"," - ","MAINTENANCE CONTRACTS")</f>
        <v xml:space="preserve">          6373 - MAINTENANCE CONTRACTS</v>
      </c>
      <c r="C63" s="12"/>
      <c r="D63" s="7">
        <v>74.89</v>
      </c>
      <c r="E63" s="3"/>
      <c r="F63" s="8">
        <f t="shared" si="8"/>
        <v>6.2276525068026859E-4</v>
      </c>
      <c r="G63" s="3"/>
      <c r="H63" s="7"/>
      <c r="I63" s="3"/>
      <c r="J63" s="8">
        <f t="shared" si="9"/>
        <v>0</v>
      </c>
      <c r="K63" s="3"/>
      <c r="L63" s="7">
        <f t="shared" si="10"/>
        <v>74.89</v>
      </c>
      <c r="M63" s="3"/>
      <c r="N63" s="8">
        <f t="shared" si="11"/>
        <v>0</v>
      </c>
      <c r="O63" s="12"/>
      <c r="P63" s="7">
        <v>221.64</v>
      </c>
      <c r="Q63" s="3"/>
      <c r="R63" s="8">
        <f t="shared" si="12"/>
        <v>4.5904791011210636E-4</v>
      </c>
      <c r="S63" s="3"/>
      <c r="T63" s="7">
        <v>450</v>
      </c>
      <c r="U63" s="3"/>
      <c r="V63" s="8">
        <f t="shared" si="13"/>
        <v>1.3254552202317485E-3</v>
      </c>
      <c r="W63" s="3"/>
      <c r="X63" s="7">
        <f t="shared" si="14"/>
        <v>-228.36</v>
      </c>
      <c r="Y63" s="3"/>
      <c r="Z63" s="8">
        <f t="shared" si="15"/>
        <v>-0.50746666666666673</v>
      </c>
    </row>
    <row r="64" spans="1:26" s="70" customFormat="1" ht="15" hidden="1" customHeight="1" outlineLevel="2" x14ac:dyDescent="0.3">
      <c r="A64" s="26"/>
      <c r="B64" s="12" t="str">
        <f>CONCATENATE("          ","6375"," - ","OUTSIDE REPAIRS &amp; MAINTENANCE")</f>
        <v xml:space="preserve">          6375 - OUTSIDE REPAIRS &amp; MAINTENANCE</v>
      </c>
      <c r="C64" s="12"/>
      <c r="D64" s="7">
        <v>479.49</v>
      </c>
      <c r="E64" s="3"/>
      <c r="F64" s="8">
        <f t="shared" si="8"/>
        <v>3.9873108565720659E-3</v>
      </c>
      <c r="G64" s="3"/>
      <c r="H64" s="7">
        <v>500</v>
      </c>
      <c r="I64" s="3"/>
      <c r="J64" s="8">
        <f t="shared" si="9"/>
        <v>5.9366911258341053E-3</v>
      </c>
      <c r="K64" s="3"/>
      <c r="L64" s="7">
        <f t="shared" si="10"/>
        <v>-20.509999999999991</v>
      </c>
      <c r="M64" s="3"/>
      <c r="N64" s="8">
        <f t="shared" si="11"/>
        <v>-4.101999999999998E-2</v>
      </c>
      <c r="O64" s="12"/>
      <c r="P64" s="7">
        <v>5775.75</v>
      </c>
      <c r="Q64" s="3"/>
      <c r="R64" s="8">
        <f t="shared" si="12"/>
        <v>1.1962398334371046E-2</v>
      </c>
      <c r="S64" s="3"/>
      <c r="T64" s="7">
        <v>4500</v>
      </c>
      <c r="U64" s="3"/>
      <c r="V64" s="8">
        <f t="shared" si="13"/>
        <v>1.3254552202317485E-2</v>
      </c>
      <c r="W64" s="3"/>
      <c r="X64" s="7">
        <f t="shared" si="14"/>
        <v>1275.75</v>
      </c>
      <c r="Y64" s="3"/>
      <c r="Z64" s="8">
        <f t="shared" si="15"/>
        <v>0.28349999999999997</v>
      </c>
    </row>
    <row r="65" spans="1:26" s="69" customFormat="1" ht="15" customHeight="1" outlineLevel="1" collapsed="1" x14ac:dyDescent="0.3">
      <c r="A65" s="25"/>
      <c r="B65" s="14" t="str">
        <f>CONCATENATE("     ","Services                                          ")</f>
        <v xml:space="preserve">     Services                                          </v>
      </c>
      <c r="C65" s="14"/>
      <c r="D65" s="2">
        <f>SUM(OSRRefD22_10x_0)</f>
        <v>202.1</v>
      </c>
      <c r="E65" s="2"/>
      <c r="F65" s="6">
        <f t="shared" si="8"/>
        <v>1.6806096563290462E-3</v>
      </c>
      <c r="G65" s="2"/>
      <c r="H65" s="2">
        <f>SUM(OSRRefH22_10x_0)</f>
        <v>2273</v>
      </c>
      <c r="I65" s="2"/>
      <c r="J65" s="6">
        <f t="shared" si="9"/>
        <v>2.6988197858041841E-2</v>
      </c>
      <c r="K65" s="2"/>
      <c r="L65" s="2">
        <f t="shared" si="10"/>
        <v>-2070.9</v>
      </c>
      <c r="M65" s="2"/>
      <c r="N65" s="6">
        <f t="shared" si="11"/>
        <v>-0.91108666959964812</v>
      </c>
      <c r="O65" s="14"/>
      <c r="P65" s="2">
        <f>SUM(OSRRefP22_10x_0)</f>
        <v>5299.7999999999993</v>
      </c>
      <c r="Q65" s="2"/>
      <c r="R65" s="6">
        <f t="shared" si="12"/>
        <v>1.0976638305414822E-2</v>
      </c>
      <c r="S65" s="2"/>
      <c r="T65" s="2">
        <f>SUM(OSRRefT22_10x_0)</f>
        <v>18244</v>
      </c>
      <c r="U65" s="2"/>
      <c r="V65" s="6">
        <f t="shared" si="13"/>
        <v>5.3736900084240043E-2</v>
      </c>
      <c r="W65" s="2"/>
      <c r="X65" s="2">
        <f t="shared" si="14"/>
        <v>-12944.2</v>
      </c>
      <c r="Y65" s="2"/>
      <c r="Z65" s="6">
        <f t="shared" si="15"/>
        <v>-0.70950449462837106</v>
      </c>
    </row>
    <row r="66" spans="1:26" s="70" customFormat="1" ht="15" hidden="1" customHeight="1" outlineLevel="2" x14ac:dyDescent="0.3">
      <c r="A66" s="26"/>
      <c r="B66" s="12" t="str">
        <f>CONCATENATE("          ","6282"," - ","JANITORIAL/EXTERMINATOR EXPENS")</f>
        <v xml:space="preserve">          6282 - JANITORIAL/EXTERMINATOR EXPENS</v>
      </c>
      <c r="C66" s="12"/>
      <c r="D66" s="7">
        <v>95</v>
      </c>
      <c r="E66" s="3"/>
      <c r="F66" s="8">
        <f t="shared" si="8"/>
        <v>7.8999464300474713E-4</v>
      </c>
      <c r="G66" s="3"/>
      <c r="H66" s="7">
        <v>150</v>
      </c>
      <c r="I66" s="3"/>
      <c r="J66" s="8">
        <f t="shared" si="9"/>
        <v>1.7810073377502315E-3</v>
      </c>
      <c r="K66" s="3"/>
      <c r="L66" s="7">
        <f t="shared" si="10"/>
        <v>-55</v>
      </c>
      <c r="M66" s="3"/>
      <c r="N66" s="8">
        <f t="shared" si="11"/>
        <v>-0.36666666666666664</v>
      </c>
      <c r="O66" s="12"/>
      <c r="P66" s="7">
        <v>736.86</v>
      </c>
      <c r="Q66" s="3"/>
      <c r="R66" s="8">
        <f t="shared" si="12"/>
        <v>1.5261416849179151E-3</v>
      </c>
      <c r="S66" s="3"/>
      <c r="T66" s="7">
        <v>1250</v>
      </c>
      <c r="U66" s="3"/>
      <c r="V66" s="8">
        <f t="shared" si="13"/>
        <v>3.6818200561993014E-3</v>
      </c>
      <c r="W66" s="3"/>
      <c r="X66" s="7">
        <f t="shared" si="14"/>
        <v>-513.14</v>
      </c>
      <c r="Y66" s="3"/>
      <c r="Z66" s="8">
        <f t="shared" si="15"/>
        <v>-0.41051199999999999</v>
      </c>
    </row>
    <row r="67" spans="1:26" s="70" customFormat="1" ht="15" hidden="1" customHeight="1" outlineLevel="2" x14ac:dyDescent="0.3">
      <c r="A67" s="26"/>
      <c r="B67" s="12" t="str">
        <f>CONCATENATE("          ","6284"," - ","TRASH REMOVAL EXPENSE")</f>
        <v xml:space="preserve">          6284 - TRASH REMOVAL EXPENSE</v>
      </c>
      <c r="C67" s="12"/>
      <c r="D67" s="7"/>
      <c r="E67" s="3"/>
      <c r="F67" s="8">
        <f t="shared" si="8"/>
        <v>0</v>
      </c>
      <c r="G67" s="3"/>
      <c r="H67" s="7"/>
      <c r="I67" s="3"/>
      <c r="J67" s="8">
        <f t="shared" si="9"/>
        <v>0</v>
      </c>
      <c r="K67" s="3"/>
      <c r="L67" s="7">
        <f t="shared" si="10"/>
        <v>0</v>
      </c>
      <c r="M67" s="3"/>
      <c r="N67" s="8">
        <f t="shared" si="11"/>
        <v>0</v>
      </c>
      <c r="O67" s="12"/>
      <c r="P67" s="7"/>
      <c r="Q67" s="3"/>
      <c r="R67" s="8">
        <f t="shared" si="12"/>
        <v>0</v>
      </c>
      <c r="S67" s="3"/>
      <c r="T67" s="7">
        <v>0</v>
      </c>
      <c r="U67" s="3"/>
      <c r="V67" s="8">
        <f t="shared" si="13"/>
        <v>0</v>
      </c>
      <c r="W67" s="3"/>
      <c r="X67" s="7">
        <f t="shared" si="14"/>
        <v>0</v>
      </c>
      <c r="Y67" s="3"/>
      <c r="Z67" s="8">
        <f t="shared" si="15"/>
        <v>0</v>
      </c>
    </row>
    <row r="68" spans="1:26" s="70" customFormat="1" ht="15" hidden="1" customHeight="1" outlineLevel="2" x14ac:dyDescent="0.3">
      <c r="A68" s="26"/>
      <c r="B68" s="12" t="str">
        <f>CONCATENATE("          ","6285"," - ","JANITORIAL SERVICES")</f>
        <v xml:space="preserve">          6285 - JANITORIAL SERVICES</v>
      </c>
      <c r="C68" s="12"/>
      <c r="D68" s="7"/>
      <c r="E68" s="3"/>
      <c r="F68" s="8">
        <f t="shared" si="8"/>
        <v>0</v>
      </c>
      <c r="G68" s="3"/>
      <c r="H68" s="7">
        <v>2083</v>
      </c>
      <c r="I68" s="3"/>
      <c r="J68" s="8">
        <f t="shared" si="9"/>
        <v>2.4732255230224882E-2</v>
      </c>
      <c r="K68" s="3"/>
      <c r="L68" s="7">
        <f t="shared" si="10"/>
        <v>-2083</v>
      </c>
      <c r="M68" s="3"/>
      <c r="N68" s="8">
        <f t="shared" si="11"/>
        <v>-1</v>
      </c>
      <c r="O68" s="12"/>
      <c r="P68" s="7">
        <v>3660</v>
      </c>
      <c r="Q68" s="3"/>
      <c r="R68" s="8">
        <f t="shared" si="12"/>
        <v>7.5803796742930397E-3</v>
      </c>
      <c r="S68" s="3"/>
      <c r="T68" s="7">
        <v>16664</v>
      </c>
      <c r="U68" s="3"/>
      <c r="V68" s="8">
        <f t="shared" si="13"/>
        <v>4.9083079533204128E-2</v>
      </c>
      <c r="W68" s="3"/>
      <c r="X68" s="7">
        <f t="shared" si="14"/>
        <v>-13004</v>
      </c>
      <c r="Y68" s="3"/>
      <c r="Z68" s="8">
        <f t="shared" si="15"/>
        <v>-0.78036485837734038</v>
      </c>
    </row>
    <row r="69" spans="1:26" s="70" customFormat="1" ht="15" hidden="1" customHeight="1" outlineLevel="2" x14ac:dyDescent="0.3">
      <c r="A69" s="26"/>
      <c r="B69" s="12" t="str">
        <f>CONCATENATE("          ","6286"," - ","LAUNDRY EXPENSE")</f>
        <v xml:space="preserve">          6286 - LAUNDRY EXPENSE</v>
      </c>
      <c r="C69" s="12"/>
      <c r="D69" s="7">
        <v>107.1</v>
      </c>
      <c r="E69" s="3"/>
      <c r="F69" s="8">
        <f t="shared" si="8"/>
        <v>8.9061501332429911E-4</v>
      </c>
      <c r="G69" s="3"/>
      <c r="H69" s="7">
        <v>40</v>
      </c>
      <c r="I69" s="3"/>
      <c r="J69" s="8">
        <f t="shared" si="9"/>
        <v>4.749352900667284E-4</v>
      </c>
      <c r="K69" s="3"/>
      <c r="L69" s="7">
        <f t="shared" si="10"/>
        <v>67.099999999999994</v>
      </c>
      <c r="M69" s="3"/>
      <c r="N69" s="8">
        <f t="shared" si="11"/>
        <v>1.6774999999999998</v>
      </c>
      <c r="O69" s="12"/>
      <c r="P69" s="7">
        <v>902.94</v>
      </c>
      <c r="Q69" s="3"/>
      <c r="R69" s="8">
        <f t="shared" si="12"/>
        <v>1.8701169462038683E-3</v>
      </c>
      <c r="S69" s="3"/>
      <c r="T69" s="7">
        <v>330</v>
      </c>
      <c r="U69" s="3"/>
      <c r="V69" s="8">
        <f t="shared" si="13"/>
        <v>9.7200049483661558E-4</v>
      </c>
      <c r="W69" s="3"/>
      <c r="X69" s="7">
        <f t="shared" si="14"/>
        <v>572.94000000000005</v>
      </c>
      <c r="Y69" s="3"/>
      <c r="Z69" s="8">
        <f t="shared" si="15"/>
        <v>1.7361818181818183</v>
      </c>
    </row>
    <row r="70" spans="1:26" s="69" customFormat="1" ht="15" customHeight="1" outlineLevel="1" collapsed="1" x14ac:dyDescent="0.3">
      <c r="A70" s="25"/>
      <c r="B70" s="14" t="str">
        <f>CONCATENATE("     ","Subscriptions &amp; Dues                              ")</f>
        <v xml:space="preserve">     Subscriptions &amp; Dues                              </v>
      </c>
      <c r="C70" s="14"/>
      <c r="D70" s="2">
        <f>SUM(OSRRefD22_11x_0)</f>
        <v>17.95</v>
      </c>
      <c r="E70" s="2"/>
      <c r="F70" s="6">
        <f t="shared" si="8"/>
        <v>1.492674088624759E-4</v>
      </c>
      <c r="G70" s="2"/>
      <c r="H70" s="2">
        <f>SUM(OSRRefH22_11x_0)</f>
        <v>30</v>
      </c>
      <c r="I70" s="2"/>
      <c r="J70" s="6">
        <f t="shared" si="9"/>
        <v>3.5620146755004631E-4</v>
      </c>
      <c r="K70" s="2"/>
      <c r="L70" s="2">
        <f t="shared" si="10"/>
        <v>-12.05</v>
      </c>
      <c r="M70" s="2"/>
      <c r="N70" s="6">
        <f t="shared" si="11"/>
        <v>-0.40166666666666667</v>
      </c>
      <c r="O70" s="14"/>
      <c r="P70" s="2">
        <f>SUM(OSRRefP22_11x_0)</f>
        <v>289.74</v>
      </c>
      <c r="Q70" s="2"/>
      <c r="R70" s="6">
        <f t="shared" si="12"/>
        <v>6.0009267946165717E-4</v>
      </c>
      <c r="S70" s="2"/>
      <c r="T70" s="2">
        <f>SUM(OSRRefT22_11x_0)</f>
        <v>240</v>
      </c>
      <c r="U70" s="2"/>
      <c r="V70" s="6">
        <f t="shared" si="13"/>
        <v>7.0690945079026582E-4</v>
      </c>
      <c r="W70" s="2"/>
      <c r="X70" s="2">
        <f t="shared" si="14"/>
        <v>49.740000000000009</v>
      </c>
      <c r="Y70" s="2"/>
      <c r="Z70" s="6">
        <f t="shared" si="15"/>
        <v>0.20725000000000005</v>
      </c>
    </row>
    <row r="71" spans="1:26" s="70" customFormat="1" ht="15" hidden="1" customHeight="1" outlineLevel="2" x14ac:dyDescent="0.3">
      <c r="A71" s="26"/>
      <c r="B71" s="12" t="str">
        <f>CONCATENATE("          ","6275"," - ","SUBSCRIPTIONS")</f>
        <v xml:space="preserve">          6275 - SUBSCRIPTIONS</v>
      </c>
      <c r="C71" s="12"/>
      <c r="D71" s="7">
        <v>17.95</v>
      </c>
      <c r="E71" s="3"/>
      <c r="F71" s="8">
        <f t="shared" si="8"/>
        <v>1.492674088624759E-4</v>
      </c>
      <c r="G71" s="3"/>
      <c r="H71" s="7">
        <v>30</v>
      </c>
      <c r="I71" s="3"/>
      <c r="J71" s="8">
        <f t="shared" si="9"/>
        <v>3.5620146755004631E-4</v>
      </c>
      <c r="K71" s="3"/>
      <c r="L71" s="7">
        <f t="shared" si="10"/>
        <v>-12.05</v>
      </c>
      <c r="M71" s="3"/>
      <c r="N71" s="8">
        <f t="shared" si="11"/>
        <v>-0.40166666666666667</v>
      </c>
      <c r="O71" s="12"/>
      <c r="P71" s="7">
        <v>289.74</v>
      </c>
      <c r="Q71" s="3"/>
      <c r="R71" s="8">
        <f t="shared" si="12"/>
        <v>6.0009267946165717E-4</v>
      </c>
      <c r="S71" s="3"/>
      <c r="T71" s="7">
        <v>240</v>
      </c>
      <c r="U71" s="3"/>
      <c r="V71" s="8">
        <f t="shared" si="13"/>
        <v>7.0690945079026582E-4</v>
      </c>
      <c r="W71" s="3"/>
      <c r="X71" s="7">
        <f t="shared" si="14"/>
        <v>49.740000000000009</v>
      </c>
      <c r="Y71" s="3"/>
      <c r="Z71" s="8">
        <f t="shared" si="15"/>
        <v>0.20725000000000005</v>
      </c>
    </row>
    <row r="72" spans="1:26" s="69" customFormat="1" ht="15" customHeight="1" outlineLevel="1" collapsed="1" x14ac:dyDescent="0.3">
      <c r="A72" s="25"/>
      <c r="B72" s="14" t="str">
        <f>CONCATENATE("     ","Supplies                                          ")</f>
        <v xml:space="preserve">     Supplies                                          </v>
      </c>
      <c r="C72" s="14"/>
      <c r="D72" s="2">
        <f>SUM(OSRRefD22_12x_0)</f>
        <v>2444.66</v>
      </c>
      <c r="E72" s="2"/>
      <c r="F72" s="6">
        <f t="shared" si="8"/>
        <v>2.0329140041768265E-2</v>
      </c>
      <c r="G72" s="2"/>
      <c r="H72" s="2">
        <f>SUM(OSRRefH22_12x_0)</f>
        <v>525</v>
      </c>
      <c r="I72" s="2"/>
      <c r="J72" s="6">
        <f t="shared" si="9"/>
        <v>6.23352568212581E-3</v>
      </c>
      <c r="K72" s="2"/>
      <c r="L72" s="2">
        <f t="shared" si="10"/>
        <v>1919.6599999999999</v>
      </c>
      <c r="M72" s="2"/>
      <c r="N72" s="6">
        <f t="shared" si="11"/>
        <v>3.6564952380952378</v>
      </c>
      <c r="O72" s="14"/>
      <c r="P72" s="2">
        <f>SUM(OSRRefP22_12x_0)</f>
        <v>12058.92</v>
      </c>
      <c r="Q72" s="2"/>
      <c r="R72" s="6">
        <f t="shared" si="12"/>
        <v>2.4975735536045308E-2</v>
      </c>
      <c r="S72" s="2"/>
      <c r="T72" s="2">
        <f>SUM(OSRRefT22_12x_0)</f>
        <v>6850</v>
      </c>
      <c r="U72" s="2"/>
      <c r="V72" s="6">
        <f t="shared" si="13"/>
        <v>2.0176373907972171E-2</v>
      </c>
      <c r="W72" s="2"/>
      <c r="X72" s="2">
        <f t="shared" si="14"/>
        <v>5208.92</v>
      </c>
      <c r="Y72" s="2"/>
      <c r="Z72" s="6">
        <f t="shared" si="15"/>
        <v>0.76042627737226276</v>
      </c>
    </row>
    <row r="73" spans="1:26" s="70" customFormat="1" ht="15" hidden="1" customHeight="1" outlineLevel="2" x14ac:dyDescent="0.3">
      <c r="A73" s="26"/>
      <c r="B73" s="12" t="str">
        <f>CONCATENATE("          ","6234"," - ","EXPENDABLE SUPPLIES &amp; EQUIPMEN")</f>
        <v xml:space="preserve">          6234 - EXPENDABLE SUPPLIES &amp; EQUIPMEN</v>
      </c>
      <c r="C73" s="12"/>
      <c r="D73" s="7">
        <v>108.73</v>
      </c>
      <c r="E73" s="3"/>
      <c r="F73" s="8">
        <f t="shared" si="8"/>
        <v>9.0416965825164375E-4</v>
      </c>
      <c r="G73" s="3"/>
      <c r="H73" s="7"/>
      <c r="I73" s="3"/>
      <c r="J73" s="8">
        <f t="shared" si="9"/>
        <v>0</v>
      </c>
      <c r="K73" s="3"/>
      <c r="L73" s="7">
        <f t="shared" si="10"/>
        <v>108.73</v>
      </c>
      <c r="M73" s="3"/>
      <c r="N73" s="8">
        <f t="shared" si="11"/>
        <v>0</v>
      </c>
      <c r="O73" s="12"/>
      <c r="P73" s="7">
        <v>108.73</v>
      </c>
      <c r="Q73" s="3"/>
      <c r="R73" s="8">
        <f t="shared" si="12"/>
        <v>2.2519526830215361E-4</v>
      </c>
      <c r="S73" s="3"/>
      <c r="T73" s="7"/>
      <c r="U73" s="3"/>
      <c r="V73" s="8">
        <f t="shared" si="13"/>
        <v>0</v>
      </c>
      <c r="W73" s="3"/>
      <c r="X73" s="7">
        <f t="shared" si="14"/>
        <v>108.73</v>
      </c>
      <c r="Y73" s="3"/>
      <c r="Z73" s="8">
        <f t="shared" si="15"/>
        <v>0</v>
      </c>
    </row>
    <row r="74" spans="1:26" s="70" customFormat="1" ht="15" hidden="1" customHeight="1" outlineLevel="2" x14ac:dyDescent="0.3">
      <c r="A74" s="26"/>
      <c r="B74" s="12" t="str">
        <f>CONCATENATE("          ","6235"," - ","COVID-19 EXPENSES")</f>
        <v xml:space="preserve">          6235 - COVID-19 EXPENSES</v>
      </c>
      <c r="C74" s="12"/>
      <c r="D74" s="7">
        <v>35.72</v>
      </c>
      <c r="E74" s="3"/>
      <c r="F74" s="8">
        <f t="shared" si="8"/>
        <v>2.9703798576978491E-4</v>
      </c>
      <c r="G74" s="3"/>
      <c r="H74" s="7">
        <v>75</v>
      </c>
      <c r="I74" s="3"/>
      <c r="J74" s="8">
        <f t="shared" si="9"/>
        <v>8.9050366887511573E-4</v>
      </c>
      <c r="K74" s="3"/>
      <c r="L74" s="7">
        <f t="shared" si="10"/>
        <v>-39.28</v>
      </c>
      <c r="M74" s="3"/>
      <c r="N74" s="8">
        <f t="shared" si="11"/>
        <v>-0.52373333333333338</v>
      </c>
      <c r="O74" s="12"/>
      <c r="P74" s="7">
        <v>229.22</v>
      </c>
      <c r="Q74" s="3"/>
      <c r="R74" s="8">
        <f t="shared" si="12"/>
        <v>4.7474716637744548E-4</v>
      </c>
      <c r="S74" s="3"/>
      <c r="T74" s="7">
        <v>850</v>
      </c>
      <c r="U74" s="3"/>
      <c r="V74" s="8">
        <f t="shared" si="13"/>
        <v>2.5036376382155251E-3</v>
      </c>
      <c r="W74" s="3"/>
      <c r="X74" s="7">
        <f t="shared" si="14"/>
        <v>-620.78</v>
      </c>
      <c r="Y74" s="3"/>
      <c r="Z74" s="8">
        <f t="shared" si="15"/>
        <v>-0.73032941176470589</v>
      </c>
    </row>
    <row r="75" spans="1:26" s="70" customFormat="1" ht="15" hidden="1" customHeight="1" outlineLevel="2" x14ac:dyDescent="0.3">
      <c r="A75" s="26"/>
      <c r="B75" s="12" t="str">
        <f>CONCATENATE("          ","6237"," - ","JANITORIAL SUPPLIES")</f>
        <v xml:space="preserve">          6237 - JANITORIAL SUPPLIES</v>
      </c>
      <c r="C75" s="12"/>
      <c r="D75" s="7"/>
      <c r="E75" s="3"/>
      <c r="F75" s="8">
        <f t="shared" si="8"/>
        <v>0</v>
      </c>
      <c r="G75" s="3"/>
      <c r="H75" s="7">
        <v>150</v>
      </c>
      <c r="I75" s="3"/>
      <c r="J75" s="8">
        <f t="shared" si="9"/>
        <v>1.7810073377502315E-3</v>
      </c>
      <c r="K75" s="3"/>
      <c r="L75" s="7">
        <f t="shared" si="10"/>
        <v>-150</v>
      </c>
      <c r="M75" s="3"/>
      <c r="N75" s="8">
        <f t="shared" si="11"/>
        <v>-1</v>
      </c>
      <c r="O75" s="12"/>
      <c r="P75" s="7">
        <v>48.12</v>
      </c>
      <c r="Q75" s="3"/>
      <c r="R75" s="8">
        <f t="shared" si="12"/>
        <v>9.9663352439065858E-5</v>
      </c>
      <c r="S75" s="3"/>
      <c r="T75" s="7">
        <v>1150</v>
      </c>
      <c r="U75" s="3"/>
      <c r="V75" s="8">
        <f t="shared" si="13"/>
        <v>3.387274451703357E-3</v>
      </c>
      <c r="W75" s="3"/>
      <c r="X75" s="7">
        <f t="shared" si="14"/>
        <v>-1101.8800000000001</v>
      </c>
      <c r="Y75" s="3"/>
      <c r="Z75" s="8">
        <f t="shared" si="15"/>
        <v>-0.95815652173913057</v>
      </c>
    </row>
    <row r="76" spans="1:26" s="70" customFormat="1" ht="15" hidden="1" customHeight="1" outlineLevel="2" x14ac:dyDescent="0.3">
      <c r="A76" s="26"/>
      <c r="B76" s="12" t="str">
        <f>CONCATENATE("          ","6239"," - ","KITCHEN SUPPLIES")</f>
        <v xml:space="preserve">          6239 - KITCHEN SUPPLIES</v>
      </c>
      <c r="C76" s="12"/>
      <c r="D76" s="7">
        <v>1624.71</v>
      </c>
      <c r="E76" s="3"/>
      <c r="F76" s="8">
        <f t="shared" si="8"/>
        <v>1.3510654699328871E-2</v>
      </c>
      <c r="G76" s="3"/>
      <c r="H76" s="7"/>
      <c r="I76" s="3"/>
      <c r="J76" s="8">
        <f t="shared" si="9"/>
        <v>0</v>
      </c>
      <c r="K76" s="3"/>
      <c r="L76" s="7">
        <f t="shared" si="10"/>
        <v>1624.71</v>
      </c>
      <c r="M76" s="3"/>
      <c r="N76" s="8">
        <f t="shared" si="11"/>
        <v>0</v>
      </c>
      <c r="O76" s="12"/>
      <c r="P76" s="7">
        <v>4499.49</v>
      </c>
      <c r="Q76" s="3"/>
      <c r="R76" s="8">
        <f t="shared" si="12"/>
        <v>9.3190826613892865E-3</v>
      </c>
      <c r="S76" s="3"/>
      <c r="T76" s="7">
        <v>200</v>
      </c>
      <c r="U76" s="3"/>
      <c r="V76" s="8">
        <f t="shared" si="13"/>
        <v>5.8909120899188817E-4</v>
      </c>
      <c r="W76" s="3"/>
      <c r="X76" s="7">
        <f t="shared" si="14"/>
        <v>4299.49</v>
      </c>
      <c r="Y76" s="3"/>
      <c r="Z76" s="8">
        <f t="shared" si="15"/>
        <v>21.497450000000001</v>
      </c>
    </row>
    <row r="77" spans="1:26" s="70" customFormat="1" ht="15" hidden="1" customHeight="1" outlineLevel="2" x14ac:dyDescent="0.3">
      <c r="A77" s="26"/>
      <c r="B77" s="12" t="str">
        <f>CONCATENATE("          ","6241"," - ","OFFICE EXPENSE")</f>
        <v xml:space="preserve">          6241 - OFFICE EXPENSE</v>
      </c>
      <c r="C77" s="12"/>
      <c r="D77" s="7"/>
      <c r="E77" s="3"/>
      <c r="F77" s="8">
        <f t="shared" si="8"/>
        <v>0</v>
      </c>
      <c r="G77" s="3"/>
      <c r="H77" s="7">
        <v>50</v>
      </c>
      <c r="I77" s="3"/>
      <c r="J77" s="8">
        <f t="shared" si="9"/>
        <v>5.9366911258341049E-4</v>
      </c>
      <c r="K77" s="3"/>
      <c r="L77" s="7">
        <f t="shared" si="10"/>
        <v>-50</v>
      </c>
      <c r="M77" s="3"/>
      <c r="N77" s="8">
        <f t="shared" si="11"/>
        <v>-1</v>
      </c>
      <c r="O77" s="12"/>
      <c r="P77" s="7">
        <v>2077.84</v>
      </c>
      <c r="Q77" s="3"/>
      <c r="R77" s="8">
        <f t="shared" si="12"/>
        <v>4.3035016673314344E-3</v>
      </c>
      <c r="S77" s="3"/>
      <c r="T77" s="7">
        <v>200</v>
      </c>
      <c r="U77" s="3"/>
      <c r="V77" s="8">
        <f t="shared" si="13"/>
        <v>5.8909120899188817E-4</v>
      </c>
      <c r="W77" s="3"/>
      <c r="X77" s="7">
        <f t="shared" si="14"/>
        <v>1877.8400000000001</v>
      </c>
      <c r="Y77" s="3"/>
      <c r="Z77" s="8">
        <f t="shared" si="15"/>
        <v>9.3892000000000007</v>
      </c>
    </row>
    <row r="78" spans="1:26" s="70" customFormat="1" ht="15" hidden="1" customHeight="1" outlineLevel="2" x14ac:dyDescent="0.3">
      <c r="A78" s="26"/>
      <c r="B78" s="12" t="str">
        <f>CONCATENATE("          ","6243"," - ","PAPER SUPPLIES")</f>
        <v xml:space="preserve">          6243 - PAPER SUPPLIES</v>
      </c>
      <c r="C78" s="12"/>
      <c r="D78" s="7"/>
      <c r="E78" s="3"/>
      <c r="F78" s="8">
        <f t="shared" si="8"/>
        <v>0</v>
      </c>
      <c r="G78" s="3"/>
      <c r="H78" s="7">
        <v>200</v>
      </c>
      <c r="I78" s="3"/>
      <c r="J78" s="8">
        <f t="shared" si="9"/>
        <v>2.3746764503336419E-3</v>
      </c>
      <c r="K78" s="3"/>
      <c r="L78" s="7">
        <f t="shared" si="10"/>
        <v>-200</v>
      </c>
      <c r="M78" s="3"/>
      <c r="N78" s="8">
        <f t="shared" si="11"/>
        <v>-1</v>
      </c>
      <c r="O78" s="12"/>
      <c r="P78" s="7">
        <v>511.58</v>
      </c>
      <c r="Q78" s="3"/>
      <c r="R78" s="8">
        <f t="shared" si="12"/>
        <v>1.0595548179712659E-3</v>
      </c>
      <c r="S78" s="3"/>
      <c r="T78" s="7">
        <v>2300</v>
      </c>
      <c r="U78" s="3"/>
      <c r="V78" s="8">
        <f t="shared" si="13"/>
        <v>6.774548903406714E-3</v>
      </c>
      <c r="W78" s="3"/>
      <c r="X78" s="7">
        <f t="shared" si="14"/>
        <v>-1788.42</v>
      </c>
      <c r="Y78" s="3"/>
      <c r="Z78" s="8">
        <f t="shared" si="15"/>
        <v>-0.77757391304347834</v>
      </c>
    </row>
    <row r="79" spans="1:26" s="70" customFormat="1" ht="15" hidden="1" customHeight="1" outlineLevel="2" x14ac:dyDescent="0.3">
      <c r="A79" s="26"/>
      <c r="B79" s="12" t="str">
        <f>CONCATENATE("          ","6245"," - ","PRINTING")</f>
        <v xml:space="preserve">          6245 - PRINTING</v>
      </c>
      <c r="C79" s="12"/>
      <c r="D79" s="7"/>
      <c r="E79" s="3"/>
      <c r="F79" s="8">
        <f t="shared" si="8"/>
        <v>0</v>
      </c>
      <c r="G79" s="3"/>
      <c r="H79" s="7">
        <v>50</v>
      </c>
      <c r="I79" s="3"/>
      <c r="J79" s="8">
        <f t="shared" si="9"/>
        <v>5.9366911258341049E-4</v>
      </c>
      <c r="K79" s="3"/>
      <c r="L79" s="7">
        <f t="shared" si="10"/>
        <v>-50</v>
      </c>
      <c r="M79" s="3"/>
      <c r="N79" s="8">
        <f t="shared" si="11"/>
        <v>-1</v>
      </c>
      <c r="O79" s="12"/>
      <c r="P79" s="7">
        <v>733</v>
      </c>
      <c r="Q79" s="3"/>
      <c r="R79" s="8">
        <f t="shared" si="12"/>
        <v>1.5181470768461198E-3</v>
      </c>
      <c r="S79" s="3"/>
      <c r="T79" s="7">
        <v>850</v>
      </c>
      <c r="U79" s="3"/>
      <c r="V79" s="8">
        <f t="shared" si="13"/>
        <v>2.5036376382155251E-3</v>
      </c>
      <c r="W79" s="3"/>
      <c r="X79" s="7">
        <f t="shared" si="14"/>
        <v>-117</v>
      </c>
      <c r="Y79" s="3"/>
      <c r="Z79" s="8">
        <f t="shared" si="15"/>
        <v>-0.1376470588235294</v>
      </c>
    </row>
    <row r="80" spans="1:26" s="70" customFormat="1" ht="15" hidden="1" customHeight="1" outlineLevel="2" x14ac:dyDescent="0.3">
      <c r="A80" s="26"/>
      <c r="B80" s="12" t="str">
        <f>CONCATENATE("          ","6247"," - ","STORE SUPPLIES")</f>
        <v xml:space="preserve">          6247 - STORE SUPPLIES</v>
      </c>
      <c r="C80" s="12"/>
      <c r="D80" s="7">
        <v>10</v>
      </c>
      <c r="E80" s="3"/>
      <c r="F80" s="8">
        <f t="shared" si="8"/>
        <v>8.3157330842604957E-5</v>
      </c>
      <c r="G80" s="3"/>
      <c r="H80" s="7"/>
      <c r="I80" s="3"/>
      <c r="J80" s="8">
        <f t="shared" si="9"/>
        <v>0</v>
      </c>
      <c r="K80" s="3"/>
      <c r="L80" s="7">
        <f t="shared" si="10"/>
        <v>10</v>
      </c>
      <c r="M80" s="3"/>
      <c r="N80" s="8">
        <f t="shared" si="11"/>
        <v>0</v>
      </c>
      <c r="O80" s="12"/>
      <c r="P80" s="7">
        <v>1060.94</v>
      </c>
      <c r="Q80" s="3"/>
      <c r="R80" s="8">
        <f t="shared" si="12"/>
        <v>2.1973573802307263E-3</v>
      </c>
      <c r="S80" s="3"/>
      <c r="T80" s="7"/>
      <c r="U80" s="3"/>
      <c r="V80" s="8">
        <f t="shared" si="13"/>
        <v>0</v>
      </c>
      <c r="W80" s="3"/>
      <c r="X80" s="7">
        <f t="shared" si="14"/>
        <v>1060.94</v>
      </c>
      <c r="Y80" s="3"/>
      <c r="Z80" s="8">
        <f t="shared" si="15"/>
        <v>0</v>
      </c>
    </row>
    <row r="81" spans="1:26" s="70" customFormat="1" ht="15" hidden="1" customHeight="1" outlineLevel="2" x14ac:dyDescent="0.3">
      <c r="A81" s="26"/>
      <c r="B81" s="12" t="str">
        <f>CONCATENATE("          ","6248"," - ","UNIFORMS")</f>
        <v xml:space="preserve">          6248 - UNIFORMS</v>
      </c>
      <c r="C81" s="12"/>
      <c r="D81" s="7">
        <v>665.5</v>
      </c>
      <c r="E81" s="3"/>
      <c r="F81" s="8">
        <f t="shared" si="8"/>
        <v>5.5341203675753599E-3</v>
      </c>
      <c r="G81" s="3"/>
      <c r="H81" s="7"/>
      <c r="I81" s="3"/>
      <c r="J81" s="8">
        <f t="shared" si="9"/>
        <v>0</v>
      </c>
      <c r="K81" s="3"/>
      <c r="L81" s="7">
        <f t="shared" si="10"/>
        <v>665.5</v>
      </c>
      <c r="M81" s="3"/>
      <c r="N81" s="8">
        <f t="shared" si="11"/>
        <v>0</v>
      </c>
      <c r="O81" s="12"/>
      <c r="P81" s="7">
        <v>2790</v>
      </c>
      <c r="Q81" s="3"/>
      <c r="R81" s="8">
        <f t="shared" si="12"/>
        <v>5.7784861451578087E-3</v>
      </c>
      <c r="S81" s="3"/>
      <c r="T81" s="7">
        <v>1300</v>
      </c>
      <c r="U81" s="3"/>
      <c r="V81" s="8">
        <f t="shared" si="13"/>
        <v>3.8290928584472734E-3</v>
      </c>
      <c r="W81" s="3"/>
      <c r="X81" s="7">
        <f t="shared" si="14"/>
        <v>1490</v>
      </c>
      <c r="Y81" s="3"/>
      <c r="Z81" s="8">
        <f t="shared" si="15"/>
        <v>1.1461538461538461</v>
      </c>
    </row>
    <row r="82" spans="1:26" s="69" customFormat="1" ht="15" customHeight="1" outlineLevel="1" collapsed="1" x14ac:dyDescent="0.3">
      <c r="A82" s="25"/>
      <c r="B82" s="14" t="str">
        <f>CONCATENATE("     ","Telephone/Data Lines                              ")</f>
        <v xml:space="preserve">     Telephone/Data Lines                              </v>
      </c>
      <c r="C82" s="14"/>
      <c r="D82" s="2">
        <f>SUM(OSRRefD22_13x_0)</f>
        <v>75</v>
      </c>
      <c r="E82" s="2"/>
      <c r="F82" s="6">
        <f t="shared" si="8"/>
        <v>6.2367998131953727E-4</v>
      </c>
      <c r="G82" s="2"/>
      <c r="H82" s="2">
        <f>SUM(OSRRefH22_13x_0)</f>
        <v>150</v>
      </c>
      <c r="I82" s="2"/>
      <c r="J82" s="6">
        <f t="shared" si="9"/>
        <v>1.7810073377502315E-3</v>
      </c>
      <c r="K82" s="2"/>
      <c r="L82" s="2">
        <f t="shared" si="10"/>
        <v>-75</v>
      </c>
      <c r="M82" s="2"/>
      <c r="N82" s="6">
        <f t="shared" si="11"/>
        <v>-0.5</v>
      </c>
      <c r="O82" s="14"/>
      <c r="P82" s="2">
        <f>SUM(OSRRefP22_13x_0)</f>
        <v>825</v>
      </c>
      <c r="Q82" s="2"/>
      <c r="R82" s="6">
        <f t="shared" si="12"/>
        <v>1.7086921396972017E-3</v>
      </c>
      <c r="S82" s="2"/>
      <c r="T82" s="2">
        <f>SUM(OSRRefT22_13x_0)</f>
        <v>1350</v>
      </c>
      <c r="U82" s="2"/>
      <c r="V82" s="6">
        <f t="shared" si="13"/>
        <v>3.9763656606952458E-3</v>
      </c>
      <c r="W82" s="2"/>
      <c r="X82" s="2">
        <f t="shared" si="14"/>
        <v>-525</v>
      </c>
      <c r="Y82" s="2"/>
      <c r="Z82" s="6">
        <f t="shared" si="15"/>
        <v>-0.3888888888888889</v>
      </c>
    </row>
    <row r="83" spans="1:26" s="70" customFormat="1" ht="15" hidden="1" customHeight="1" outlineLevel="2" x14ac:dyDescent="0.3">
      <c r="A83" s="26"/>
      <c r="B83" s="12" t="str">
        <f>CONCATENATE("          ","6309"," - ","TELEPHONE")</f>
        <v xml:space="preserve">          6309 - TELEPHONE</v>
      </c>
      <c r="C83" s="12"/>
      <c r="D83" s="7">
        <v>75</v>
      </c>
      <c r="E83" s="3"/>
      <c r="F83" s="8">
        <f t="shared" si="8"/>
        <v>6.2367998131953727E-4</v>
      </c>
      <c r="G83" s="3"/>
      <c r="H83" s="7">
        <v>150</v>
      </c>
      <c r="I83" s="3"/>
      <c r="J83" s="8">
        <f t="shared" si="9"/>
        <v>1.7810073377502315E-3</v>
      </c>
      <c r="K83" s="3"/>
      <c r="L83" s="7">
        <f t="shared" si="10"/>
        <v>-75</v>
      </c>
      <c r="M83" s="3"/>
      <c r="N83" s="8">
        <f t="shared" si="11"/>
        <v>-0.5</v>
      </c>
      <c r="O83" s="12"/>
      <c r="P83" s="7">
        <v>825</v>
      </c>
      <c r="Q83" s="3"/>
      <c r="R83" s="8">
        <f t="shared" si="12"/>
        <v>1.7086921396972017E-3</v>
      </c>
      <c r="S83" s="3"/>
      <c r="T83" s="7">
        <v>1350</v>
      </c>
      <c r="U83" s="3"/>
      <c r="V83" s="8">
        <f t="shared" si="13"/>
        <v>3.9763656606952458E-3</v>
      </c>
      <c r="W83" s="3"/>
      <c r="X83" s="7">
        <f t="shared" si="14"/>
        <v>-525</v>
      </c>
      <c r="Y83" s="3"/>
      <c r="Z83" s="8">
        <f t="shared" si="15"/>
        <v>-0.3888888888888889</v>
      </c>
    </row>
    <row r="84" spans="1:26" s="69" customFormat="1" ht="15" customHeight="1" outlineLevel="1" collapsed="1" x14ac:dyDescent="0.3">
      <c r="A84" s="25"/>
      <c r="B84" s="14" t="str">
        <f>CONCATENATE("     ","Training                                          ")</f>
        <v xml:space="preserve">     Training                                          </v>
      </c>
      <c r="C84" s="14"/>
      <c r="D84" s="2">
        <f>SUM(OSRRefD22_14x_0)</f>
        <v>0</v>
      </c>
      <c r="E84" s="2"/>
      <c r="F84" s="6">
        <f t="shared" si="8"/>
        <v>0</v>
      </c>
      <c r="G84" s="2"/>
      <c r="H84" s="2">
        <f>SUM(OSRRefH22_14x_0)</f>
        <v>0</v>
      </c>
      <c r="I84" s="2"/>
      <c r="J84" s="6">
        <f t="shared" si="9"/>
        <v>0</v>
      </c>
      <c r="K84" s="2"/>
      <c r="L84" s="2">
        <f t="shared" si="10"/>
        <v>0</v>
      </c>
      <c r="M84" s="2"/>
      <c r="N84" s="6">
        <f t="shared" si="11"/>
        <v>0</v>
      </c>
      <c r="O84" s="14"/>
      <c r="P84" s="2">
        <f>SUM(OSRRefP22_14x_0)</f>
        <v>200</v>
      </c>
      <c r="Q84" s="2"/>
      <c r="R84" s="6">
        <f t="shared" si="12"/>
        <v>4.1422839750235188E-4</v>
      </c>
      <c r="S84" s="2"/>
      <c r="T84" s="2">
        <f>SUM(OSRRefT22_14x_0)</f>
        <v>400</v>
      </c>
      <c r="U84" s="2"/>
      <c r="V84" s="6">
        <f t="shared" si="13"/>
        <v>1.1781824179837763E-3</v>
      </c>
      <c r="W84" s="2"/>
      <c r="X84" s="2">
        <f t="shared" si="14"/>
        <v>-200</v>
      </c>
      <c r="Y84" s="2"/>
      <c r="Z84" s="6">
        <f t="shared" si="15"/>
        <v>-0.5</v>
      </c>
    </row>
    <row r="85" spans="1:26" s="70" customFormat="1" ht="15" hidden="1" customHeight="1" outlineLevel="2" x14ac:dyDescent="0.3">
      <c r="A85" s="26"/>
      <c r="B85" s="12" t="str">
        <f>CONCATENATE("          ","6376"," - ","TRAINING")</f>
        <v xml:space="preserve">          6376 - TRAINING</v>
      </c>
      <c r="C85" s="12"/>
      <c r="D85" s="7"/>
      <c r="E85" s="3"/>
      <c r="F85" s="8">
        <f t="shared" si="8"/>
        <v>0</v>
      </c>
      <c r="G85" s="3"/>
      <c r="H85" s="7"/>
      <c r="I85" s="3"/>
      <c r="J85" s="8">
        <f t="shared" si="9"/>
        <v>0</v>
      </c>
      <c r="K85" s="3"/>
      <c r="L85" s="7">
        <f t="shared" si="10"/>
        <v>0</v>
      </c>
      <c r="M85" s="3"/>
      <c r="N85" s="8">
        <f t="shared" si="11"/>
        <v>0</v>
      </c>
      <c r="O85" s="12"/>
      <c r="P85" s="7">
        <v>200</v>
      </c>
      <c r="Q85" s="3"/>
      <c r="R85" s="8">
        <f t="shared" si="12"/>
        <v>4.1422839750235188E-4</v>
      </c>
      <c r="S85" s="3"/>
      <c r="T85" s="7">
        <v>400</v>
      </c>
      <c r="U85" s="3"/>
      <c r="V85" s="8">
        <f t="shared" si="13"/>
        <v>1.1781824179837763E-3</v>
      </c>
      <c r="W85" s="3"/>
      <c r="X85" s="7">
        <f t="shared" si="14"/>
        <v>-200</v>
      </c>
      <c r="Y85" s="3"/>
      <c r="Z85" s="8">
        <f t="shared" si="15"/>
        <v>-0.5</v>
      </c>
    </row>
    <row r="86" spans="1:26" s="69" customFormat="1" ht="15" customHeight="1" outlineLevel="1" collapsed="1" x14ac:dyDescent="0.3">
      <c r="A86" s="25"/>
      <c r="B86" s="14" t="str">
        <f>CONCATENATE("     ","Travel                                            ")</f>
        <v xml:space="preserve">     Travel                                            </v>
      </c>
      <c r="C86" s="14"/>
      <c r="D86" s="2">
        <f>SUM(OSRRefD22_15x_0)</f>
        <v>0</v>
      </c>
      <c r="E86" s="2"/>
      <c r="F86" s="6">
        <f t="shared" si="8"/>
        <v>0</v>
      </c>
      <c r="G86" s="2"/>
      <c r="H86" s="2">
        <f>SUM(OSRRefH22_15x_0)</f>
        <v>0</v>
      </c>
      <c r="I86" s="2"/>
      <c r="J86" s="6">
        <f t="shared" si="9"/>
        <v>0</v>
      </c>
      <c r="K86" s="2"/>
      <c r="L86" s="2">
        <f t="shared" si="10"/>
        <v>0</v>
      </c>
      <c r="M86" s="2"/>
      <c r="N86" s="6">
        <f t="shared" si="11"/>
        <v>0</v>
      </c>
      <c r="O86" s="14"/>
      <c r="P86" s="2">
        <f>SUM(OSRRefP22_15x_0)</f>
        <v>0</v>
      </c>
      <c r="Q86" s="2"/>
      <c r="R86" s="6">
        <f t="shared" si="12"/>
        <v>0</v>
      </c>
      <c r="S86" s="2"/>
      <c r="T86" s="2">
        <f>SUM(OSRRefT22_15x_0)</f>
        <v>600</v>
      </c>
      <c r="U86" s="2"/>
      <c r="V86" s="6">
        <f t="shared" si="13"/>
        <v>1.7672736269756647E-3</v>
      </c>
      <c r="W86" s="2"/>
      <c r="X86" s="2">
        <f t="shared" si="14"/>
        <v>-600</v>
      </c>
      <c r="Y86" s="2"/>
      <c r="Z86" s="6">
        <f t="shared" si="15"/>
        <v>-1</v>
      </c>
    </row>
    <row r="87" spans="1:26" s="70" customFormat="1" ht="15" hidden="1" customHeight="1" outlineLevel="2" x14ac:dyDescent="0.3">
      <c r="A87" s="26"/>
      <c r="B87" s="12" t="str">
        <f>CONCATENATE("          ","6292"," - ","TRAVEL/CONFERENCE")</f>
        <v xml:space="preserve">          6292 - TRAVEL/CONFERENCE</v>
      </c>
      <c r="C87" s="12"/>
      <c r="D87" s="7"/>
      <c r="E87" s="3"/>
      <c r="F87" s="8">
        <f t="shared" si="8"/>
        <v>0</v>
      </c>
      <c r="G87" s="3"/>
      <c r="H87" s="7"/>
      <c r="I87" s="3"/>
      <c r="J87" s="8">
        <f t="shared" si="9"/>
        <v>0</v>
      </c>
      <c r="K87" s="3"/>
      <c r="L87" s="7">
        <f t="shared" si="10"/>
        <v>0</v>
      </c>
      <c r="M87" s="3"/>
      <c r="N87" s="8">
        <f t="shared" si="11"/>
        <v>0</v>
      </c>
      <c r="O87" s="12"/>
      <c r="P87" s="7"/>
      <c r="Q87" s="3"/>
      <c r="R87" s="8">
        <f t="shared" si="12"/>
        <v>0</v>
      </c>
      <c r="S87" s="3"/>
      <c r="T87" s="7">
        <v>600</v>
      </c>
      <c r="U87" s="3"/>
      <c r="V87" s="8">
        <f t="shared" si="13"/>
        <v>1.7672736269756647E-3</v>
      </c>
      <c r="W87" s="3"/>
      <c r="X87" s="7">
        <f t="shared" si="14"/>
        <v>-600</v>
      </c>
      <c r="Y87" s="3"/>
      <c r="Z87" s="8">
        <f t="shared" si="15"/>
        <v>-1</v>
      </c>
    </row>
    <row r="88" spans="1:26" s="69" customFormat="1" ht="15" customHeight="1" outlineLevel="1" collapsed="1" x14ac:dyDescent="0.3">
      <c r="A88" s="25"/>
      <c r="B88" s="14" t="str">
        <f>CONCATENATE("     ","Utilities                                         ")</f>
        <v xml:space="preserve">     Utilities                                         </v>
      </c>
      <c r="C88" s="14"/>
      <c r="D88" s="2">
        <f>SUM(OSRRefD22_16x_0)</f>
        <v>200</v>
      </c>
      <c r="E88" s="2"/>
      <c r="F88" s="6">
        <f t="shared" si="8"/>
        <v>1.6631466168520992E-3</v>
      </c>
      <c r="G88" s="2"/>
      <c r="H88" s="2">
        <f>SUM(OSRRefH22_16x_0)</f>
        <v>200</v>
      </c>
      <c r="I88" s="2"/>
      <c r="J88" s="6">
        <f t="shared" si="9"/>
        <v>2.3746764503336419E-3</v>
      </c>
      <c r="K88" s="2"/>
      <c r="L88" s="2">
        <f t="shared" si="10"/>
        <v>0</v>
      </c>
      <c r="M88" s="2"/>
      <c r="N88" s="6">
        <f t="shared" si="11"/>
        <v>0</v>
      </c>
      <c r="O88" s="14"/>
      <c r="P88" s="2">
        <f>SUM(OSRRefP22_16x_0)</f>
        <v>1800</v>
      </c>
      <c r="Q88" s="2"/>
      <c r="R88" s="6">
        <f t="shared" si="12"/>
        <v>3.7280555775211673E-3</v>
      </c>
      <c r="S88" s="2"/>
      <c r="T88" s="2">
        <f>SUM(OSRRefT22_16x_0)</f>
        <v>1800</v>
      </c>
      <c r="U88" s="2"/>
      <c r="V88" s="6">
        <f t="shared" si="13"/>
        <v>5.3018208809269942E-3</v>
      </c>
      <c r="W88" s="2"/>
      <c r="X88" s="2">
        <f t="shared" si="14"/>
        <v>0</v>
      </c>
      <c r="Y88" s="2"/>
      <c r="Z88" s="6">
        <f t="shared" si="15"/>
        <v>0</v>
      </c>
    </row>
    <row r="89" spans="1:26" s="70" customFormat="1" ht="15" hidden="1" customHeight="1" outlineLevel="2" x14ac:dyDescent="0.3">
      <c r="A89" s="26"/>
      <c r="B89" s="12" t="str">
        <f>CONCATENATE("          ","6274"," - ","UTILITIES")</f>
        <v xml:space="preserve">          6274 - UTILITIES</v>
      </c>
      <c r="C89" s="12"/>
      <c r="D89" s="7">
        <v>200</v>
      </c>
      <c r="E89" s="3"/>
      <c r="F89" s="8">
        <f t="shared" si="8"/>
        <v>1.6631466168520992E-3</v>
      </c>
      <c r="G89" s="3"/>
      <c r="H89" s="7">
        <v>200</v>
      </c>
      <c r="I89" s="3"/>
      <c r="J89" s="8">
        <f t="shared" si="9"/>
        <v>2.3746764503336419E-3</v>
      </c>
      <c r="K89" s="3"/>
      <c r="L89" s="7">
        <f t="shared" si="10"/>
        <v>0</v>
      </c>
      <c r="M89" s="3"/>
      <c r="N89" s="8">
        <f t="shared" si="11"/>
        <v>0</v>
      </c>
      <c r="O89" s="12"/>
      <c r="P89" s="7">
        <v>1800</v>
      </c>
      <c r="Q89" s="3"/>
      <c r="R89" s="8">
        <f t="shared" si="12"/>
        <v>3.7280555775211673E-3</v>
      </c>
      <c r="S89" s="3"/>
      <c r="T89" s="7">
        <v>1800</v>
      </c>
      <c r="U89" s="3"/>
      <c r="V89" s="8">
        <f t="shared" si="13"/>
        <v>5.3018208809269942E-3</v>
      </c>
      <c r="W89" s="3"/>
      <c r="X89" s="7">
        <f t="shared" si="14"/>
        <v>0</v>
      </c>
      <c r="Y89" s="3"/>
      <c r="Z89" s="8">
        <f t="shared" si="15"/>
        <v>0</v>
      </c>
    </row>
    <row r="90" spans="1:26" s="65" customFormat="1" ht="15" customHeight="1" x14ac:dyDescent="0.3">
      <c r="A90" s="35"/>
      <c r="B90" s="35"/>
      <c r="C90" s="35"/>
      <c r="D90" s="2"/>
      <c r="E90" s="2"/>
      <c r="F90" s="6"/>
      <c r="G90" s="2"/>
      <c r="H90" s="2"/>
      <c r="I90" s="2"/>
      <c r="J90" s="6"/>
      <c r="K90" s="2"/>
      <c r="L90" s="2"/>
      <c r="M90" s="2"/>
      <c r="N90" s="6"/>
      <c r="O90" s="35"/>
      <c r="P90" s="2"/>
      <c r="Q90" s="2"/>
      <c r="R90" s="6"/>
      <c r="S90" s="2"/>
      <c r="T90" s="2"/>
      <c r="U90" s="2"/>
      <c r="V90" s="6"/>
      <c r="W90" s="2"/>
      <c r="X90" s="2"/>
      <c r="Y90" s="2"/>
      <c r="Z90" s="6"/>
    </row>
    <row r="91" spans="1:26" s="63" customFormat="1" ht="15" customHeight="1" collapsed="1" x14ac:dyDescent="0.3">
      <c r="A91" s="11"/>
      <c r="B91" s="28" t="s">
        <v>291</v>
      </c>
      <c r="C91" s="11"/>
      <c r="D91" s="5">
        <f>SUM(OSRRefD25x_0)</f>
        <v>0</v>
      </c>
      <c r="E91" s="5"/>
      <c r="F91" s="13">
        <f>IF(D$12=0,0,D91/D$12)</f>
        <v>0</v>
      </c>
      <c r="G91" s="5"/>
      <c r="H91" s="5">
        <f>SUM(OSRRefH25x_0)</f>
        <v>0</v>
      </c>
      <c r="I91" s="5"/>
      <c r="J91" s="13">
        <f>IF(H$12=0,0,H91/H$12)</f>
        <v>0</v>
      </c>
      <c r="K91" s="5"/>
      <c r="L91" s="5">
        <f>+D91-H91</f>
        <v>0</v>
      </c>
      <c r="M91" s="5"/>
      <c r="N91" s="13">
        <f>IF(H91=0,0,L91/H91)</f>
        <v>0</v>
      </c>
      <c r="O91" s="11"/>
      <c r="P91" s="5">
        <f>SUM(OSRRefP25x_0)</f>
        <v>192</v>
      </c>
      <c r="Q91" s="5"/>
      <c r="R91" s="13">
        <f>IF(P$12=0,0,P91/P$12)</f>
        <v>3.9765926160225784E-4</v>
      </c>
      <c r="S91" s="5"/>
      <c r="T91" s="5">
        <f>SUM(OSRRefT25x_0)</f>
        <v>0</v>
      </c>
      <c r="U91" s="5"/>
      <c r="V91" s="13">
        <f>IF(T$12=0,0,T91/T$12)</f>
        <v>0</v>
      </c>
      <c r="W91" s="5"/>
      <c r="X91" s="5">
        <f>+P91-T91</f>
        <v>192</v>
      </c>
      <c r="Y91" s="5"/>
      <c r="Z91" s="13">
        <f>IF(T91=0,0,X91/T91)</f>
        <v>0</v>
      </c>
    </row>
    <row r="92" spans="1:26" s="70" customFormat="1" ht="15" hidden="1" customHeight="1" outlineLevel="1" x14ac:dyDescent="0.3">
      <c r="A92" s="42"/>
      <c r="B92" s="12" t="str">
        <f>CONCATENATE("          ","9150"," - ","MISC. INCOME")</f>
        <v xml:space="preserve">          9150 - MISC. INCOME</v>
      </c>
      <c r="C92" s="12"/>
      <c r="D92" s="3">
        <f>0</f>
        <v>0</v>
      </c>
      <c r="E92" s="3"/>
      <c r="F92" s="20">
        <f>IF(D$12=0,0,D92/D$12)</f>
        <v>0</v>
      </c>
      <c r="G92" s="3"/>
      <c r="H92" s="3"/>
      <c r="I92" s="3"/>
      <c r="J92" s="20">
        <f>IF(H$12=0,0,H92/H$12)</f>
        <v>0</v>
      </c>
      <c r="K92" s="3"/>
      <c r="L92" s="3">
        <f>+D92-H92</f>
        <v>0</v>
      </c>
      <c r="M92" s="3"/>
      <c r="N92" s="20">
        <f>IF(H92=0,0,L92/H92)</f>
        <v>0</v>
      </c>
      <c r="O92" s="12"/>
      <c r="P92" s="3">
        <f>--192</f>
        <v>192</v>
      </c>
      <c r="Q92" s="3"/>
      <c r="R92" s="20">
        <f>IF(P$12=0,0,P92/P$12)</f>
        <v>3.9765926160225784E-4</v>
      </c>
      <c r="S92" s="3"/>
      <c r="T92" s="3"/>
      <c r="U92" s="3"/>
      <c r="V92" s="20">
        <f>IF(T$12=0,0,T92/T$12)</f>
        <v>0</v>
      </c>
      <c r="W92" s="3"/>
      <c r="X92" s="3">
        <f>+P92-T92</f>
        <v>192</v>
      </c>
      <c r="Y92" s="3"/>
      <c r="Z92" s="20">
        <f>IF(T92=0,0,X92/T92)</f>
        <v>0</v>
      </c>
    </row>
    <row r="93" spans="1:26" ht="15" customHeight="1" x14ac:dyDescent="0.3">
      <c r="A93" s="10"/>
      <c r="B93" s="11"/>
      <c r="C93" s="11"/>
      <c r="D93" s="4"/>
      <c r="E93" s="4"/>
      <c r="F93" s="9"/>
      <c r="G93" s="4"/>
      <c r="H93" s="4"/>
      <c r="I93" s="4"/>
      <c r="J93" s="9"/>
      <c r="K93" s="4"/>
      <c r="L93" s="4"/>
      <c r="M93" s="4"/>
      <c r="N93" s="9"/>
      <c r="O93" s="11"/>
      <c r="P93" s="4"/>
      <c r="Q93" s="4"/>
      <c r="R93" s="9"/>
      <c r="S93" s="4"/>
      <c r="T93" s="4"/>
      <c r="U93" s="4"/>
      <c r="V93" s="9"/>
      <c r="W93" s="4"/>
      <c r="X93" s="4"/>
      <c r="Y93" s="4"/>
      <c r="Z93" s="9"/>
    </row>
    <row r="94" spans="1:26" s="63" customFormat="1" ht="15" customHeight="1" x14ac:dyDescent="0.3">
      <c r="A94" s="11"/>
      <c r="B94" s="27" t="s">
        <v>292</v>
      </c>
      <c r="C94" s="27"/>
      <c r="D94" s="21">
        <f>+D23-D25+D91</f>
        <v>15177.800000000003</v>
      </c>
      <c r="E94" s="15"/>
      <c r="F94" s="23">
        <f>IF(D$12=0,0,D94/D$12)</f>
        <v>0.12621453360628898</v>
      </c>
      <c r="G94" s="15"/>
      <c r="H94" s="21">
        <f>+H23-H25+H91</f>
        <v>11391.028022153841</v>
      </c>
      <c r="I94" s="15"/>
      <c r="J94" s="23">
        <f>IF(H$12=0,0,H94/H$12)</f>
        <v>0.13525002994649665</v>
      </c>
      <c r="K94" s="16"/>
      <c r="L94" s="21">
        <f>+D94-H94</f>
        <v>3786.7719778461615</v>
      </c>
      <c r="M94" s="16"/>
      <c r="N94" s="23">
        <f>IF(H94=0,0,L94/H94)</f>
        <v>0.33243461173841887</v>
      </c>
      <c r="O94" s="28"/>
      <c r="P94" s="21">
        <f>+P23-P25+P91</f>
        <v>-44879.429999999993</v>
      </c>
      <c r="Q94" s="15"/>
      <c r="R94" s="23">
        <f>IF(P$12=0,0,P94/P$12)</f>
        <v>-9.2951671848594875E-2</v>
      </c>
      <c r="S94" s="15"/>
      <c r="T94" s="21">
        <f>+T23-T25+T91</f>
        <v>-93980.699798000045</v>
      </c>
      <c r="U94" s="15"/>
      <c r="V94" s="23">
        <f>IF(T$12=0,0,T94/T$12)</f>
        <v>-0.27681602032953778</v>
      </c>
      <c r="W94" s="16"/>
      <c r="X94" s="21">
        <f>+P94-T94</f>
        <v>49101.269798000052</v>
      </c>
      <c r="Y94" s="16"/>
      <c r="Z94" s="23">
        <f>IF(T94=0,0,X94/T94)</f>
        <v>-0.52246120643426996</v>
      </c>
    </row>
    <row r="95" spans="1:26" ht="15" customHeight="1" x14ac:dyDescent="0.3">
      <c r="A95" s="10"/>
      <c r="B95" s="11"/>
      <c r="C95" s="10"/>
      <c r="D95" s="4"/>
      <c r="E95" s="4"/>
      <c r="F95" s="9"/>
      <c r="G95" s="4"/>
      <c r="H95" s="4"/>
      <c r="I95" s="4"/>
      <c r="J95" s="9"/>
      <c r="K95" s="4"/>
      <c r="L95" s="4"/>
      <c r="M95" s="4"/>
      <c r="N95" s="9"/>
      <c r="P95" s="4"/>
      <c r="Q95" s="4"/>
      <c r="R95" s="9"/>
      <c r="S95" s="4"/>
      <c r="T95" s="4"/>
      <c r="U95" s="4"/>
      <c r="V95" s="9"/>
      <c r="W95" s="4"/>
      <c r="X95" s="4"/>
      <c r="Y95" s="4"/>
      <c r="Z95" s="9"/>
    </row>
    <row r="96" spans="1:26" s="63" customFormat="1" ht="15" customHeight="1" x14ac:dyDescent="0.3">
      <c r="A96" s="49"/>
      <c r="B96" s="11" t="s">
        <v>293</v>
      </c>
      <c r="C96" s="11"/>
      <c r="D96" s="5">
        <v>12366.88</v>
      </c>
      <c r="E96" s="5"/>
      <c r="F96" s="13">
        <f>IF(D$12=0,0,D96/D$12)</f>
        <v>0.10283967316507944</v>
      </c>
      <c r="G96" s="5"/>
      <c r="H96" s="5">
        <v>10138</v>
      </c>
      <c r="I96" s="5"/>
      <c r="J96" s="13">
        <f>IF(H$12=0,0,H96/H$12)</f>
        <v>0.12037234926741232</v>
      </c>
      <c r="K96" s="5"/>
      <c r="L96" s="5">
        <f>+D96-H96</f>
        <v>2228.8799999999992</v>
      </c>
      <c r="M96" s="5"/>
      <c r="N96" s="13">
        <f>IF(H96=0,0,L96/H96)</f>
        <v>0.21985401459854007</v>
      </c>
      <c r="O96" s="11"/>
      <c r="P96" s="5">
        <v>57624.03</v>
      </c>
      <c r="Q96" s="5"/>
      <c r="R96" s="13">
        <f>IF(P$12=0,0,P96/P$12)</f>
        <v>0.11934754802263725</v>
      </c>
      <c r="S96" s="5"/>
      <c r="T96" s="5">
        <v>41346</v>
      </c>
      <c r="U96" s="5"/>
      <c r="V96" s="13">
        <f>IF(T$12=0,0,T96/T$12)</f>
        <v>0.12178282563489305</v>
      </c>
      <c r="W96" s="5"/>
      <c r="X96" s="5">
        <f>+P96-T96</f>
        <v>16278.029999999999</v>
      </c>
      <c r="Y96" s="5"/>
      <c r="Z96" s="13">
        <f>IF(T96=0,0,X96/T96)</f>
        <v>0.39370265563778839</v>
      </c>
    </row>
    <row r="97" spans="1:26" ht="15" customHeight="1" x14ac:dyDescent="0.3">
      <c r="A97" s="10"/>
      <c r="B97" s="11"/>
      <c r="C97" s="11"/>
      <c r="D97" s="4"/>
      <c r="E97" s="4"/>
      <c r="F97" s="9"/>
      <c r="G97" s="4"/>
      <c r="H97" s="4"/>
      <c r="I97" s="4"/>
      <c r="J97" s="9"/>
      <c r="K97" s="4"/>
      <c r="L97" s="4"/>
      <c r="M97" s="4"/>
      <c r="N97" s="9"/>
      <c r="O97" s="11"/>
      <c r="P97" s="4"/>
      <c r="Q97" s="4"/>
      <c r="R97" s="9"/>
      <c r="S97" s="4"/>
      <c r="T97" s="4"/>
      <c r="U97" s="4"/>
      <c r="V97" s="9"/>
      <c r="W97" s="4"/>
      <c r="X97" s="4"/>
      <c r="Y97" s="4"/>
      <c r="Z97" s="9"/>
    </row>
    <row r="98" spans="1:26" s="63" customFormat="1" ht="15" customHeight="1" x14ac:dyDescent="0.3">
      <c r="A98" s="11"/>
      <c r="B98" s="27" t="s">
        <v>294</v>
      </c>
      <c r="C98" s="27"/>
      <c r="D98" s="34">
        <f>+D94-D96</f>
        <v>2810.9200000000037</v>
      </c>
      <c r="E98" s="15"/>
      <c r="F98" s="29">
        <f>IF(D$12=0,0,D98/D$12)</f>
        <v>2.3374860441209545E-2</v>
      </c>
      <c r="G98" s="15"/>
      <c r="H98" s="34">
        <f>+H94-H96</f>
        <v>1253.0280221538414</v>
      </c>
      <c r="I98" s="15"/>
      <c r="J98" s="29">
        <f>IF(H$12=0,0,H98/H$12)</f>
        <v>1.4877680679084342E-2</v>
      </c>
      <c r="K98" s="16"/>
      <c r="L98" s="34">
        <f>D98-H98</f>
        <v>1557.8919778461623</v>
      </c>
      <c r="M98" s="16"/>
      <c r="N98" s="29">
        <f>IF(H98=0,0,L98/H98)</f>
        <v>1.2433017859954061</v>
      </c>
      <c r="O98" s="28"/>
      <c r="P98" s="34">
        <f>+P94-P96</f>
        <v>-102503.45999999999</v>
      </c>
      <c r="Q98" s="15"/>
      <c r="R98" s="29">
        <f>IF(P$12=0,0,P98/P$12)</f>
        <v>-0.21229921987123213</v>
      </c>
      <c r="S98" s="15"/>
      <c r="T98" s="34">
        <f>+T94-T96</f>
        <v>-135326.69979800005</v>
      </c>
      <c r="U98" s="15"/>
      <c r="V98" s="29">
        <f>IF(T$12=0,0,T98/T$12)</f>
        <v>-0.39859884596443079</v>
      </c>
      <c r="W98" s="16"/>
      <c r="X98" s="34">
        <f>P98-T98</f>
        <v>32823.239798000053</v>
      </c>
      <c r="Y98" s="16"/>
      <c r="Z98" s="29">
        <f>IF(T98=0,0,X98/T98)</f>
        <v>-0.24254814347054032</v>
      </c>
    </row>
    <row r="99" spans="1:26" ht="15" customHeight="1" x14ac:dyDescent="0.3">
      <c r="A99" s="10"/>
      <c r="B99" s="10"/>
      <c r="C99" s="10"/>
      <c r="D99" s="4"/>
      <c r="E99" s="4"/>
      <c r="F99" s="9"/>
      <c r="G99" s="4"/>
      <c r="H99" s="4"/>
      <c r="I99" s="4"/>
      <c r="J99" s="9"/>
      <c r="K99" s="4"/>
      <c r="L99" s="4"/>
      <c r="M99" s="4"/>
      <c r="N99" s="9"/>
      <c r="P99" s="4"/>
      <c r="Q99" s="4"/>
      <c r="R99" s="9"/>
      <c r="S99" s="4"/>
      <c r="T99" s="4"/>
      <c r="U99" s="4"/>
      <c r="V99" s="9"/>
      <c r="W99" s="4"/>
      <c r="X99" s="4"/>
      <c r="Y99" s="4"/>
      <c r="Z99" s="9"/>
    </row>
    <row r="100" spans="1:26" ht="15" customHeight="1" x14ac:dyDescent="0.3">
      <c r="A100" s="10"/>
      <c r="B100" s="10"/>
      <c r="C100" s="10"/>
      <c r="D100" s="4"/>
      <c r="E100" s="4"/>
      <c r="F100" s="9"/>
      <c r="G100" s="4"/>
      <c r="H100" s="4"/>
      <c r="I100" s="4"/>
      <c r="J100" s="9"/>
      <c r="K100" s="4"/>
      <c r="L100" s="4"/>
      <c r="M100" s="4"/>
      <c r="N100" s="9"/>
      <c r="P100" s="4"/>
      <c r="Q100" s="4"/>
      <c r="R100" s="9"/>
      <c r="S100" s="4"/>
      <c r="T100" s="4"/>
      <c r="U100" s="4"/>
      <c r="V100" s="9"/>
      <c r="W100" s="4"/>
      <c r="X100" s="4"/>
      <c r="Y100" s="4"/>
      <c r="Z100" s="9"/>
    </row>
    <row r="101" spans="1:26" s="63" customFormat="1" ht="15" customHeight="1" x14ac:dyDescent="0.3">
      <c r="A101" s="11"/>
      <c r="B101" s="27" t="s">
        <v>297</v>
      </c>
      <c r="C101" s="27"/>
      <c r="D101" s="32">
        <f>SUM(D98:D100)</f>
        <v>2810.9200000000037</v>
      </c>
      <c r="E101" s="15"/>
      <c r="F101" s="31">
        <f>IF(D$12=0,0,D101/D$12)</f>
        <v>2.3374860441209545E-2</v>
      </c>
      <c r="G101" s="15"/>
      <c r="H101" s="32">
        <f>SUM(H98:H100)</f>
        <v>1253.0280221538414</v>
      </c>
      <c r="I101" s="15"/>
      <c r="J101" s="31">
        <f>IF(H$12=0,0,H101/H$12)</f>
        <v>1.4877680679084342E-2</v>
      </c>
      <c r="K101" s="16"/>
      <c r="L101" s="32">
        <f>+D101-H101</f>
        <v>1557.8919778461623</v>
      </c>
      <c r="M101" s="16"/>
      <c r="N101" s="31">
        <f>IF(H101=0,0,L101/H101)</f>
        <v>1.2433017859954061</v>
      </c>
      <c r="O101" s="28"/>
      <c r="P101" s="32">
        <f>SUM(P98:P100)</f>
        <v>-102503.45999999999</v>
      </c>
      <c r="Q101" s="15"/>
      <c r="R101" s="31">
        <f>IF(P$12=0,0,P101/P$12)</f>
        <v>-0.21229921987123213</v>
      </c>
      <c r="S101" s="15"/>
      <c r="T101" s="32">
        <f>SUM(T98:T100)</f>
        <v>-135326.69979800005</v>
      </c>
      <c r="U101" s="15"/>
      <c r="V101" s="31">
        <f>IF(T$12=0,0,T101/T$12)</f>
        <v>-0.39859884596443079</v>
      </c>
      <c r="W101" s="16"/>
      <c r="X101" s="32">
        <f>+P101-T101</f>
        <v>32823.239798000053</v>
      </c>
      <c r="Y101" s="16"/>
      <c r="Z101" s="31">
        <f>IF(T101=0,0,X101/T101)</f>
        <v>-0.24254814347054032</v>
      </c>
    </row>
    <row r="102" spans="1:26" ht="15" customHeight="1" x14ac:dyDescent="0.3">
      <c r="A102" s="10"/>
      <c r="C102" s="10"/>
      <c r="D102" s="19"/>
      <c r="E102" s="19"/>
      <c r="G102" s="19"/>
      <c r="H102" s="19"/>
      <c r="I102" s="19"/>
      <c r="J102" s="40"/>
      <c r="K102" s="19"/>
      <c r="L102" s="19"/>
      <c r="M102" s="19"/>
      <c r="P102" s="19"/>
      <c r="Q102" s="19"/>
      <c r="R102" s="40"/>
      <c r="S102" s="19"/>
      <c r="T102" s="19"/>
      <c r="U102" s="19"/>
      <c r="V102" s="40"/>
      <c r="W102" s="19"/>
      <c r="X102" s="19"/>
    </row>
    <row r="103" spans="1:26" ht="15" customHeight="1" x14ac:dyDescent="0.3">
      <c r="A103" s="10"/>
      <c r="B103" s="51">
        <v>44663.047665428239</v>
      </c>
      <c r="D103" s="19"/>
      <c r="E103" s="19"/>
      <c r="G103" s="19"/>
      <c r="H103" s="19"/>
      <c r="I103" s="19"/>
      <c r="J103" s="40"/>
      <c r="K103" s="19"/>
      <c r="L103" s="19"/>
      <c r="M103" s="19"/>
      <c r="P103" s="19"/>
      <c r="Q103" s="19"/>
      <c r="R103" s="40"/>
      <c r="S103" s="19"/>
      <c r="T103" s="19"/>
      <c r="U103" s="19"/>
      <c r="V103" s="40"/>
      <c r="W103" s="19"/>
      <c r="X103" s="19"/>
    </row>
    <row r="104" spans="1:26" ht="15" customHeight="1" x14ac:dyDescent="0.3">
      <c r="A104" s="10"/>
      <c r="B104" s="58" t="s">
        <v>298</v>
      </c>
      <c r="D104" s="19"/>
      <c r="E104" s="19"/>
      <c r="G104" s="19"/>
      <c r="H104" s="19"/>
      <c r="I104" s="19"/>
      <c r="J104" s="40"/>
      <c r="K104" s="19"/>
      <c r="L104" s="19"/>
      <c r="M104" s="19"/>
      <c r="P104" s="19"/>
      <c r="Q104" s="19"/>
      <c r="R104" s="40"/>
      <c r="S104" s="19"/>
      <c r="T104" s="19"/>
      <c r="U104" s="19"/>
      <c r="V104" s="40"/>
      <c r="W104" s="19"/>
      <c r="X104" s="19"/>
    </row>
    <row r="105" spans="1:26" ht="15" customHeight="1" x14ac:dyDescent="0.3">
      <c r="A105" s="10"/>
      <c r="B105" s="50"/>
      <c r="D105" s="19"/>
      <c r="E105" s="19"/>
      <c r="G105" s="19"/>
      <c r="H105" s="19"/>
      <c r="I105" s="19"/>
      <c r="J105" s="40"/>
      <c r="K105" s="19"/>
      <c r="L105" s="19"/>
      <c r="M105" s="19"/>
      <c r="P105" s="19"/>
      <c r="Q105" s="19"/>
      <c r="R105" s="40"/>
      <c r="S105" s="19"/>
      <c r="T105" s="19"/>
      <c r="U105" s="19"/>
      <c r="V105" s="40"/>
      <c r="W105" s="19"/>
      <c r="X105" s="19"/>
    </row>
    <row r="106" spans="1:26" ht="15" customHeight="1" x14ac:dyDescent="0.3">
      <c r="D106" s="19"/>
      <c r="E106" s="19"/>
      <c r="G106" s="19"/>
      <c r="H106" s="19"/>
      <c r="I106" s="19"/>
      <c r="J106" s="40"/>
      <c r="K106" s="19"/>
      <c r="L106" s="19"/>
      <c r="M106" s="19"/>
      <c r="P106" s="19"/>
      <c r="Q106" s="19"/>
      <c r="R106" s="40"/>
      <c r="S106" s="19"/>
      <c r="T106" s="19"/>
      <c r="U106" s="19"/>
      <c r="V106" s="40"/>
      <c r="W106" s="19"/>
      <c r="X106" s="19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BD3E22-3B15-8845-8535-6E94A521CDB3}">
  <sheetPr>
    <tabColor rgb="FF92D050"/>
    <outlinePr summaryBelow="0" summaryRight="0"/>
  </sheetPr>
  <dimension ref="A2:Z38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6" customWidth="1"/>
    <col min="2" max="2" width="33.44140625" style="66" customWidth="1"/>
    <col min="3" max="3" width="1.88671875" style="66" customWidth="1"/>
    <col min="4" max="4" width="15" style="66" customWidth="1"/>
    <col min="5" max="5" width="1.88671875" style="66" customWidth="1" outlineLevel="1"/>
    <col min="6" max="6" width="15" style="67" customWidth="1" outlineLevel="1"/>
    <col min="7" max="7" width="1.88671875" style="66" customWidth="1" outlineLevel="1"/>
    <col min="8" max="8" width="15" style="66" customWidth="1" outlineLevel="1"/>
    <col min="9" max="9" width="1.88671875" style="66" customWidth="1" outlineLevel="1"/>
    <col min="10" max="10" width="15" style="68" customWidth="1" outlineLevel="1"/>
    <col min="11" max="11" width="1.88671875" style="66" customWidth="1" outlineLevel="1"/>
    <col min="12" max="12" width="15" style="66" customWidth="1" outlineLevel="1"/>
    <col min="13" max="13" width="1.88671875" style="66" customWidth="1" outlineLevel="1"/>
    <col min="14" max="14" width="15" style="67" customWidth="1" outlineLevel="1"/>
    <col min="15" max="15" width="1.88671875" style="64" customWidth="1"/>
    <col min="16" max="16" width="15" style="66" customWidth="1"/>
    <col min="17" max="17" width="1.88671875" style="66" customWidth="1" outlineLevel="1"/>
    <col min="18" max="18" width="15" style="68" customWidth="1" outlineLevel="1"/>
    <col min="19" max="19" width="1.88671875" style="66" customWidth="1" outlineLevel="1"/>
    <col min="20" max="20" width="15" style="66" customWidth="1" outlineLevel="1"/>
    <col min="21" max="21" width="1.88671875" style="66" customWidth="1" outlineLevel="1"/>
    <col min="22" max="22" width="15" style="68" customWidth="1" outlineLevel="1"/>
    <col min="23" max="23" width="1.88671875" style="66" customWidth="1" outlineLevel="1"/>
    <col min="24" max="24" width="15" style="66" customWidth="1" outlineLevel="1"/>
    <col min="25" max="25" width="1.88671875" style="66" customWidth="1" outlineLevel="1"/>
    <col min="26" max="26" width="15" style="68" customWidth="1" outlineLevel="1"/>
  </cols>
  <sheetData>
    <row r="2" spans="1:26" ht="15" customHeight="1" x14ac:dyDescent="0.3">
      <c r="D2" s="54" t="s">
        <v>276</v>
      </c>
    </row>
    <row r="3" spans="1:26" ht="15" customHeight="1" x14ac:dyDescent="0.3">
      <c r="D3" s="54" t="s">
        <v>277</v>
      </c>
      <c r="E3" s="18"/>
      <c r="F3" s="44"/>
      <c r="G3" s="18"/>
      <c r="H3" s="18"/>
      <c r="I3" s="18"/>
      <c r="J3" s="38"/>
      <c r="K3" s="18"/>
      <c r="L3" s="18"/>
      <c r="M3" s="18"/>
      <c r="N3" s="44"/>
      <c r="O3" s="53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ht="15" customHeight="1" x14ac:dyDescent="0.3">
      <c r="D4" s="54" t="str">
        <f>CONCATENATE("Period ",RIGHT(202209,2),", ",2022)</f>
        <v>Period 09, 2022</v>
      </c>
      <c r="E4" s="18"/>
      <c r="F4" s="44"/>
      <c r="G4" s="18"/>
      <c r="H4" s="18"/>
      <c r="I4" s="18"/>
      <c r="J4" s="38"/>
      <c r="K4" s="18"/>
      <c r="L4" s="18"/>
      <c r="M4" s="18"/>
      <c r="N4" s="44"/>
      <c r="O4" s="53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ht="15" customHeight="1" x14ac:dyDescent="0.3">
      <c r="A5" s="24"/>
      <c r="D5" s="60">
        <v>44646</v>
      </c>
      <c r="E5" s="18"/>
      <c r="F5" s="44"/>
      <c r="G5" s="18"/>
      <c r="H5" s="18"/>
      <c r="I5" s="18"/>
      <c r="J5" s="38"/>
      <c r="K5" s="18"/>
      <c r="L5" s="18"/>
      <c r="M5" s="18"/>
      <c r="N5" s="44"/>
      <c r="O5" s="53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ht="15" customHeight="1" x14ac:dyDescent="0.3">
      <c r="A6" s="24"/>
      <c r="B6" s="47"/>
      <c r="C6" s="47"/>
      <c r="D6" s="24" t="str">
        <f>CONCATENATE("Department ","406"," - ","OPA! Greek")</f>
        <v>Department 406 - OPA! Greek</v>
      </c>
      <c r="E6" s="18"/>
      <c r="F6" s="44"/>
      <c r="G6" s="18"/>
      <c r="H6" s="18"/>
      <c r="I6" s="18"/>
      <c r="J6" s="38"/>
      <c r="K6" s="18"/>
      <c r="L6" s="18"/>
      <c r="M6" s="18"/>
      <c r="N6" s="44"/>
      <c r="O6" s="59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ht="15" customHeight="1" x14ac:dyDescent="0.3">
      <c r="B7" s="52"/>
    </row>
    <row r="8" spans="1:26" ht="15" customHeight="1" x14ac:dyDescent="0.3">
      <c r="B8" s="52"/>
    </row>
    <row r="9" spans="1:26" ht="15" customHeight="1" x14ac:dyDescent="0.3">
      <c r="B9" s="10"/>
      <c r="C9" s="10"/>
      <c r="D9" s="17" t="s">
        <v>279</v>
      </c>
      <c r="E9" s="17"/>
      <c r="F9" s="36"/>
      <c r="G9" s="17"/>
      <c r="H9" s="17"/>
      <c r="I9" s="17"/>
      <c r="J9" s="43"/>
      <c r="K9" s="17"/>
      <c r="L9" s="17"/>
      <c r="M9" s="17"/>
      <c r="N9" s="36"/>
      <c r="P9" s="17" t="s">
        <v>280</v>
      </c>
      <c r="Q9" s="17"/>
      <c r="R9" s="36"/>
      <c r="S9" s="17"/>
      <c r="T9" s="17"/>
      <c r="U9" s="17"/>
      <c r="V9" s="43"/>
      <c r="W9" s="17"/>
      <c r="X9" s="17"/>
      <c r="Y9" s="17"/>
      <c r="Z9" s="36"/>
    </row>
    <row r="10" spans="1:26" ht="15" customHeight="1" x14ac:dyDescent="0.3">
      <c r="A10" s="11"/>
      <c r="B10" s="57"/>
      <c r="C10" s="11"/>
      <c r="D10" s="41" t="s">
        <v>281</v>
      </c>
      <c r="E10" s="33"/>
      <c r="F10" s="37" t="s">
        <v>282</v>
      </c>
      <c r="G10" s="33"/>
      <c r="H10" s="48" t="s">
        <v>283</v>
      </c>
      <c r="I10" s="33"/>
      <c r="J10" s="45" t="s">
        <v>284</v>
      </c>
      <c r="K10" s="11"/>
      <c r="L10" s="41" t="s">
        <v>285</v>
      </c>
      <c r="M10" s="11"/>
      <c r="N10" s="37" t="s">
        <v>286</v>
      </c>
      <c r="O10" s="11"/>
      <c r="P10" s="56" t="s">
        <v>281</v>
      </c>
      <c r="Q10" s="33"/>
      <c r="R10" s="37" t="s">
        <v>282</v>
      </c>
      <c r="S10" s="33"/>
      <c r="T10" s="48" t="s">
        <v>283</v>
      </c>
      <c r="U10" s="33"/>
      <c r="V10" s="45" t="s">
        <v>284</v>
      </c>
      <c r="W10" s="11"/>
      <c r="X10" s="41" t="s">
        <v>285</v>
      </c>
      <c r="Y10" s="11"/>
      <c r="Z10" s="37" t="s">
        <v>286</v>
      </c>
    </row>
    <row r="11" spans="1:26" ht="16.5" customHeight="1" x14ac:dyDescent="0.3">
      <c r="A11" s="10"/>
      <c r="B11" s="55"/>
      <c r="C11" s="10"/>
      <c r="D11" s="10"/>
      <c r="E11" s="10"/>
      <c r="F11" s="9"/>
      <c r="G11" s="10"/>
      <c r="H11" s="10"/>
      <c r="I11" s="10"/>
      <c r="J11" s="46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6"/>
      <c r="W11" s="10"/>
      <c r="X11" s="10"/>
      <c r="Y11" s="10"/>
      <c r="Z11" s="9"/>
    </row>
    <row r="12" spans="1:26" s="63" customFormat="1" ht="15" customHeight="1" x14ac:dyDescent="0.3">
      <c r="A12" s="11"/>
      <c r="B12" s="28" t="s">
        <v>287</v>
      </c>
      <c r="C12" s="11"/>
      <c r="D12" s="5">
        <f>SUM(0)</f>
        <v>0</v>
      </c>
      <c r="E12" s="5"/>
      <c r="F12" s="13"/>
      <c r="G12" s="5"/>
      <c r="H12" s="5">
        <f>SUM(0)</f>
        <v>0</v>
      </c>
      <c r="I12" s="5"/>
      <c r="J12" s="13"/>
      <c r="K12" s="5"/>
      <c r="L12" s="5">
        <f>+D12-H12</f>
        <v>0</v>
      </c>
      <c r="M12" s="5"/>
      <c r="N12" s="13">
        <f>IF(H12=0,0,L12/H12)</f>
        <v>0</v>
      </c>
      <c r="O12" s="11"/>
      <c r="P12" s="5">
        <f>SUM(0)</f>
        <v>0</v>
      </c>
      <c r="Q12" s="5"/>
      <c r="R12" s="13"/>
      <c r="S12" s="5"/>
      <c r="T12" s="5">
        <f>SUM(0)</f>
        <v>0</v>
      </c>
      <c r="U12" s="5"/>
      <c r="V12" s="13"/>
      <c r="W12" s="5"/>
      <c r="X12" s="5">
        <f>+P12-T12</f>
        <v>0</v>
      </c>
      <c r="Y12" s="5"/>
      <c r="Z12" s="13">
        <f>IF(T12=0,0,X12/T12)</f>
        <v>0</v>
      </c>
    </row>
    <row r="13" spans="1:26" ht="15" customHeight="1" x14ac:dyDescent="0.3">
      <c r="A13" s="10"/>
      <c r="B13" s="11"/>
      <c r="C13" s="10"/>
      <c r="D13" s="4"/>
      <c r="E13" s="4"/>
      <c r="F13" s="9"/>
      <c r="G13" s="4"/>
      <c r="H13" s="4"/>
      <c r="I13" s="4"/>
      <c r="J13" s="9"/>
      <c r="K13" s="4"/>
      <c r="L13" s="4"/>
      <c r="M13" s="4"/>
      <c r="N13" s="9"/>
      <c r="P13" s="4"/>
      <c r="Q13" s="4"/>
      <c r="R13" s="9"/>
      <c r="S13" s="4"/>
      <c r="T13" s="4"/>
      <c r="U13" s="4"/>
      <c r="V13" s="9"/>
      <c r="W13" s="4"/>
      <c r="X13" s="4"/>
      <c r="Y13" s="4"/>
      <c r="Z13" s="9"/>
    </row>
    <row r="14" spans="1:26" s="63" customFormat="1" ht="15" customHeight="1" x14ac:dyDescent="0.3">
      <c r="A14" s="11"/>
      <c r="B14" s="28" t="s">
        <v>288</v>
      </c>
      <c r="C14" s="11"/>
      <c r="D14" s="5">
        <f>SUM(0)</f>
        <v>0</v>
      </c>
      <c r="E14" s="5"/>
      <c r="F14" s="13">
        <f>IF(D$12=0,0,D14/D$12)</f>
        <v>0</v>
      </c>
      <c r="G14" s="5"/>
      <c r="H14" s="5">
        <f>SUM(0)</f>
        <v>0</v>
      </c>
      <c r="I14" s="5"/>
      <c r="J14" s="13">
        <f>IF(H$12=0,0,H14/H$12)</f>
        <v>0</v>
      </c>
      <c r="K14" s="5"/>
      <c r="L14" s="5">
        <f>+D14-H14</f>
        <v>0</v>
      </c>
      <c r="M14" s="5"/>
      <c r="N14" s="13">
        <f>IF(H14=0,0,L14/H14)</f>
        <v>0</v>
      </c>
      <c r="O14" s="11"/>
      <c r="P14" s="5">
        <f>SUM(0)</f>
        <v>0</v>
      </c>
      <c r="Q14" s="5"/>
      <c r="R14" s="13">
        <f>IF(P$12=0,0,P14/P$12)</f>
        <v>0</v>
      </c>
      <c r="S14" s="5"/>
      <c r="T14" s="5">
        <f>SUM(0)</f>
        <v>0</v>
      </c>
      <c r="U14" s="5"/>
      <c r="V14" s="13">
        <f>IF(T$12=0,0,T14/T$12)</f>
        <v>0</v>
      </c>
      <c r="W14" s="5"/>
      <c r="X14" s="5">
        <f>+P14-T14</f>
        <v>0</v>
      </c>
      <c r="Y14" s="5"/>
      <c r="Z14" s="13">
        <f>IF(T14=0,0,X14/T14)</f>
        <v>0</v>
      </c>
    </row>
    <row r="15" spans="1:26" ht="15" customHeight="1" x14ac:dyDescent="0.3">
      <c r="A15" s="10"/>
      <c r="B15" s="11"/>
      <c r="C15" s="11"/>
      <c r="D15" s="4"/>
      <c r="E15" s="4"/>
      <c r="F15" s="9"/>
      <c r="G15" s="4"/>
      <c r="H15" s="4"/>
      <c r="I15" s="4"/>
      <c r="J15" s="9"/>
      <c r="K15" s="4"/>
      <c r="L15" s="4"/>
      <c r="M15" s="4"/>
      <c r="N15" s="9"/>
      <c r="O15" s="11"/>
      <c r="P15" s="4"/>
      <c r="Q15" s="4"/>
      <c r="R15" s="9"/>
      <c r="S15" s="4"/>
      <c r="T15" s="4"/>
      <c r="U15" s="4"/>
      <c r="V15" s="9"/>
      <c r="W15" s="4"/>
      <c r="X15" s="4"/>
      <c r="Y15" s="4"/>
      <c r="Z15" s="9"/>
    </row>
    <row r="16" spans="1:26" s="63" customFormat="1" ht="15" customHeight="1" x14ac:dyDescent="0.3">
      <c r="A16" s="11"/>
      <c r="B16" s="27" t="s">
        <v>289</v>
      </c>
      <c r="C16" s="27"/>
      <c r="D16" s="21">
        <f>D12-D14</f>
        <v>0</v>
      </c>
      <c r="E16" s="15"/>
      <c r="F16" s="23">
        <f>IF(D$12=0,0,D16/D$12)</f>
        <v>0</v>
      </c>
      <c r="G16" s="15"/>
      <c r="H16" s="21">
        <f>H12-H14</f>
        <v>0</v>
      </c>
      <c r="I16" s="15"/>
      <c r="J16" s="23">
        <f>IF(H$12=0,0,H16/H$12)</f>
        <v>0</v>
      </c>
      <c r="K16" s="16"/>
      <c r="L16" s="21">
        <f>+D16-H16</f>
        <v>0</v>
      </c>
      <c r="M16" s="16"/>
      <c r="N16" s="23">
        <f>IF(H16=0,0,L16/H16)</f>
        <v>0</v>
      </c>
      <c r="O16" s="28"/>
      <c r="P16" s="21">
        <f>P12-P14</f>
        <v>0</v>
      </c>
      <c r="Q16" s="15"/>
      <c r="R16" s="23">
        <f>IF(P$12=0,0,P16/P$12)</f>
        <v>0</v>
      </c>
      <c r="S16" s="15"/>
      <c r="T16" s="21">
        <f>T12-T14</f>
        <v>0</v>
      </c>
      <c r="U16" s="15"/>
      <c r="V16" s="23">
        <f>IF(T$12=0,0,T16/T$12)</f>
        <v>0</v>
      </c>
      <c r="W16" s="16"/>
      <c r="X16" s="21">
        <f>+P16-T16</f>
        <v>0</v>
      </c>
      <c r="Y16" s="16"/>
      <c r="Z16" s="23">
        <f>IF(T16=0,0,X16/T16)</f>
        <v>0</v>
      </c>
    </row>
    <row r="17" spans="1:26" ht="15" customHeight="1" x14ac:dyDescent="0.3">
      <c r="A17" s="10"/>
      <c r="B17" s="11"/>
      <c r="C17" s="10"/>
      <c r="D17" s="2"/>
      <c r="E17" s="2"/>
      <c r="F17" s="6"/>
      <c r="G17" s="2"/>
      <c r="H17" s="2"/>
      <c r="I17" s="2"/>
      <c r="J17" s="6"/>
      <c r="K17" s="2"/>
      <c r="L17" s="2"/>
      <c r="M17" s="2"/>
      <c r="N17" s="6"/>
      <c r="O17" s="35"/>
      <c r="P17" s="2"/>
      <c r="Q17" s="2"/>
      <c r="R17" s="6"/>
      <c r="S17" s="2"/>
      <c r="T17" s="2"/>
      <c r="U17" s="2"/>
      <c r="V17" s="6"/>
      <c r="W17" s="2"/>
      <c r="X17" s="2"/>
      <c r="Y17" s="2"/>
      <c r="Z17" s="6"/>
    </row>
    <row r="18" spans="1:26" s="63" customFormat="1" ht="15" customHeight="1" x14ac:dyDescent="0.3">
      <c r="A18" s="11"/>
      <c r="B18" s="28" t="s">
        <v>290</v>
      </c>
      <c r="C18" s="11"/>
      <c r="D18" s="22" cm="1">
        <f t="array" ref="D18">SUM(OSRRefD22x_0)</f>
        <v>0</v>
      </c>
      <c r="E18" s="22"/>
      <c r="F18" s="30">
        <f>IF(D$12=0,0,D18/D$12)</f>
        <v>0</v>
      </c>
      <c r="G18" s="22"/>
      <c r="H18" s="22" cm="1">
        <f t="array" ref="H18">SUM(OSRRefH22x_0)</f>
        <v>0</v>
      </c>
      <c r="I18" s="22"/>
      <c r="J18" s="30">
        <f>IF(H$12=0,0,H18/H$12)</f>
        <v>0</v>
      </c>
      <c r="K18" s="5"/>
      <c r="L18" s="22">
        <f>+D18-H18</f>
        <v>0</v>
      </c>
      <c r="M18" s="5"/>
      <c r="N18" s="30">
        <f>IF(H18=0,0,L18/H18)</f>
        <v>0</v>
      </c>
      <c r="O18" s="11"/>
      <c r="P18" s="22" cm="1">
        <f t="array" ref="P18">SUM(OSRRefP22x_0)</f>
        <v>69.290000000000006</v>
      </c>
      <c r="Q18" s="22"/>
      <c r="R18" s="30">
        <f>IF(P$12=0,0,P18/P$12)</f>
        <v>0</v>
      </c>
      <c r="S18" s="22"/>
      <c r="T18" s="22" cm="1">
        <f t="array" ref="T18">SUM(OSRRefT22x_0)</f>
        <v>0</v>
      </c>
      <c r="U18" s="22"/>
      <c r="V18" s="30">
        <f>IF(T$12=0,0,T18/T$12)</f>
        <v>0</v>
      </c>
      <c r="W18" s="5"/>
      <c r="X18" s="22">
        <f>+P18-T18</f>
        <v>69.290000000000006</v>
      </c>
      <c r="Y18" s="5"/>
      <c r="Z18" s="30">
        <f>IF(T18=0,0,X18/T18)</f>
        <v>0</v>
      </c>
    </row>
    <row r="19" spans="1:26" s="69" customFormat="1" ht="15" customHeight="1" outlineLevel="1" collapsed="1" x14ac:dyDescent="0.3">
      <c r="A19" s="25"/>
      <c r="B19" s="14" t="str">
        <f>CONCATENATE("     ","Repair and Maintenance                            ")</f>
        <v xml:space="preserve">     Repair and Maintenance                            </v>
      </c>
      <c r="C19" s="14"/>
      <c r="D19" s="2">
        <f>SUM(OSRRefD22_0x_0)</f>
        <v>0</v>
      </c>
      <c r="E19" s="2"/>
      <c r="F19" s="6">
        <f>IF(D$12=0,0,D19/D$12)</f>
        <v>0</v>
      </c>
      <c r="G19" s="2"/>
      <c r="H19" s="2">
        <f>SUM(OSRRefH22_0x_0)</f>
        <v>0</v>
      </c>
      <c r="I19" s="2"/>
      <c r="J19" s="6">
        <f>IF(H$12=0,0,H19/H$12)</f>
        <v>0</v>
      </c>
      <c r="K19" s="2"/>
      <c r="L19" s="2">
        <f>+D19-H19</f>
        <v>0</v>
      </c>
      <c r="M19" s="2"/>
      <c r="N19" s="6">
        <f>IF(H19=0,0,L19/H19)</f>
        <v>0</v>
      </c>
      <c r="O19" s="14"/>
      <c r="P19" s="2">
        <f>SUM(OSRRefP22_0x_0)</f>
        <v>69.290000000000006</v>
      </c>
      <c r="Q19" s="2"/>
      <c r="R19" s="6">
        <f>IF(P$12=0,0,P19/P$12)</f>
        <v>0</v>
      </c>
      <c r="S19" s="2"/>
      <c r="T19" s="2">
        <f>SUM(OSRRefT22_0x_0)</f>
        <v>0</v>
      </c>
      <c r="U19" s="2"/>
      <c r="V19" s="6">
        <f>IF(T$12=0,0,T19/T$12)</f>
        <v>0</v>
      </c>
      <c r="W19" s="2"/>
      <c r="X19" s="2">
        <f>+P19-T19</f>
        <v>69.290000000000006</v>
      </c>
      <c r="Y19" s="2"/>
      <c r="Z19" s="6">
        <f>IF(T19=0,0,X19/T19)</f>
        <v>0</v>
      </c>
    </row>
    <row r="20" spans="1:26" s="70" customFormat="1" ht="15" hidden="1" customHeight="1" outlineLevel="2" x14ac:dyDescent="0.3">
      <c r="A20" s="26"/>
      <c r="B20" s="12" t="str">
        <f>CONCATENATE("          ","6373"," - ","MAINTENANCE CONTRACTS")</f>
        <v xml:space="preserve">          6373 - MAINTENANCE CONTRACTS</v>
      </c>
      <c r="C20" s="12"/>
      <c r="D20" s="7"/>
      <c r="E20" s="3"/>
      <c r="F20" s="8">
        <f>IF(D$12=0,0,D20/D$12)</f>
        <v>0</v>
      </c>
      <c r="G20" s="3"/>
      <c r="H20" s="7"/>
      <c r="I20" s="3"/>
      <c r="J20" s="8">
        <f>IF(H$12=0,0,H20/H$12)</f>
        <v>0</v>
      </c>
      <c r="K20" s="3"/>
      <c r="L20" s="7">
        <f>+D20-H20</f>
        <v>0</v>
      </c>
      <c r="M20" s="3"/>
      <c r="N20" s="8">
        <f>IF(H20=0,0,L20/H20)</f>
        <v>0</v>
      </c>
      <c r="O20" s="12"/>
      <c r="P20" s="7">
        <v>69.290000000000006</v>
      </c>
      <c r="Q20" s="3"/>
      <c r="R20" s="8">
        <f>IF(P$12=0,0,P20/P$12)</f>
        <v>0</v>
      </c>
      <c r="S20" s="3"/>
      <c r="T20" s="7"/>
      <c r="U20" s="3"/>
      <c r="V20" s="8">
        <f>IF(T$12=0,0,T20/T$12)</f>
        <v>0</v>
      </c>
      <c r="W20" s="3"/>
      <c r="X20" s="7">
        <f>+P20-T20</f>
        <v>69.290000000000006</v>
      </c>
      <c r="Y20" s="3"/>
      <c r="Z20" s="8">
        <f>IF(T20=0,0,X20/T20)</f>
        <v>0</v>
      </c>
    </row>
    <row r="21" spans="1:26" s="69" customFormat="1" ht="15" customHeight="1" outlineLevel="1" collapsed="1" x14ac:dyDescent="0.3">
      <c r="A21" s="25"/>
      <c r="B21" s="14" t="str">
        <f>CONCATENATE("     ","Services                                          ")</f>
        <v xml:space="preserve">     Services                                          </v>
      </c>
      <c r="C21" s="14"/>
      <c r="D21" s="2">
        <f>SUM(OSRRefD22_1x_0)</f>
        <v>0</v>
      </c>
      <c r="E21" s="2"/>
      <c r="F21" s="6">
        <f>IF(D$12=0,0,D21/D$12)</f>
        <v>0</v>
      </c>
      <c r="G21" s="2"/>
      <c r="H21" s="2">
        <f>SUM(OSRRefH22_1x_0)</f>
        <v>0</v>
      </c>
      <c r="I21" s="2"/>
      <c r="J21" s="6">
        <f>IF(H$12=0,0,H21/H$12)</f>
        <v>0</v>
      </c>
      <c r="K21" s="2"/>
      <c r="L21" s="2">
        <f>+D21-H21</f>
        <v>0</v>
      </c>
      <c r="M21" s="2"/>
      <c r="N21" s="6">
        <f>IF(H21=0,0,L21/H21)</f>
        <v>0</v>
      </c>
      <c r="O21" s="14"/>
      <c r="P21" s="2">
        <f>SUM(OSRRefP22_1x_0)</f>
        <v>0</v>
      </c>
      <c r="Q21" s="2"/>
      <c r="R21" s="6">
        <f>IF(P$12=0,0,P21/P$12)</f>
        <v>0</v>
      </c>
      <c r="S21" s="2"/>
      <c r="T21" s="2">
        <f>SUM(OSRRefT22_1x_0)</f>
        <v>0</v>
      </c>
      <c r="U21" s="2"/>
      <c r="V21" s="6">
        <f>IF(T$12=0,0,T21/T$12)</f>
        <v>0</v>
      </c>
      <c r="W21" s="2"/>
      <c r="X21" s="2">
        <f>+P21-T21</f>
        <v>0</v>
      </c>
      <c r="Y21" s="2"/>
      <c r="Z21" s="6">
        <f>IF(T21=0,0,X21/T21)</f>
        <v>0</v>
      </c>
    </row>
    <row r="22" spans="1:26" s="70" customFormat="1" ht="15" hidden="1" customHeight="1" outlineLevel="2" x14ac:dyDescent="0.3">
      <c r="A22" s="26"/>
      <c r="B22" s="12" t="str">
        <f>CONCATENATE("          ","6284"," - ","TRASH REMOVAL EXPENSE")</f>
        <v xml:space="preserve">          6284 - TRASH REMOVAL EXPENSE</v>
      </c>
      <c r="C22" s="12"/>
      <c r="D22" s="7"/>
      <c r="E22" s="3"/>
      <c r="F22" s="8">
        <f>IF(D$12=0,0,D22/D$12)</f>
        <v>0</v>
      </c>
      <c r="G22" s="3"/>
      <c r="H22" s="7"/>
      <c r="I22" s="3"/>
      <c r="J22" s="8">
        <f>IF(H$12=0,0,H22/H$12)</f>
        <v>0</v>
      </c>
      <c r="K22" s="3"/>
      <c r="L22" s="7">
        <f>+D22-H22</f>
        <v>0</v>
      </c>
      <c r="M22" s="3"/>
      <c r="N22" s="8">
        <f>IF(H22=0,0,L22/H22)</f>
        <v>0</v>
      </c>
      <c r="O22" s="12"/>
      <c r="P22" s="7"/>
      <c r="Q22" s="3"/>
      <c r="R22" s="8">
        <f>IF(P$12=0,0,P22/P$12)</f>
        <v>0</v>
      </c>
      <c r="S22" s="3"/>
      <c r="T22" s="7">
        <v>0</v>
      </c>
      <c r="U22" s="3"/>
      <c r="V22" s="8">
        <f>IF(T$12=0,0,T22/T$12)</f>
        <v>0</v>
      </c>
      <c r="W22" s="3"/>
      <c r="X22" s="7">
        <f>+P22-T22</f>
        <v>0</v>
      </c>
      <c r="Y22" s="3"/>
      <c r="Z22" s="8">
        <f>IF(T22=0,0,X22/T22)</f>
        <v>0</v>
      </c>
    </row>
    <row r="23" spans="1:26" s="65" customFormat="1" ht="15" customHeight="1" x14ac:dyDescent="0.3">
      <c r="A23" s="35"/>
      <c r="B23" s="35"/>
      <c r="C23" s="35"/>
      <c r="D23" s="2"/>
      <c r="E23" s="2"/>
      <c r="F23" s="6"/>
      <c r="G23" s="2"/>
      <c r="H23" s="2"/>
      <c r="I23" s="2"/>
      <c r="J23" s="6"/>
      <c r="K23" s="2"/>
      <c r="L23" s="2"/>
      <c r="M23" s="2"/>
      <c r="N23" s="6"/>
      <c r="O23" s="35"/>
      <c r="P23" s="2"/>
      <c r="Q23" s="2"/>
      <c r="R23" s="6"/>
      <c r="S23" s="2"/>
      <c r="T23" s="2"/>
      <c r="U23" s="2"/>
      <c r="V23" s="6"/>
      <c r="W23" s="2"/>
      <c r="X23" s="2"/>
      <c r="Y23" s="2"/>
      <c r="Z23" s="6"/>
    </row>
    <row r="24" spans="1:26" s="63" customFormat="1" ht="15" customHeight="1" x14ac:dyDescent="0.3">
      <c r="A24" s="11"/>
      <c r="B24" s="28" t="s">
        <v>291</v>
      </c>
      <c r="C24" s="11"/>
      <c r="D24" s="5">
        <f>SUM(0)</f>
        <v>0</v>
      </c>
      <c r="E24" s="5"/>
      <c r="F24" s="13">
        <f>IF(D$12=0,0,D24/D$12)</f>
        <v>0</v>
      </c>
      <c r="G24" s="5"/>
      <c r="H24" s="5">
        <f>SUM(0)</f>
        <v>0</v>
      </c>
      <c r="I24" s="5"/>
      <c r="J24" s="13">
        <f>IF(H$12=0,0,H24/H$12)</f>
        <v>0</v>
      </c>
      <c r="K24" s="5"/>
      <c r="L24" s="5">
        <f>+D24-H24</f>
        <v>0</v>
      </c>
      <c r="M24" s="5"/>
      <c r="N24" s="13">
        <f>IF(H24=0,0,L24/H24)</f>
        <v>0</v>
      </c>
      <c r="O24" s="11"/>
      <c r="P24" s="5">
        <f>SUM(0)</f>
        <v>0</v>
      </c>
      <c r="Q24" s="5"/>
      <c r="R24" s="13">
        <f>IF(P$12=0,0,P24/P$12)</f>
        <v>0</v>
      </c>
      <c r="S24" s="5"/>
      <c r="T24" s="5">
        <f>SUM(0)</f>
        <v>0</v>
      </c>
      <c r="U24" s="5"/>
      <c r="V24" s="13">
        <f>IF(T$12=0,0,T24/T$12)</f>
        <v>0</v>
      </c>
      <c r="W24" s="5"/>
      <c r="X24" s="5">
        <f>+P24-T24</f>
        <v>0</v>
      </c>
      <c r="Y24" s="5"/>
      <c r="Z24" s="13">
        <f>IF(T24=0,0,X24/T24)</f>
        <v>0</v>
      </c>
    </row>
    <row r="25" spans="1:26" ht="15" customHeight="1" x14ac:dyDescent="0.3">
      <c r="A25" s="10"/>
      <c r="B25" s="11"/>
      <c r="C25" s="11"/>
      <c r="D25" s="4"/>
      <c r="E25" s="4"/>
      <c r="F25" s="9"/>
      <c r="G25" s="4"/>
      <c r="H25" s="4"/>
      <c r="I25" s="4"/>
      <c r="J25" s="9"/>
      <c r="K25" s="4"/>
      <c r="L25" s="4"/>
      <c r="M25" s="4"/>
      <c r="N25" s="9"/>
      <c r="O25" s="11"/>
      <c r="P25" s="4"/>
      <c r="Q25" s="4"/>
      <c r="R25" s="9"/>
      <c r="S25" s="4"/>
      <c r="T25" s="4"/>
      <c r="U25" s="4"/>
      <c r="V25" s="9"/>
      <c r="W25" s="4"/>
      <c r="X25" s="4"/>
      <c r="Y25" s="4"/>
      <c r="Z25" s="9"/>
    </row>
    <row r="26" spans="1:26" s="63" customFormat="1" ht="15" customHeight="1" x14ac:dyDescent="0.3">
      <c r="A26" s="11"/>
      <c r="B26" s="27" t="s">
        <v>292</v>
      </c>
      <c r="C26" s="27"/>
      <c r="D26" s="21">
        <f>+D16-D18+D24</f>
        <v>0</v>
      </c>
      <c r="E26" s="15"/>
      <c r="F26" s="23">
        <f>IF(D$12=0,0,D26/D$12)</f>
        <v>0</v>
      </c>
      <c r="G26" s="15"/>
      <c r="H26" s="21">
        <f>+H16-H18+H24</f>
        <v>0</v>
      </c>
      <c r="I26" s="15"/>
      <c r="J26" s="23">
        <f>IF(H$12=0,0,H26/H$12)</f>
        <v>0</v>
      </c>
      <c r="K26" s="16"/>
      <c r="L26" s="21">
        <f>+D26-H26</f>
        <v>0</v>
      </c>
      <c r="M26" s="16"/>
      <c r="N26" s="23">
        <f>IF(H26=0,0,L26/H26)</f>
        <v>0</v>
      </c>
      <c r="O26" s="28"/>
      <c r="P26" s="21">
        <f>+P16-P18+P24</f>
        <v>-69.290000000000006</v>
      </c>
      <c r="Q26" s="15"/>
      <c r="R26" s="23">
        <f>IF(P$12=0,0,P26/P$12)</f>
        <v>0</v>
      </c>
      <c r="S26" s="15"/>
      <c r="T26" s="21">
        <f>+T16-T18+T24</f>
        <v>0</v>
      </c>
      <c r="U26" s="15"/>
      <c r="V26" s="23">
        <f>IF(T$12=0,0,T26/T$12)</f>
        <v>0</v>
      </c>
      <c r="W26" s="16"/>
      <c r="X26" s="21">
        <f>+P26-T26</f>
        <v>-69.290000000000006</v>
      </c>
      <c r="Y26" s="16"/>
      <c r="Z26" s="23">
        <f>IF(T26=0,0,X26/T26)</f>
        <v>0</v>
      </c>
    </row>
    <row r="27" spans="1:26" ht="15" customHeight="1" x14ac:dyDescent="0.3">
      <c r="A27" s="10"/>
      <c r="B27" s="11"/>
      <c r="C27" s="10"/>
      <c r="D27" s="4"/>
      <c r="E27" s="4"/>
      <c r="F27" s="9"/>
      <c r="G27" s="4"/>
      <c r="H27" s="4"/>
      <c r="I27" s="4"/>
      <c r="J27" s="9"/>
      <c r="K27" s="4"/>
      <c r="L27" s="4"/>
      <c r="M27" s="4"/>
      <c r="N27" s="9"/>
      <c r="P27" s="4"/>
      <c r="Q27" s="4"/>
      <c r="R27" s="9"/>
      <c r="S27" s="4"/>
      <c r="T27" s="4"/>
      <c r="U27" s="4"/>
      <c r="V27" s="9"/>
      <c r="W27" s="4"/>
      <c r="X27" s="4"/>
      <c r="Y27" s="4"/>
      <c r="Z27" s="9"/>
    </row>
    <row r="28" spans="1:26" s="63" customFormat="1" ht="15" customHeight="1" x14ac:dyDescent="0.3">
      <c r="A28" s="49"/>
      <c r="B28" s="11" t="s">
        <v>293</v>
      </c>
      <c r="C28" s="11"/>
      <c r="D28" s="5"/>
      <c r="E28" s="5"/>
      <c r="F28" s="13">
        <f>IF(D$12=0,0,D28/D$12)</f>
        <v>0</v>
      </c>
      <c r="G28" s="5"/>
      <c r="H28" s="5"/>
      <c r="I28" s="5"/>
      <c r="J28" s="13">
        <f>IF(H$12=0,0,H28/H$12)</f>
        <v>0</v>
      </c>
      <c r="K28" s="5"/>
      <c r="L28" s="5">
        <f>+D28-H28</f>
        <v>0</v>
      </c>
      <c r="M28" s="5"/>
      <c r="N28" s="13">
        <f>IF(H28=0,0,L28/H28)</f>
        <v>0</v>
      </c>
      <c r="O28" s="11"/>
      <c r="P28" s="5"/>
      <c r="Q28" s="5"/>
      <c r="R28" s="13">
        <f>IF(P$12=0,0,P28/P$12)</f>
        <v>0</v>
      </c>
      <c r="S28" s="5"/>
      <c r="T28" s="5"/>
      <c r="U28" s="5"/>
      <c r="V28" s="13">
        <f>IF(T$12=0,0,T28/T$12)</f>
        <v>0</v>
      </c>
      <c r="W28" s="5"/>
      <c r="X28" s="5">
        <f>+P28-T28</f>
        <v>0</v>
      </c>
      <c r="Y28" s="5"/>
      <c r="Z28" s="13">
        <f>IF(T28=0,0,X28/T28)</f>
        <v>0</v>
      </c>
    </row>
    <row r="29" spans="1:26" ht="15" customHeight="1" x14ac:dyDescent="0.3">
      <c r="A29" s="10"/>
      <c r="B29" s="11"/>
      <c r="C29" s="11"/>
      <c r="D29" s="4"/>
      <c r="E29" s="4"/>
      <c r="F29" s="9"/>
      <c r="G29" s="4"/>
      <c r="H29" s="4"/>
      <c r="I29" s="4"/>
      <c r="J29" s="9"/>
      <c r="K29" s="4"/>
      <c r="L29" s="4"/>
      <c r="M29" s="4"/>
      <c r="N29" s="9"/>
      <c r="O29" s="11"/>
      <c r="P29" s="4"/>
      <c r="Q29" s="4"/>
      <c r="R29" s="9"/>
      <c r="S29" s="4"/>
      <c r="T29" s="4"/>
      <c r="U29" s="4"/>
      <c r="V29" s="9"/>
      <c r="W29" s="4"/>
      <c r="X29" s="4"/>
      <c r="Y29" s="4"/>
      <c r="Z29" s="9"/>
    </row>
    <row r="30" spans="1:26" s="63" customFormat="1" ht="15" customHeight="1" x14ac:dyDescent="0.3">
      <c r="A30" s="11"/>
      <c r="B30" s="27" t="s">
        <v>294</v>
      </c>
      <c r="C30" s="27"/>
      <c r="D30" s="34">
        <f>+D26-D28</f>
        <v>0</v>
      </c>
      <c r="E30" s="15"/>
      <c r="F30" s="29">
        <f>IF(D$12=0,0,D30/D$12)</f>
        <v>0</v>
      </c>
      <c r="G30" s="15"/>
      <c r="H30" s="34">
        <f>+H26-H28</f>
        <v>0</v>
      </c>
      <c r="I30" s="15"/>
      <c r="J30" s="29">
        <f>IF(H$12=0,0,H30/H$12)</f>
        <v>0</v>
      </c>
      <c r="K30" s="16"/>
      <c r="L30" s="34">
        <f>D30-H30</f>
        <v>0</v>
      </c>
      <c r="M30" s="16"/>
      <c r="N30" s="29">
        <f>IF(H30=0,0,L30/H30)</f>
        <v>0</v>
      </c>
      <c r="O30" s="28"/>
      <c r="P30" s="34">
        <f>+P26-P28</f>
        <v>-69.290000000000006</v>
      </c>
      <c r="Q30" s="15"/>
      <c r="R30" s="29">
        <f>IF(P$12=0,0,P30/P$12)</f>
        <v>0</v>
      </c>
      <c r="S30" s="15"/>
      <c r="T30" s="34">
        <f>+T26-T28</f>
        <v>0</v>
      </c>
      <c r="U30" s="15"/>
      <c r="V30" s="29">
        <f>IF(T$12=0,0,T30/T$12)</f>
        <v>0</v>
      </c>
      <c r="W30" s="16"/>
      <c r="X30" s="34">
        <f>P30-T30</f>
        <v>-69.290000000000006</v>
      </c>
      <c r="Y30" s="16"/>
      <c r="Z30" s="29">
        <f>IF(T30=0,0,X30/T30)</f>
        <v>0</v>
      </c>
    </row>
    <row r="31" spans="1:26" ht="15" customHeight="1" x14ac:dyDescent="0.3">
      <c r="A31" s="10"/>
      <c r="B31" s="10"/>
      <c r="C31" s="10"/>
      <c r="D31" s="4"/>
      <c r="E31" s="4"/>
      <c r="F31" s="9"/>
      <c r="G31" s="4"/>
      <c r="H31" s="4"/>
      <c r="I31" s="4"/>
      <c r="J31" s="9"/>
      <c r="K31" s="4"/>
      <c r="L31" s="4"/>
      <c r="M31" s="4"/>
      <c r="N31" s="9"/>
      <c r="P31" s="4"/>
      <c r="Q31" s="4"/>
      <c r="R31" s="9"/>
      <c r="S31" s="4"/>
      <c r="T31" s="4"/>
      <c r="U31" s="4"/>
      <c r="V31" s="9"/>
      <c r="W31" s="4"/>
      <c r="X31" s="4"/>
      <c r="Y31" s="4"/>
      <c r="Z31" s="9"/>
    </row>
    <row r="32" spans="1:26" ht="15" customHeight="1" x14ac:dyDescent="0.3">
      <c r="A32" s="10"/>
      <c r="B32" s="10"/>
      <c r="C32" s="10"/>
      <c r="D32" s="4"/>
      <c r="E32" s="4"/>
      <c r="F32" s="9"/>
      <c r="G32" s="4"/>
      <c r="H32" s="4"/>
      <c r="I32" s="4"/>
      <c r="J32" s="9"/>
      <c r="K32" s="4"/>
      <c r="L32" s="4"/>
      <c r="M32" s="4"/>
      <c r="N32" s="9"/>
      <c r="P32" s="4"/>
      <c r="Q32" s="4"/>
      <c r="R32" s="9"/>
      <c r="S32" s="4"/>
      <c r="T32" s="4"/>
      <c r="U32" s="4"/>
      <c r="V32" s="9"/>
      <c r="W32" s="4"/>
      <c r="X32" s="4"/>
      <c r="Y32" s="4"/>
      <c r="Z32" s="9"/>
    </row>
    <row r="33" spans="1:26" s="63" customFormat="1" ht="15" customHeight="1" x14ac:dyDescent="0.3">
      <c r="A33" s="11"/>
      <c r="B33" s="27" t="s">
        <v>297</v>
      </c>
      <c r="C33" s="27"/>
      <c r="D33" s="32">
        <f>SUM(D30:D32)</f>
        <v>0</v>
      </c>
      <c r="E33" s="15"/>
      <c r="F33" s="31">
        <f>IF(D$12=0,0,D33/D$12)</f>
        <v>0</v>
      </c>
      <c r="G33" s="15"/>
      <c r="H33" s="32">
        <f>SUM(H30:H32)</f>
        <v>0</v>
      </c>
      <c r="I33" s="15"/>
      <c r="J33" s="31">
        <f>IF(H$12=0,0,H33/H$12)</f>
        <v>0</v>
      </c>
      <c r="K33" s="16"/>
      <c r="L33" s="32">
        <f>+D33-H33</f>
        <v>0</v>
      </c>
      <c r="M33" s="16"/>
      <c r="N33" s="31">
        <f>IF(H33=0,0,L33/H33)</f>
        <v>0</v>
      </c>
      <c r="O33" s="28"/>
      <c r="P33" s="32">
        <f>SUM(P30:P32)</f>
        <v>-69.290000000000006</v>
      </c>
      <c r="Q33" s="15"/>
      <c r="R33" s="31">
        <f>IF(P$12=0,0,P33/P$12)</f>
        <v>0</v>
      </c>
      <c r="S33" s="15"/>
      <c r="T33" s="32">
        <f>SUM(T30:T32)</f>
        <v>0</v>
      </c>
      <c r="U33" s="15"/>
      <c r="V33" s="31">
        <f>IF(T$12=0,0,T33/T$12)</f>
        <v>0</v>
      </c>
      <c r="W33" s="16"/>
      <c r="X33" s="32">
        <f>+P33-T33</f>
        <v>-69.290000000000006</v>
      </c>
      <c r="Y33" s="16"/>
      <c r="Z33" s="31">
        <f>IF(T33=0,0,X33/T33)</f>
        <v>0</v>
      </c>
    </row>
    <row r="34" spans="1:26" ht="15" customHeight="1" x14ac:dyDescent="0.3">
      <c r="A34" s="10"/>
      <c r="C34" s="10"/>
      <c r="D34" s="19"/>
      <c r="E34" s="19"/>
      <c r="G34" s="19"/>
      <c r="H34" s="19"/>
      <c r="I34" s="19"/>
      <c r="J34" s="40"/>
      <c r="K34" s="19"/>
      <c r="L34" s="19"/>
      <c r="M34" s="19"/>
      <c r="P34" s="19"/>
      <c r="Q34" s="19"/>
      <c r="R34" s="40"/>
      <c r="S34" s="19"/>
      <c r="T34" s="19"/>
      <c r="U34" s="19"/>
      <c r="V34" s="40"/>
      <c r="W34" s="19"/>
      <c r="X34" s="19"/>
    </row>
    <row r="35" spans="1:26" ht="15" customHeight="1" x14ac:dyDescent="0.3">
      <c r="A35" s="10"/>
      <c r="B35" s="51">
        <v>44663.047665428239</v>
      </c>
      <c r="D35" s="19"/>
      <c r="E35" s="19"/>
      <c r="G35" s="19"/>
      <c r="H35" s="19"/>
      <c r="I35" s="19"/>
      <c r="J35" s="40"/>
      <c r="K35" s="19"/>
      <c r="L35" s="19"/>
      <c r="M35" s="19"/>
      <c r="P35" s="19"/>
      <c r="Q35" s="19"/>
      <c r="R35" s="40"/>
      <c r="S35" s="19"/>
      <c r="T35" s="19"/>
      <c r="U35" s="19"/>
      <c r="V35" s="40"/>
      <c r="W35" s="19"/>
      <c r="X35" s="19"/>
    </row>
    <row r="36" spans="1:26" ht="15" customHeight="1" x14ac:dyDescent="0.3">
      <c r="A36" s="10"/>
      <c r="B36" s="58" t="s">
        <v>298</v>
      </c>
      <c r="D36" s="19"/>
      <c r="E36" s="19"/>
      <c r="G36" s="19"/>
      <c r="H36" s="19"/>
      <c r="I36" s="19"/>
      <c r="J36" s="40"/>
      <c r="K36" s="19"/>
      <c r="L36" s="19"/>
      <c r="M36" s="19"/>
      <c r="P36" s="19"/>
      <c r="Q36" s="19"/>
      <c r="R36" s="40"/>
      <c r="S36" s="19"/>
      <c r="T36" s="19"/>
      <c r="U36" s="19"/>
      <c r="V36" s="40"/>
      <c r="W36" s="19"/>
      <c r="X36" s="19"/>
    </row>
    <row r="37" spans="1:26" ht="15" customHeight="1" x14ac:dyDescent="0.3">
      <c r="A37" s="10"/>
      <c r="B37" s="50"/>
      <c r="D37" s="19"/>
      <c r="E37" s="19"/>
      <c r="G37" s="19"/>
      <c r="H37" s="19"/>
      <c r="I37" s="19"/>
      <c r="J37" s="40"/>
      <c r="K37" s="19"/>
      <c r="L37" s="19"/>
      <c r="M37" s="19"/>
      <c r="P37" s="19"/>
      <c r="Q37" s="19"/>
      <c r="R37" s="40"/>
      <c r="S37" s="19"/>
      <c r="T37" s="19"/>
      <c r="U37" s="19"/>
      <c r="V37" s="40"/>
      <c r="W37" s="19"/>
      <c r="X37" s="19"/>
    </row>
    <row r="38" spans="1:26" ht="15" customHeight="1" x14ac:dyDescent="0.3">
      <c r="D38" s="19"/>
      <c r="E38" s="19"/>
      <c r="G38" s="19"/>
      <c r="H38" s="19"/>
      <c r="I38" s="19"/>
      <c r="J38" s="40"/>
      <c r="K38" s="19"/>
      <c r="L38" s="19"/>
      <c r="M38" s="19"/>
      <c r="P38" s="19"/>
      <c r="Q38" s="19"/>
      <c r="R38" s="40"/>
      <c r="S38" s="19"/>
      <c r="T38" s="19"/>
      <c r="U38" s="19"/>
      <c r="V38" s="40"/>
      <c r="W38" s="19"/>
      <c r="X38" s="19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A67639-EAC8-A052-AF95-4319F5EDD776}">
  <sheetPr>
    <tabColor rgb="FF92D050"/>
    <outlinePr summaryBelow="0" summaryRight="0"/>
  </sheetPr>
  <dimension ref="A2:Z92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6" customWidth="1"/>
    <col min="2" max="2" width="33.44140625" style="66" customWidth="1"/>
    <col min="3" max="3" width="1.88671875" style="66" customWidth="1"/>
    <col min="4" max="4" width="15" style="66" customWidth="1"/>
    <col min="5" max="5" width="1.88671875" style="66" customWidth="1" outlineLevel="1"/>
    <col min="6" max="6" width="15" style="67" customWidth="1" outlineLevel="1"/>
    <col min="7" max="7" width="1.88671875" style="66" customWidth="1" outlineLevel="1"/>
    <col min="8" max="8" width="15" style="66" customWidth="1" outlineLevel="1"/>
    <col min="9" max="9" width="1.88671875" style="66" customWidth="1" outlineLevel="1"/>
    <col min="10" max="10" width="15" style="68" customWidth="1" outlineLevel="1"/>
    <col min="11" max="11" width="1.88671875" style="66" customWidth="1" outlineLevel="1"/>
    <col min="12" max="12" width="15" style="66" customWidth="1" outlineLevel="1"/>
    <col min="13" max="13" width="1.88671875" style="66" customWidth="1" outlineLevel="1"/>
    <col min="14" max="14" width="15" style="67" customWidth="1" outlineLevel="1"/>
    <col min="15" max="15" width="1.88671875" style="64" customWidth="1"/>
    <col min="16" max="16" width="15" style="66" customWidth="1"/>
    <col min="17" max="17" width="1.88671875" style="66" customWidth="1" outlineLevel="1"/>
    <col min="18" max="18" width="15" style="68" customWidth="1" outlineLevel="1"/>
    <col min="19" max="19" width="1.88671875" style="66" customWidth="1" outlineLevel="1"/>
    <col min="20" max="20" width="15" style="66" customWidth="1" outlineLevel="1"/>
    <col min="21" max="21" width="1.88671875" style="66" customWidth="1" outlineLevel="1"/>
    <col min="22" max="22" width="15" style="68" customWidth="1" outlineLevel="1"/>
    <col min="23" max="23" width="1.88671875" style="66" customWidth="1" outlineLevel="1"/>
    <col min="24" max="24" width="15" style="66" customWidth="1" outlineLevel="1"/>
    <col min="25" max="25" width="1.88671875" style="66" customWidth="1" outlineLevel="1"/>
    <col min="26" max="26" width="15" style="68" customWidth="1" outlineLevel="1"/>
  </cols>
  <sheetData>
    <row r="2" spans="1:26" ht="15" customHeight="1" x14ac:dyDescent="0.3">
      <c r="D2" s="54" t="s">
        <v>276</v>
      </c>
    </row>
    <row r="3" spans="1:26" ht="15" customHeight="1" x14ac:dyDescent="0.3">
      <c r="D3" s="54" t="s">
        <v>277</v>
      </c>
      <c r="E3" s="18"/>
      <c r="F3" s="44"/>
      <c r="G3" s="18"/>
      <c r="H3" s="18"/>
      <c r="I3" s="18"/>
      <c r="J3" s="38"/>
      <c r="K3" s="18"/>
      <c r="L3" s="18"/>
      <c r="M3" s="18"/>
      <c r="N3" s="44"/>
      <c r="O3" s="53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ht="15" customHeight="1" x14ac:dyDescent="0.3">
      <c r="D4" s="54" t="str">
        <f>CONCATENATE("Period ",RIGHT(202209,2),", ",2022)</f>
        <v>Period 09, 2022</v>
      </c>
      <c r="E4" s="18"/>
      <c r="F4" s="44"/>
      <c r="G4" s="18"/>
      <c r="H4" s="18"/>
      <c r="I4" s="18"/>
      <c r="J4" s="38"/>
      <c r="K4" s="18"/>
      <c r="L4" s="18"/>
      <c r="M4" s="18"/>
      <c r="N4" s="44"/>
      <c r="O4" s="53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ht="15" customHeight="1" x14ac:dyDescent="0.3">
      <c r="A5" s="24"/>
      <c r="D5" s="60">
        <v>44646</v>
      </c>
      <c r="E5" s="18"/>
      <c r="F5" s="44"/>
      <c r="G5" s="18"/>
      <c r="H5" s="18"/>
      <c r="I5" s="18"/>
      <c r="J5" s="38"/>
      <c r="K5" s="18"/>
      <c r="L5" s="18"/>
      <c r="M5" s="18"/>
      <c r="N5" s="44"/>
      <c r="O5" s="53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ht="15" customHeight="1" x14ac:dyDescent="0.3">
      <c r="A6" s="24"/>
      <c r="B6" s="47"/>
      <c r="C6" s="47"/>
      <c r="D6" s="24" t="str">
        <f>CONCATENATE("Department ","411"," - ","University Dining")</f>
        <v>Department 411 - University Dining</v>
      </c>
      <c r="E6" s="18"/>
      <c r="F6" s="44"/>
      <c r="G6" s="18"/>
      <c r="H6" s="18"/>
      <c r="I6" s="18"/>
      <c r="J6" s="38"/>
      <c r="K6" s="18"/>
      <c r="L6" s="18"/>
      <c r="M6" s="18"/>
      <c r="N6" s="44"/>
      <c r="O6" s="59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ht="15" customHeight="1" x14ac:dyDescent="0.3">
      <c r="B7" s="52"/>
    </row>
    <row r="8" spans="1:26" ht="15" customHeight="1" x14ac:dyDescent="0.3">
      <c r="B8" s="52"/>
    </row>
    <row r="9" spans="1:26" ht="15" customHeight="1" x14ac:dyDescent="0.3">
      <c r="B9" s="10"/>
      <c r="C9" s="10"/>
      <c r="D9" s="17" t="s">
        <v>279</v>
      </c>
      <c r="E9" s="17"/>
      <c r="F9" s="36"/>
      <c r="G9" s="17"/>
      <c r="H9" s="17"/>
      <c r="I9" s="17"/>
      <c r="J9" s="43"/>
      <c r="K9" s="17"/>
      <c r="L9" s="17"/>
      <c r="M9" s="17"/>
      <c r="N9" s="36"/>
      <c r="P9" s="17" t="s">
        <v>280</v>
      </c>
      <c r="Q9" s="17"/>
      <c r="R9" s="36"/>
      <c r="S9" s="17"/>
      <c r="T9" s="17"/>
      <c r="U9" s="17"/>
      <c r="V9" s="43"/>
      <c r="W9" s="17"/>
      <c r="X9" s="17"/>
      <c r="Y9" s="17"/>
      <c r="Z9" s="36"/>
    </row>
    <row r="10" spans="1:26" ht="15" customHeight="1" x14ac:dyDescent="0.3">
      <c r="A10" s="11"/>
      <c r="B10" s="57"/>
      <c r="C10" s="11"/>
      <c r="D10" s="41" t="s">
        <v>281</v>
      </c>
      <c r="E10" s="33"/>
      <c r="F10" s="37" t="s">
        <v>282</v>
      </c>
      <c r="G10" s="33"/>
      <c r="H10" s="48" t="s">
        <v>283</v>
      </c>
      <c r="I10" s="33"/>
      <c r="J10" s="45" t="s">
        <v>284</v>
      </c>
      <c r="K10" s="11"/>
      <c r="L10" s="41" t="s">
        <v>285</v>
      </c>
      <c r="M10" s="11"/>
      <c r="N10" s="37" t="s">
        <v>286</v>
      </c>
      <c r="O10" s="11"/>
      <c r="P10" s="56" t="s">
        <v>281</v>
      </c>
      <c r="Q10" s="33"/>
      <c r="R10" s="37" t="s">
        <v>282</v>
      </c>
      <c r="S10" s="33"/>
      <c r="T10" s="48" t="s">
        <v>283</v>
      </c>
      <c r="U10" s="33"/>
      <c r="V10" s="45" t="s">
        <v>284</v>
      </c>
      <c r="W10" s="11"/>
      <c r="X10" s="41" t="s">
        <v>285</v>
      </c>
      <c r="Y10" s="11"/>
      <c r="Z10" s="37" t="s">
        <v>286</v>
      </c>
    </row>
    <row r="11" spans="1:26" ht="16.5" customHeight="1" x14ac:dyDescent="0.3">
      <c r="A11" s="10"/>
      <c r="B11" s="55"/>
      <c r="C11" s="10"/>
      <c r="D11" s="10"/>
      <c r="E11" s="10"/>
      <c r="F11" s="9"/>
      <c r="G11" s="10"/>
      <c r="H11" s="10"/>
      <c r="I11" s="10"/>
      <c r="J11" s="46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6"/>
      <c r="W11" s="10"/>
      <c r="X11" s="10"/>
      <c r="Y11" s="10"/>
      <c r="Z11" s="9"/>
    </row>
    <row r="12" spans="1:26" s="63" customFormat="1" ht="15" customHeight="1" x14ac:dyDescent="0.3">
      <c r="A12" s="11"/>
      <c r="B12" s="28" t="s">
        <v>287</v>
      </c>
      <c r="C12" s="11"/>
      <c r="D12" s="5">
        <f>SUM(0)</f>
        <v>0</v>
      </c>
      <c r="E12" s="5"/>
      <c r="F12" s="13"/>
      <c r="G12" s="5"/>
      <c r="H12" s="5">
        <f>SUM(0)</f>
        <v>0</v>
      </c>
      <c r="I12" s="5"/>
      <c r="J12" s="13"/>
      <c r="K12" s="5"/>
      <c r="L12" s="5">
        <f>+D12-H12</f>
        <v>0</v>
      </c>
      <c r="M12" s="5"/>
      <c r="N12" s="13">
        <f>IF(H12=0,0,L12/H12)</f>
        <v>0</v>
      </c>
      <c r="O12" s="11"/>
      <c r="P12" s="5">
        <f>SUM(0)</f>
        <v>0</v>
      </c>
      <c r="Q12" s="5"/>
      <c r="R12" s="13"/>
      <c r="S12" s="5"/>
      <c r="T12" s="5">
        <f>SUM(0)</f>
        <v>0</v>
      </c>
      <c r="U12" s="5"/>
      <c r="V12" s="13"/>
      <c r="W12" s="5"/>
      <c r="X12" s="5">
        <f>+P12-T12</f>
        <v>0</v>
      </c>
      <c r="Y12" s="5"/>
      <c r="Z12" s="13">
        <f>IF(T12=0,0,X12/T12)</f>
        <v>0</v>
      </c>
    </row>
    <row r="13" spans="1:26" ht="15" customHeight="1" x14ac:dyDescent="0.3">
      <c r="A13" s="10"/>
      <c r="B13" s="11"/>
      <c r="C13" s="10"/>
      <c r="D13" s="4"/>
      <c r="E13" s="4"/>
      <c r="F13" s="9"/>
      <c r="G13" s="4"/>
      <c r="H13" s="4"/>
      <c r="I13" s="4"/>
      <c r="J13" s="9"/>
      <c r="K13" s="4"/>
      <c r="L13" s="4"/>
      <c r="M13" s="4"/>
      <c r="N13" s="9"/>
      <c r="P13" s="4"/>
      <c r="Q13" s="4"/>
      <c r="R13" s="9"/>
      <c r="S13" s="4"/>
      <c r="T13" s="4"/>
      <c r="U13" s="4"/>
      <c r="V13" s="9"/>
      <c r="W13" s="4"/>
      <c r="X13" s="4"/>
      <c r="Y13" s="4"/>
      <c r="Z13" s="9"/>
    </row>
    <row r="14" spans="1:26" s="63" customFormat="1" ht="15" customHeight="1" x14ac:dyDescent="0.3">
      <c r="A14" s="11"/>
      <c r="B14" s="28" t="s">
        <v>288</v>
      </c>
      <c r="C14" s="11"/>
      <c r="D14" s="5">
        <f>SUM(0)</f>
        <v>0</v>
      </c>
      <c r="E14" s="5"/>
      <c r="F14" s="13">
        <f>IF(D$12=0,0,D14/D$12)</f>
        <v>0</v>
      </c>
      <c r="G14" s="5"/>
      <c r="H14" s="5">
        <f>SUM(0)</f>
        <v>0</v>
      </c>
      <c r="I14" s="5"/>
      <c r="J14" s="13">
        <f>IF(H$12=0,0,H14/H$12)</f>
        <v>0</v>
      </c>
      <c r="K14" s="5"/>
      <c r="L14" s="5">
        <f>+D14-H14</f>
        <v>0</v>
      </c>
      <c r="M14" s="5"/>
      <c r="N14" s="13">
        <f>IF(H14=0,0,L14/H14)</f>
        <v>0</v>
      </c>
      <c r="O14" s="11"/>
      <c r="P14" s="5">
        <f>SUM(0)</f>
        <v>0</v>
      </c>
      <c r="Q14" s="5"/>
      <c r="R14" s="13">
        <f>IF(P$12=0,0,P14/P$12)</f>
        <v>0</v>
      </c>
      <c r="S14" s="5"/>
      <c r="T14" s="5">
        <f>SUM(0)</f>
        <v>0</v>
      </c>
      <c r="U14" s="5"/>
      <c r="V14" s="13">
        <f>IF(T$12=0,0,T14/T$12)</f>
        <v>0</v>
      </c>
      <c r="W14" s="5"/>
      <c r="X14" s="5">
        <f>+P14-T14</f>
        <v>0</v>
      </c>
      <c r="Y14" s="5"/>
      <c r="Z14" s="13">
        <f>IF(T14=0,0,X14/T14)</f>
        <v>0</v>
      </c>
    </row>
    <row r="15" spans="1:26" ht="15" customHeight="1" x14ac:dyDescent="0.3">
      <c r="A15" s="10"/>
      <c r="B15" s="11"/>
      <c r="C15" s="11"/>
      <c r="D15" s="4"/>
      <c r="E15" s="4"/>
      <c r="F15" s="9"/>
      <c r="G15" s="4"/>
      <c r="H15" s="4"/>
      <c r="I15" s="4"/>
      <c r="J15" s="9"/>
      <c r="K15" s="4"/>
      <c r="L15" s="4"/>
      <c r="M15" s="4"/>
      <c r="N15" s="9"/>
      <c r="O15" s="11"/>
      <c r="P15" s="4"/>
      <c r="Q15" s="4"/>
      <c r="R15" s="9"/>
      <c r="S15" s="4"/>
      <c r="T15" s="4"/>
      <c r="U15" s="4"/>
      <c r="V15" s="9"/>
      <c r="W15" s="4"/>
      <c r="X15" s="4"/>
      <c r="Y15" s="4"/>
      <c r="Z15" s="9"/>
    </row>
    <row r="16" spans="1:26" s="63" customFormat="1" ht="15" customHeight="1" x14ac:dyDescent="0.3">
      <c r="A16" s="11"/>
      <c r="B16" s="27" t="s">
        <v>289</v>
      </c>
      <c r="C16" s="27"/>
      <c r="D16" s="21">
        <f>D12-D14</f>
        <v>0</v>
      </c>
      <c r="E16" s="15"/>
      <c r="F16" s="23">
        <f>IF(D$12=0,0,D16/D$12)</f>
        <v>0</v>
      </c>
      <c r="G16" s="15"/>
      <c r="H16" s="21">
        <f>H12-H14</f>
        <v>0</v>
      </c>
      <c r="I16" s="15"/>
      <c r="J16" s="23">
        <f>IF(H$12=0,0,H16/H$12)</f>
        <v>0</v>
      </c>
      <c r="K16" s="16"/>
      <c r="L16" s="21">
        <f>+D16-H16</f>
        <v>0</v>
      </c>
      <c r="M16" s="16"/>
      <c r="N16" s="23">
        <f>IF(H16=0,0,L16/H16)</f>
        <v>0</v>
      </c>
      <c r="O16" s="28"/>
      <c r="P16" s="21">
        <f>P12-P14</f>
        <v>0</v>
      </c>
      <c r="Q16" s="15"/>
      <c r="R16" s="23">
        <f>IF(P$12=0,0,P16/P$12)</f>
        <v>0</v>
      </c>
      <c r="S16" s="15"/>
      <c r="T16" s="21">
        <f>T12-T14</f>
        <v>0</v>
      </c>
      <c r="U16" s="15"/>
      <c r="V16" s="23">
        <f>IF(T$12=0,0,T16/T$12)</f>
        <v>0</v>
      </c>
      <c r="W16" s="16"/>
      <c r="X16" s="21">
        <f>+P16-T16</f>
        <v>0</v>
      </c>
      <c r="Y16" s="16"/>
      <c r="Z16" s="23">
        <f>IF(T16=0,0,X16/T16)</f>
        <v>0</v>
      </c>
    </row>
    <row r="17" spans="1:26" ht="15" customHeight="1" x14ac:dyDescent="0.3">
      <c r="A17" s="10"/>
      <c r="B17" s="11"/>
      <c r="C17" s="10"/>
      <c r="D17" s="2"/>
      <c r="E17" s="2"/>
      <c r="F17" s="6"/>
      <c r="G17" s="2"/>
      <c r="H17" s="2"/>
      <c r="I17" s="2"/>
      <c r="J17" s="6"/>
      <c r="K17" s="2"/>
      <c r="L17" s="2"/>
      <c r="M17" s="2"/>
      <c r="N17" s="6"/>
      <c r="O17" s="35"/>
      <c r="P17" s="2"/>
      <c r="Q17" s="2"/>
      <c r="R17" s="6"/>
      <c r="S17" s="2"/>
      <c r="T17" s="2"/>
      <c r="U17" s="2"/>
      <c r="V17" s="6"/>
      <c r="W17" s="2"/>
      <c r="X17" s="2"/>
      <c r="Y17" s="2"/>
      <c r="Z17" s="6"/>
    </row>
    <row r="18" spans="1:26" s="63" customFormat="1" ht="15" customHeight="1" x14ac:dyDescent="0.3">
      <c r="A18" s="11"/>
      <c r="B18" s="28" t="s">
        <v>290</v>
      </c>
      <c r="C18" s="11"/>
      <c r="D18" s="22" cm="1">
        <f t="array" ref="D18">SUM(OSRRefD22x_0)</f>
        <v>44741.879999999983</v>
      </c>
      <c r="E18" s="22"/>
      <c r="F18" s="30">
        <f t="shared" ref="F18:F49" si="0">IF(D$12=0,0,D18/D$12)</f>
        <v>0</v>
      </c>
      <c r="G18" s="22"/>
      <c r="H18" s="22" cm="1">
        <f t="array" ref="H18">SUM(OSRRefH22x_0)</f>
        <v>44372.132430769241</v>
      </c>
      <c r="I18" s="22"/>
      <c r="J18" s="30">
        <f t="shared" ref="J18:J49" si="1">IF(H$12=0,0,H18/H$12)</f>
        <v>0</v>
      </c>
      <c r="K18" s="5"/>
      <c r="L18" s="22">
        <f t="shared" ref="L18:L49" si="2">+D18-H18</f>
        <v>369.74756923074165</v>
      </c>
      <c r="M18" s="5"/>
      <c r="N18" s="30">
        <f t="shared" ref="N18:N49" si="3">IF(H18=0,0,L18/H18)</f>
        <v>8.3328780695323384E-3</v>
      </c>
      <c r="O18" s="11"/>
      <c r="P18" s="22" cm="1">
        <f t="array" ref="P18">SUM(OSRRefP22x_0)</f>
        <v>443036.69000000018</v>
      </c>
      <c r="Q18" s="22"/>
      <c r="R18" s="30">
        <f t="shared" ref="R18:R49" si="4">IF(P$12=0,0,P18/P$12)</f>
        <v>0</v>
      </c>
      <c r="S18" s="22"/>
      <c r="T18" s="22" cm="1">
        <f t="array" ref="T18">SUM(OSRRefT22x_0)</f>
        <v>406430.79119999998</v>
      </c>
      <c r="U18" s="22"/>
      <c r="V18" s="30">
        <f t="shared" ref="V18:V49" si="5">IF(T$12=0,0,T18/T$12)</f>
        <v>0</v>
      </c>
      <c r="W18" s="5"/>
      <c r="X18" s="22">
        <f t="shared" ref="X18:X49" si="6">+P18-T18</f>
        <v>36605.898800000199</v>
      </c>
      <c r="Y18" s="5"/>
      <c r="Z18" s="30">
        <f t="shared" ref="Z18:Z49" si="7">IF(T18=0,0,X18/T18)</f>
        <v>9.0066745907513818E-2</v>
      </c>
    </row>
    <row r="19" spans="1:26" s="69" customFormat="1" ht="15" customHeight="1" outlineLevel="1" collapsed="1" x14ac:dyDescent="0.3">
      <c r="A19" s="25"/>
      <c r="B19" s="14" t="str">
        <f>CONCATENATE("     ","*Benefits                                         ")</f>
        <v xml:space="preserve">     *Benefits                                         </v>
      </c>
      <c r="C19" s="14"/>
      <c r="D19" s="2">
        <f>SUM(OSRRefD22_0x_0)</f>
        <v>9425.75</v>
      </c>
      <c r="E19" s="2"/>
      <c r="F19" s="6">
        <f t="shared" si="0"/>
        <v>0</v>
      </c>
      <c r="G19" s="2"/>
      <c r="H19" s="2">
        <f>SUM(OSRRefH22_0x_0)</f>
        <v>8483.2093538461559</v>
      </c>
      <c r="I19" s="2"/>
      <c r="J19" s="6">
        <f t="shared" si="1"/>
        <v>0</v>
      </c>
      <c r="K19" s="2"/>
      <c r="L19" s="2">
        <f t="shared" si="2"/>
        <v>942.54064615384414</v>
      </c>
      <c r="M19" s="2"/>
      <c r="N19" s="6">
        <f t="shared" si="3"/>
        <v>0.11110661152391704</v>
      </c>
      <c r="O19" s="14"/>
      <c r="P19" s="2">
        <f>SUM(OSRRefP22_0x_0)</f>
        <v>95723.360000000015</v>
      </c>
      <c r="Q19" s="2"/>
      <c r="R19" s="6">
        <f t="shared" si="4"/>
        <v>0</v>
      </c>
      <c r="S19" s="2"/>
      <c r="T19" s="2">
        <f>SUM(OSRRefT22_0x_0)</f>
        <v>80375.791200000007</v>
      </c>
      <c r="U19" s="2"/>
      <c r="V19" s="6">
        <f t="shared" si="5"/>
        <v>0</v>
      </c>
      <c r="W19" s="2"/>
      <c r="X19" s="2">
        <f t="shared" si="6"/>
        <v>15347.568800000008</v>
      </c>
      <c r="Y19" s="2"/>
      <c r="Z19" s="6">
        <f t="shared" si="7"/>
        <v>0.19094765439770883</v>
      </c>
    </row>
    <row r="20" spans="1:26" s="70" customFormat="1" ht="15" hidden="1" customHeight="1" outlineLevel="2" x14ac:dyDescent="0.3">
      <c r="A20" s="26"/>
      <c r="B20" s="12" t="str">
        <f>CONCATENATE("          ","6111"," - ","F.I.C.A.")</f>
        <v xml:space="preserve">          6111 - F.I.C.A.</v>
      </c>
      <c r="C20" s="12"/>
      <c r="D20" s="7">
        <v>1381.25</v>
      </c>
      <c r="E20" s="3"/>
      <c r="F20" s="8">
        <f t="shared" si="0"/>
        <v>0</v>
      </c>
      <c r="G20" s="3"/>
      <c r="H20" s="7">
        <v>1358.2308923076901</v>
      </c>
      <c r="I20" s="3"/>
      <c r="J20" s="8">
        <f t="shared" si="1"/>
        <v>0</v>
      </c>
      <c r="K20" s="3"/>
      <c r="L20" s="7">
        <f t="shared" si="2"/>
        <v>23.019107692309944</v>
      </c>
      <c r="M20" s="3"/>
      <c r="N20" s="8">
        <f t="shared" si="3"/>
        <v>1.6947860501979554E-2</v>
      </c>
      <c r="O20" s="12"/>
      <c r="P20" s="7">
        <v>12956.92</v>
      </c>
      <c r="Q20" s="3"/>
      <c r="R20" s="8">
        <f t="shared" si="4"/>
        <v>0</v>
      </c>
      <c r="S20" s="3"/>
      <c r="T20" s="7">
        <v>13242.751200000001</v>
      </c>
      <c r="U20" s="3"/>
      <c r="V20" s="8">
        <f t="shared" si="5"/>
        <v>0</v>
      </c>
      <c r="W20" s="3"/>
      <c r="X20" s="7">
        <f t="shared" si="6"/>
        <v>-285.83120000000054</v>
      </c>
      <c r="Y20" s="3"/>
      <c r="Z20" s="8">
        <f t="shared" si="7"/>
        <v>-2.1583974182041606E-2</v>
      </c>
    </row>
    <row r="21" spans="1:26" s="70" customFormat="1" ht="15" hidden="1" customHeight="1" outlineLevel="2" x14ac:dyDescent="0.3">
      <c r="A21" s="26"/>
      <c r="B21" s="12" t="str">
        <f>CONCATENATE("          ","6112"," - ","COMPENSATION INSURANCE")</f>
        <v xml:space="preserve">          6112 - COMPENSATION INSURANCE</v>
      </c>
      <c r="C21" s="12"/>
      <c r="D21" s="7">
        <v>232.92</v>
      </c>
      <c r="E21" s="3"/>
      <c r="F21" s="8">
        <f t="shared" si="0"/>
        <v>0</v>
      </c>
      <c r="G21" s="3"/>
      <c r="H21" s="7">
        <v>672.63753846153895</v>
      </c>
      <c r="I21" s="3"/>
      <c r="J21" s="8">
        <f t="shared" si="1"/>
        <v>0</v>
      </c>
      <c r="K21" s="3"/>
      <c r="L21" s="7">
        <f t="shared" si="2"/>
        <v>-439.71753846153899</v>
      </c>
      <c r="M21" s="3"/>
      <c r="N21" s="8">
        <f t="shared" si="3"/>
        <v>-0.65372137788691342</v>
      </c>
      <c r="O21" s="12"/>
      <c r="P21" s="7">
        <v>2169.84</v>
      </c>
      <c r="Q21" s="3"/>
      <c r="R21" s="8">
        <f t="shared" si="4"/>
        <v>0</v>
      </c>
      <c r="S21" s="3"/>
      <c r="T21" s="7">
        <v>6558.2160000000104</v>
      </c>
      <c r="U21" s="3"/>
      <c r="V21" s="8">
        <f t="shared" si="5"/>
        <v>0</v>
      </c>
      <c r="W21" s="3"/>
      <c r="X21" s="7">
        <f t="shared" si="6"/>
        <v>-4388.3760000000102</v>
      </c>
      <c r="Y21" s="3"/>
      <c r="Z21" s="8">
        <f t="shared" si="7"/>
        <v>-0.66914173000706345</v>
      </c>
    </row>
    <row r="22" spans="1:26" s="70" customFormat="1" ht="15" hidden="1" customHeight="1" outlineLevel="2" x14ac:dyDescent="0.3">
      <c r="A22" s="26"/>
      <c r="B22" s="12" t="str">
        <f>CONCATENATE("          ","6113"," - ","GROUP INSURANCE")</f>
        <v xml:space="preserve">          6113 - GROUP INSURANCE</v>
      </c>
      <c r="C22" s="12"/>
      <c r="D22" s="7">
        <v>3042.72</v>
      </c>
      <c r="E22" s="3"/>
      <c r="F22" s="8">
        <f t="shared" si="0"/>
        <v>0</v>
      </c>
      <c r="G22" s="3"/>
      <c r="H22" s="7">
        <v>2764</v>
      </c>
      <c r="I22" s="3"/>
      <c r="J22" s="8">
        <f t="shared" si="1"/>
        <v>0</v>
      </c>
      <c r="K22" s="3"/>
      <c r="L22" s="7">
        <f t="shared" si="2"/>
        <v>278.7199999999998</v>
      </c>
      <c r="M22" s="3"/>
      <c r="N22" s="8">
        <f t="shared" si="3"/>
        <v>0.10083936324167865</v>
      </c>
      <c r="O22" s="12"/>
      <c r="P22" s="7">
        <v>29057.07</v>
      </c>
      <c r="Q22" s="3"/>
      <c r="R22" s="8">
        <f t="shared" si="4"/>
        <v>0</v>
      </c>
      <c r="S22" s="3"/>
      <c r="T22" s="7">
        <v>24876</v>
      </c>
      <c r="U22" s="3"/>
      <c r="V22" s="8">
        <f t="shared" si="5"/>
        <v>0</v>
      </c>
      <c r="W22" s="3"/>
      <c r="X22" s="7">
        <f t="shared" si="6"/>
        <v>4181.07</v>
      </c>
      <c r="Y22" s="3"/>
      <c r="Z22" s="8">
        <f t="shared" si="7"/>
        <v>0.16807645923781958</v>
      </c>
    </row>
    <row r="23" spans="1:26" s="70" customFormat="1" ht="15" hidden="1" customHeight="1" outlineLevel="2" x14ac:dyDescent="0.3">
      <c r="A23" s="26"/>
      <c r="B23" s="12" t="str">
        <f>CONCATENATE("          ","6114"," - ","STATE UNEMPLOYMENT INSURANCE")</f>
        <v xml:space="preserve">          6114 - STATE UNEMPLOYMENT INSURANCE</v>
      </c>
      <c r="C23" s="12"/>
      <c r="D23" s="7">
        <v>46.94</v>
      </c>
      <c r="E23" s="3"/>
      <c r="F23" s="8">
        <f t="shared" si="0"/>
        <v>0</v>
      </c>
      <c r="G23" s="3"/>
      <c r="H23" s="7">
        <v>37.270153846153903</v>
      </c>
      <c r="I23" s="3"/>
      <c r="J23" s="8">
        <f t="shared" si="1"/>
        <v>0</v>
      </c>
      <c r="K23" s="3"/>
      <c r="L23" s="7">
        <f t="shared" si="2"/>
        <v>9.6698461538460947</v>
      </c>
      <c r="M23" s="3"/>
      <c r="N23" s="8">
        <f t="shared" si="3"/>
        <v>0.25945281025031175</v>
      </c>
      <c r="O23" s="12"/>
      <c r="P23" s="7">
        <v>437.3</v>
      </c>
      <c r="Q23" s="3"/>
      <c r="R23" s="8">
        <f t="shared" si="4"/>
        <v>0</v>
      </c>
      <c r="S23" s="3"/>
      <c r="T23" s="7">
        <v>363.38400000000098</v>
      </c>
      <c r="U23" s="3"/>
      <c r="V23" s="8">
        <f t="shared" si="5"/>
        <v>0</v>
      </c>
      <c r="W23" s="3"/>
      <c r="X23" s="7">
        <f t="shared" si="6"/>
        <v>73.91599999999903</v>
      </c>
      <c r="Y23" s="3"/>
      <c r="Z23" s="8">
        <f t="shared" si="7"/>
        <v>0.20341016665565581</v>
      </c>
    </row>
    <row r="24" spans="1:26" s="70" customFormat="1" ht="15" hidden="1" customHeight="1" outlineLevel="2" x14ac:dyDescent="0.3">
      <c r="A24" s="26"/>
      <c r="B24" s="12" t="str">
        <f>CONCATENATE("          ","6115"," - ","P.E.R.S.")</f>
        <v xml:space="preserve">          6115 - P.E.R.S.</v>
      </c>
      <c r="C24" s="12"/>
      <c r="D24" s="7">
        <v>1948.13</v>
      </c>
      <c r="E24" s="3"/>
      <c r="F24" s="8">
        <f t="shared" si="0"/>
        <v>0</v>
      </c>
      <c r="G24" s="3"/>
      <c r="H24" s="7">
        <v>1526.3015384615401</v>
      </c>
      <c r="I24" s="3"/>
      <c r="J24" s="8">
        <f t="shared" si="1"/>
        <v>0</v>
      </c>
      <c r="K24" s="3"/>
      <c r="L24" s="7">
        <f t="shared" si="2"/>
        <v>421.82846153846003</v>
      </c>
      <c r="M24" s="3"/>
      <c r="N24" s="8">
        <f t="shared" si="3"/>
        <v>0.27637295181111377</v>
      </c>
      <c r="O24" s="12"/>
      <c r="P24" s="7">
        <v>18170.09</v>
      </c>
      <c r="Q24" s="3"/>
      <c r="R24" s="8">
        <f t="shared" si="4"/>
        <v>0</v>
      </c>
      <c r="S24" s="3"/>
      <c r="T24" s="7">
        <v>14881.44</v>
      </c>
      <c r="U24" s="3"/>
      <c r="V24" s="8">
        <f t="shared" si="5"/>
        <v>0</v>
      </c>
      <c r="W24" s="3"/>
      <c r="X24" s="7">
        <f t="shared" si="6"/>
        <v>3288.6499999999996</v>
      </c>
      <c r="Y24" s="3"/>
      <c r="Z24" s="8">
        <f t="shared" si="7"/>
        <v>0.22099003859841518</v>
      </c>
    </row>
    <row r="25" spans="1:26" s="70" customFormat="1" ht="15" hidden="1" customHeight="1" outlineLevel="2" x14ac:dyDescent="0.3">
      <c r="A25" s="26"/>
      <c r="B25" s="12" t="str">
        <f>CONCATENATE("          ","6116"," - ","EDUCATIONAL BENEFITS")</f>
        <v xml:space="preserve">          6116 - EDUCATIONAL BENEFITS</v>
      </c>
      <c r="C25" s="12"/>
      <c r="D25" s="7"/>
      <c r="E25" s="3"/>
      <c r="F25" s="8">
        <f t="shared" si="0"/>
        <v>0</v>
      </c>
      <c r="G25" s="3"/>
      <c r="H25" s="7">
        <v>0</v>
      </c>
      <c r="I25" s="3"/>
      <c r="J25" s="8">
        <f t="shared" si="1"/>
        <v>0</v>
      </c>
      <c r="K25" s="3"/>
      <c r="L25" s="7">
        <f t="shared" si="2"/>
        <v>0</v>
      </c>
      <c r="M25" s="3"/>
      <c r="N25" s="8">
        <f t="shared" si="3"/>
        <v>0</v>
      </c>
      <c r="O25" s="12"/>
      <c r="P25" s="7"/>
      <c r="Q25" s="3"/>
      <c r="R25" s="8">
        <f t="shared" si="4"/>
        <v>0</v>
      </c>
      <c r="S25" s="3"/>
      <c r="T25" s="7">
        <v>0</v>
      </c>
      <c r="U25" s="3"/>
      <c r="V25" s="8">
        <f t="shared" si="5"/>
        <v>0</v>
      </c>
      <c r="W25" s="3"/>
      <c r="X25" s="7">
        <f t="shared" si="6"/>
        <v>0</v>
      </c>
      <c r="Y25" s="3"/>
      <c r="Z25" s="8">
        <f t="shared" si="7"/>
        <v>0</v>
      </c>
    </row>
    <row r="26" spans="1:26" s="70" customFormat="1" ht="15" hidden="1" customHeight="1" outlineLevel="2" x14ac:dyDescent="0.3">
      <c r="A26" s="26"/>
      <c r="B26" s="12" t="str">
        <f>CONCATENATE("          ","6118"," - ","VACATION")</f>
        <v xml:space="preserve">          6118 - VACATION</v>
      </c>
      <c r="C26" s="12"/>
      <c r="D26" s="7">
        <v>1579.7</v>
      </c>
      <c r="E26" s="3"/>
      <c r="F26" s="8">
        <f t="shared" si="0"/>
        <v>0</v>
      </c>
      <c r="G26" s="3"/>
      <c r="H26" s="7">
        <v>1648</v>
      </c>
      <c r="I26" s="3"/>
      <c r="J26" s="8">
        <f t="shared" si="1"/>
        <v>0</v>
      </c>
      <c r="K26" s="3"/>
      <c r="L26" s="7">
        <f t="shared" si="2"/>
        <v>-68.299999999999955</v>
      </c>
      <c r="M26" s="3"/>
      <c r="N26" s="8">
        <f t="shared" si="3"/>
        <v>-4.1444174757281523E-2</v>
      </c>
      <c r="O26" s="12"/>
      <c r="P26" s="7">
        <v>16399.490000000002</v>
      </c>
      <c r="Q26" s="3"/>
      <c r="R26" s="8">
        <f t="shared" si="4"/>
        <v>0</v>
      </c>
      <c r="S26" s="3"/>
      <c r="T26" s="7">
        <v>16068</v>
      </c>
      <c r="U26" s="3"/>
      <c r="V26" s="8">
        <f t="shared" si="5"/>
        <v>0</v>
      </c>
      <c r="W26" s="3"/>
      <c r="X26" s="7">
        <f t="shared" si="6"/>
        <v>331.4900000000016</v>
      </c>
      <c r="Y26" s="3"/>
      <c r="Z26" s="8">
        <f t="shared" si="7"/>
        <v>2.0630445606173862E-2</v>
      </c>
    </row>
    <row r="27" spans="1:26" s="70" customFormat="1" ht="15" hidden="1" customHeight="1" outlineLevel="2" x14ac:dyDescent="0.3">
      <c r="A27" s="26"/>
      <c r="B27" s="12" t="str">
        <f>CONCATENATE("          ","6119"," - ","SICK LEAVE")</f>
        <v xml:space="preserve">          6119 - SICK LEAVE</v>
      </c>
      <c r="C27" s="12"/>
      <c r="D27" s="7">
        <v>825.9</v>
      </c>
      <c r="E27" s="3"/>
      <c r="F27" s="8">
        <f t="shared" si="0"/>
        <v>0</v>
      </c>
      <c r="G27" s="3"/>
      <c r="H27" s="7">
        <v>126.769230769231</v>
      </c>
      <c r="I27" s="3"/>
      <c r="J27" s="8">
        <f t="shared" si="1"/>
        <v>0</v>
      </c>
      <c r="K27" s="3"/>
      <c r="L27" s="7">
        <f t="shared" si="2"/>
        <v>699.13076923076892</v>
      </c>
      <c r="M27" s="3"/>
      <c r="N27" s="8">
        <f t="shared" si="3"/>
        <v>5.5149878640776571</v>
      </c>
      <c r="O27" s="12"/>
      <c r="P27" s="7">
        <v>13757.52</v>
      </c>
      <c r="Q27" s="3"/>
      <c r="R27" s="8">
        <f t="shared" si="4"/>
        <v>0</v>
      </c>
      <c r="S27" s="3"/>
      <c r="T27" s="7">
        <v>1236</v>
      </c>
      <c r="U27" s="3"/>
      <c r="V27" s="8">
        <f t="shared" si="5"/>
        <v>0</v>
      </c>
      <c r="W27" s="3"/>
      <c r="X27" s="7">
        <f t="shared" si="6"/>
        <v>12521.52</v>
      </c>
      <c r="Y27" s="3"/>
      <c r="Z27" s="8">
        <f t="shared" si="7"/>
        <v>10.130679611650486</v>
      </c>
    </row>
    <row r="28" spans="1:26" s="70" customFormat="1" ht="15" hidden="1" customHeight="1" outlineLevel="2" x14ac:dyDescent="0.3">
      <c r="A28" s="26"/>
      <c r="B28" s="12" t="str">
        <f>CONCATENATE("          ","6156"," - ","EMPLOYEE MEALS")</f>
        <v xml:space="preserve">          6156 - EMPLOYEE MEALS</v>
      </c>
      <c r="C28" s="12"/>
      <c r="D28" s="7">
        <v>368.19</v>
      </c>
      <c r="E28" s="3"/>
      <c r="F28" s="8">
        <f t="shared" si="0"/>
        <v>0</v>
      </c>
      <c r="G28" s="3"/>
      <c r="H28" s="7">
        <v>350</v>
      </c>
      <c r="I28" s="3"/>
      <c r="J28" s="8">
        <f t="shared" si="1"/>
        <v>0</v>
      </c>
      <c r="K28" s="3"/>
      <c r="L28" s="7">
        <f t="shared" si="2"/>
        <v>18.189999999999998</v>
      </c>
      <c r="M28" s="3"/>
      <c r="N28" s="8">
        <f t="shared" si="3"/>
        <v>5.1971428571428564E-2</v>
      </c>
      <c r="O28" s="12"/>
      <c r="P28" s="7">
        <v>2775.13</v>
      </c>
      <c r="Q28" s="3"/>
      <c r="R28" s="8">
        <f t="shared" si="4"/>
        <v>0</v>
      </c>
      <c r="S28" s="3"/>
      <c r="T28" s="7">
        <v>3150</v>
      </c>
      <c r="U28" s="3"/>
      <c r="V28" s="8">
        <f t="shared" si="5"/>
        <v>0</v>
      </c>
      <c r="W28" s="3"/>
      <c r="X28" s="7">
        <f t="shared" si="6"/>
        <v>-374.86999999999989</v>
      </c>
      <c r="Y28" s="3"/>
      <c r="Z28" s="8">
        <f t="shared" si="7"/>
        <v>-0.11900634920634917</v>
      </c>
    </row>
    <row r="29" spans="1:26" s="69" customFormat="1" ht="15" customHeight="1" outlineLevel="1" collapsed="1" x14ac:dyDescent="0.3">
      <c r="A29" s="25"/>
      <c r="B29" s="14" t="str">
        <f>CONCATENATE("     ","*Payroll                                          ")</f>
        <v xml:space="preserve">     *Payroll                                          </v>
      </c>
      <c r="C29" s="14"/>
      <c r="D29" s="2">
        <f>SUM(OSRRefD22_1x_0)</f>
        <v>17266.28</v>
      </c>
      <c r="E29" s="2"/>
      <c r="F29" s="6">
        <f t="shared" si="0"/>
        <v>0</v>
      </c>
      <c r="G29" s="2"/>
      <c r="H29" s="2">
        <f>SUM(OSRRefH22_1x_0)</f>
        <v>15972.923076923082</v>
      </c>
      <c r="I29" s="2"/>
      <c r="J29" s="6">
        <f t="shared" si="1"/>
        <v>0</v>
      </c>
      <c r="K29" s="2"/>
      <c r="L29" s="2">
        <f t="shared" si="2"/>
        <v>1293.3569230769172</v>
      </c>
      <c r="M29" s="2"/>
      <c r="N29" s="6">
        <f t="shared" si="3"/>
        <v>8.0971836954846263E-2</v>
      </c>
      <c r="O29" s="14"/>
      <c r="P29" s="2">
        <f>SUM(OSRRefP22_1x_0)</f>
        <v>158909.02000000002</v>
      </c>
      <c r="Q29" s="2"/>
      <c r="R29" s="6">
        <f t="shared" si="4"/>
        <v>0</v>
      </c>
      <c r="S29" s="2"/>
      <c r="T29" s="2">
        <f>SUM(OSRRefT22_1x_0)</f>
        <v>155736</v>
      </c>
      <c r="U29" s="2"/>
      <c r="V29" s="6">
        <f t="shared" si="5"/>
        <v>0</v>
      </c>
      <c r="W29" s="2"/>
      <c r="X29" s="2">
        <f t="shared" si="6"/>
        <v>3173.0200000000186</v>
      </c>
      <c r="Y29" s="2"/>
      <c r="Z29" s="6">
        <f t="shared" si="7"/>
        <v>2.0374351466584596E-2</v>
      </c>
    </row>
    <row r="30" spans="1:26" s="70" customFormat="1" ht="15" hidden="1" customHeight="1" outlineLevel="2" x14ac:dyDescent="0.3">
      <c r="A30" s="26"/>
      <c r="B30" s="12" t="str">
        <f>CONCATENATE("          ","6001"," - ","ADMINISTRATIVE SALARIES")</f>
        <v xml:space="preserve">          6001 - ADMINISTRATIVE SALARIES</v>
      </c>
      <c r="C30" s="12"/>
      <c r="D30" s="7">
        <v>11512.06</v>
      </c>
      <c r="E30" s="3"/>
      <c r="F30" s="8">
        <f t="shared" si="0"/>
        <v>0</v>
      </c>
      <c r="G30" s="3"/>
      <c r="H30" s="7">
        <v>10268.307692307701</v>
      </c>
      <c r="I30" s="3"/>
      <c r="J30" s="8">
        <f t="shared" si="1"/>
        <v>0</v>
      </c>
      <c r="K30" s="3"/>
      <c r="L30" s="7">
        <f t="shared" si="2"/>
        <v>1243.7523076922989</v>
      </c>
      <c r="M30" s="3"/>
      <c r="N30" s="8">
        <f t="shared" si="3"/>
        <v>0.12112534460026274</v>
      </c>
      <c r="O30" s="12"/>
      <c r="P30" s="7">
        <v>100708.35</v>
      </c>
      <c r="Q30" s="3"/>
      <c r="R30" s="8">
        <f t="shared" si="4"/>
        <v>0</v>
      </c>
      <c r="S30" s="3"/>
      <c r="T30" s="7">
        <v>100116</v>
      </c>
      <c r="U30" s="3"/>
      <c r="V30" s="8">
        <f t="shared" si="5"/>
        <v>0</v>
      </c>
      <c r="W30" s="3"/>
      <c r="X30" s="7">
        <f t="shared" si="6"/>
        <v>592.35000000000582</v>
      </c>
      <c r="Y30" s="3"/>
      <c r="Z30" s="8">
        <f t="shared" si="7"/>
        <v>5.9166367014264034E-3</v>
      </c>
    </row>
    <row r="31" spans="1:26" s="70" customFormat="1" ht="15" hidden="1" customHeight="1" outlineLevel="2" x14ac:dyDescent="0.3">
      <c r="A31" s="26"/>
      <c r="B31" s="12" t="str">
        <f>CONCATENATE("          ","6002"," - ","STAFF SALARIES")</f>
        <v xml:space="preserve">          6002 - STAFF SALARIES</v>
      </c>
      <c r="C31" s="12"/>
      <c r="D31" s="7">
        <v>5754.22</v>
      </c>
      <c r="E31" s="3"/>
      <c r="F31" s="8">
        <f t="shared" si="0"/>
        <v>0</v>
      </c>
      <c r="G31" s="3"/>
      <c r="H31" s="7">
        <v>5704.6153846153802</v>
      </c>
      <c r="I31" s="3"/>
      <c r="J31" s="8">
        <f t="shared" si="1"/>
        <v>0</v>
      </c>
      <c r="K31" s="3"/>
      <c r="L31" s="7">
        <f t="shared" si="2"/>
        <v>49.604615384620047</v>
      </c>
      <c r="M31" s="3"/>
      <c r="N31" s="8">
        <f t="shared" si="3"/>
        <v>8.6955231930968321E-3</v>
      </c>
      <c r="O31" s="12"/>
      <c r="P31" s="7">
        <v>55193.43</v>
      </c>
      <c r="Q31" s="3"/>
      <c r="R31" s="8">
        <f t="shared" si="4"/>
        <v>0</v>
      </c>
      <c r="S31" s="3"/>
      <c r="T31" s="7">
        <v>55620</v>
      </c>
      <c r="U31" s="3"/>
      <c r="V31" s="8">
        <f t="shared" si="5"/>
        <v>0</v>
      </c>
      <c r="W31" s="3"/>
      <c r="X31" s="7">
        <f t="shared" si="6"/>
        <v>-426.56999999999971</v>
      </c>
      <c r="Y31" s="3"/>
      <c r="Z31" s="8">
        <f t="shared" si="7"/>
        <v>-7.6693635382955715E-3</v>
      </c>
    </row>
    <row r="32" spans="1:26" s="70" customFormat="1" ht="15" hidden="1" customHeight="1" outlineLevel="2" x14ac:dyDescent="0.3">
      <c r="A32" s="26"/>
      <c r="B32" s="12" t="str">
        <f>CONCATENATE("          ","6003"," - ","STAFF HOURLY-9 MONTH")</f>
        <v xml:space="preserve">          6003 - STAFF HOURLY-9 MONTH</v>
      </c>
      <c r="C32" s="12"/>
      <c r="D32" s="7"/>
      <c r="E32" s="3"/>
      <c r="F32" s="8">
        <f t="shared" si="0"/>
        <v>0</v>
      </c>
      <c r="G32" s="3"/>
      <c r="H32" s="7">
        <v>0</v>
      </c>
      <c r="I32" s="3"/>
      <c r="J32" s="8">
        <f t="shared" si="1"/>
        <v>0</v>
      </c>
      <c r="K32" s="3"/>
      <c r="L32" s="7">
        <f t="shared" si="2"/>
        <v>0</v>
      </c>
      <c r="M32" s="3"/>
      <c r="N32" s="8">
        <f t="shared" si="3"/>
        <v>0</v>
      </c>
      <c r="O32" s="12"/>
      <c r="P32" s="7"/>
      <c r="Q32" s="3"/>
      <c r="R32" s="8">
        <f t="shared" si="4"/>
        <v>0</v>
      </c>
      <c r="S32" s="3"/>
      <c r="T32" s="7">
        <v>0</v>
      </c>
      <c r="U32" s="3"/>
      <c r="V32" s="8">
        <f t="shared" si="5"/>
        <v>0</v>
      </c>
      <c r="W32" s="3"/>
      <c r="X32" s="7">
        <f t="shared" si="6"/>
        <v>0</v>
      </c>
      <c r="Y32" s="3"/>
      <c r="Z32" s="8">
        <f t="shared" si="7"/>
        <v>0</v>
      </c>
    </row>
    <row r="33" spans="1:26" s="70" customFormat="1" ht="15" hidden="1" customHeight="1" outlineLevel="2" x14ac:dyDescent="0.3">
      <c r="A33" s="26"/>
      <c r="B33" s="12" t="str">
        <f>CONCATENATE("          ","6004"," - ","STAFF HOURLY")</f>
        <v xml:space="preserve">          6004 - STAFF HOURLY</v>
      </c>
      <c r="C33" s="12"/>
      <c r="D33" s="7"/>
      <c r="E33" s="3"/>
      <c r="F33" s="8">
        <f t="shared" si="0"/>
        <v>0</v>
      </c>
      <c r="G33" s="3"/>
      <c r="H33" s="7">
        <v>0</v>
      </c>
      <c r="I33" s="3"/>
      <c r="J33" s="8">
        <f t="shared" si="1"/>
        <v>0</v>
      </c>
      <c r="K33" s="3"/>
      <c r="L33" s="7">
        <f t="shared" si="2"/>
        <v>0</v>
      </c>
      <c r="M33" s="3"/>
      <c r="N33" s="8">
        <f t="shared" si="3"/>
        <v>0</v>
      </c>
      <c r="O33" s="12"/>
      <c r="P33" s="7">
        <v>1380.76</v>
      </c>
      <c r="Q33" s="3"/>
      <c r="R33" s="8">
        <f t="shared" si="4"/>
        <v>0</v>
      </c>
      <c r="S33" s="3"/>
      <c r="T33" s="7">
        <v>0</v>
      </c>
      <c r="U33" s="3"/>
      <c r="V33" s="8">
        <f t="shared" si="5"/>
        <v>0</v>
      </c>
      <c r="W33" s="3"/>
      <c r="X33" s="7">
        <f t="shared" si="6"/>
        <v>1380.76</v>
      </c>
      <c r="Y33" s="3"/>
      <c r="Z33" s="8">
        <f t="shared" si="7"/>
        <v>0</v>
      </c>
    </row>
    <row r="34" spans="1:26" s="70" customFormat="1" ht="15" hidden="1" customHeight="1" outlineLevel="2" x14ac:dyDescent="0.3">
      <c r="A34" s="26"/>
      <c r="B34" s="12" t="str">
        <f>CONCATENATE("          ","6005"," - ","TEMPORARY WAGES-HOURLY")</f>
        <v xml:space="preserve">          6005 - TEMPORARY WAGES-HOURLY</v>
      </c>
      <c r="C34" s="12"/>
      <c r="D34" s="7"/>
      <c r="E34" s="3"/>
      <c r="F34" s="8">
        <f t="shared" si="0"/>
        <v>0</v>
      </c>
      <c r="G34" s="3"/>
      <c r="H34" s="7">
        <v>0</v>
      </c>
      <c r="I34" s="3"/>
      <c r="J34" s="8">
        <f t="shared" si="1"/>
        <v>0</v>
      </c>
      <c r="K34" s="3"/>
      <c r="L34" s="7">
        <f t="shared" si="2"/>
        <v>0</v>
      </c>
      <c r="M34" s="3"/>
      <c r="N34" s="8">
        <f t="shared" si="3"/>
        <v>0</v>
      </c>
      <c r="O34" s="12"/>
      <c r="P34" s="7">
        <v>1626.48</v>
      </c>
      <c r="Q34" s="3"/>
      <c r="R34" s="8">
        <f t="shared" si="4"/>
        <v>0</v>
      </c>
      <c r="S34" s="3"/>
      <c r="T34" s="7">
        <v>0</v>
      </c>
      <c r="U34" s="3"/>
      <c r="V34" s="8">
        <f t="shared" si="5"/>
        <v>0</v>
      </c>
      <c r="W34" s="3"/>
      <c r="X34" s="7">
        <f t="shared" si="6"/>
        <v>1626.48</v>
      </c>
      <c r="Y34" s="3"/>
      <c r="Z34" s="8">
        <f t="shared" si="7"/>
        <v>0</v>
      </c>
    </row>
    <row r="35" spans="1:26" s="70" customFormat="1" ht="15" hidden="1" customHeight="1" outlineLevel="2" x14ac:dyDescent="0.3">
      <c r="A35" s="26"/>
      <c r="B35" s="12" t="str">
        <f>CONCATENATE("          ","6006"," - ","TEMPORARY PART TIME")</f>
        <v xml:space="preserve">          6006 - TEMPORARY PART TIME</v>
      </c>
      <c r="C35" s="12"/>
      <c r="D35" s="7"/>
      <c r="E35" s="3"/>
      <c r="F35" s="8">
        <f t="shared" si="0"/>
        <v>0</v>
      </c>
      <c r="G35" s="3"/>
      <c r="H35" s="7">
        <v>0</v>
      </c>
      <c r="I35" s="3"/>
      <c r="J35" s="8">
        <f t="shared" si="1"/>
        <v>0</v>
      </c>
      <c r="K35" s="3"/>
      <c r="L35" s="7">
        <f t="shared" si="2"/>
        <v>0</v>
      </c>
      <c r="M35" s="3"/>
      <c r="N35" s="8">
        <f t="shared" si="3"/>
        <v>0</v>
      </c>
      <c r="O35" s="12"/>
      <c r="P35" s="7"/>
      <c r="Q35" s="3"/>
      <c r="R35" s="8">
        <f t="shared" si="4"/>
        <v>0</v>
      </c>
      <c r="S35" s="3"/>
      <c r="T35" s="7">
        <v>0</v>
      </c>
      <c r="U35" s="3"/>
      <c r="V35" s="8">
        <f t="shared" si="5"/>
        <v>0</v>
      </c>
      <c r="W35" s="3"/>
      <c r="X35" s="7">
        <f t="shared" si="6"/>
        <v>0</v>
      </c>
      <c r="Y35" s="3"/>
      <c r="Z35" s="8">
        <f t="shared" si="7"/>
        <v>0</v>
      </c>
    </row>
    <row r="36" spans="1:26" s="70" customFormat="1" ht="15" hidden="1" customHeight="1" outlineLevel="2" x14ac:dyDescent="0.3">
      <c r="A36" s="26"/>
      <c r="B36" s="12" t="str">
        <f>CONCATENATE("          ","6007"," - ","STUDENT HOURLY")</f>
        <v xml:space="preserve">          6007 - STUDENT HOURLY</v>
      </c>
      <c r="C36" s="12"/>
      <c r="D36" s="7"/>
      <c r="E36" s="3"/>
      <c r="F36" s="8">
        <f t="shared" si="0"/>
        <v>0</v>
      </c>
      <c r="G36" s="3"/>
      <c r="H36" s="7">
        <v>0</v>
      </c>
      <c r="I36" s="3"/>
      <c r="J36" s="8">
        <f t="shared" si="1"/>
        <v>0</v>
      </c>
      <c r="K36" s="3"/>
      <c r="L36" s="7">
        <f t="shared" si="2"/>
        <v>0</v>
      </c>
      <c r="M36" s="3"/>
      <c r="N36" s="8">
        <f t="shared" si="3"/>
        <v>0</v>
      </c>
      <c r="O36" s="12"/>
      <c r="P36" s="7">
        <v>0</v>
      </c>
      <c r="Q36" s="3"/>
      <c r="R36" s="8">
        <f t="shared" si="4"/>
        <v>0</v>
      </c>
      <c r="S36" s="3"/>
      <c r="T36" s="7">
        <v>0</v>
      </c>
      <c r="U36" s="3"/>
      <c r="V36" s="8">
        <f t="shared" si="5"/>
        <v>0</v>
      </c>
      <c r="W36" s="3"/>
      <c r="X36" s="7">
        <f t="shared" si="6"/>
        <v>0</v>
      </c>
      <c r="Y36" s="3"/>
      <c r="Z36" s="8">
        <f t="shared" si="7"/>
        <v>0</v>
      </c>
    </row>
    <row r="37" spans="1:26" s="70" customFormat="1" ht="15" hidden="1" customHeight="1" outlineLevel="2" x14ac:dyDescent="0.3">
      <c r="A37" s="26"/>
      <c r="B37" s="12" t="str">
        <f>CONCATENATE("          ","6008"," - ","STUDENT HOURLY-FICA EXEMPT")</f>
        <v xml:space="preserve">          6008 - STUDENT HOURLY-FICA EXEMPT</v>
      </c>
      <c r="C37" s="12"/>
      <c r="D37" s="7"/>
      <c r="E37" s="3"/>
      <c r="F37" s="8">
        <f t="shared" si="0"/>
        <v>0</v>
      </c>
      <c r="G37" s="3"/>
      <c r="H37" s="7">
        <v>0</v>
      </c>
      <c r="I37" s="3"/>
      <c r="J37" s="8">
        <f t="shared" si="1"/>
        <v>0</v>
      </c>
      <c r="K37" s="3"/>
      <c r="L37" s="7">
        <f t="shared" si="2"/>
        <v>0</v>
      </c>
      <c r="M37" s="3"/>
      <c r="N37" s="8">
        <f t="shared" si="3"/>
        <v>0</v>
      </c>
      <c r="O37" s="12"/>
      <c r="P37" s="7"/>
      <c r="Q37" s="3"/>
      <c r="R37" s="8">
        <f t="shared" si="4"/>
        <v>0</v>
      </c>
      <c r="S37" s="3"/>
      <c r="T37" s="7">
        <v>0</v>
      </c>
      <c r="U37" s="3"/>
      <c r="V37" s="8">
        <f t="shared" si="5"/>
        <v>0</v>
      </c>
      <c r="W37" s="3"/>
      <c r="X37" s="7">
        <f t="shared" si="6"/>
        <v>0</v>
      </c>
      <c r="Y37" s="3"/>
      <c r="Z37" s="8">
        <f t="shared" si="7"/>
        <v>0</v>
      </c>
    </row>
    <row r="38" spans="1:26" s="70" customFormat="1" ht="15" hidden="1" customHeight="1" outlineLevel="2" x14ac:dyDescent="0.3">
      <c r="A38" s="26"/>
      <c r="B38" s="12" t="str">
        <f>CONCATENATE("          ","6009"," - ","TEMPORARY-SEASONAL")</f>
        <v xml:space="preserve">          6009 - TEMPORARY-SEASONAL</v>
      </c>
      <c r="C38" s="12"/>
      <c r="D38" s="7"/>
      <c r="E38" s="3"/>
      <c r="F38" s="8">
        <f t="shared" si="0"/>
        <v>0</v>
      </c>
      <c r="G38" s="3"/>
      <c r="H38" s="7">
        <v>0</v>
      </c>
      <c r="I38" s="3"/>
      <c r="J38" s="8">
        <f t="shared" si="1"/>
        <v>0</v>
      </c>
      <c r="K38" s="3"/>
      <c r="L38" s="7">
        <f t="shared" si="2"/>
        <v>0</v>
      </c>
      <c r="M38" s="3"/>
      <c r="N38" s="8">
        <f t="shared" si="3"/>
        <v>0</v>
      </c>
      <c r="O38" s="12"/>
      <c r="P38" s="7"/>
      <c r="Q38" s="3"/>
      <c r="R38" s="8">
        <f t="shared" si="4"/>
        <v>0</v>
      </c>
      <c r="S38" s="3"/>
      <c r="T38" s="7">
        <v>0</v>
      </c>
      <c r="U38" s="3"/>
      <c r="V38" s="8">
        <f t="shared" si="5"/>
        <v>0</v>
      </c>
      <c r="W38" s="3"/>
      <c r="X38" s="7">
        <f t="shared" si="6"/>
        <v>0</v>
      </c>
      <c r="Y38" s="3"/>
      <c r="Z38" s="8">
        <f t="shared" si="7"/>
        <v>0</v>
      </c>
    </row>
    <row r="39" spans="1:26" s="70" customFormat="1" ht="15" hidden="1" customHeight="1" outlineLevel="2" x14ac:dyDescent="0.3">
      <c r="A39" s="26"/>
      <c r="B39" s="12" t="str">
        <f>CONCATENATE("          ","6010"," - ","GRATUITY")</f>
        <v xml:space="preserve">          6010 - GRATUITY</v>
      </c>
      <c r="C39" s="12"/>
      <c r="D39" s="7"/>
      <c r="E39" s="3"/>
      <c r="F39" s="8">
        <f t="shared" si="0"/>
        <v>0</v>
      </c>
      <c r="G39" s="3"/>
      <c r="H39" s="7">
        <v>0</v>
      </c>
      <c r="I39" s="3"/>
      <c r="J39" s="8">
        <f t="shared" si="1"/>
        <v>0</v>
      </c>
      <c r="K39" s="3"/>
      <c r="L39" s="7">
        <f t="shared" si="2"/>
        <v>0</v>
      </c>
      <c r="M39" s="3"/>
      <c r="N39" s="8">
        <f t="shared" si="3"/>
        <v>0</v>
      </c>
      <c r="O39" s="12"/>
      <c r="P39" s="7"/>
      <c r="Q39" s="3"/>
      <c r="R39" s="8">
        <f t="shared" si="4"/>
        <v>0</v>
      </c>
      <c r="S39" s="3"/>
      <c r="T39" s="7">
        <v>0</v>
      </c>
      <c r="U39" s="3"/>
      <c r="V39" s="8">
        <f t="shared" si="5"/>
        <v>0</v>
      </c>
      <c r="W39" s="3"/>
      <c r="X39" s="7">
        <f t="shared" si="6"/>
        <v>0</v>
      </c>
      <c r="Y39" s="3"/>
      <c r="Z39" s="8">
        <f t="shared" si="7"/>
        <v>0</v>
      </c>
    </row>
    <row r="40" spans="1:26" s="69" customFormat="1" ht="15" customHeight="1" outlineLevel="1" collapsed="1" x14ac:dyDescent="0.3">
      <c r="A40" s="25"/>
      <c r="B40" s="14" t="str">
        <f>CONCATENATE("     ","Bank/card Fees                                    ")</f>
        <v xml:space="preserve">     Bank/card Fees                                    </v>
      </c>
      <c r="C40" s="14"/>
      <c r="D40" s="2">
        <f>SUM(OSRRefD22_2x_0)</f>
        <v>177.96</v>
      </c>
      <c r="E40" s="2"/>
      <c r="F40" s="6">
        <f t="shared" si="0"/>
        <v>0</v>
      </c>
      <c r="G40" s="2"/>
      <c r="H40" s="2">
        <f>SUM(OSRRefH22_2x_0)</f>
        <v>839</v>
      </c>
      <c r="I40" s="2"/>
      <c r="J40" s="6">
        <f t="shared" si="1"/>
        <v>0</v>
      </c>
      <c r="K40" s="2"/>
      <c r="L40" s="2">
        <f t="shared" si="2"/>
        <v>-661.04</v>
      </c>
      <c r="M40" s="2"/>
      <c r="N40" s="6">
        <f t="shared" si="3"/>
        <v>-0.78789034564958282</v>
      </c>
      <c r="O40" s="14"/>
      <c r="P40" s="2">
        <f>SUM(OSRRefP22_2x_0)</f>
        <v>1940.27</v>
      </c>
      <c r="Q40" s="2"/>
      <c r="R40" s="6">
        <f t="shared" si="4"/>
        <v>0</v>
      </c>
      <c r="S40" s="2"/>
      <c r="T40" s="2">
        <f>SUM(OSRRefT22_2x_0)</f>
        <v>7551</v>
      </c>
      <c r="U40" s="2"/>
      <c r="V40" s="6">
        <f t="shared" si="5"/>
        <v>0</v>
      </c>
      <c r="W40" s="2"/>
      <c r="X40" s="2">
        <f t="shared" si="6"/>
        <v>-5610.73</v>
      </c>
      <c r="Y40" s="2"/>
      <c r="Z40" s="6">
        <f t="shared" si="7"/>
        <v>-0.74304462985035091</v>
      </c>
    </row>
    <row r="41" spans="1:26" s="70" customFormat="1" ht="15" hidden="1" customHeight="1" outlineLevel="2" x14ac:dyDescent="0.3">
      <c r="A41" s="26"/>
      <c r="B41" s="12" t="str">
        <f>CONCATENATE("          ","6381"," - ","BANK/CREDIT CARD FEES")</f>
        <v xml:space="preserve">          6381 - BANK/CREDIT CARD FEES</v>
      </c>
      <c r="C41" s="12"/>
      <c r="D41" s="7">
        <v>177.96</v>
      </c>
      <c r="E41" s="3"/>
      <c r="F41" s="8">
        <f t="shared" si="0"/>
        <v>0</v>
      </c>
      <c r="G41" s="3"/>
      <c r="H41" s="7">
        <v>839</v>
      </c>
      <c r="I41" s="3"/>
      <c r="J41" s="8">
        <f t="shared" si="1"/>
        <v>0</v>
      </c>
      <c r="K41" s="3"/>
      <c r="L41" s="7">
        <f t="shared" si="2"/>
        <v>-661.04</v>
      </c>
      <c r="M41" s="3"/>
      <c r="N41" s="8">
        <f t="shared" si="3"/>
        <v>-0.78789034564958282</v>
      </c>
      <c r="O41" s="12"/>
      <c r="P41" s="7">
        <v>1940.27</v>
      </c>
      <c r="Q41" s="3"/>
      <c r="R41" s="8">
        <f t="shared" si="4"/>
        <v>0</v>
      </c>
      <c r="S41" s="3"/>
      <c r="T41" s="7">
        <v>7551</v>
      </c>
      <c r="U41" s="3"/>
      <c r="V41" s="8">
        <f t="shared" si="5"/>
        <v>0</v>
      </c>
      <c r="W41" s="3"/>
      <c r="X41" s="7">
        <f t="shared" si="6"/>
        <v>-5610.73</v>
      </c>
      <c r="Y41" s="3"/>
      <c r="Z41" s="8">
        <f t="shared" si="7"/>
        <v>-0.74304462985035091</v>
      </c>
    </row>
    <row r="42" spans="1:26" s="69" customFormat="1" ht="15" customHeight="1" outlineLevel="1" collapsed="1" x14ac:dyDescent="0.3">
      <c r="A42" s="25"/>
      <c r="B42" s="14" t="str">
        <f>CONCATENATE("     ","Depreciation                                      ")</f>
        <v xml:space="preserve">     Depreciation                                      </v>
      </c>
      <c r="C42" s="14"/>
      <c r="D42" s="2">
        <f>SUM(OSRRefD22_3x_0)</f>
        <v>4756.7300000000005</v>
      </c>
      <c r="E42" s="2"/>
      <c r="F42" s="6">
        <f t="shared" si="0"/>
        <v>0</v>
      </c>
      <c r="G42" s="2"/>
      <c r="H42" s="2">
        <f>SUM(OSRRefH22_3x_0)</f>
        <v>4757</v>
      </c>
      <c r="I42" s="2"/>
      <c r="J42" s="6">
        <f t="shared" si="1"/>
        <v>0</v>
      </c>
      <c r="K42" s="2"/>
      <c r="L42" s="2">
        <f t="shared" si="2"/>
        <v>-0.26999999999952706</v>
      </c>
      <c r="M42" s="2"/>
      <c r="N42" s="6">
        <f t="shared" si="3"/>
        <v>-5.6758461214952082E-5</v>
      </c>
      <c r="O42" s="14"/>
      <c r="P42" s="2">
        <f>SUM(OSRRefP22_3x_0)</f>
        <v>47408.97</v>
      </c>
      <c r="Q42" s="2"/>
      <c r="R42" s="6">
        <f t="shared" si="4"/>
        <v>0</v>
      </c>
      <c r="S42" s="2"/>
      <c r="T42" s="2">
        <f>SUM(OSRRefT22_3x_0)</f>
        <v>47413</v>
      </c>
      <c r="U42" s="2"/>
      <c r="V42" s="6">
        <f t="shared" si="5"/>
        <v>0</v>
      </c>
      <c r="W42" s="2"/>
      <c r="X42" s="2">
        <f t="shared" si="6"/>
        <v>-4.0299999999988358</v>
      </c>
      <c r="Y42" s="2"/>
      <c r="Z42" s="6">
        <f t="shared" si="7"/>
        <v>-8.4997785417476973E-5</v>
      </c>
    </row>
    <row r="43" spans="1:26" s="70" customFormat="1" ht="15" hidden="1" customHeight="1" outlineLevel="2" x14ac:dyDescent="0.3">
      <c r="A43" s="26"/>
      <c r="B43" s="12" t="str">
        <f>CONCATENATE("          ","6321"," - ","BUILDING DEPRECIATION")</f>
        <v xml:space="preserve">          6321 - BUILDING DEPRECIATION</v>
      </c>
      <c r="C43" s="12"/>
      <c r="D43" s="7">
        <v>1822.68</v>
      </c>
      <c r="E43" s="3"/>
      <c r="F43" s="8">
        <f t="shared" si="0"/>
        <v>0</v>
      </c>
      <c r="G43" s="3"/>
      <c r="H43" s="7"/>
      <c r="I43" s="3"/>
      <c r="J43" s="8">
        <f t="shared" si="1"/>
        <v>0</v>
      </c>
      <c r="K43" s="3"/>
      <c r="L43" s="7">
        <f t="shared" si="2"/>
        <v>1822.68</v>
      </c>
      <c r="M43" s="3"/>
      <c r="N43" s="8">
        <f t="shared" si="3"/>
        <v>0</v>
      </c>
      <c r="O43" s="12"/>
      <c r="P43" s="7">
        <v>16404.12</v>
      </c>
      <c r="Q43" s="3"/>
      <c r="R43" s="8">
        <f t="shared" si="4"/>
        <v>0</v>
      </c>
      <c r="S43" s="3"/>
      <c r="T43" s="7"/>
      <c r="U43" s="3"/>
      <c r="V43" s="8">
        <f t="shared" si="5"/>
        <v>0</v>
      </c>
      <c r="W43" s="3"/>
      <c r="X43" s="7">
        <f t="shared" si="6"/>
        <v>16404.12</v>
      </c>
      <c r="Y43" s="3"/>
      <c r="Z43" s="8">
        <f t="shared" si="7"/>
        <v>0</v>
      </c>
    </row>
    <row r="44" spans="1:26" s="70" customFormat="1" ht="15" hidden="1" customHeight="1" outlineLevel="2" x14ac:dyDescent="0.3">
      <c r="A44" s="26"/>
      <c r="B44" s="12" t="str">
        <f>CONCATENATE("          ","6322"," - ","EQUIPMENT DEPRECIATION EXPENSE")</f>
        <v xml:space="preserve">          6322 - EQUIPMENT DEPRECIATION EXPENSE</v>
      </c>
      <c r="C44" s="12"/>
      <c r="D44" s="7">
        <v>2934.05</v>
      </c>
      <c r="E44" s="3"/>
      <c r="F44" s="8">
        <f t="shared" si="0"/>
        <v>0</v>
      </c>
      <c r="G44" s="3"/>
      <c r="H44" s="7">
        <v>4757</v>
      </c>
      <c r="I44" s="3"/>
      <c r="J44" s="8">
        <f t="shared" si="1"/>
        <v>0</v>
      </c>
      <c r="K44" s="3"/>
      <c r="L44" s="7">
        <f t="shared" si="2"/>
        <v>-1822.9499999999998</v>
      </c>
      <c r="M44" s="3"/>
      <c r="N44" s="8">
        <f t="shared" si="3"/>
        <v>-0.38321421063695604</v>
      </c>
      <c r="O44" s="12"/>
      <c r="P44" s="7">
        <v>31004.85</v>
      </c>
      <c r="Q44" s="3"/>
      <c r="R44" s="8">
        <f t="shared" si="4"/>
        <v>0</v>
      </c>
      <c r="S44" s="3"/>
      <c r="T44" s="7">
        <v>47413</v>
      </c>
      <c r="U44" s="3"/>
      <c r="V44" s="8">
        <f t="shared" si="5"/>
        <v>0</v>
      </c>
      <c r="W44" s="3"/>
      <c r="X44" s="7">
        <f t="shared" si="6"/>
        <v>-16408.150000000001</v>
      </c>
      <c r="Y44" s="3"/>
      <c r="Z44" s="8">
        <f t="shared" si="7"/>
        <v>-0.34606858878366697</v>
      </c>
    </row>
    <row r="45" spans="1:26" s="69" customFormat="1" ht="15" customHeight="1" outlineLevel="1" collapsed="1" x14ac:dyDescent="0.3">
      <c r="A45" s="25"/>
      <c r="B45" s="14" t="str">
        <f>CONCATENATE("     ","Employees' Appreciation                           ")</f>
        <v xml:space="preserve">     Employees' Appreciation                           </v>
      </c>
      <c r="C45" s="14"/>
      <c r="D45" s="2">
        <f>SUM(OSRRefD22_4x_0)</f>
        <v>0</v>
      </c>
      <c r="E45" s="2"/>
      <c r="F45" s="6">
        <f t="shared" si="0"/>
        <v>0</v>
      </c>
      <c r="G45" s="2"/>
      <c r="H45" s="2">
        <f>SUM(OSRRefH22_4x_0)</f>
        <v>0</v>
      </c>
      <c r="I45" s="2"/>
      <c r="J45" s="6">
        <f t="shared" si="1"/>
        <v>0</v>
      </c>
      <c r="K45" s="2"/>
      <c r="L45" s="2">
        <f t="shared" si="2"/>
        <v>0</v>
      </c>
      <c r="M45" s="2"/>
      <c r="N45" s="6">
        <f t="shared" si="3"/>
        <v>0</v>
      </c>
      <c r="O45" s="14"/>
      <c r="P45" s="2">
        <f>SUM(OSRRefP22_4x_0)</f>
        <v>18</v>
      </c>
      <c r="Q45" s="2"/>
      <c r="R45" s="6">
        <f t="shared" si="4"/>
        <v>0</v>
      </c>
      <c r="S45" s="2"/>
      <c r="T45" s="2">
        <f>SUM(OSRRefT22_4x_0)</f>
        <v>0</v>
      </c>
      <c r="U45" s="2"/>
      <c r="V45" s="6">
        <f t="shared" si="5"/>
        <v>0</v>
      </c>
      <c r="W45" s="2"/>
      <c r="X45" s="2">
        <f t="shared" si="6"/>
        <v>18</v>
      </c>
      <c r="Y45" s="2"/>
      <c r="Z45" s="6">
        <f t="shared" si="7"/>
        <v>0</v>
      </c>
    </row>
    <row r="46" spans="1:26" s="70" customFormat="1" ht="15" hidden="1" customHeight="1" outlineLevel="2" x14ac:dyDescent="0.3">
      <c r="A46" s="26"/>
      <c r="B46" s="12" t="str">
        <f>CONCATENATE("          ","6277"," - ","EMPLOYEE APPRECIATION")</f>
        <v xml:space="preserve">          6277 - EMPLOYEE APPRECIATION</v>
      </c>
      <c r="C46" s="12"/>
      <c r="D46" s="7"/>
      <c r="E46" s="3"/>
      <c r="F46" s="8">
        <f t="shared" si="0"/>
        <v>0</v>
      </c>
      <c r="G46" s="3"/>
      <c r="H46" s="7"/>
      <c r="I46" s="3"/>
      <c r="J46" s="8">
        <f t="shared" si="1"/>
        <v>0</v>
      </c>
      <c r="K46" s="3"/>
      <c r="L46" s="7">
        <f t="shared" si="2"/>
        <v>0</v>
      </c>
      <c r="M46" s="3"/>
      <c r="N46" s="8">
        <f t="shared" si="3"/>
        <v>0</v>
      </c>
      <c r="O46" s="12"/>
      <c r="P46" s="7">
        <v>18</v>
      </c>
      <c r="Q46" s="3"/>
      <c r="R46" s="8">
        <f t="shared" si="4"/>
        <v>0</v>
      </c>
      <c r="S46" s="3"/>
      <c r="T46" s="7"/>
      <c r="U46" s="3"/>
      <c r="V46" s="8">
        <f t="shared" si="5"/>
        <v>0</v>
      </c>
      <c r="W46" s="3"/>
      <c r="X46" s="7">
        <f t="shared" si="6"/>
        <v>18</v>
      </c>
      <c r="Y46" s="3"/>
      <c r="Z46" s="8">
        <f t="shared" si="7"/>
        <v>0</v>
      </c>
    </row>
    <row r="47" spans="1:26" s="69" customFormat="1" ht="15" customHeight="1" outlineLevel="1" collapsed="1" x14ac:dyDescent="0.3">
      <c r="A47" s="25"/>
      <c r="B47" s="14" t="str">
        <f>CONCATENATE("     ","Equipment Rental                                  ")</f>
        <v xml:space="preserve">     Equipment Rental                                  </v>
      </c>
      <c r="C47" s="14"/>
      <c r="D47" s="2">
        <f>SUM(OSRRefD22_5x_0)</f>
        <v>91.26</v>
      </c>
      <c r="E47" s="2"/>
      <c r="F47" s="6">
        <f t="shared" si="0"/>
        <v>0</v>
      </c>
      <c r="G47" s="2"/>
      <c r="H47" s="2">
        <f>SUM(OSRRefH22_5x_0)</f>
        <v>300</v>
      </c>
      <c r="I47" s="2"/>
      <c r="J47" s="6">
        <f t="shared" si="1"/>
        <v>0</v>
      </c>
      <c r="K47" s="2"/>
      <c r="L47" s="2">
        <f t="shared" si="2"/>
        <v>-208.74</v>
      </c>
      <c r="M47" s="2"/>
      <c r="N47" s="6">
        <f t="shared" si="3"/>
        <v>-0.69580000000000009</v>
      </c>
      <c r="O47" s="14"/>
      <c r="P47" s="2">
        <f>SUM(OSRRefP22_5x_0)</f>
        <v>730.08</v>
      </c>
      <c r="Q47" s="2"/>
      <c r="R47" s="6">
        <f t="shared" si="4"/>
        <v>0</v>
      </c>
      <c r="S47" s="2"/>
      <c r="T47" s="2">
        <f>SUM(OSRRefT22_5x_0)</f>
        <v>2700</v>
      </c>
      <c r="U47" s="2"/>
      <c r="V47" s="6">
        <f t="shared" si="5"/>
        <v>0</v>
      </c>
      <c r="W47" s="2"/>
      <c r="X47" s="2">
        <f t="shared" si="6"/>
        <v>-1969.92</v>
      </c>
      <c r="Y47" s="2"/>
      <c r="Z47" s="6">
        <f t="shared" si="7"/>
        <v>-0.72960000000000003</v>
      </c>
    </row>
    <row r="48" spans="1:26" s="70" customFormat="1" ht="15" hidden="1" customHeight="1" outlineLevel="2" x14ac:dyDescent="0.3">
      <c r="A48" s="26"/>
      <c r="B48" s="12" t="str">
        <f>CONCATENATE("          ","6351"," - ","EQUIPMENT RENTAL")</f>
        <v xml:space="preserve">          6351 - EQUIPMENT RENTAL</v>
      </c>
      <c r="C48" s="12"/>
      <c r="D48" s="7">
        <v>91.26</v>
      </c>
      <c r="E48" s="3"/>
      <c r="F48" s="8">
        <f t="shared" si="0"/>
        <v>0</v>
      </c>
      <c r="G48" s="3"/>
      <c r="H48" s="7">
        <v>300</v>
      </c>
      <c r="I48" s="3"/>
      <c r="J48" s="8">
        <f t="shared" si="1"/>
        <v>0</v>
      </c>
      <c r="K48" s="3"/>
      <c r="L48" s="7">
        <f t="shared" si="2"/>
        <v>-208.74</v>
      </c>
      <c r="M48" s="3"/>
      <c r="N48" s="8">
        <f t="shared" si="3"/>
        <v>-0.69580000000000009</v>
      </c>
      <c r="O48" s="12"/>
      <c r="P48" s="7">
        <v>730.08</v>
      </c>
      <c r="Q48" s="3"/>
      <c r="R48" s="8">
        <f t="shared" si="4"/>
        <v>0</v>
      </c>
      <c r="S48" s="3"/>
      <c r="T48" s="7">
        <v>2700</v>
      </c>
      <c r="U48" s="3"/>
      <c r="V48" s="8">
        <f t="shared" si="5"/>
        <v>0</v>
      </c>
      <c r="W48" s="3"/>
      <c r="X48" s="7">
        <f t="shared" si="6"/>
        <v>-1969.92</v>
      </c>
      <c r="Y48" s="3"/>
      <c r="Z48" s="8">
        <f t="shared" si="7"/>
        <v>-0.72960000000000003</v>
      </c>
    </row>
    <row r="49" spans="1:26" s="69" customFormat="1" ht="15" customHeight="1" outlineLevel="1" collapsed="1" x14ac:dyDescent="0.3">
      <c r="A49" s="25"/>
      <c r="B49" s="14" t="str">
        <f>CONCATENATE("     ","General                                           ")</f>
        <v xml:space="preserve">     General                                           </v>
      </c>
      <c r="C49" s="14"/>
      <c r="D49" s="2">
        <f>SUM(OSRRefD22_6x_0)</f>
        <v>0</v>
      </c>
      <c r="E49" s="2"/>
      <c r="F49" s="6">
        <f t="shared" si="0"/>
        <v>0</v>
      </c>
      <c r="G49" s="2"/>
      <c r="H49" s="2">
        <f>SUM(OSRRefH22_6x_0)</f>
        <v>0</v>
      </c>
      <c r="I49" s="2"/>
      <c r="J49" s="6">
        <f t="shared" si="1"/>
        <v>0</v>
      </c>
      <c r="K49" s="2"/>
      <c r="L49" s="2">
        <f t="shared" si="2"/>
        <v>0</v>
      </c>
      <c r="M49" s="2"/>
      <c r="N49" s="6">
        <f t="shared" si="3"/>
        <v>0</v>
      </c>
      <c r="O49" s="14"/>
      <c r="P49" s="2">
        <f>SUM(OSRRefP22_6x_0)</f>
        <v>122.51</v>
      </c>
      <c r="Q49" s="2"/>
      <c r="R49" s="6">
        <f t="shared" si="4"/>
        <v>0</v>
      </c>
      <c r="S49" s="2"/>
      <c r="T49" s="2">
        <f>SUM(OSRRefT22_6x_0)</f>
        <v>1000</v>
      </c>
      <c r="U49" s="2"/>
      <c r="V49" s="6">
        <f t="shared" si="5"/>
        <v>0</v>
      </c>
      <c r="W49" s="2"/>
      <c r="X49" s="2">
        <f t="shared" si="6"/>
        <v>-877.49</v>
      </c>
      <c r="Y49" s="2"/>
      <c r="Z49" s="6">
        <f t="shared" si="7"/>
        <v>-0.87748999999999999</v>
      </c>
    </row>
    <row r="50" spans="1:26" s="70" customFormat="1" ht="15" hidden="1" customHeight="1" outlineLevel="2" x14ac:dyDescent="0.3">
      <c r="A50" s="26"/>
      <c r="B50" s="12" t="str">
        <f>CONCATENATE("          ","6279"," - ","GENERAL EXPENSE")</f>
        <v xml:space="preserve">          6279 - GENERAL EXPENSE</v>
      </c>
      <c r="C50" s="12"/>
      <c r="D50" s="7"/>
      <c r="E50" s="3"/>
      <c r="F50" s="8">
        <f t="shared" ref="F50:F75" si="8">IF(D$12=0,0,D50/D$12)</f>
        <v>0</v>
      </c>
      <c r="G50" s="3"/>
      <c r="H50" s="7"/>
      <c r="I50" s="3"/>
      <c r="J50" s="8">
        <f t="shared" ref="J50:J75" si="9">IF(H$12=0,0,H50/H$12)</f>
        <v>0</v>
      </c>
      <c r="K50" s="3"/>
      <c r="L50" s="7">
        <f t="shared" ref="L50:L75" si="10">+D50-H50</f>
        <v>0</v>
      </c>
      <c r="M50" s="3"/>
      <c r="N50" s="8">
        <f t="shared" ref="N50:N75" si="11">IF(H50=0,0,L50/H50)</f>
        <v>0</v>
      </c>
      <c r="O50" s="12"/>
      <c r="P50" s="7">
        <v>122.51</v>
      </c>
      <c r="Q50" s="3"/>
      <c r="R50" s="8">
        <f t="shared" ref="R50:R75" si="12">IF(P$12=0,0,P50/P$12)</f>
        <v>0</v>
      </c>
      <c r="S50" s="3"/>
      <c r="T50" s="7">
        <v>1000</v>
      </c>
      <c r="U50" s="3"/>
      <c r="V50" s="8">
        <f t="shared" ref="V50:V75" si="13">IF(T$12=0,0,T50/T$12)</f>
        <v>0</v>
      </c>
      <c r="W50" s="3"/>
      <c r="X50" s="7">
        <f t="shared" ref="X50:X75" si="14">+P50-T50</f>
        <v>-877.49</v>
      </c>
      <c r="Y50" s="3"/>
      <c r="Z50" s="8">
        <f t="shared" ref="Z50:Z75" si="15">IF(T50=0,0,X50/T50)</f>
        <v>-0.87748999999999999</v>
      </c>
    </row>
    <row r="51" spans="1:26" s="69" customFormat="1" ht="15" customHeight="1" outlineLevel="1" collapsed="1" x14ac:dyDescent="0.3">
      <c r="A51" s="25"/>
      <c r="B51" s="14" t="str">
        <f>CONCATENATE("     ","Insurance                                         ")</f>
        <v xml:space="preserve">     Insurance                                         </v>
      </c>
      <c r="C51" s="14"/>
      <c r="D51" s="2">
        <f>SUM(OSRRefD22_7x_0)</f>
        <v>4884.6000000000004</v>
      </c>
      <c r="E51" s="2"/>
      <c r="F51" s="6">
        <f t="shared" si="8"/>
        <v>0</v>
      </c>
      <c r="G51" s="2"/>
      <c r="H51" s="2">
        <f>SUM(OSRRefH22_7x_0)</f>
        <v>4820</v>
      </c>
      <c r="I51" s="2"/>
      <c r="J51" s="6">
        <f t="shared" si="9"/>
        <v>0</v>
      </c>
      <c r="K51" s="2"/>
      <c r="L51" s="2">
        <f t="shared" si="10"/>
        <v>64.600000000000364</v>
      </c>
      <c r="M51" s="2"/>
      <c r="N51" s="6">
        <f t="shared" si="11"/>
        <v>1.3402489626556092E-2</v>
      </c>
      <c r="O51" s="14"/>
      <c r="P51" s="2">
        <f>SUM(OSRRefP22_7x_0)</f>
        <v>50844.4</v>
      </c>
      <c r="Q51" s="2"/>
      <c r="R51" s="6">
        <f t="shared" si="12"/>
        <v>0</v>
      </c>
      <c r="S51" s="2"/>
      <c r="T51" s="2">
        <f>SUM(OSRRefT22_7x_0)</f>
        <v>43380</v>
      </c>
      <c r="U51" s="2"/>
      <c r="V51" s="6">
        <f t="shared" si="13"/>
        <v>0</v>
      </c>
      <c r="W51" s="2"/>
      <c r="X51" s="2">
        <f t="shared" si="14"/>
        <v>7464.4000000000015</v>
      </c>
      <c r="Y51" s="2"/>
      <c r="Z51" s="6">
        <f t="shared" si="15"/>
        <v>0.17207007837713234</v>
      </c>
    </row>
    <row r="52" spans="1:26" s="70" customFormat="1" ht="15" hidden="1" customHeight="1" outlineLevel="2" x14ac:dyDescent="0.3">
      <c r="A52" s="26"/>
      <c r="B52" s="12" t="str">
        <f>CONCATENATE("          ","6314"," - ","LIABILITY INSURANCE")</f>
        <v xml:space="preserve">          6314 - LIABILITY INSURANCE</v>
      </c>
      <c r="C52" s="12"/>
      <c r="D52" s="7">
        <v>4884.6000000000004</v>
      </c>
      <c r="E52" s="3"/>
      <c r="F52" s="8">
        <f t="shared" si="8"/>
        <v>0</v>
      </c>
      <c r="G52" s="3"/>
      <c r="H52" s="7">
        <v>4820</v>
      </c>
      <c r="I52" s="3"/>
      <c r="J52" s="8">
        <f t="shared" si="9"/>
        <v>0</v>
      </c>
      <c r="K52" s="3"/>
      <c r="L52" s="7">
        <f t="shared" si="10"/>
        <v>64.600000000000364</v>
      </c>
      <c r="M52" s="3"/>
      <c r="N52" s="8">
        <f t="shared" si="11"/>
        <v>1.3402489626556092E-2</v>
      </c>
      <c r="O52" s="12"/>
      <c r="P52" s="7">
        <v>50844.4</v>
      </c>
      <c r="Q52" s="3"/>
      <c r="R52" s="8">
        <f t="shared" si="12"/>
        <v>0</v>
      </c>
      <c r="S52" s="3"/>
      <c r="T52" s="7">
        <v>43380</v>
      </c>
      <c r="U52" s="3"/>
      <c r="V52" s="8">
        <f t="shared" si="13"/>
        <v>0</v>
      </c>
      <c r="W52" s="3"/>
      <c r="X52" s="7">
        <f t="shared" si="14"/>
        <v>7464.4000000000015</v>
      </c>
      <c r="Y52" s="3"/>
      <c r="Z52" s="8">
        <f t="shared" si="15"/>
        <v>0.17207007837713234</v>
      </c>
    </row>
    <row r="53" spans="1:26" s="69" customFormat="1" ht="15" customHeight="1" outlineLevel="1" collapsed="1" x14ac:dyDescent="0.3">
      <c r="A53" s="25"/>
      <c r="B53" s="14" t="str">
        <f>CONCATENATE("     ","Repair and Maintenance                            ")</f>
        <v xml:space="preserve">     Repair and Maintenance                            </v>
      </c>
      <c r="C53" s="14"/>
      <c r="D53" s="2">
        <f>SUM(OSRRefD22_8x_0)</f>
        <v>1580.0600000000002</v>
      </c>
      <c r="E53" s="2"/>
      <c r="F53" s="6">
        <f t="shared" si="8"/>
        <v>0</v>
      </c>
      <c r="G53" s="2"/>
      <c r="H53" s="2">
        <f>SUM(OSRRefH22_8x_0)</f>
        <v>0</v>
      </c>
      <c r="I53" s="2"/>
      <c r="J53" s="6">
        <f t="shared" si="9"/>
        <v>0</v>
      </c>
      <c r="K53" s="2"/>
      <c r="L53" s="2">
        <f t="shared" si="10"/>
        <v>1580.0600000000002</v>
      </c>
      <c r="M53" s="2"/>
      <c r="N53" s="6">
        <f t="shared" si="11"/>
        <v>0</v>
      </c>
      <c r="O53" s="14"/>
      <c r="P53" s="2">
        <f>SUM(OSRRefP22_8x_0)</f>
        <v>25171.39</v>
      </c>
      <c r="Q53" s="2"/>
      <c r="R53" s="6">
        <f t="shared" si="12"/>
        <v>0</v>
      </c>
      <c r="S53" s="2"/>
      <c r="T53" s="2">
        <f>SUM(OSRRefT22_8x_0)</f>
        <v>8000</v>
      </c>
      <c r="U53" s="2"/>
      <c r="V53" s="6">
        <f t="shared" si="13"/>
        <v>0</v>
      </c>
      <c r="W53" s="2"/>
      <c r="X53" s="2">
        <f t="shared" si="14"/>
        <v>17171.39</v>
      </c>
      <c r="Y53" s="2"/>
      <c r="Z53" s="6">
        <f t="shared" si="15"/>
        <v>2.1464237499999999</v>
      </c>
    </row>
    <row r="54" spans="1:26" s="70" customFormat="1" ht="15" hidden="1" customHeight="1" outlineLevel="2" x14ac:dyDescent="0.3">
      <c r="A54" s="26"/>
      <c r="B54" s="12" t="str">
        <f>CONCATENATE("          ","6371"," - ","COMPUTER SOFTWARE MAINTENANCE")</f>
        <v xml:space="preserve">          6371 - COMPUTER SOFTWARE MAINTENANCE</v>
      </c>
      <c r="C54" s="12"/>
      <c r="D54" s="7">
        <v>783.7</v>
      </c>
      <c r="E54" s="3"/>
      <c r="F54" s="8">
        <f t="shared" si="8"/>
        <v>0</v>
      </c>
      <c r="G54" s="3"/>
      <c r="H54" s="7"/>
      <c r="I54" s="3"/>
      <c r="J54" s="8">
        <f t="shared" si="9"/>
        <v>0</v>
      </c>
      <c r="K54" s="3"/>
      <c r="L54" s="7">
        <f t="shared" si="10"/>
        <v>783.7</v>
      </c>
      <c r="M54" s="3"/>
      <c r="N54" s="8">
        <f t="shared" si="11"/>
        <v>0</v>
      </c>
      <c r="O54" s="12"/>
      <c r="P54" s="7">
        <v>7600.87</v>
      </c>
      <c r="Q54" s="3"/>
      <c r="R54" s="8">
        <f t="shared" si="12"/>
        <v>0</v>
      </c>
      <c r="S54" s="3"/>
      <c r="T54" s="7"/>
      <c r="U54" s="3"/>
      <c r="V54" s="8">
        <f t="shared" si="13"/>
        <v>0</v>
      </c>
      <c r="W54" s="3"/>
      <c r="X54" s="7">
        <f t="shared" si="14"/>
        <v>7600.87</v>
      </c>
      <c r="Y54" s="3"/>
      <c r="Z54" s="8">
        <f t="shared" si="15"/>
        <v>0</v>
      </c>
    </row>
    <row r="55" spans="1:26" s="70" customFormat="1" ht="15" hidden="1" customHeight="1" outlineLevel="2" x14ac:dyDescent="0.3">
      <c r="A55" s="26"/>
      <c r="B55" s="12" t="str">
        <f>CONCATENATE("          ","6372"," - ","COMPUTER HARDWARE MAINTENANCE")</f>
        <v xml:space="preserve">          6372 - COMPUTER HARDWARE MAINTENANCE</v>
      </c>
      <c r="C55" s="12"/>
      <c r="D55" s="7"/>
      <c r="E55" s="3"/>
      <c r="F55" s="8">
        <f t="shared" si="8"/>
        <v>0</v>
      </c>
      <c r="G55" s="3"/>
      <c r="H55" s="7"/>
      <c r="I55" s="3"/>
      <c r="J55" s="8">
        <f t="shared" si="9"/>
        <v>0</v>
      </c>
      <c r="K55" s="3"/>
      <c r="L55" s="7">
        <f t="shared" si="10"/>
        <v>0</v>
      </c>
      <c r="M55" s="3"/>
      <c r="N55" s="8">
        <f t="shared" si="11"/>
        <v>0</v>
      </c>
      <c r="O55" s="12"/>
      <c r="P55" s="7"/>
      <c r="Q55" s="3"/>
      <c r="R55" s="8">
        <f t="shared" si="12"/>
        <v>0</v>
      </c>
      <c r="S55" s="3"/>
      <c r="T55" s="7">
        <v>8000</v>
      </c>
      <c r="U55" s="3"/>
      <c r="V55" s="8">
        <f t="shared" si="13"/>
        <v>0</v>
      </c>
      <c r="W55" s="3"/>
      <c r="X55" s="7">
        <f t="shared" si="14"/>
        <v>-8000</v>
      </c>
      <c r="Y55" s="3"/>
      <c r="Z55" s="8">
        <f t="shared" si="15"/>
        <v>-1</v>
      </c>
    </row>
    <row r="56" spans="1:26" s="70" customFormat="1" ht="15" hidden="1" customHeight="1" outlineLevel="2" x14ac:dyDescent="0.3">
      <c r="A56" s="26"/>
      <c r="B56" s="12" t="str">
        <f>CONCATENATE("          ","6373"," - ","MAINTENANCE CONTRACTS")</f>
        <v xml:space="preserve">          6373 - MAINTENANCE CONTRACTS</v>
      </c>
      <c r="C56" s="12"/>
      <c r="D56" s="7">
        <v>463.64</v>
      </c>
      <c r="E56" s="3"/>
      <c r="F56" s="8">
        <f t="shared" si="8"/>
        <v>0</v>
      </c>
      <c r="G56" s="3"/>
      <c r="H56" s="7"/>
      <c r="I56" s="3"/>
      <c r="J56" s="8">
        <f t="shared" si="9"/>
        <v>0</v>
      </c>
      <c r="K56" s="3"/>
      <c r="L56" s="7">
        <f t="shared" si="10"/>
        <v>463.64</v>
      </c>
      <c r="M56" s="3"/>
      <c r="N56" s="8">
        <f t="shared" si="11"/>
        <v>0</v>
      </c>
      <c r="O56" s="12"/>
      <c r="P56" s="7">
        <v>7716.27</v>
      </c>
      <c r="Q56" s="3"/>
      <c r="R56" s="8">
        <f t="shared" si="12"/>
        <v>0</v>
      </c>
      <c r="S56" s="3"/>
      <c r="T56" s="7"/>
      <c r="U56" s="3"/>
      <c r="V56" s="8">
        <f t="shared" si="13"/>
        <v>0</v>
      </c>
      <c r="W56" s="3"/>
      <c r="X56" s="7">
        <f t="shared" si="14"/>
        <v>7716.27</v>
      </c>
      <c r="Y56" s="3"/>
      <c r="Z56" s="8">
        <f t="shared" si="15"/>
        <v>0</v>
      </c>
    </row>
    <row r="57" spans="1:26" s="70" customFormat="1" ht="15" hidden="1" customHeight="1" outlineLevel="2" x14ac:dyDescent="0.3">
      <c r="A57" s="26"/>
      <c r="B57" s="12" t="str">
        <f>CONCATENATE("          ","6375"," - ","OUTSIDE REPAIRS &amp; MAINTENANCE")</f>
        <v xml:space="preserve">          6375 - OUTSIDE REPAIRS &amp; MAINTENANCE</v>
      </c>
      <c r="C57" s="12"/>
      <c r="D57" s="7">
        <v>332.72</v>
      </c>
      <c r="E57" s="3"/>
      <c r="F57" s="8">
        <f t="shared" si="8"/>
        <v>0</v>
      </c>
      <c r="G57" s="3"/>
      <c r="H57" s="7"/>
      <c r="I57" s="3"/>
      <c r="J57" s="8">
        <f t="shared" si="9"/>
        <v>0</v>
      </c>
      <c r="K57" s="3"/>
      <c r="L57" s="7">
        <f t="shared" si="10"/>
        <v>332.72</v>
      </c>
      <c r="M57" s="3"/>
      <c r="N57" s="8">
        <f t="shared" si="11"/>
        <v>0</v>
      </c>
      <c r="O57" s="12"/>
      <c r="P57" s="7">
        <v>9854.25</v>
      </c>
      <c r="Q57" s="3"/>
      <c r="R57" s="8">
        <f t="shared" si="12"/>
        <v>0</v>
      </c>
      <c r="S57" s="3"/>
      <c r="T57" s="7"/>
      <c r="U57" s="3"/>
      <c r="V57" s="8">
        <f t="shared" si="13"/>
        <v>0</v>
      </c>
      <c r="W57" s="3"/>
      <c r="X57" s="7">
        <f t="shared" si="14"/>
        <v>9854.25</v>
      </c>
      <c r="Y57" s="3"/>
      <c r="Z57" s="8">
        <f t="shared" si="15"/>
        <v>0</v>
      </c>
    </row>
    <row r="58" spans="1:26" s="69" customFormat="1" ht="15" customHeight="1" outlineLevel="1" collapsed="1" x14ac:dyDescent="0.3">
      <c r="A58" s="25"/>
      <c r="B58" s="14" t="str">
        <f>CONCATENATE("     ","Services                                          ")</f>
        <v xml:space="preserve">     Services                                          </v>
      </c>
      <c r="C58" s="14"/>
      <c r="D58" s="2">
        <f>SUM(OSRRefD22_9x_0)</f>
        <v>670.1</v>
      </c>
      <c r="E58" s="2"/>
      <c r="F58" s="6">
        <f t="shared" si="8"/>
        <v>0</v>
      </c>
      <c r="G58" s="2"/>
      <c r="H58" s="2">
        <f>SUM(OSRRefH22_9x_0)</f>
        <v>650</v>
      </c>
      <c r="I58" s="2"/>
      <c r="J58" s="6">
        <f t="shared" si="9"/>
        <v>0</v>
      </c>
      <c r="K58" s="2"/>
      <c r="L58" s="2">
        <f t="shared" si="10"/>
        <v>20.100000000000023</v>
      </c>
      <c r="M58" s="2"/>
      <c r="N58" s="6">
        <f t="shared" si="11"/>
        <v>3.0923076923076959E-2</v>
      </c>
      <c r="O58" s="14"/>
      <c r="P58" s="2">
        <f>SUM(OSRRefP22_9x_0)</f>
        <v>9705.2199999999993</v>
      </c>
      <c r="Q58" s="2"/>
      <c r="R58" s="6">
        <f t="shared" si="12"/>
        <v>0</v>
      </c>
      <c r="S58" s="2"/>
      <c r="T58" s="2">
        <f>SUM(OSRRefT22_9x_0)</f>
        <v>6725</v>
      </c>
      <c r="U58" s="2"/>
      <c r="V58" s="6">
        <f t="shared" si="13"/>
        <v>0</v>
      </c>
      <c r="W58" s="2"/>
      <c r="X58" s="2">
        <f t="shared" si="14"/>
        <v>2980.2199999999993</v>
      </c>
      <c r="Y58" s="2"/>
      <c r="Z58" s="6">
        <f t="shared" si="15"/>
        <v>0.44315539033457241</v>
      </c>
    </row>
    <row r="59" spans="1:26" s="70" customFormat="1" ht="15" hidden="1" customHeight="1" outlineLevel="2" x14ac:dyDescent="0.3">
      <c r="A59" s="26"/>
      <c r="B59" s="12" t="str">
        <f>CONCATENATE("          ","6282"," - ","JANITORIAL/EXTERMINATOR EXPENS")</f>
        <v xml:space="preserve">          6282 - JANITORIAL/EXTERMINATOR EXPENS</v>
      </c>
      <c r="C59" s="12"/>
      <c r="D59" s="7">
        <v>670.1</v>
      </c>
      <c r="E59" s="3"/>
      <c r="F59" s="8">
        <f t="shared" si="8"/>
        <v>0</v>
      </c>
      <c r="G59" s="3"/>
      <c r="H59" s="7">
        <v>650</v>
      </c>
      <c r="I59" s="3"/>
      <c r="J59" s="8">
        <f t="shared" si="9"/>
        <v>0</v>
      </c>
      <c r="K59" s="3"/>
      <c r="L59" s="7">
        <f t="shared" si="10"/>
        <v>20.100000000000023</v>
      </c>
      <c r="M59" s="3"/>
      <c r="N59" s="8">
        <f t="shared" si="11"/>
        <v>3.0923076923076959E-2</v>
      </c>
      <c r="O59" s="12"/>
      <c r="P59" s="7">
        <v>6030.9</v>
      </c>
      <c r="Q59" s="3"/>
      <c r="R59" s="8">
        <f t="shared" si="12"/>
        <v>0</v>
      </c>
      <c r="S59" s="3"/>
      <c r="T59" s="7">
        <v>5850</v>
      </c>
      <c r="U59" s="3"/>
      <c r="V59" s="8">
        <f t="shared" si="13"/>
        <v>0</v>
      </c>
      <c r="W59" s="3"/>
      <c r="X59" s="7">
        <f t="shared" si="14"/>
        <v>180.89999999999964</v>
      </c>
      <c r="Y59" s="3"/>
      <c r="Z59" s="8">
        <f t="shared" si="15"/>
        <v>3.0923076923076862E-2</v>
      </c>
    </row>
    <row r="60" spans="1:26" s="70" customFormat="1" ht="15" hidden="1" customHeight="1" outlineLevel="2" x14ac:dyDescent="0.3">
      <c r="A60" s="26"/>
      <c r="B60" s="12" t="str">
        <f>CONCATENATE("          ","6284"," - ","TRASH REMOVAL EXPENSE")</f>
        <v xml:space="preserve">          6284 - TRASH REMOVAL EXPENSE</v>
      </c>
      <c r="C60" s="12"/>
      <c r="D60" s="7"/>
      <c r="E60" s="3"/>
      <c r="F60" s="8">
        <f t="shared" si="8"/>
        <v>0</v>
      </c>
      <c r="G60" s="3"/>
      <c r="H60" s="7"/>
      <c r="I60" s="3"/>
      <c r="J60" s="8">
        <f t="shared" si="9"/>
        <v>0</v>
      </c>
      <c r="K60" s="3"/>
      <c r="L60" s="7">
        <f t="shared" si="10"/>
        <v>0</v>
      </c>
      <c r="M60" s="3"/>
      <c r="N60" s="8">
        <f t="shared" si="11"/>
        <v>0</v>
      </c>
      <c r="O60" s="12"/>
      <c r="P60" s="7"/>
      <c r="Q60" s="3"/>
      <c r="R60" s="8">
        <f t="shared" si="12"/>
        <v>0</v>
      </c>
      <c r="S60" s="3"/>
      <c r="T60" s="7">
        <v>0</v>
      </c>
      <c r="U60" s="3"/>
      <c r="V60" s="8">
        <f t="shared" si="13"/>
        <v>0</v>
      </c>
      <c r="W60" s="3"/>
      <c r="X60" s="7">
        <f t="shared" si="14"/>
        <v>0</v>
      </c>
      <c r="Y60" s="3"/>
      <c r="Z60" s="8">
        <f t="shared" si="15"/>
        <v>0</v>
      </c>
    </row>
    <row r="61" spans="1:26" s="70" customFormat="1" ht="15" hidden="1" customHeight="1" outlineLevel="2" x14ac:dyDescent="0.3">
      <c r="A61" s="26"/>
      <c r="B61" s="12" t="str">
        <f>CONCATENATE("          ","6285"," - ","JANITORIAL SERVICES")</f>
        <v xml:space="preserve">          6285 - JANITORIAL SERVICES</v>
      </c>
      <c r="C61" s="12"/>
      <c r="D61" s="7"/>
      <c r="E61" s="3"/>
      <c r="F61" s="8">
        <f t="shared" si="8"/>
        <v>0</v>
      </c>
      <c r="G61" s="3"/>
      <c r="H61" s="7"/>
      <c r="I61" s="3"/>
      <c r="J61" s="8">
        <f t="shared" si="9"/>
        <v>0</v>
      </c>
      <c r="K61" s="3"/>
      <c r="L61" s="7">
        <f t="shared" si="10"/>
        <v>0</v>
      </c>
      <c r="M61" s="3"/>
      <c r="N61" s="8">
        <f t="shared" si="11"/>
        <v>0</v>
      </c>
      <c r="O61" s="12"/>
      <c r="P61" s="7">
        <v>3674.32</v>
      </c>
      <c r="Q61" s="3"/>
      <c r="R61" s="8">
        <f t="shared" si="12"/>
        <v>0</v>
      </c>
      <c r="S61" s="3"/>
      <c r="T61" s="7">
        <v>875</v>
      </c>
      <c r="U61" s="3"/>
      <c r="V61" s="8">
        <f t="shared" si="13"/>
        <v>0</v>
      </c>
      <c r="W61" s="3"/>
      <c r="X61" s="7">
        <f t="shared" si="14"/>
        <v>2799.32</v>
      </c>
      <c r="Y61" s="3"/>
      <c r="Z61" s="8">
        <f t="shared" si="15"/>
        <v>3.1992228571428574</v>
      </c>
    </row>
    <row r="62" spans="1:26" s="69" customFormat="1" ht="15" customHeight="1" outlineLevel="1" collapsed="1" x14ac:dyDescent="0.3">
      <c r="A62" s="25"/>
      <c r="B62" s="14" t="str">
        <f>CONCATENATE("     ","Subscriptions &amp; Dues                              ")</f>
        <v xml:space="preserve">     Subscriptions &amp; Dues                              </v>
      </c>
      <c r="C62" s="14"/>
      <c r="D62" s="2">
        <f>SUM(OSRRefD22_10x_0)</f>
        <v>119.2</v>
      </c>
      <c r="E62" s="2"/>
      <c r="F62" s="6">
        <f t="shared" si="8"/>
        <v>0</v>
      </c>
      <c r="G62" s="2"/>
      <c r="H62" s="2">
        <f>SUM(OSRRefH22_10x_0)</f>
        <v>0</v>
      </c>
      <c r="I62" s="2"/>
      <c r="J62" s="6">
        <f t="shared" si="9"/>
        <v>0</v>
      </c>
      <c r="K62" s="2"/>
      <c r="L62" s="2">
        <f t="shared" si="10"/>
        <v>119.2</v>
      </c>
      <c r="M62" s="2"/>
      <c r="N62" s="6">
        <f t="shared" si="11"/>
        <v>0</v>
      </c>
      <c r="O62" s="14"/>
      <c r="P62" s="2">
        <f>SUM(OSRRefP22_10x_0)</f>
        <v>119.2</v>
      </c>
      <c r="Q62" s="2"/>
      <c r="R62" s="6">
        <f t="shared" si="12"/>
        <v>0</v>
      </c>
      <c r="S62" s="2"/>
      <c r="T62" s="2">
        <f>SUM(OSRRefT22_10x_0)</f>
        <v>0</v>
      </c>
      <c r="U62" s="2"/>
      <c r="V62" s="6">
        <f t="shared" si="13"/>
        <v>0</v>
      </c>
      <c r="W62" s="2"/>
      <c r="X62" s="2">
        <f t="shared" si="14"/>
        <v>119.2</v>
      </c>
      <c r="Y62" s="2"/>
      <c r="Z62" s="6">
        <f t="shared" si="15"/>
        <v>0</v>
      </c>
    </row>
    <row r="63" spans="1:26" s="70" customFormat="1" ht="15" hidden="1" customHeight="1" outlineLevel="2" x14ac:dyDescent="0.3">
      <c r="A63" s="26"/>
      <c r="B63" s="12" t="str">
        <f>CONCATENATE("          ","6275"," - ","SUBSCRIPTIONS")</f>
        <v xml:space="preserve">          6275 - SUBSCRIPTIONS</v>
      </c>
      <c r="C63" s="12"/>
      <c r="D63" s="7">
        <v>119.2</v>
      </c>
      <c r="E63" s="3"/>
      <c r="F63" s="8">
        <f t="shared" si="8"/>
        <v>0</v>
      </c>
      <c r="G63" s="3"/>
      <c r="H63" s="7"/>
      <c r="I63" s="3"/>
      <c r="J63" s="8">
        <f t="shared" si="9"/>
        <v>0</v>
      </c>
      <c r="K63" s="3"/>
      <c r="L63" s="7">
        <f t="shared" si="10"/>
        <v>119.2</v>
      </c>
      <c r="M63" s="3"/>
      <c r="N63" s="8">
        <f t="shared" si="11"/>
        <v>0</v>
      </c>
      <c r="O63" s="12"/>
      <c r="P63" s="7">
        <v>119.2</v>
      </c>
      <c r="Q63" s="3"/>
      <c r="R63" s="8">
        <f t="shared" si="12"/>
        <v>0</v>
      </c>
      <c r="S63" s="3"/>
      <c r="T63" s="7"/>
      <c r="U63" s="3"/>
      <c r="V63" s="8">
        <f t="shared" si="13"/>
        <v>0</v>
      </c>
      <c r="W63" s="3"/>
      <c r="X63" s="7">
        <f t="shared" si="14"/>
        <v>119.2</v>
      </c>
      <c r="Y63" s="3"/>
      <c r="Z63" s="8">
        <f t="shared" si="15"/>
        <v>0</v>
      </c>
    </row>
    <row r="64" spans="1:26" s="69" customFormat="1" ht="15" customHeight="1" outlineLevel="1" collapsed="1" x14ac:dyDescent="0.3">
      <c r="A64" s="25"/>
      <c r="B64" s="14" t="str">
        <f>CONCATENATE("     ","Supplies                                          ")</f>
        <v xml:space="preserve">     Supplies                                          </v>
      </c>
      <c r="C64" s="14"/>
      <c r="D64" s="2">
        <f>SUM(OSRRefD22_11x_0)</f>
        <v>32.840000000000003</v>
      </c>
      <c r="E64" s="2"/>
      <c r="F64" s="6">
        <f t="shared" si="8"/>
        <v>0</v>
      </c>
      <c r="G64" s="2"/>
      <c r="H64" s="2">
        <f>SUM(OSRRefH22_11x_0)</f>
        <v>0</v>
      </c>
      <c r="I64" s="2"/>
      <c r="J64" s="6">
        <f t="shared" si="9"/>
        <v>0</v>
      </c>
      <c r="K64" s="2"/>
      <c r="L64" s="2">
        <f t="shared" si="10"/>
        <v>32.840000000000003</v>
      </c>
      <c r="M64" s="2"/>
      <c r="N64" s="6">
        <f t="shared" si="11"/>
        <v>0</v>
      </c>
      <c r="O64" s="14"/>
      <c r="P64" s="2">
        <f>SUM(OSRRefP22_11x_0)</f>
        <v>526.82000000000005</v>
      </c>
      <c r="Q64" s="2"/>
      <c r="R64" s="6">
        <f t="shared" si="12"/>
        <v>0</v>
      </c>
      <c r="S64" s="2"/>
      <c r="T64" s="2">
        <f>SUM(OSRRefT22_11x_0)</f>
        <v>0</v>
      </c>
      <c r="U64" s="2"/>
      <c r="V64" s="6">
        <f t="shared" si="13"/>
        <v>0</v>
      </c>
      <c r="W64" s="2"/>
      <c r="X64" s="2">
        <f t="shared" si="14"/>
        <v>526.82000000000005</v>
      </c>
      <c r="Y64" s="2"/>
      <c r="Z64" s="6">
        <f t="shared" si="15"/>
        <v>0</v>
      </c>
    </row>
    <row r="65" spans="1:26" s="70" customFormat="1" ht="15" hidden="1" customHeight="1" outlineLevel="2" x14ac:dyDescent="0.3">
      <c r="A65" s="26"/>
      <c r="B65" s="12" t="str">
        <f>CONCATENATE("          ","6235"," - ","COVID-19 EXPENSES")</f>
        <v xml:space="preserve">          6235 - COVID-19 EXPENSES</v>
      </c>
      <c r="C65" s="12"/>
      <c r="D65" s="7"/>
      <c r="E65" s="3"/>
      <c r="F65" s="8">
        <f t="shared" si="8"/>
        <v>0</v>
      </c>
      <c r="G65" s="3"/>
      <c r="H65" s="7"/>
      <c r="I65" s="3"/>
      <c r="J65" s="8">
        <f t="shared" si="9"/>
        <v>0</v>
      </c>
      <c r="K65" s="3"/>
      <c r="L65" s="7">
        <f t="shared" si="10"/>
        <v>0</v>
      </c>
      <c r="M65" s="3"/>
      <c r="N65" s="8">
        <f t="shared" si="11"/>
        <v>0</v>
      </c>
      <c r="O65" s="12"/>
      <c r="P65" s="7">
        <v>318.42</v>
      </c>
      <c r="Q65" s="3"/>
      <c r="R65" s="8">
        <f t="shared" si="12"/>
        <v>0</v>
      </c>
      <c r="S65" s="3"/>
      <c r="T65" s="7"/>
      <c r="U65" s="3"/>
      <c r="V65" s="8">
        <f t="shared" si="13"/>
        <v>0</v>
      </c>
      <c r="W65" s="3"/>
      <c r="X65" s="7">
        <f t="shared" si="14"/>
        <v>318.42</v>
      </c>
      <c r="Y65" s="3"/>
      <c r="Z65" s="8">
        <f t="shared" si="15"/>
        <v>0</v>
      </c>
    </row>
    <row r="66" spans="1:26" s="70" customFormat="1" ht="15" hidden="1" customHeight="1" outlineLevel="2" x14ac:dyDescent="0.3">
      <c r="A66" s="26"/>
      <c r="B66" s="12" t="str">
        <f>CONCATENATE("          ","6241"," - ","OFFICE EXPENSE")</f>
        <v xml:space="preserve">          6241 - OFFICE EXPENSE</v>
      </c>
      <c r="C66" s="12"/>
      <c r="D66" s="7">
        <v>32.840000000000003</v>
      </c>
      <c r="E66" s="3"/>
      <c r="F66" s="8">
        <f t="shared" si="8"/>
        <v>0</v>
      </c>
      <c r="G66" s="3"/>
      <c r="H66" s="7"/>
      <c r="I66" s="3"/>
      <c r="J66" s="8">
        <f t="shared" si="9"/>
        <v>0</v>
      </c>
      <c r="K66" s="3"/>
      <c r="L66" s="7">
        <f t="shared" si="10"/>
        <v>32.840000000000003</v>
      </c>
      <c r="M66" s="3"/>
      <c r="N66" s="8">
        <f t="shared" si="11"/>
        <v>0</v>
      </c>
      <c r="O66" s="12"/>
      <c r="P66" s="7">
        <v>208.4</v>
      </c>
      <c r="Q66" s="3"/>
      <c r="R66" s="8">
        <f t="shared" si="12"/>
        <v>0</v>
      </c>
      <c r="S66" s="3"/>
      <c r="T66" s="7"/>
      <c r="U66" s="3"/>
      <c r="V66" s="8">
        <f t="shared" si="13"/>
        <v>0</v>
      </c>
      <c r="W66" s="3"/>
      <c r="X66" s="7">
        <f t="shared" si="14"/>
        <v>208.4</v>
      </c>
      <c r="Y66" s="3"/>
      <c r="Z66" s="8">
        <f t="shared" si="15"/>
        <v>0</v>
      </c>
    </row>
    <row r="67" spans="1:26" s="69" customFormat="1" ht="15" customHeight="1" outlineLevel="1" collapsed="1" x14ac:dyDescent="0.3">
      <c r="A67" s="25"/>
      <c r="B67" s="14" t="str">
        <f>CONCATENATE("     ","Telephone/Data Lines                              ")</f>
        <v xml:space="preserve">     Telephone/Data Lines                              </v>
      </c>
      <c r="C67" s="14"/>
      <c r="D67" s="2">
        <f>SUM(OSRRefD22_12x_0)</f>
        <v>187.1</v>
      </c>
      <c r="E67" s="2"/>
      <c r="F67" s="6">
        <f t="shared" si="8"/>
        <v>0</v>
      </c>
      <c r="G67" s="2"/>
      <c r="H67" s="2">
        <f>SUM(OSRRefH22_12x_0)</f>
        <v>0</v>
      </c>
      <c r="I67" s="2"/>
      <c r="J67" s="6">
        <f t="shared" si="9"/>
        <v>0</v>
      </c>
      <c r="K67" s="2"/>
      <c r="L67" s="2">
        <f t="shared" si="10"/>
        <v>187.1</v>
      </c>
      <c r="M67" s="2"/>
      <c r="N67" s="6">
        <f t="shared" si="11"/>
        <v>0</v>
      </c>
      <c r="O67" s="14"/>
      <c r="P67" s="2">
        <f>SUM(OSRRefP22_12x_0)</f>
        <v>1726.21</v>
      </c>
      <c r="Q67" s="2"/>
      <c r="R67" s="6">
        <f t="shared" si="12"/>
        <v>0</v>
      </c>
      <c r="S67" s="2"/>
      <c r="T67" s="2">
        <f>SUM(OSRRefT22_12x_0)</f>
        <v>0</v>
      </c>
      <c r="U67" s="2"/>
      <c r="V67" s="6">
        <f t="shared" si="13"/>
        <v>0</v>
      </c>
      <c r="W67" s="2"/>
      <c r="X67" s="2">
        <f t="shared" si="14"/>
        <v>1726.21</v>
      </c>
      <c r="Y67" s="2"/>
      <c r="Z67" s="6">
        <f t="shared" si="15"/>
        <v>0</v>
      </c>
    </row>
    <row r="68" spans="1:26" s="70" customFormat="1" ht="15" hidden="1" customHeight="1" outlineLevel="2" x14ac:dyDescent="0.3">
      <c r="A68" s="26"/>
      <c r="B68" s="12" t="str">
        <f>CONCATENATE("          ","6309"," - ","TELEPHONE")</f>
        <v xml:space="preserve">          6309 - TELEPHONE</v>
      </c>
      <c r="C68" s="12"/>
      <c r="D68" s="7">
        <v>187.1</v>
      </c>
      <c r="E68" s="3"/>
      <c r="F68" s="8">
        <f t="shared" si="8"/>
        <v>0</v>
      </c>
      <c r="G68" s="3"/>
      <c r="H68" s="7"/>
      <c r="I68" s="3"/>
      <c r="J68" s="8">
        <f t="shared" si="9"/>
        <v>0</v>
      </c>
      <c r="K68" s="3"/>
      <c r="L68" s="7">
        <f t="shared" si="10"/>
        <v>187.1</v>
      </c>
      <c r="M68" s="3"/>
      <c r="N68" s="8">
        <f t="shared" si="11"/>
        <v>0</v>
      </c>
      <c r="O68" s="12"/>
      <c r="P68" s="7">
        <v>1726.21</v>
      </c>
      <c r="Q68" s="3"/>
      <c r="R68" s="8">
        <f t="shared" si="12"/>
        <v>0</v>
      </c>
      <c r="S68" s="3"/>
      <c r="T68" s="7"/>
      <c r="U68" s="3"/>
      <c r="V68" s="8">
        <f t="shared" si="13"/>
        <v>0</v>
      </c>
      <c r="W68" s="3"/>
      <c r="X68" s="7">
        <f t="shared" si="14"/>
        <v>1726.21</v>
      </c>
      <c r="Y68" s="3"/>
      <c r="Z68" s="8">
        <f t="shared" si="15"/>
        <v>0</v>
      </c>
    </row>
    <row r="69" spans="1:26" s="69" customFormat="1" ht="15" customHeight="1" outlineLevel="1" collapsed="1" x14ac:dyDescent="0.3">
      <c r="A69" s="25"/>
      <c r="B69" s="14" t="str">
        <f>CONCATENATE("     ","Training                                          ")</f>
        <v xml:space="preserve">     Training                                          </v>
      </c>
      <c r="C69" s="14"/>
      <c r="D69" s="2">
        <f>SUM(OSRRefD22_13x_0)</f>
        <v>0</v>
      </c>
      <c r="E69" s="2"/>
      <c r="F69" s="6">
        <f t="shared" si="8"/>
        <v>0</v>
      </c>
      <c r="G69" s="2"/>
      <c r="H69" s="2">
        <f>SUM(OSRRefH22_13x_0)</f>
        <v>3000</v>
      </c>
      <c r="I69" s="2"/>
      <c r="J69" s="6">
        <f t="shared" si="9"/>
        <v>0</v>
      </c>
      <c r="K69" s="2"/>
      <c r="L69" s="2">
        <f t="shared" si="10"/>
        <v>-3000</v>
      </c>
      <c r="M69" s="2"/>
      <c r="N69" s="6">
        <f t="shared" si="11"/>
        <v>-1</v>
      </c>
      <c r="O69" s="14"/>
      <c r="P69" s="2">
        <f>SUM(OSRRefP22_13x_0)</f>
        <v>0</v>
      </c>
      <c r="Q69" s="2"/>
      <c r="R69" s="6">
        <f t="shared" si="12"/>
        <v>0</v>
      </c>
      <c r="S69" s="2"/>
      <c r="T69" s="2">
        <f>SUM(OSRRefT22_13x_0)</f>
        <v>3600</v>
      </c>
      <c r="U69" s="2"/>
      <c r="V69" s="6">
        <f t="shared" si="13"/>
        <v>0</v>
      </c>
      <c r="W69" s="2"/>
      <c r="X69" s="2">
        <f t="shared" si="14"/>
        <v>-3600</v>
      </c>
      <c r="Y69" s="2"/>
      <c r="Z69" s="6">
        <f t="shared" si="15"/>
        <v>-1</v>
      </c>
    </row>
    <row r="70" spans="1:26" s="70" customFormat="1" ht="15" hidden="1" customHeight="1" outlineLevel="2" x14ac:dyDescent="0.3">
      <c r="A70" s="26"/>
      <c r="B70" s="12" t="str">
        <f>CONCATENATE("          ","6376"," - ","TRAINING")</f>
        <v xml:space="preserve">          6376 - TRAINING</v>
      </c>
      <c r="C70" s="12"/>
      <c r="D70" s="7"/>
      <c r="E70" s="3"/>
      <c r="F70" s="8">
        <f t="shared" si="8"/>
        <v>0</v>
      </c>
      <c r="G70" s="3"/>
      <c r="H70" s="7">
        <v>3000</v>
      </c>
      <c r="I70" s="3"/>
      <c r="J70" s="8">
        <f t="shared" si="9"/>
        <v>0</v>
      </c>
      <c r="K70" s="3"/>
      <c r="L70" s="7">
        <f t="shared" si="10"/>
        <v>-3000</v>
      </c>
      <c r="M70" s="3"/>
      <c r="N70" s="8">
        <f t="shared" si="11"/>
        <v>-1</v>
      </c>
      <c r="O70" s="12"/>
      <c r="P70" s="7"/>
      <c r="Q70" s="3"/>
      <c r="R70" s="8">
        <f t="shared" si="12"/>
        <v>0</v>
      </c>
      <c r="S70" s="3"/>
      <c r="T70" s="7">
        <v>3600</v>
      </c>
      <c r="U70" s="3"/>
      <c r="V70" s="8">
        <f t="shared" si="13"/>
        <v>0</v>
      </c>
      <c r="W70" s="3"/>
      <c r="X70" s="7">
        <f t="shared" si="14"/>
        <v>-3600</v>
      </c>
      <c r="Y70" s="3"/>
      <c r="Z70" s="8">
        <f t="shared" si="15"/>
        <v>-1</v>
      </c>
    </row>
    <row r="71" spans="1:26" s="69" customFormat="1" ht="15" customHeight="1" outlineLevel="1" collapsed="1" x14ac:dyDescent="0.3">
      <c r="A71" s="25"/>
      <c r="B71" s="14" t="str">
        <f>CONCATENATE("     ","Travel                                            ")</f>
        <v xml:space="preserve">     Travel                                            </v>
      </c>
      <c r="C71" s="14"/>
      <c r="D71" s="2">
        <f>SUM(OSRRefD22_14x_0)</f>
        <v>0</v>
      </c>
      <c r="E71" s="2"/>
      <c r="F71" s="6">
        <f t="shared" si="8"/>
        <v>0</v>
      </c>
      <c r="G71" s="2"/>
      <c r="H71" s="2">
        <f>SUM(OSRRefH22_14x_0)</f>
        <v>0</v>
      </c>
      <c r="I71" s="2"/>
      <c r="J71" s="6">
        <f t="shared" si="9"/>
        <v>0</v>
      </c>
      <c r="K71" s="2"/>
      <c r="L71" s="2">
        <f t="shared" si="10"/>
        <v>0</v>
      </c>
      <c r="M71" s="2"/>
      <c r="N71" s="6">
        <f t="shared" si="11"/>
        <v>0</v>
      </c>
      <c r="O71" s="14"/>
      <c r="P71" s="2">
        <f>SUM(OSRRefP22_14x_0)</f>
        <v>141.24</v>
      </c>
      <c r="Q71" s="2"/>
      <c r="R71" s="6">
        <f t="shared" si="12"/>
        <v>0</v>
      </c>
      <c r="S71" s="2"/>
      <c r="T71" s="2">
        <f>SUM(OSRRefT22_14x_0)</f>
        <v>0</v>
      </c>
      <c r="U71" s="2"/>
      <c r="V71" s="6">
        <f t="shared" si="13"/>
        <v>0</v>
      </c>
      <c r="W71" s="2"/>
      <c r="X71" s="2">
        <f t="shared" si="14"/>
        <v>141.24</v>
      </c>
      <c r="Y71" s="2"/>
      <c r="Z71" s="6">
        <f t="shared" si="15"/>
        <v>0</v>
      </c>
    </row>
    <row r="72" spans="1:26" s="70" customFormat="1" ht="15" hidden="1" customHeight="1" outlineLevel="2" x14ac:dyDescent="0.3">
      <c r="A72" s="26"/>
      <c r="B72" s="12" t="str">
        <f>CONCATENATE("          ","6292"," - ","TRAVEL/CONFERENCE")</f>
        <v xml:space="preserve">          6292 - TRAVEL/CONFERENCE</v>
      </c>
      <c r="C72" s="12"/>
      <c r="D72" s="7"/>
      <c r="E72" s="3"/>
      <c r="F72" s="8">
        <f t="shared" si="8"/>
        <v>0</v>
      </c>
      <c r="G72" s="3"/>
      <c r="H72" s="7"/>
      <c r="I72" s="3"/>
      <c r="J72" s="8">
        <f t="shared" si="9"/>
        <v>0</v>
      </c>
      <c r="K72" s="3"/>
      <c r="L72" s="7">
        <f t="shared" si="10"/>
        <v>0</v>
      </c>
      <c r="M72" s="3"/>
      <c r="N72" s="8">
        <f t="shared" si="11"/>
        <v>0</v>
      </c>
      <c r="O72" s="12"/>
      <c r="P72" s="7">
        <v>18.59</v>
      </c>
      <c r="Q72" s="3"/>
      <c r="R72" s="8">
        <f t="shared" si="12"/>
        <v>0</v>
      </c>
      <c r="S72" s="3"/>
      <c r="T72" s="7"/>
      <c r="U72" s="3"/>
      <c r="V72" s="8">
        <f t="shared" si="13"/>
        <v>0</v>
      </c>
      <c r="W72" s="3"/>
      <c r="X72" s="7">
        <f t="shared" si="14"/>
        <v>18.59</v>
      </c>
      <c r="Y72" s="3"/>
      <c r="Z72" s="8">
        <f t="shared" si="15"/>
        <v>0</v>
      </c>
    </row>
    <row r="73" spans="1:26" s="70" customFormat="1" ht="15" hidden="1" customHeight="1" outlineLevel="2" x14ac:dyDescent="0.3">
      <c r="A73" s="26"/>
      <c r="B73" s="12" t="str">
        <f>CONCATENATE("          ","6298"," - ","VEHICLE MILEAGE")</f>
        <v xml:space="preserve">          6298 - VEHICLE MILEAGE</v>
      </c>
      <c r="C73" s="12"/>
      <c r="D73" s="7"/>
      <c r="E73" s="3"/>
      <c r="F73" s="8">
        <f t="shared" si="8"/>
        <v>0</v>
      </c>
      <c r="G73" s="3"/>
      <c r="H73" s="7"/>
      <c r="I73" s="3"/>
      <c r="J73" s="8">
        <f t="shared" si="9"/>
        <v>0</v>
      </c>
      <c r="K73" s="3"/>
      <c r="L73" s="7">
        <f t="shared" si="10"/>
        <v>0</v>
      </c>
      <c r="M73" s="3"/>
      <c r="N73" s="8">
        <f t="shared" si="11"/>
        <v>0</v>
      </c>
      <c r="O73" s="12"/>
      <c r="P73" s="7">
        <v>122.65</v>
      </c>
      <c r="Q73" s="3"/>
      <c r="R73" s="8">
        <f t="shared" si="12"/>
        <v>0</v>
      </c>
      <c r="S73" s="3"/>
      <c r="T73" s="7"/>
      <c r="U73" s="3"/>
      <c r="V73" s="8">
        <f t="shared" si="13"/>
        <v>0</v>
      </c>
      <c r="W73" s="3"/>
      <c r="X73" s="7">
        <f t="shared" si="14"/>
        <v>122.65</v>
      </c>
      <c r="Y73" s="3"/>
      <c r="Z73" s="8">
        <f t="shared" si="15"/>
        <v>0</v>
      </c>
    </row>
    <row r="74" spans="1:26" s="69" customFormat="1" ht="15" customHeight="1" outlineLevel="1" collapsed="1" x14ac:dyDescent="0.3">
      <c r="A74" s="25"/>
      <c r="B74" s="14" t="str">
        <f>CONCATENATE("     ","Utilities                                         ")</f>
        <v xml:space="preserve">     Utilities                                         </v>
      </c>
      <c r="C74" s="14"/>
      <c r="D74" s="2">
        <f>SUM(OSRRefD22_15x_0)</f>
        <v>5550</v>
      </c>
      <c r="E74" s="2"/>
      <c r="F74" s="6">
        <f t="shared" si="8"/>
        <v>0</v>
      </c>
      <c r="G74" s="2"/>
      <c r="H74" s="2">
        <f>SUM(OSRRefH22_15x_0)</f>
        <v>5550</v>
      </c>
      <c r="I74" s="2"/>
      <c r="J74" s="6">
        <f t="shared" si="9"/>
        <v>0</v>
      </c>
      <c r="K74" s="2"/>
      <c r="L74" s="2">
        <f t="shared" si="10"/>
        <v>0</v>
      </c>
      <c r="M74" s="2"/>
      <c r="N74" s="6">
        <f t="shared" si="11"/>
        <v>0</v>
      </c>
      <c r="O74" s="14"/>
      <c r="P74" s="2">
        <f>SUM(OSRRefP22_15x_0)</f>
        <v>49950</v>
      </c>
      <c r="Q74" s="2"/>
      <c r="R74" s="6">
        <f t="shared" si="12"/>
        <v>0</v>
      </c>
      <c r="S74" s="2"/>
      <c r="T74" s="2">
        <f>SUM(OSRRefT22_15x_0)</f>
        <v>49950</v>
      </c>
      <c r="U74" s="2"/>
      <c r="V74" s="6">
        <f t="shared" si="13"/>
        <v>0</v>
      </c>
      <c r="W74" s="2"/>
      <c r="X74" s="2">
        <f t="shared" si="14"/>
        <v>0</v>
      </c>
      <c r="Y74" s="2"/>
      <c r="Z74" s="6">
        <f t="shared" si="15"/>
        <v>0</v>
      </c>
    </row>
    <row r="75" spans="1:26" s="70" customFormat="1" ht="15" hidden="1" customHeight="1" outlineLevel="2" x14ac:dyDescent="0.3">
      <c r="A75" s="26"/>
      <c r="B75" s="12" t="str">
        <f>CONCATENATE("          ","6274"," - ","UTILITIES")</f>
        <v xml:space="preserve">          6274 - UTILITIES</v>
      </c>
      <c r="C75" s="12"/>
      <c r="D75" s="7">
        <v>5550</v>
      </c>
      <c r="E75" s="3"/>
      <c r="F75" s="8">
        <f t="shared" si="8"/>
        <v>0</v>
      </c>
      <c r="G75" s="3"/>
      <c r="H75" s="7">
        <v>5550</v>
      </c>
      <c r="I75" s="3"/>
      <c r="J75" s="8">
        <f t="shared" si="9"/>
        <v>0</v>
      </c>
      <c r="K75" s="3"/>
      <c r="L75" s="7">
        <f t="shared" si="10"/>
        <v>0</v>
      </c>
      <c r="M75" s="3"/>
      <c r="N75" s="8">
        <f t="shared" si="11"/>
        <v>0</v>
      </c>
      <c r="O75" s="12"/>
      <c r="P75" s="7">
        <v>49950</v>
      </c>
      <c r="Q75" s="3"/>
      <c r="R75" s="8">
        <f t="shared" si="12"/>
        <v>0</v>
      </c>
      <c r="S75" s="3"/>
      <c r="T75" s="7">
        <v>49950</v>
      </c>
      <c r="U75" s="3"/>
      <c r="V75" s="8">
        <f t="shared" si="13"/>
        <v>0</v>
      </c>
      <c r="W75" s="3"/>
      <c r="X75" s="7">
        <f t="shared" si="14"/>
        <v>0</v>
      </c>
      <c r="Y75" s="3"/>
      <c r="Z75" s="8">
        <f t="shared" si="15"/>
        <v>0</v>
      </c>
    </row>
    <row r="76" spans="1:26" s="65" customFormat="1" ht="15" customHeight="1" x14ac:dyDescent="0.3">
      <c r="A76" s="35"/>
      <c r="B76" s="35"/>
      <c r="C76" s="35"/>
      <c r="D76" s="2"/>
      <c r="E76" s="2"/>
      <c r="F76" s="6"/>
      <c r="G76" s="2"/>
      <c r="H76" s="2"/>
      <c r="I76" s="2"/>
      <c r="J76" s="6"/>
      <c r="K76" s="2"/>
      <c r="L76" s="2"/>
      <c r="M76" s="2"/>
      <c r="N76" s="6"/>
      <c r="O76" s="35"/>
      <c r="P76" s="2"/>
      <c r="Q76" s="2"/>
      <c r="R76" s="6"/>
      <c r="S76" s="2"/>
      <c r="T76" s="2"/>
      <c r="U76" s="2"/>
      <c r="V76" s="6"/>
      <c r="W76" s="2"/>
      <c r="X76" s="2"/>
      <c r="Y76" s="2"/>
      <c r="Z76" s="6"/>
    </row>
    <row r="77" spans="1:26" s="63" customFormat="1" ht="15" customHeight="1" collapsed="1" x14ac:dyDescent="0.3">
      <c r="A77" s="11"/>
      <c r="B77" s="28" t="s">
        <v>291</v>
      </c>
      <c r="C77" s="11"/>
      <c r="D77" s="5">
        <f>SUM(OSRRefD25x_0)</f>
        <v>19579.439999999999</v>
      </c>
      <c r="E77" s="5"/>
      <c r="F77" s="13">
        <f>IF(D$12=0,0,D77/D$12)</f>
        <v>0</v>
      </c>
      <c r="G77" s="5"/>
      <c r="H77" s="5">
        <f>SUM(OSRRefH25x_0)</f>
        <v>0</v>
      </c>
      <c r="I77" s="5"/>
      <c r="J77" s="13">
        <f>IF(H$12=0,0,H77/H$12)</f>
        <v>0</v>
      </c>
      <c r="K77" s="5"/>
      <c r="L77" s="5">
        <f>+D77-H77</f>
        <v>19579.439999999999</v>
      </c>
      <c r="M77" s="5"/>
      <c r="N77" s="13">
        <f>IF(H77=0,0,L77/H77)</f>
        <v>0</v>
      </c>
      <c r="O77" s="11"/>
      <c r="P77" s="5">
        <f>SUM(OSRRefP25x_0)</f>
        <v>34156.61</v>
      </c>
      <c r="Q77" s="5"/>
      <c r="R77" s="13">
        <f>IF(P$12=0,0,P77/P$12)</f>
        <v>0</v>
      </c>
      <c r="S77" s="5"/>
      <c r="T77" s="5">
        <f>SUM(OSRRefT25x_0)</f>
        <v>0</v>
      </c>
      <c r="U77" s="5"/>
      <c r="V77" s="13">
        <f>IF(T$12=0,0,T77/T$12)</f>
        <v>0</v>
      </c>
      <c r="W77" s="5"/>
      <c r="X77" s="5">
        <f>+P77-T77</f>
        <v>34156.61</v>
      </c>
      <c r="Y77" s="5"/>
      <c r="Z77" s="13">
        <f>IF(T77=0,0,X77/T77)</f>
        <v>0</v>
      </c>
    </row>
    <row r="78" spans="1:26" s="70" customFormat="1" ht="15" hidden="1" customHeight="1" outlineLevel="1" x14ac:dyDescent="0.3">
      <c r="A78" s="42"/>
      <c r="B78" s="12" t="str">
        <f>CONCATENATE("          ","9150"," - ","MISC. INCOME")</f>
        <v xml:space="preserve">          9150 - MISC. INCOME</v>
      </c>
      <c r="C78" s="12"/>
      <c r="D78" s="3">
        <f>--19579.44</f>
        <v>19579.439999999999</v>
      </c>
      <c r="E78" s="3"/>
      <c r="F78" s="20">
        <f>IF(D$12=0,0,D78/D$12)</f>
        <v>0</v>
      </c>
      <c r="G78" s="3"/>
      <c r="H78" s="3"/>
      <c r="I78" s="3"/>
      <c r="J78" s="20">
        <f>IF(H$12=0,0,H78/H$12)</f>
        <v>0</v>
      </c>
      <c r="K78" s="3"/>
      <c r="L78" s="3">
        <f>+D78-H78</f>
        <v>19579.439999999999</v>
      </c>
      <c r="M78" s="3"/>
      <c r="N78" s="20">
        <f>IF(H78=0,0,L78/H78)</f>
        <v>0</v>
      </c>
      <c r="O78" s="12"/>
      <c r="P78" s="3">
        <f>--34156.61</f>
        <v>34156.61</v>
      </c>
      <c r="Q78" s="3"/>
      <c r="R78" s="20">
        <f>IF(P$12=0,0,P78/P$12)</f>
        <v>0</v>
      </c>
      <c r="S78" s="3"/>
      <c r="T78" s="3"/>
      <c r="U78" s="3"/>
      <c r="V78" s="20">
        <f>IF(T$12=0,0,T78/T$12)</f>
        <v>0</v>
      </c>
      <c r="W78" s="3"/>
      <c r="X78" s="3">
        <f>+P78-T78</f>
        <v>34156.61</v>
      </c>
      <c r="Y78" s="3"/>
      <c r="Z78" s="20">
        <f>IF(T78=0,0,X78/T78)</f>
        <v>0</v>
      </c>
    </row>
    <row r="79" spans="1:26" ht="15" customHeight="1" x14ac:dyDescent="0.3">
      <c r="A79" s="10"/>
      <c r="B79" s="11"/>
      <c r="C79" s="11"/>
      <c r="D79" s="4"/>
      <c r="E79" s="4"/>
      <c r="F79" s="9"/>
      <c r="G79" s="4"/>
      <c r="H79" s="4"/>
      <c r="I79" s="4"/>
      <c r="J79" s="9"/>
      <c r="K79" s="4"/>
      <c r="L79" s="4"/>
      <c r="M79" s="4"/>
      <c r="N79" s="9"/>
      <c r="O79" s="11"/>
      <c r="P79" s="4"/>
      <c r="Q79" s="4"/>
      <c r="R79" s="9"/>
      <c r="S79" s="4"/>
      <c r="T79" s="4"/>
      <c r="U79" s="4"/>
      <c r="V79" s="9"/>
      <c r="W79" s="4"/>
      <c r="X79" s="4"/>
      <c r="Y79" s="4"/>
      <c r="Z79" s="9"/>
    </row>
    <row r="80" spans="1:26" s="63" customFormat="1" ht="15" customHeight="1" x14ac:dyDescent="0.3">
      <c r="A80" s="11"/>
      <c r="B80" s="27" t="s">
        <v>292</v>
      </c>
      <c r="C80" s="27"/>
      <c r="D80" s="21">
        <f>+D16-D18+D77</f>
        <v>-25162.439999999984</v>
      </c>
      <c r="E80" s="15"/>
      <c r="F80" s="23">
        <f>IF(D$12=0,0,D80/D$12)</f>
        <v>0</v>
      </c>
      <c r="G80" s="15"/>
      <c r="H80" s="21">
        <f>+H16-H18+H77</f>
        <v>-44372.132430769241</v>
      </c>
      <c r="I80" s="15"/>
      <c r="J80" s="23">
        <f>IF(H$12=0,0,H80/H$12)</f>
        <v>0</v>
      </c>
      <c r="K80" s="16"/>
      <c r="L80" s="21">
        <f>+D80-H80</f>
        <v>19209.692430769257</v>
      </c>
      <c r="M80" s="16"/>
      <c r="N80" s="23">
        <f>IF(H80=0,0,L80/H80)</f>
        <v>-0.43292245331550849</v>
      </c>
      <c r="O80" s="28"/>
      <c r="P80" s="21">
        <f>+P16-P18+P77</f>
        <v>-408880.08000000019</v>
      </c>
      <c r="Q80" s="15"/>
      <c r="R80" s="23">
        <f>IF(P$12=0,0,P80/P$12)</f>
        <v>0</v>
      </c>
      <c r="S80" s="15"/>
      <c r="T80" s="21">
        <f>+T16-T18+T77</f>
        <v>-406430.79119999998</v>
      </c>
      <c r="U80" s="15"/>
      <c r="V80" s="23">
        <f>IF(T$12=0,0,T80/T$12)</f>
        <v>0</v>
      </c>
      <c r="W80" s="16"/>
      <c r="X80" s="21">
        <f>+P80-T80</f>
        <v>-2449.2888000002131</v>
      </c>
      <c r="Y80" s="16"/>
      <c r="Z80" s="23">
        <f>IF(T80=0,0,X80/T80)</f>
        <v>6.026336717177872E-3</v>
      </c>
    </row>
    <row r="81" spans="1:26" ht="15" customHeight="1" x14ac:dyDescent="0.3">
      <c r="A81" s="10"/>
      <c r="B81" s="11"/>
      <c r="C81" s="10"/>
      <c r="D81" s="4"/>
      <c r="E81" s="4"/>
      <c r="F81" s="9"/>
      <c r="G81" s="4"/>
      <c r="H81" s="4"/>
      <c r="I81" s="4"/>
      <c r="J81" s="9"/>
      <c r="K81" s="4"/>
      <c r="L81" s="4"/>
      <c r="M81" s="4"/>
      <c r="N81" s="9"/>
      <c r="P81" s="4"/>
      <c r="Q81" s="4"/>
      <c r="R81" s="9"/>
      <c r="S81" s="4"/>
      <c r="T81" s="4"/>
      <c r="U81" s="4"/>
      <c r="V81" s="9"/>
      <c r="W81" s="4"/>
      <c r="X81" s="4"/>
      <c r="Y81" s="4"/>
      <c r="Z81" s="9"/>
    </row>
    <row r="82" spans="1:26" s="63" customFormat="1" ht="15" customHeight="1" x14ac:dyDescent="0.3">
      <c r="A82" s="49"/>
      <c r="B82" s="11" t="s">
        <v>293</v>
      </c>
      <c r="C82" s="11"/>
      <c r="D82" s="5"/>
      <c r="E82" s="5"/>
      <c r="F82" s="13">
        <f>IF(D$12=0,0,D82/D$12)</f>
        <v>0</v>
      </c>
      <c r="G82" s="5"/>
      <c r="H82" s="5"/>
      <c r="I82" s="5"/>
      <c r="J82" s="13">
        <f>IF(H$12=0,0,H82/H$12)</f>
        <v>0</v>
      </c>
      <c r="K82" s="5"/>
      <c r="L82" s="5">
        <f>+D82-H82</f>
        <v>0</v>
      </c>
      <c r="M82" s="5"/>
      <c r="N82" s="13">
        <f>IF(H82=0,0,L82/H82)</f>
        <v>0</v>
      </c>
      <c r="O82" s="11"/>
      <c r="P82" s="5"/>
      <c r="Q82" s="5"/>
      <c r="R82" s="13">
        <f>IF(P$12=0,0,P82/P$12)</f>
        <v>0</v>
      </c>
      <c r="S82" s="5"/>
      <c r="T82" s="5"/>
      <c r="U82" s="5"/>
      <c r="V82" s="13">
        <f>IF(T$12=0,0,T82/T$12)</f>
        <v>0</v>
      </c>
      <c r="W82" s="5"/>
      <c r="X82" s="5">
        <f>+P82-T82</f>
        <v>0</v>
      </c>
      <c r="Y82" s="5"/>
      <c r="Z82" s="13">
        <f>IF(T82=0,0,X82/T82)</f>
        <v>0</v>
      </c>
    </row>
    <row r="83" spans="1:26" ht="15" customHeight="1" x14ac:dyDescent="0.3">
      <c r="A83" s="10"/>
      <c r="B83" s="11"/>
      <c r="C83" s="11"/>
      <c r="D83" s="4"/>
      <c r="E83" s="4"/>
      <c r="F83" s="9"/>
      <c r="G83" s="4"/>
      <c r="H83" s="4"/>
      <c r="I83" s="4"/>
      <c r="J83" s="9"/>
      <c r="K83" s="4"/>
      <c r="L83" s="4"/>
      <c r="M83" s="4"/>
      <c r="N83" s="9"/>
      <c r="O83" s="11"/>
      <c r="P83" s="4"/>
      <c r="Q83" s="4"/>
      <c r="R83" s="9"/>
      <c r="S83" s="4"/>
      <c r="T83" s="4"/>
      <c r="U83" s="4"/>
      <c r="V83" s="9"/>
      <c r="W83" s="4"/>
      <c r="X83" s="4"/>
      <c r="Y83" s="4"/>
      <c r="Z83" s="9"/>
    </row>
    <row r="84" spans="1:26" s="63" customFormat="1" ht="15" customHeight="1" x14ac:dyDescent="0.3">
      <c r="A84" s="11"/>
      <c r="B84" s="27" t="s">
        <v>294</v>
      </c>
      <c r="C84" s="27"/>
      <c r="D84" s="34">
        <f>+D80-D82</f>
        <v>-25162.439999999984</v>
      </c>
      <c r="E84" s="15"/>
      <c r="F84" s="29">
        <f>IF(D$12=0,0,D84/D$12)</f>
        <v>0</v>
      </c>
      <c r="G84" s="15"/>
      <c r="H84" s="34">
        <f>+H80-H82</f>
        <v>-44372.132430769241</v>
      </c>
      <c r="I84" s="15"/>
      <c r="J84" s="29">
        <f>IF(H$12=0,0,H84/H$12)</f>
        <v>0</v>
      </c>
      <c r="K84" s="16"/>
      <c r="L84" s="34">
        <f>D84-H84</f>
        <v>19209.692430769257</v>
      </c>
      <c r="M84" s="16"/>
      <c r="N84" s="29">
        <f>IF(H84=0,0,L84/H84)</f>
        <v>-0.43292245331550849</v>
      </c>
      <c r="O84" s="28"/>
      <c r="P84" s="34">
        <f>+P80-P82</f>
        <v>-408880.08000000019</v>
      </c>
      <c r="Q84" s="15"/>
      <c r="R84" s="29">
        <f>IF(P$12=0,0,P84/P$12)</f>
        <v>0</v>
      </c>
      <c r="S84" s="15"/>
      <c r="T84" s="34">
        <f>+T80-T82</f>
        <v>-406430.79119999998</v>
      </c>
      <c r="U84" s="15"/>
      <c r="V84" s="29">
        <f>IF(T$12=0,0,T84/T$12)</f>
        <v>0</v>
      </c>
      <c r="W84" s="16"/>
      <c r="X84" s="34">
        <f>P84-T84</f>
        <v>-2449.2888000002131</v>
      </c>
      <c r="Y84" s="16"/>
      <c r="Z84" s="29">
        <f>IF(T84=0,0,X84/T84)</f>
        <v>6.026336717177872E-3</v>
      </c>
    </row>
    <row r="85" spans="1:26" ht="15" customHeight="1" x14ac:dyDescent="0.3">
      <c r="A85" s="10"/>
      <c r="B85" s="10"/>
      <c r="C85" s="10"/>
      <c r="D85" s="4"/>
      <c r="E85" s="4"/>
      <c r="F85" s="9"/>
      <c r="G85" s="4"/>
      <c r="H85" s="4"/>
      <c r="I85" s="4"/>
      <c r="J85" s="9"/>
      <c r="K85" s="4"/>
      <c r="L85" s="4"/>
      <c r="M85" s="4"/>
      <c r="N85" s="9"/>
      <c r="P85" s="4"/>
      <c r="Q85" s="4"/>
      <c r="R85" s="9"/>
      <c r="S85" s="4"/>
      <c r="T85" s="4"/>
      <c r="U85" s="4"/>
      <c r="V85" s="9"/>
      <c r="W85" s="4"/>
      <c r="X85" s="4"/>
      <c r="Y85" s="4"/>
      <c r="Z85" s="9"/>
    </row>
    <row r="86" spans="1:26" ht="15" customHeight="1" x14ac:dyDescent="0.3">
      <c r="A86" s="10"/>
      <c r="B86" s="10"/>
      <c r="C86" s="10"/>
      <c r="D86" s="4"/>
      <c r="E86" s="4"/>
      <c r="F86" s="9"/>
      <c r="G86" s="4"/>
      <c r="H86" s="4"/>
      <c r="I86" s="4"/>
      <c r="J86" s="9"/>
      <c r="K86" s="4"/>
      <c r="L86" s="4"/>
      <c r="M86" s="4"/>
      <c r="N86" s="9"/>
      <c r="P86" s="4"/>
      <c r="Q86" s="4"/>
      <c r="R86" s="9"/>
      <c r="S86" s="4"/>
      <c r="T86" s="4"/>
      <c r="U86" s="4"/>
      <c r="V86" s="9"/>
      <c r="W86" s="4"/>
      <c r="X86" s="4"/>
      <c r="Y86" s="4"/>
      <c r="Z86" s="9"/>
    </row>
    <row r="87" spans="1:26" s="63" customFormat="1" ht="15" customHeight="1" x14ac:dyDescent="0.3">
      <c r="A87" s="11"/>
      <c r="B87" s="27" t="s">
        <v>297</v>
      </c>
      <c r="C87" s="27"/>
      <c r="D87" s="32">
        <f>SUM(D84:D86)</f>
        <v>-25162.439999999984</v>
      </c>
      <c r="E87" s="15"/>
      <c r="F87" s="31">
        <f>IF(D$12=0,0,D87/D$12)</f>
        <v>0</v>
      </c>
      <c r="G87" s="15"/>
      <c r="H87" s="32">
        <f>SUM(H84:H86)</f>
        <v>-44372.132430769241</v>
      </c>
      <c r="I87" s="15"/>
      <c r="J87" s="31">
        <f>IF(H$12=0,0,H87/H$12)</f>
        <v>0</v>
      </c>
      <c r="K87" s="16"/>
      <c r="L87" s="32">
        <f>+D87-H87</f>
        <v>19209.692430769257</v>
      </c>
      <c r="M87" s="16"/>
      <c r="N87" s="31">
        <f>IF(H87=0,0,L87/H87)</f>
        <v>-0.43292245331550849</v>
      </c>
      <c r="O87" s="28"/>
      <c r="P87" s="32">
        <f>SUM(P84:P86)</f>
        <v>-408880.08000000019</v>
      </c>
      <c r="Q87" s="15"/>
      <c r="R87" s="31">
        <f>IF(P$12=0,0,P87/P$12)</f>
        <v>0</v>
      </c>
      <c r="S87" s="15"/>
      <c r="T87" s="32">
        <f>SUM(T84:T86)</f>
        <v>-406430.79119999998</v>
      </c>
      <c r="U87" s="15"/>
      <c r="V87" s="31">
        <f>IF(T$12=0,0,T87/T$12)</f>
        <v>0</v>
      </c>
      <c r="W87" s="16"/>
      <c r="X87" s="32">
        <f>+P87-T87</f>
        <v>-2449.2888000002131</v>
      </c>
      <c r="Y87" s="16"/>
      <c r="Z87" s="31">
        <f>IF(T87=0,0,X87/T87)</f>
        <v>6.026336717177872E-3</v>
      </c>
    </row>
    <row r="88" spans="1:26" ht="15" customHeight="1" x14ac:dyDescent="0.3">
      <c r="A88" s="10"/>
      <c r="C88" s="10"/>
      <c r="D88" s="19"/>
      <c r="E88" s="19"/>
      <c r="G88" s="19"/>
      <c r="H88" s="19"/>
      <c r="I88" s="19"/>
      <c r="J88" s="40"/>
      <c r="K88" s="19"/>
      <c r="L88" s="19"/>
      <c r="M88" s="19"/>
      <c r="P88" s="19"/>
      <c r="Q88" s="19"/>
      <c r="R88" s="40"/>
      <c r="S88" s="19"/>
      <c r="T88" s="19"/>
      <c r="U88" s="19"/>
      <c r="V88" s="40"/>
      <c r="W88" s="19"/>
      <c r="X88" s="19"/>
    </row>
    <row r="89" spans="1:26" ht="15" customHeight="1" x14ac:dyDescent="0.3">
      <c r="A89" s="10"/>
      <c r="B89" s="51">
        <v>44663.047665428239</v>
      </c>
      <c r="D89" s="19"/>
      <c r="E89" s="19"/>
      <c r="G89" s="19"/>
      <c r="H89" s="19"/>
      <c r="I89" s="19"/>
      <c r="J89" s="40"/>
      <c r="K89" s="19"/>
      <c r="L89" s="19"/>
      <c r="M89" s="19"/>
      <c r="P89" s="19"/>
      <c r="Q89" s="19"/>
      <c r="R89" s="40"/>
      <c r="S89" s="19"/>
      <c r="T89" s="19"/>
      <c r="U89" s="19"/>
      <c r="V89" s="40"/>
      <c r="W89" s="19"/>
      <c r="X89" s="19"/>
    </row>
    <row r="90" spans="1:26" ht="15" customHeight="1" x14ac:dyDescent="0.3">
      <c r="A90" s="10"/>
      <c r="B90" s="58" t="s">
        <v>298</v>
      </c>
      <c r="D90" s="19"/>
      <c r="E90" s="19"/>
      <c r="G90" s="19"/>
      <c r="H90" s="19"/>
      <c r="I90" s="19"/>
      <c r="J90" s="40"/>
      <c r="K90" s="19"/>
      <c r="L90" s="19"/>
      <c r="M90" s="19"/>
      <c r="P90" s="19"/>
      <c r="Q90" s="19"/>
      <c r="R90" s="40"/>
      <c r="S90" s="19"/>
      <c r="T90" s="19"/>
      <c r="U90" s="19"/>
      <c r="V90" s="40"/>
      <c r="W90" s="19"/>
      <c r="X90" s="19"/>
    </row>
    <row r="91" spans="1:26" ht="15" customHeight="1" x14ac:dyDescent="0.3">
      <c r="A91" s="10"/>
      <c r="B91" s="50"/>
      <c r="D91" s="19"/>
      <c r="E91" s="19"/>
      <c r="G91" s="19"/>
      <c r="H91" s="19"/>
      <c r="I91" s="19"/>
      <c r="J91" s="40"/>
      <c r="K91" s="19"/>
      <c r="L91" s="19"/>
      <c r="M91" s="19"/>
      <c r="P91" s="19"/>
      <c r="Q91" s="19"/>
      <c r="R91" s="40"/>
      <c r="S91" s="19"/>
      <c r="T91" s="19"/>
      <c r="U91" s="19"/>
      <c r="V91" s="40"/>
      <c r="W91" s="19"/>
      <c r="X91" s="19"/>
    </row>
    <row r="92" spans="1:26" ht="15" customHeight="1" x14ac:dyDescent="0.3">
      <c r="D92" s="19"/>
      <c r="E92" s="19"/>
      <c r="G92" s="19"/>
      <c r="H92" s="19"/>
      <c r="I92" s="19"/>
      <c r="J92" s="40"/>
      <c r="K92" s="19"/>
      <c r="L92" s="19"/>
      <c r="M92" s="19"/>
      <c r="P92" s="19"/>
      <c r="Q92" s="19"/>
      <c r="R92" s="40"/>
      <c r="S92" s="19"/>
      <c r="T92" s="19"/>
      <c r="U92" s="19"/>
      <c r="V92" s="40"/>
      <c r="W92" s="19"/>
      <c r="X92" s="19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9E7BA3-CA0C-0758-2BB1-002DD338F44D}">
  <sheetPr>
    <tabColor rgb="FF92D050"/>
    <outlinePr summaryBelow="0" summaryRight="0"/>
  </sheetPr>
  <dimension ref="A2:Z42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6" customWidth="1"/>
    <col min="2" max="2" width="33.44140625" style="66" customWidth="1"/>
    <col min="3" max="3" width="1.88671875" style="66" customWidth="1"/>
    <col min="4" max="4" width="15" style="66" customWidth="1"/>
    <col min="5" max="5" width="1.88671875" style="66" customWidth="1" outlineLevel="1"/>
    <col min="6" max="6" width="15" style="67" customWidth="1" outlineLevel="1"/>
    <col min="7" max="7" width="1.88671875" style="66" customWidth="1" outlineLevel="1"/>
    <col min="8" max="8" width="15" style="66" customWidth="1" outlineLevel="1"/>
    <col min="9" max="9" width="1.88671875" style="66" customWidth="1" outlineLevel="1"/>
    <col min="10" max="10" width="15" style="68" customWidth="1" outlineLevel="1"/>
    <col min="11" max="11" width="1.88671875" style="66" customWidth="1" outlineLevel="1"/>
    <col min="12" max="12" width="15" style="66" customWidth="1" outlineLevel="1"/>
    <col min="13" max="13" width="1.88671875" style="66" customWidth="1" outlineLevel="1"/>
    <col min="14" max="14" width="15" style="67" customWidth="1" outlineLevel="1"/>
    <col min="15" max="15" width="1.88671875" style="64" customWidth="1"/>
    <col min="16" max="16" width="15" style="66" customWidth="1"/>
    <col min="17" max="17" width="1.88671875" style="66" customWidth="1" outlineLevel="1"/>
    <col min="18" max="18" width="15" style="68" customWidth="1" outlineLevel="1"/>
    <col min="19" max="19" width="1.88671875" style="66" customWidth="1" outlineLevel="1"/>
    <col min="20" max="20" width="15" style="66" customWidth="1" outlineLevel="1"/>
    <col min="21" max="21" width="1.88671875" style="66" customWidth="1" outlineLevel="1"/>
    <col min="22" max="22" width="15" style="68" customWidth="1" outlineLevel="1"/>
    <col min="23" max="23" width="1.88671875" style="66" customWidth="1" outlineLevel="1"/>
    <col min="24" max="24" width="15" style="66" customWidth="1" outlineLevel="1"/>
    <col min="25" max="25" width="1.88671875" style="66" customWidth="1" outlineLevel="1"/>
    <col min="26" max="26" width="15" style="68" customWidth="1" outlineLevel="1"/>
  </cols>
  <sheetData>
    <row r="2" spans="1:26" ht="15" customHeight="1" x14ac:dyDescent="0.3">
      <c r="D2" s="54" t="s">
        <v>276</v>
      </c>
    </row>
    <row r="3" spans="1:26" ht="15" customHeight="1" x14ac:dyDescent="0.3">
      <c r="D3" s="54" t="s">
        <v>277</v>
      </c>
      <c r="E3" s="18"/>
      <c r="F3" s="44"/>
      <c r="G3" s="18"/>
      <c r="H3" s="18"/>
      <c r="I3" s="18"/>
      <c r="J3" s="38"/>
      <c r="K3" s="18"/>
      <c r="L3" s="18"/>
      <c r="M3" s="18"/>
      <c r="N3" s="44"/>
      <c r="O3" s="53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ht="15" customHeight="1" x14ac:dyDescent="0.3">
      <c r="D4" s="54" t="str">
        <f>CONCATENATE("Period ",RIGHT(202209,2),", ",2022)</f>
        <v>Period 09, 2022</v>
      </c>
      <c r="E4" s="18"/>
      <c r="F4" s="44"/>
      <c r="G4" s="18"/>
      <c r="H4" s="18"/>
      <c r="I4" s="18"/>
      <c r="J4" s="38"/>
      <c r="K4" s="18"/>
      <c r="L4" s="18"/>
      <c r="M4" s="18"/>
      <c r="N4" s="44"/>
      <c r="O4" s="53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ht="15" customHeight="1" x14ac:dyDescent="0.3">
      <c r="A5" s="24"/>
      <c r="D5" s="60">
        <v>44646</v>
      </c>
      <c r="E5" s="18"/>
      <c r="F5" s="44"/>
      <c r="G5" s="18"/>
      <c r="H5" s="18"/>
      <c r="I5" s="18"/>
      <c r="J5" s="38"/>
      <c r="K5" s="18"/>
      <c r="L5" s="18"/>
      <c r="M5" s="18"/>
      <c r="N5" s="44"/>
      <c r="O5" s="53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ht="15" customHeight="1" x14ac:dyDescent="0.3">
      <c r="A6" s="24"/>
      <c r="B6" s="47"/>
      <c r="C6" s="47"/>
      <c r="D6" s="24" t="str">
        <f>CONCATENATE("Department ","412"," - ","Chartroom")</f>
        <v>Department 412 - Chartroom</v>
      </c>
      <c r="E6" s="18"/>
      <c r="F6" s="44"/>
      <c r="G6" s="18"/>
      <c r="H6" s="18"/>
      <c r="I6" s="18"/>
      <c r="J6" s="38"/>
      <c r="K6" s="18"/>
      <c r="L6" s="18"/>
      <c r="M6" s="18"/>
      <c r="N6" s="44"/>
      <c r="O6" s="59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ht="15" customHeight="1" x14ac:dyDescent="0.3">
      <c r="B7" s="52"/>
    </row>
    <row r="8" spans="1:26" ht="15" customHeight="1" x14ac:dyDescent="0.3">
      <c r="B8" s="52"/>
    </row>
    <row r="9" spans="1:26" ht="15" customHeight="1" x14ac:dyDescent="0.3">
      <c r="B9" s="10"/>
      <c r="C9" s="10"/>
      <c r="D9" s="17" t="s">
        <v>279</v>
      </c>
      <c r="E9" s="17"/>
      <c r="F9" s="36"/>
      <c r="G9" s="17"/>
      <c r="H9" s="17"/>
      <c r="I9" s="17"/>
      <c r="J9" s="43"/>
      <c r="K9" s="17"/>
      <c r="L9" s="17"/>
      <c r="M9" s="17"/>
      <c r="N9" s="36"/>
      <c r="P9" s="17" t="s">
        <v>280</v>
      </c>
      <c r="Q9" s="17"/>
      <c r="R9" s="36"/>
      <c r="S9" s="17"/>
      <c r="T9" s="17"/>
      <c r="U9" s="17"/>
      <c r="V9" s="43"/>
      <c r="W9" s="17"/>
      <c r="X9" s="17"/>
      <c r="Y9" s="17"/>
      <c r="Z9" s="36"/>
    </row>
    <row r="10" spans="1:26" ht="15" customHeight="1" x14ac:dyDescent="0.3">
      <c r="A10" s="11"/>
      <c r="B10" s="57"/>
      <c r="C10" s="11"/>
      <c r="D10" s="41" t="s">
        <v>281</v>
      </c>
      <c r="E10" s="33"/>
      <c r="F10" s="37" t="s">
        <v>282</v>
      </c>
      <c r="G10" s="33"/>
      <c r="H10" s="48" t="s">
        <v>283</v>
      </c>
      <c r="I10" s="33"/>
      <c r="J10" s="45" t="s">
        <v>284</v>
      </c>
      <c r="K10" s="11"/>
      <c r="L10" s="41" t="s">
        <v>285</v>
      </c>
      <c r="M10" s="11"/>
      <c r="N10" s="37" t="s">
        <v>286</v>
      </c>
      <c r="O10" s="11"/>
      <c r="P10" s="56" t="s">
        <v>281</v>
      </c>
      <c r="Q10" s="33"/>
      <c r="R10" s="37" t="s">
        <v>282</v>
      </c>
      <c r="S10" s="33"/>
      <c r="T10" s="48" t="s">
        <v>283</v>
      </c>
      <c r="U10" s="33"/>
      <c r="V10" s="45" t="s">
        <v>284</v>
      </c>
      <c r="W10" s="11"/>
      <c r="X10" s="41" t="s">
        <v>285</v>
      </c>
      <c r="Y10" s="11"/>
      <c r="Z10" s="37" t="s">
        <v>286</v>
      </c>
    </row>
    <row r="11" spans="1:26" ht="16.5" customHeight="1" x14ac:dyDescent="0.3">
      <c r="A11" s="10"/>
      <c r="B11" s="55"/>
      <c r="C11" s="10"/>
      <c r="D11" s="10"/>
      <c r="E11" s="10"/>
      <c r="F11" s="9"/>
      <c r="G11" s="10"/>
      <c r="H11" s="10"/>
      <c r="I11" s="10"/>
      <c r="J11" s="46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6"/>
      <c r="W11" s="10"/>
      <c r="X11" s="10"/>
      <c r="Y11" s="10"/>
      <c r="Z11" s="9"/>
    </row>
    <row r="12" spans="1:26" s="63" customFormat="1" ht="15" customHeight="1" x14ac:dyDescent="0.3">
      <c r="A12" s="11"/>
      <c r="B12" s="28" t="s">
        <v>287</v>
      </c>
      <c r="C12" s="11"/>
      <c r="D12" s="5">
        <f>SUM(0)</f>
        <v>0</v>
      </c>
      <c r="E12" s="5"/>
      <c r="F12" s="13"/>
      <c r="G12" s="5"/>
      <c r="H12" s="5">
        <f>SUM(0)</f>
        <v>0</v>
      </c>
      <c r="I12" s="5"/>
      <c r="J12" s="13"/>
      <c r="K12" s="5"/>
      <c r="L12" s="5">
        <f>+D12-H12</f>
        <v>0</v>
      </c>
      <c r="M12" s="5"/>
      <c r="N12" s="13">
        <f>IF(H12=0,0,L12/H12)</f>
        <v>0</v>
      </c>
      <c r="O12" s="11"/>
      <c r="P12" s="5">
        <f>SUM(0)</f>
        <v>0</v>
      </c>
      <c r="Q12" s="5"/>
      <c r="R12" s="13"/>
      <c r="S12" s="5"/>
      <c r="T12" s="5">
        <f>SUM(0)</f>
        <v>0</v>
      </c>
      <c r="U12" s="5"/>
      <c r="V12" s="13"/>
      <c r="W12" s="5"/>
      <c r="X12" s="5">
        <f>+P12-T12</f>
        <v>0</v>
      </c>
      <c r="Y12" s="5"/>
      <c r="Z12" s="13">
        <f>IF(T12=0,0,X12/T12)</f>
        <v>0</v>
      </c>
    </row>
    <row r="13" spans="1:26" ht="15" customHeight="1" x14ac:dyDescent="0.3">
      <c r="A13" s="10"/>
      <c r="B13" s="11"/>
      <c r="C13" s="10"/>
      <c r="D13" s="4"/>
      <c r="E13" s="4"/>
      <c r="F13" s="9"/>
      <c r="G13" s="4"/>
      <c r="H13" s="4"/>
      <c r="I13" s="4"/>
      <c r="J13" s="9"/>
      <c r="K13" s="4"/>
      <c r="L13" s="4"/>
      <c r="M13" s="4"/>
      <c r="N13" s="9"/>
      <c r="P13" s="4"/>
      <c r="Q13" s="4"/>
      <c r="R13" s="9"/>
      <c r="S13" s="4"/>
      <c r="T13" s="4"/>
      <c r="U13" s="4"/>
      <c r="V13" s="9"/>
      <c r="W13" s="4"/>
      <c r="X13" s="4"/>
      <c r="Y13" s="4"/>
      <c r="Z13" s="9"/>
    </row>
    <row r="14" spans="1:26" s="63" customFormat="1" ht="15" customHeight="1" x14ac:dyDescent="0.3">
      <c r="A14" s="11"/>
      <c r="B14" s="28" t="s">
        <v>288</v>
      </c>
      <c r="C14" s="11"/>
      <c r="D14" s="5">
        <f>SUM(0)</f>
        <v>0</v>
      </c>
      <c r="E14" s="5"/>
      <c r="F14" s="13">
        <f>IF(D$12=0,0,D14/D$12)</f>
        <v>0</v>
      </c>
      <c r="G14" s="5"/>
      <c r="H14" s="5">
        <f>SUM(0)</f>
        <v>0</v>
      </c>
      <c r="I14" s="5"/>
      <c r="J14" s="13">
        <f>IF(H$12=0,0,H14/H$12)</f>
        <v>0</v>
      </c>
      <c r="K14" s="5"/>
      <c r="L14" s="5">
        <f>+D14-H14</f>
        <v>0</v>
      </c>
      <c r="M14" s="5"/>
      <c r="N14" s="13">
        <f>IF(H14=0,0,L14/H14)</f>
        <v>0</v>
      </c>
      <c r="O14" s="11"/>
      <c r="P14" s="5">
        <f>SUM(0)</f>
        <v>0</v>
      </c>
      <c r="Q14" s="5"/>
      <c r="R14" s="13">
        <f>IF(P$12=0,0,P14/P$12)</f>
        <v>0</v>
      </c>
      <c r="S14" s="5"/>
      <c r="T14" s="5">
        <f>SUM(0)</f>
        <v>0</v>
      </c>
      <c r="U14" s="5"/>
      <c r="V14" s="13">
        <f>IF(T$12=0,0,T14/T$12)</f>
        <v>0</v>
      </c>
      <c r="W14" s="5"/>
      <c r="X14" s="5">
        <f>+P14-T14</f>
        <v>0</v>
      </c>
      <c r="Y14" s="5"/>
      <c r="Z14" s="13">
        <f>IF(T14=0,0,X14/T14)</f>
        <v>0</v>
      </c>
    </row>
    <row r="15" spans="1:26" ht="15" customHeight="1" x14ac:dyDescent="0.3">
      <c r="A15" s="10"/>
      <c r="B15" s="11"/>
      <c r="C15" s="11"/>
      <c r="D15" s="4"/>
      <c r="E15" s="4"/>
      <c r="F15" s="9"/>
      <c r="G15" s="4"/>
      <c r="H15" s="4"/>
      <c r="I15" s="4"/>
      <c r="J15" s="9"/>
      <c r="K15" s="4"/>
      <c r="L15" s="4"/>
      <c r="M15" s="4"/>
      <c r="N15" s="9"/>
      <c r="O15" s="11"/>
      <c r="P15" s="4"/>
      <c r="Q15" s="4"/>
      <c r="R15" s="9"/>
      <c r="S15" s="4"/>
      <c r="T15" s="4"/>
      <c r="U15" s="4"/>
      <c r="V15" s="9"/>
      <c r="W15" s="4"/>
      <c r="X15" s="4"/>
      <c r="Y15" s="4"/>
      <c r="Z15" s="9"/>
    </row>
    <row r="16" spans="1:26" s="63" customFormat="1" ht="15" customHeight="1" x14ac:dyDescent="0.3">
      <c r="A16" s="11"/>
      <c r="B16" s="27" t="s">
        <v>289</v>
      </c>
      <c r="C16" s="27"/>
      <c r="D16" s="21">
        <f>D12-D14</f>
        <v>0</v>
      </c>
      <c r="E16" s="15"/>
      <c r="F16" s="23">
        <f>IF(D$12=0,0,D16/D$12)</f>
        <v>0</v>
      </c>
      <c r="G16" s="15"/>
      <c r="H16" s="21">
        <f>H12-H14</f>
        <v>0</v>
      </c>
      <c r="I16" s="15"/>
      <c r="J16" s="23">
        <f>IF(H$12=0,0,H16/H$12)</f>
        <v>0</v>
      </c>
      <c r="K16" s="16"/>
      <c r="L16" s="21">
        <f>+D16-H16</f>
        <v>0</v>
      </c>
      <c r="M16" s="16"/>
      <c r="N16" s="23">
        <f>IF(H16=0,0,L16/H16)</f>
        <v>0</v>
      </c>
      <c r="O16" s="28"/>
      <c r="P16" s="21">
        <f>P12-P14</f>
        <v>0</v>
      </c>
      <c r="Q16" s="15"/>
      <c r="R16" s="23">
        <f>IF(P$12=0,0,P16/P$12)</f>
        <v>0</v>
      </c>
      <c r="S16" s="15"/>
      <c r="T16" s="21">
        <f>T12-T14</f>
        <v>0</v>
      </c>
      <c r="U16" s="15"/>
      <c r="V16" s="23">
        <f>IF(T$12=0,0,T16/T$12)</f>
        <v>0</v>
      </c>
      <c r="W16" s="16"/>
      <c r="X16" s="21">
        <f>+P16-T16</f>
        <v>0</v>
      </c>
      <c r="Y16" s="16"/>
      <c r="Z16" s="23">
        <f>IF(T16=0,0,X16/T16)</f>
        <v>0</v>
      </c>
    </row>
    <row r="17" spans="1:26" ht="15" customHeight="1" x14ac:dyDescent="0.3">
      <c r="A17" s="10"/>
      <c r="B17" s="11"/>
      <c r="C17" s="10"/>
      <c r="D17" s="2"/>
      <c r="E17" s="2"/>
      <c r="F17" s="6"/>
      <c r="G17" s="2"/>
      <c r="H17" s="2"/>
      <c r="I17" s="2"/>
      <c r="J17" s="6"/>
      <c r="K17" s="2"/>
      <c r="L17" s="2"/>
      <c r="M17" s="2"/>
      <c r="N17" s="6"/>
      <c r="O17" s="35"/>
      <c r="P17" s="2"/>
      <c r="Q17" s="2"/>
      <c r="R17" s="6"/>
      <c r="S17" s="2"/>
      <c r="T17" s="2"/>
      <c r="U17" s="2"/>
      <c r="V17" s="6"/>
      <c r="W17" s="2"/>
      <c r="X17" s="2"/>
      <c r="Y17" s="2"/>
      <c r="Z17" s="6"/>
    </row>
    <row r="18" spans="1:26" s="63" customFormat="1" ht="15" customHeight="1" x14ac:dyDescent="0.3">
      <c r="A18" s="11"/>
      <c r="B18" s="28" t="s">
        <v>290</v>
      </c>
      <c r="C18" s="11"/>
      <c r="D18" s="22" cm="1">
        <f t="array" ref="D18">SUM(OSRRefD22x_0)</f>
        <v>640.63</v>
      </c>
      <c r="E18" s="22"/>
      <c r="F18" s="30">
        <f t="shared" ref="F18:F26" si="0">IF(D$12=0,0,D18/D$12)</f>
        <v>0</v>
      </c>
      <c r="G18" s="22"/>
      <c r="H18" s="22" cm="1">
        <f t="array" ref="H18">SUM(OSRRefH22x_0)</f>
        <v>577</v>
      </c>
      <c r="I18" s="22"/>
      <c r="J18" s="30">
        <f t="shared" ref="J18:J26" si="1">IF(H$12=0,0,H18/H$12)</f>
        <v>0</v>
      </c>
      <c r="K18" s="5"/>
      <c r="L18" s="22">
        <f t="shared" ref="L18:L26" si="2">+D18-H18</f>
        <v>63.629999999999995</v>
      </c>
      <c r="M18" s="5"/>
      <c r="N18" s="30">
        <f t="shared" ref="N18:N26" si="3">IF(H18=0,0,L18/H18)</f>
        <v>0.11027729636048526</v>
      </c>
      <c r="O18" s="11"/>
      <c r="P18" s="22" cm="1">
        <f t="array" ref="P18">SUM(OSRRefP22x_0)</f>
        <v>5518.81</v>
      </c>
      <c r="Q18" s="22"/>
      <c r="R18" s="30">
        <f t="shared" ref="R18:R26" si="4">IF(P$12=0,0,P18/P$12)</f>
        <v>0</v>
      </c>
      <c r="S18" s="22"/>
      <c r="T18" s="22" cm="1">
        <f t="array" ref="T18">SUM(OSRRefT22x_0)</f>
        <v>5193</v>
      </c>
      <c r="U18" s="22"/>
      <c r="V18" s="30">
        <f t="shared" ref="V18:V26" si="5">IF(T$12=0,0,T18/T$12)</f>
        <v>0</v>
      </c>
      <c r="W18" s="5"/>
      <c r="X18" s="22">
        <f t="shared" ref="X18:X26" si="6">+P18-T18</f>
        <v>325.8100000000004</v>
      </c>
      <c r="Y18" s="5"/>
      <c r="Z18" s="30">
        <f t="shared" ref="Z18:Z26" si="7">IF(T18=0,0,X18/T18)</f>
        <v>6.2740227228962137E-2</v>
      </c>
    </row>
    <row r="19" spans="1:26" s="69" customFormat="1" ht="15" customHeight="1" outlineLevel="1" collapsed="1" x14ac:dyDescent="0.3">
      <c r="A19" s="25"/>
      <c r="B19" s="14" t="str">
        <f>CONCATENATE("     ","Depreciation                                      ")</f>
        <v xml:space="preserve">     Depreciation                                      </v>
      </c>
      <c r="C19" s="14"/>
      <c r="D19" s="2">
        <f>SUM(OSRRefD22_0x_0)</f>
        <v>577.36</v>
      </c>
      <c r="E19" s="2"/>
      <c r="F19" s="6">
        <f t="shared" si="0"/>
        <v>0</v>
      </c>
      <c r="G19" s="2"/>
      <c r="H19" s="2">
        <f>SUM(OSRRefH22_0x_0)</f>
        <v>577</v>
      </c>
      <c r="I19" s="2"/>
      <c r="J19" s="6">
        <f t="shared" si="1"/>
        <v>0</v>
      </c>
      <c r="K19" s="2"/>
      <c r="L19" s="2">
        <f t="shared" si="2"/>
        <v>0.36000000000001364</v>
      </c>
      <c r="M19" s="2"/>
      <c r="N19" s="6">
        <f t="shared" si="3"/>
        <v>6.2391681109187809E-4</v>
      </c>
      <c r="O19" s="14"/>
      <c r="P19" s="2">
        <f>SUM(OSRRefP22_0x_0)</f>
        <v>5196.24</v>
      </c>
      <c r="Q19" s="2"/>
      <c r="R19" s="6">
        <f t="shared" si="4"/>
        <v>0</v>
      </c>
      <c r="S19" s="2"/>
      <c r="T19" s="2">
        <f>SUM(OSRRefT22_0x_0)</f>
        <v>5193</v>
      </c>
      <c r="U19" s="2"/>
      <c r="V19" s="6">
        <f t="shared" si="5"/>
        <v>0</v>
      </c>
      <c r="W19" s="2"/>
      <c r="X19" s="2">
        <f t="shared" si="6"/>
        <v>3.2399999999997817</v>
      </c>
      <c r="Y19" s="2"/>
      <c r="Z19" s="6">
        <f t="shared" si="7"/>
        <v>6.2391681109181239E-4</v>
      </c>
    </row>
    <row r="20" spans="1:26" s="70" customFormat="1" ht="15" hidden="1" customHeight="1" outlineLevel="2" x14ac:dyDescent="0.3">
      <c r="A20" s="26"/>
      <c r="B20" s="12" t="str">
        <f>CONCATENATE("          ","6322"," - ","EQUIPMENT DEPRECIATION EXPENSE")</f>
        <v xml:space="preserve">          6322 - EQUIPMENT DEPRECIATION EXPENSE</v>
      </c>
      <c r="C20" s="12"/>
      <c r="D20" s="7">
        <v>577.36</v>
      </c>
      <c r="E20" s="3"/>
      <c r="F20" s="8">
        <f t="shared" si="0"/>
        <v>0</v>
      </c>
      <c r="G20" s="3"/>
      <c r="H20" s="7">
        <v>577</v>
      </c>
      <c r="I20" s="3"/>
      <c r="J20" s="8">
        <f t="shared" si="1"/>
        <v>0</v>
      </c>
      <c r="K20" s="3"/>
      <c r="L20" s="7">
        <f t="shared" si="2"/>
        <v>0.36000000000001364</v>
      </c>
      <c r="M20" s="3"/>
      <c r="N20" s="8">
        <f t="shared" si="3"/>
        <v>6.2391681109187809E-4</v>
      </c>
      <c r="O20" s="12"/>
      <c r="P20" s="7">
        <v>5196.24</v>
      </c>
      <c r="Q20" s="3"/>
      <c r="R20" s="8">
        <f t="shared" si="4"/>
        <v>0</v>
      </c>
      <c r="S20" s="3"/>
      <c r="T20" s="7">
        <v>5193</v>
      </c>
      <c r="U20" s="3"/>
      <c r="V20" s="8">
        <f t="shared" si="5"/>
        <v>0</v>
      </c>
      <c r="W20" s="3"/>
      <c r="X20" s="7">
        <f t="shared" si="6"/>
        <v>3.2399999999997817</v>
      </c>
      <c r="Y20" s="3"/>
      <c r="Z20" s="8">
        <f t="shared" si="7"/>
        <v>6.2391681109181239E-4</v>
      </c>
    </row>
    <row r="21" spans="1:26" s="69" customFormat="1" ht="15" customHeight="1" outlineLevel="1" collapsed="1" x14ac:dyDescent="0.3">
      <c r="A21" s="25"/>
      <c r="B21" s="14" t="str">
        <f>CONCATENATE("     ","Repair and Maintenance                            ")</f>
        <v xml:space="preserve">     Repair and Maintenance                            </v>
      </c>
      <c r="C21" s="14"/>
      <c r="D21" s="2">
        <f>SUM(OSRRefD22_1x_0)</f>
        <v>63.27</v>
      </c>
      <c r="E21" s="2"/>
      <c r="F21" s="6">
        <f t="shared" si="0"/>
        <v>0</v>
      </c>
      <c r="G21" s="2"/>
      <c r="H21" s="2">
        <f>SUM(OSRRefH22_1x_0)</f>
        <v>0</v>
      </c>
      <c r="I21" s="2"/>
      <c r="J21" s="6">
        <f t="shared" si="1"/>
        <v>0</v>
      </c>
      <c r="K21" s="2"/>
      <c r="L21" s="2">
        <f t="shared" si="2"/>
        <v>63.27</v>
      </c>
      <c r="M21" s="2"/>
      <c r="N21" s="6">
        <f t="shared" si="3"/>
        <v>0</v>
      </c>
      <c r="O21" s="14"/>
      <c r="P21" s="2">
        <f>SUM(OSRRefP22_1x_0)</f>
        <v>186.97</v>
      </c>
      <c r="Q21" s="2"/>
      <c r="R21" s="6">
        <f t="shared" si="4"/>
        <v>0</v>
      </c>
      <c r="S21" s="2"/>
      <c r="T21" s="2">
        <f>SUM(OSRRefT22_1x_0)</f>
        <v>0</v>
      </c>
      <c r="U21" s="2"/>
      <c r="V21" s="6">
        <f t="shared" si="5"/>
        <v>0</v>
      </c>
      <c r="W21" s="2"/>
      <c r="X21" s="2">
        <f t="shared" si="6"/>
        <v>186.97</v>
      </c>
      <c r="Y21" s="2"/>
      <c r="Z21" s="6">
        <f t="shared" si="7"/>
        <v>0</v>
      </c>
    </row>
    <row r="22" spans="1:26" s="70" customFormat="1" ht="15" hidden="1" customHeight="1" outlineLevel="2" x14ac:dyDescent="0.3">
      <c r="A22" s="26"/>
      <c r="B22" s="12" t="str">
        <f>CONCATENATE("          ","6373"," - ","MAINTENANCE CONTRACTS")</f>
        <v xml:space="preserve">          6373 - MAINTENANCE CONTRACTS</v>
      </c>
      <c r="C22" s="12"/>
      <c r="D22" s="7">
        <v>63.27</v>
      </c>
      <c r="E22" s="3"/>
      <c r="F22" s="8">
        <f t="shared" si="0"/>
        <v>0</v>
      </c>
      <c r="G22" s="3"/>
      <c r="H22" s="7"/>
      <c r="I22" s="3"/>
      <c r="J22" s="8">
        <f t="shared" si="1"/>
        <v>0</v>
      </c>
      <c r="K22" s="3"/>
      <c r="L22" s="7">
        <f t="shared" si="2"/>
        <v>63.27</v>
      </c>
      <c r="M22" s="3"/>
      <c r="N22" s="8">
        <f t="shared" si="3"/>
        <v>0</v>
      </c>
      <c r="O22" s="12"/>
      <c r="P22" s="7">
        <v>186.97</v>
      </c>
      <c r="Q22" s="3"/>
      <c r="R22" s="8">
        <f t="shared" si="4"/>
        <v>0</v>
      </c>
      <c r="S22" s="3"/>
      <c r="T22" s="7"/>
      <c r="U22" s="3"/>
      <c r="V22" s="8">
        <f t="shared" si="5"/>
        <v>0</v>
      </c>
      <c r="W22" s="3"/>
      <c r="X22" s="7">
        <f t="shared" si="6"/>
        <v>186.97</v>
      </c>
      <c r="Y22" s="3"/>
      <c r="Z22" s="8">
        <f t="shared" si="7"/>
        <v>0</v>
      </c>
    </row>
    <row r="23" spans="1:26" s="69" customFormat="1" ht="15" customHeight="1" outlineLevel="1" collapsed="1" x14ac:dyDescent="0.3">
      <c r="A23" s="25"/>
      <c r="B23" s="14" t="str">
        <f>CONCATENATE("     ","Services                                          ")</f>
        <v xml:space="preserve">     Services                                          </v>
      </c>
      <c r="C23" s="14"/>
      <c r="D23" s="2">
        <f>SUM(OSRRefD22_2x_0)</f>
        <v>0</v>
      </c>
      <c r="E23" s="2"/>
      <c r="F23" s="6">
        <f t="shared" si="0"/>
        <v>0</v>
      </c>
      <c r="G23" s="2"/>
      <c r="H23" s="2">
        <f>SUM(OSRRefH22_2x_0)</f>
        <v>0</v>
      </c>
      <c r="I23" s="2"/>
      <c r="J23" s="6">
        <f t="shared" si="1"/>
        <v>0</v>
      </c>
      <c r="K23" s="2"/>
      <c r="L23" s="2">
        <f t="shared" si="2"/>
        <v>0</v>
      </c>
      <c r="M23" s="2"/>
      <c r="N23" s="6">
        <f t="shared" si="3"/>
        <v>0</v>
      </c>
      <c r="O23" s="14"/>
      <c r="P23" s="2">
        <f>SUM(OSRRefP22_2x_0)</f>
        <v>0</v>
      </c>
      <c r="Q23" s="2"/>
      <c r="R23" s="6">
        <f t="shared" si="4"/>
        <v>0</v>
      </c>
      <c r="S23" s="2"/>
      <c r="T23" s="2">
        <f>SUM(OSRRefT22_2x_0)</f>
        <v>0</v>
      </c>
      <c r="U23" s="2"/>
      <c r="V23" s="6">
        <f t="shared" si="5"/>
        <v>0</v>
      </c>
      <c r="W23" s="2"/>
      <c r="X23" s="2">
        <f t="shared" si="6"/>
        <v>0</v>
      </c>
      <c r="Y23" s="2"/>
      <c r="Z23" s="6">
        <f t="shared" si="7"/>
        <v>0</v>
      </c>
    </row>
    <row r="24" spans="1:26" s="70" customFormat="1" ht="15" hidden="1" customHeight="1" outlineLevel="2" x14ac:dyDescent="0.3">
      <c r="A24" s="26"/>
      <c r="B24" s="12" t="str">
        <f>CONCATENATE("          ","6284"," - ","TRASH REMOVAL EXPENSE")</f>
        <v xml:space="preserve">          6284 - TRASH REMOVAL EXPENSE</v>
      </c>
      <c r="C24" s="12"/>
      <c r="D24" s="7"/>
      <c r="E24" s="3"/>
      <c r="F24" s="8">
        <f t="shared" si="0"/>
        <v>0</v>
      </c>
      <c r="G24" s="3"/>
      <c r="H24" s="7"/>
      <c r="I24" s="3"/>
      <c r="J24" s="8">
        <f t="shared" si="1"/>
        <v>0</v>
      </c>
      <c r="K24" s="3"/>
      <c r="L24" s="7">
        <f t="shared" si="2"/>
        <v>0</v>
      </c>
      <c r="M24" s="3"/>
      <c r="N24" s="8">
        <f t="shared" si="3"/>
        <v>0</v>
      </c>
      <c r="O24" s="12"/>
      <c r="P24" s="7"/>
      <c r="Q24" s="3"/>
      <c r="R24" s="8">
        <f t="shared" si="4"/>
        <v>0</v>
      </c>
      <c r="S24" s="3"/>
      <c r="T24" s="7">
        <v>0</v>
      </c>
      <c r="U24" s="3"/>
      <c r="V24" s="8">
        <f t="shared" si="5"/>
        <v>0</v>
      </c>
      <c r="W24" s="3"/>
      <c r="X24" s="7">
        <f t="shared" si="6"/>
        <v>0</v>
      </c>
      <c r="Y24" s="3"/>
      <c r="Z24" s="8">
        <f t="shared" si="7"/>
        <v>0</v>
      </c>
    </row>
    <row r="25" spans="1:26" s="69" customFormat="1" ht="15" customHeight="1" outlineLevel="1" collapsed="1" x14ac:dyDescent="0.3">
      <c r="A25" s="25"/>
      <c r="B25" s="14" t="str">
        <f>CONCATENATE("     ","Telephone/Data Lines                              ")</f>
        <v xml:space="preserve">     Telephone/Data Lines                              </v>
      </c>
      <c r="C25" s="14"/>
      <c r="D25" s="2">
        <f>SUM(OSRRefD22_3x_0)</f>
        <v>0</v>
      </c>
      <c r="E25" s="2"/>
      <c r="F25" s="6">
        <f t="shared" si="0"/>
        <v>0</v>
      </c>
      <c r="G25" s="2"/>
      <c r="H25" s="2">
        <f>SUM(OSRRefH22_3x_0)</f>
        <v>0</v>
      </c>
      <c r="I25" s="2"/>
      <c r="J25" s="6">
        <f t="shared" si="1"/>
        <v>0</v>
      </c>
      <c r="K25" s="2"/>
      <c r="L25" s="2">
        <f t="shared" si="2"/>
        <v>0</v>
      </c>
      <c r="M25" s="2"/>
      <c r="N25" s="6">
        <f t="shared" si="3"/>
        <v>0</v>
      </c>
      <c r="O25" s="14"/>
      <c r="P25" s="2">
        <f>SUM(OSRRefP22_3x_0)</f>
        <v>135.6</v>
      </c>
      <c r="Q25" s="2"/>
      <c r="R25" s="6">
        <f t="shared" si="4"/>
        <v>0</v>
      </c>
      <c r="S25" s="2"/>
      <c r="T25" s="2">
        <f>SUM(OSRRefT22_3x_0)</f>
        <v>0</v>
      </c>
      <c r="U25" s="2"/>
      <c r="V25" s="6">
        <f t="shared" si="5"/>
        <v>0</v>
      </c>
      <c r="W25" s="2"/>
      <c r="X25" s="2">
        <f t="shared" si="6"/>
        <v>135.6</v>
      </c>
      <c r="Y25" s="2"/>
      <c r="Z25" s="6">
        <f t="shared" si="7"/>
        <v>0</v>
      </c>
    </row>
    <row r="26" spans="1:26" s="70" customFormat="1" ht="15" hidden="1" customHeight="1" outlineLevel="2" x14ac:dyDescent="0.3">
      <c r="A26" s="26"/>
      <c r="B26" s="12" t="str">
        <f>CONCATENATE("          ","6309"," - ","TELEPHONE")</f>
        <v xml:space="preserve">          6309 - TELEPHONE</v>
      </c>
      <c r="C26" s="12"/>
      <c r="D26" s="7"/>
      <c r="E26" s="3"/>
      <c r="F26" s="8">
        <f t="shared" si="0"/>
        <v>0</v>
      </c>
      <c r="G26" s="3"/>
      <c r="H26" s="7"/>
      <c r="I26" s="3"/>
      <c r="J26" s="8">
        <f t="shared" si="1"/>
        <v>0</v>
      </c>
      <c r="K26" s="3"/>
      <c r="L26" s="7">
        <f t="shared" si="2"/>
        <v>0</v>
      </c>
      <c r="M26" s="3"/>
      <c r="N26" s="8">
        <f t="shared" si="3"/>
        <v>0</v>
      </c>
      <c r="O26" s="12"/>
      <c r="P26" s="7">
        <v>135.6</v>
      </c>
      <c r="Q26" s="3"/>
      <c r="R26" s="8">
        <f t="shared" si="4"/>
        <v>0</v>
      </c>
      <c r="S26" s="3"/>
      <c r="T26" s="7"/>
      <c r="U26" s="3"/>
      <c r="V26" s="8">
        <f t="shared" si="5"/>
        <v>0</v>
      </c>
      <c r="W26" s="3"/>
      <c r="X26" s="7">
        <f t="shared" si="6"/>
        <v>135.6</v>
      </c>
      <c r="Y26" s="3"/>
      <c r="Z26" s="8">
        <f t="shared" si="7"/>
        <v>0</v>
      </c>
    </row>
    <row r="27" spans="1:26" s="65" customFormat="1" ht="15" customHeight="1" x14ac:dyDescent="0.3">
      <c r="A27" s="35"/>
      <c r="B27" s="35"/>
      <c r="C27" s="35"/>
      <c r="D27" s="2"/>
      <c r="E27" s="2"/>
      <c r="F27" s="6"/>
      <c r="G27" s="2"/>
      <c r="H27" s="2"/>
      <c r="I27" s="2"/>
      <c r="J27" s="6"/>
      <c r="K27" s="2"/>
      <c r="L27" s="2"/>
      <c r="M27" s="2"/>
      <c r="N27" s="6"/>
      <c r="O27" s="35"/>
      <c r="P27" s="2"/>
      <c r="Q27" s="2"/>
      <c r="R27" s="6"/>
      <c r="S27" s="2"/>
      <c r="T27" s="2"/>
      <c r="U27" s="2"/>
      <c r="V27" s="6"/>
      <c r="W27" s="2"/>
      <c r="X27" s="2"/>
      <c r="Y27" s="2"/>
      <c r="Z27" s="6"/>
    </row>
    <row r="28" spans="1:26" s="63" customFormat="1" ht="15" customHeight="1" x14ac:dyDescent="0.3">
      <c r="A28" s="11"/>
      <c r="B28" s="28" t="s">
        <v>291</v>
      </c>
      <c r="C28" s="11"/>
      <c r="D28" s="5">
        <f>SUM(0)</f>
        <v>0</v>
      </c>
      <c r="E28" s="5"/>
      <c r="F28" s="13">
        <f>IF(D$12=0,0,D28/D$12)</f>
        <v>0</v>
      </c>
      <c r="G28" s="5"/>
      <c r="H28" s="5">
        <f>SUM(0)</f>
        <v>0</v>
      </c>
      <c r="I28" s="5"/>
      <c r="J28" s="13">
        <f>IF(H$12=0,0,H28/H$12)</f>
        <v>0</v>
      </c>
      <c r="K28" s="5"/>
      <c r="L28" s="5">
        <f>+D28-H28</f>
        <v>0</v>
      </c>
      <c r="M28" s="5"/>
      <c r="N28" s="13">
        <f>IF(H28=0,0,L28/H28)</f>
        <v>0</v>
      </c>
      <c r="O28" s="11"/>
      <c r="P28" s="5">
        <f>SUM(0)</f>
        <v>0</v>
      </c>
      <c r="Q28" s="5"/>
      <c r="R28" s="13">
        <f>IF(P$12=0,0,P28/P$12)</f>
        <v>0</v>
      </c>
      <c r="S28" s="5"/>
      <c r="T28" s="5">
        <f>SUM(0)</f>
        <v>0</v>
      </c>
      <c r="U28" s="5"/>
      <c r="V28" s="13">
        <f>IF(T$12=0,0,T28/T$12)</f>
        <v>0</v>
      </c>
      <c r="W28" s="5"/>
      <c r="X28" s="5">
        <f>+P28-T28</f>
        <v>0</v>
      </c>
      <c r="Y28" s="5"/>
      <c r="Z28" s="13">
        <f>IF(T28=0,0,X28/T28)</f>
        <v>0</v>
      </c>
    </row>
    <row r="29" spans="1:26" ht="15" customHeight="1" x14ac:dyDescent="0.3">
      <c r="A29" s="10"/>
      <c r="B29" s="11"/>
      <c r="C29" s="11"/>
      <c r="D29" s="4"/>
      <c r="E29" s="4"/>
      <c r="F29" s="9"/>
      <c r="G29" s="4"/>
      <c r="H29" s="4"/>
      <c r="I29" s="4"/>
      <c r="J29" s="9"/>
      <c r="K29" s="4"/>
      <c r="L29" s="4"/>
      <c r="M29" s="4"/>
      <c r="N29" s="9"/>
      <c r="O29" s="11"/>
      <c r="P29" s="4"/>
      <c r="Q29" s="4"/>
      <c r="R29" s="9"/>
      <c r="S29" s="4"/>
      <c r="T29" s="4"/>
      <c r="U29" s="4"/>
      <c r="V29" s="9"/>
      <c r="W29" s="4"/>
      <c r="X29" s="4"/>
      <c r="Y29" s="4"/>
      <c r="Z29" s="9"/>
    </row>
    <row r="30" spans="1:26" s="63" customFormat="1" ht="15" customHeight="1" x14ac:dyDescent="0.3">
      <c r="A30" s="11"/>
      <c r="B30" s="27" t="s">
        <v>292</v>
      </c>
      <c r="C30" s="27"/>
      <c r="D30" s="21">
        <f>+D16-D18+D28</f>
        <v>-640.63</v>
      </c>
      <c r="E30" s="15"/>
      <c r="F30" s="23">
        <f>IF(D$12=0,0,D30/D$12)</f>
        <v>0</v>
      </c>
      <c r="G30" s="15"/>
      <c r="H30" s="21">
        <f>+H16-H18+H28</f>
        <v>-577</v>
      </c>
      <c r="I30" s="15"/>
      <c r="J30" s="23">
        <f>IF(H$12=0,0,H30/H$12)</f>
        <v>0</v>
      </c>
      <c r="K30" s="16"/>
      <c r="L30" s="21">
        <f>+D30-H30</f>
        <v>-63.629999999999995</v>
      </c>
      <c r="M30" s="16"/>
      <c r="N30" s="23">
        <f>IF(H30=0,0,L30/H30)</f>
        <v>0.11027729636048526</v>
      </c>
      <c r="O30" s="28"/>
      <c r="P30" s="21">
        <f>+P16-P18+P28</f>
        <v>-5518.81</v>
      </c>
      <c r="Q30" s="15"/>
      <c r="R30" s="23">
        <f>IF(P$12=0,0,P30/P$12)</f>
        <v>0</v>
      </c>
      <c r="S30" s="15"/>
      <c r="T30" s="21">
        <f>+T16-T18+T28</f>
        <v>-5193</v>
      </c>
      <c r="U30" s="15"/>
      <c r="V30" s="23">
        <f>IF(T$12=0,0,T30/T$12)</f>
        <v>0</v>
      </c>
      <c r="W30" s="16"/>
      <c r="X30" s="21">
        <f>+P30-T30</f>
        <v>-325.8100000000004</v>
      </c>
      <c r="Y30" s="16"/>
      <c r="Z30" s="23">
        <f>IF(T30=0,0,X30/T30)</f>
        <v>6.2740227228962137E-2</v>
      </c>
    </row>
    <row r="31" spans="1:26" ht="15" customHeight="1" x14ac:dyDescent="0.3">
      <c r="A31" s="10"/>
      <c r="B31" s="11"/>
      <c r="C31" s="10"/>
      <c r="D31" s="4"/>
      <c r="E31" s="4"/>
      <c r="F31" s="9"/>
      <c r="G31" s="4"/>
      <c r="H31" s="4"/>
      <c r="I31" s="4"/>
      <c r="J31" s="9"/>
      <c r="K31" s="4"/>
      <c r="L31" s="4"/>
      <c r="M31" s="4"/>
      <c r="N31" s="9"/>
      <c r="P31" s="4"/>
      <c r="Q31" s="4"/>
      <c r="R31" s="9"/>
      <c r="S31" s="4"/>
      <c r="T31" s="4"/>
      <c r="U31" s="4"/>
      <c r="V31" s="9"/>
      <c r="W31" s="4"/>
      <c r="X31" s="4"/>
      <c r="Y31" s="4"/>
      <c r="Z31" s="9"/>
    </row>
    <row r="32" spans="1:26" s="63" customFormat="1" ht="15" customHeight="1" x14ac:dyDescent="0.3">
      <c r="A32" s="49"/>
      <c r="B32" s="11" t="s">
        <v>293</v>
      </c>
      <c r="C32" s="11"/>
      <c r="D32" s="5"/>
      <c r="E32" s="5"/>
      <c r="F32" s="13">
        <f>IF(D$12=0,0,D32/D$12)</f>
        <v>0</v>
      </c>
      <c r="G32" s="5"/>
      <c r="H32" s="5"/>
      <c r="I32" s="5"/>
      <c r="J32" s="13">
        <f>IF(H$12=0,0,H32/H$12)</f>
        <v>0</v>
      </c>
      <c r="K32" s="5"/>
      <c r="L32" s="5">
        <f>+D32-H32</f>
        <v>0</v>
      </c>
      <c r="M32" s="5"/>
      <c r="N32" s="13">
        <f>IF(H32=0,0,L32/H32)</f>
        <v>0</v>
      </c>
      <c r="O32" s="11"/>
      <c r="P32" s="5"/>
      <c r="Q32" s="5"/>
      <c r="R32" s="13">
        <f>IF(P$12=0,0,P32/P$12)</f>
        <v>0</v>
      </c>
      <c r="S32" s="5"/>
      <c r="T32" s="5"/>
      <c r="U32" s="5"/>
      <c r="V32" s="13">
        <f>IF(T$12=0,0,T32/T$12)</f>
        <v>0</v>
      </c>
      <c r="W32" s="5"/>
      <c r="X32" s="5">
        <f>+P32-T32</f>
        <v>0</v>
      </c>
      <c r="Y32" s="5"/>
      <c r="Z32" s="13">
        <f>IF(T32=0,0,X32/T32)</f>
        <v>0</v>
      </c>
    </row>
    <row r="33" spans="1:26" ht="15" customHeight="1" x14ac:dyDescent="0.3">
      <c r="A33" s="10"/>
      <c r="B33" s="11"/>
      <c r="C33" s="11"/>
      <c r="D33" s="4"/>
      <c r="E33" s="4"/>
      <c r="F33" s="9"/>
      <c r="G33" s="4"/>
      <c r="H33" s="4"/>
      <c r="I33" s="4"/>
      <c r="J33" s="9"/>
      <c r="K33" s="4"/>
      <c r="L33" s="4"/>
      <c r="M33" s="4"/>
      <c r="N33" s="9"/>
      <c r="O33" s="11"/>
      <c r="P33" s="4"/>
      <c r="Q33" s="4"/>
      <c r="R33" s="9"/>
      <c r="S33" s="4"/>
      <c r="T33" s="4"/>
      <c r="U33" s="4"/>
      <c r="V33" s="9"/>
      <c r="W33" s="4"/>
      <c r="X33" s="4"/>
      <c r="Y33" s="4"/>
      <c r="Z33" s="9"/>
    </row>
    <row r="34" spans="1:26" s="63" customFormat="1" ht="15" customHeight="1" x14ac:dyDescent="0.3">
      <c r="A34" s="11"/>
      <c r="B34" s="27" t="s">
        <v>294</v>
      </c>
      <c r="C34" s="27"/>
      <c r="D34" s="34">
        <f>+D30-D32</f>
        <v>-640.63</v>
      </c>
      <c r="E34" s="15"/>
      <c r="F34" s="29">
        <f>IF(D$12=0,0,D34/D$12)</f>
        <v>0</v>
      </c>
      <c r="G34" s="15"/>
      <c r="H34" s="34">
        <f>+H30-H32</f>
        <v>-577</v>
      </c>
      <c r="I34" s="15"/>
      <c r="J34" s="29">
        <f>IF(H$12=0,0,H34/H$12)</f>
        <v>0</v>
      </c>
      <c r="K34" s="16"/>
      <c r="L34" s="34">
        <f>D34-H34</f>
        <v>-63.629999999999995</v>
      </c>
      <c r="M34" s="16"/>
      <c r="N34" s="29">
        <f>IF(H34=0,0,L34/H34)</f>
        <v>0.11027729636048526</v>
      </c>
      <c r="O34" s="28"/>
      <c r="P34" s="34">
        <f>+P30-P32</f>
        <v>-5518.81</v>
      </c>
      <c r="Q34" s="15"/>
      <c r="R34" s="29">
        <f>IF(P$12=0,0,P34/P$12)</f>
        <v>0</v>
      </c>
      <c r="S34" s="15"/>
      <c r="T34" s="34">
        <f>+T30-T32</f>
        <v>-5193</v>
      </c>
      <c r="U34" s="15"/>
      <c r="V34" s="29">
        <f>IF(T$12=0,0,T34/T$12)</f>
        <v>0</v>
      </c>
      <c r="W34" s="16"/>
      <c r="X34" s="34">
        <f>P34-T34</f>
        <v>-325.8100000000004</v>
      </c>
      <c r="Y34" s="16"/>
      <c r="Z34" s="29">
        <f>IF(T34=0,0,X34/T34)</f>
        <v>6.2740227228962137E-2</v>
      </c>
    </row>
    <row r="35" spans="1:26" ht="15" customHeight="1" x14ac:dyDescent="0.3">
      <c r="A35" s="10"/>
      <c r="B35" s="10"/>
      <c r="C35" s="10"/>
      <c r="D35" s="4"/>
      <c r="E35" s="4"/>
      <c r="F35" s="9"/>
      <c r="G35" s="4"/>
      <c r="H35" s="4"/>
      <c r="I35" s="4"/>
      <c r="J35" s="9"/>
      <c r="K35" s="4"/>
      <c r="L35" s="4"/>
      <c r="M35" s="4"/>
      <c r="N35" s="9"/>
      <c r="P35" s="4"/>
      <c r="Q35" s="4"/>
      <c r="R35" s="9"/>
      <c r="S35" s="4"/>
      <c r="T35" s="4"/>
      <c r="U35" s="4"/>
      <c r="V35" s="9"/>
      <c r="W35" s="4"/>
      <c r="X35" s="4"/>
      <c r="Y35" s="4"/>
      <c r="Z35" s="9"/>
    </row>
    <row r="36" spans="1:26" ht="15" customHeight="1" x14ac:dyDescent="0.3">
      <c r="A36" s="10"/>
      <c r="B36" s="10"/>
      <c r="C36" s="10"/>
      <c r="D36" s="4"/>
      <c r="E36" s="4"/>
      <c r="F36" s="9"/>
      <c r="G36" s="4"/>
      <c r="H36" s="4"/>
      <c r="I36" s="4"/>
      <c r="J36" s="9"/>
      <c r="K36" s="4"/>
      <c r="L36" s="4"/>
      <c r="M36" s="4"/>
      <c r="N36" s="9"/>
      <c r="P36" s="4"/>
      <c r="Q36" s="4"/>
      <c r="R36" s="9"/>
      <c r="S36" s="4"/>
      <c r="T36" s="4"/>
      <c r="U36" s="4"/>
      <c r="V36" s="9"/>
      <c r="W36" s="4"/>
      <c r="X36" s="4"/>
      <c r="Y36" s="4"/>
      <c r="Z36" s="9"/>
    </row>
    <row r="37" spans="1:26" s="63" customFormat="1" ht="15" customHeight="1" x14ac:dyDescent="0.3">
      <c r="A37" s="11"/>
      <c r="B37" s="27" t="s">
        <v>297</v>
      </c>
      <c r="C37" s="27"/>
      <c r="D37" s="32">
        <f>SUM(D34:D36)</f>
        <v>-640.63</v>
      </c>
      <c r="E37" s="15"/>
      <c r="F37" s="31">
        <f>IF(D$12=0,0,D37/D$12)</f>
        <v>0</v>
      </c>
      <c r="G37" s="15"/>
      <c r="H37" s="32">
        <f>SUM(H34:H36)</f>
        <v>-577</v>
      </c>
      <c r="I37" s="15"/>
      <c r="J37" s="31">
        <f>IF(H$12=0,0,H37/H$12)</f>
        <v>0</v>
      </c>
      <c r="K37" s="16"/>
      <c r="L37" s="32">
        <f>+D37-H37</f>
        <v>-63.629999999999995</v>
      </c>
      <c r="M37" s="16"/>
      <c r="N37" s="31">
        <f>IF(H37=0,0,L37/H37)</f>
        <v>0.11027729636048526</v>
      </c>
      <c r="O37" s="28"/>
      <c r="P37" s="32">
        <f>SUM(P34:P36)</f>
        <v>-5518.81</v>
      </c>
      <c r="Q37" s="15"/>
      <c r="R37" s="31">
        <f>IF(P$12=0,0,P37/P$12)</f>
        <v>0</v>
      </c>
      <c r="S37" s="15"/>
      <c r="T37" s="32">
        <f>SUM(T34:T36)</f>
        <v>-5193</v>
      </c>
      <c r="U37" s="15"/>
      <c r="V37" s="31">
        <f>IF(T$12=0,0,T37/T$12)</f>
        <v>0</v>
      </c>
      <c r="W37" s="16"/>
      <c r="X37" s="32">
        <f>+P37-T37</f>
        <v>-325.8100000000004</v>
      </c>
      <c r="Y37" s="16"/>
      <c r="Z37" s="31">
        <f>IF(T37=0,0,X37/T37)</f>
        <v>6.2740227228962137E-2</v>
      </c>
    </row>
    <row r="38" spans="1:26" ht="15" customHeight="1" x14ac:dyDescent="0.3">
      <c r="A38" s="10"/>
      <c r="C38" s="10"/>
      <c r="D38" s="19"/>
      <c r="E38" s="19"/>
      <c r="G38" s="19"/>
      <c r="H38" s="19"/>
      <c r="I38" s="19"/>
      <c r="J38" s="40"/>
      <c r="K38" s="19"/>
      <c r="L38" s="19"/>
      <c r="M38" s="19"/>
      <c r="P38" s="19"/>
      <c r="Q38" s="19"/>
      <c r="R38" s="40"/>
      <c r="S38" s="19"/>
      <c r="T38" s="19"/>
      <c r="U38" s="19"/>
      <c r="V38" s="40"/>
      <c r="W38" s="19"/>
      <c r="X38" s="19"/>
    </row>
    <row r="39" spans="1:26" ht="15" customHeight="1" x14ac:dyDescent="0.3">
      <c r="A39" s="10"/>
      <c r="B39" s="51">
        <v>44663.047665428239</v>
      </c>
      <c r="D39" s="19"/>
      <c r="E39" s="19"/>
      <c r="G39" s="19"/>
      <c r="H39" s="19"/>
      <c r="I39" s="19"/>
      <c r="J39" s="40"/>
      <c r="K39" s="19"/>
      <c r="L39" s="19"/>
      <c r="M39" s="19"/>
      <c r="P39" s="19"/>
      <c r="Q39" s="19"/>
      <c r="R39" s="40"/>
      <c r="S39" s="19"/>
      <c r="T39" s="19"/>
      <c r="U39" s="19"/>
      <c r="V39" s="40"/>
      <c r="W39" s="19"/>
      <c r="X39" s="19"/>
    </row>
    <row r="40" spans="1:26" ht="15" customHeight="1" x14ac:dyDescent="0.3">
      <c r="A40" s="10"/>
      <c r="B40" s="58" t="s">
        <v>298</v>
      </c>
      <c r="D40" s="19"/>
      <c r="E40" s="19"/>
      <c r="G40" s="19"/>
      <c r="H40" s="19"/>
      <c r="I40" s="19"/>
      <c r="J40" s="40"/>
      <c r="K40" s="19"/>
      <c r="L40" s="19"/>
      <c r="M40" s="19"/>
      <c r="P40" s="19"/>
      <c r="Q40" s="19"/>
      <c r="R40" s="40"/>
      <c r="S40" s="19"/>
      <c r="T40" s="19"/>
      <c r="U40" s="19"/>
      <c r="V40" s="40"/>
      <c r="W40" s="19"/>
      <c r="X40" s="19"/>
    </row>
    <row r="41" spans="1:26" ht="15" customHeight="1" x14ac:dyDescent="0.3">
      <c r="A41" s="10"/>
      <c r="B41" s="50"/>
      <c r="D41" s="19"/>
      <c r="E41" s="19"/>
      <c r="G41" s="19"/>
      <c r="H41" s="19"/>
      <c r="I41" s="19"/>
      <c r="J41" s="40"/>
      <c r="K41" s="19"/>
      <c r="L41" s="19"/>
      <c r="M41" s="19"/>
      <c r="P41" s="19"/>
      <c r="Q41" s="19"/>
      <c r="R41" s="40"/>
      <c r="S41" s="19"/>
      <c r="T41" s="19"/>
      <c r="U41" s="19"/>
      <c r="V41" s="40"/>
      <c r="W41" s="19"/>
      <c r="X41" s="19"/>
    </row>
    <row r="42" spans="1:26" ht="15" customHeight="1" x14ac:dyDescent="0.3">
      <c r="D42" s="19"/>
      <c r="E42" s="19"/>
      <c r="G42" s="19"/>
      <c r="H42" s="19"/>
      <c r="I42" s="19"/>
      <c r="J42" s="40"/>
      <c r="K42" s="19"/>
      <c r="L42" s="19"/>
      <c r="M42" s="19"/>
      <c r="P42" s="19"/>
      <c r="Q42" s="19"/>
      <c r="R42" s="40"/>
      <c r="S42" s="19"/>
      <c r="T42" s="19"/>
      <c r="U42" s="19"/>
      <c r="V42" s="40"/>
      <c r="W42" s="19"/>
      <c r="X42" s="19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14B2D3-6DBC-EC73-4326-EA85952D7489}">
  <sheetPr>
    <tabColor rgb="FF92D050"/>
    <outlinePr summaryBelow="0" summaryRight="0"/>
  </sheetPr>
  <dimension ref="A2:Z40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6" customWidth="1"/>
    <col min="2" max="2" width="33.44140625" style="66" customWidth="1"/>
    <col min="3" max="3" width="1.88671875" style="66" customWidth="1"/>
    <col min="4" max="4" width="15" style="66" customWidth="1"/>
    <col min="5" max="5" width="1.88671875" style="66" customWidth="1" outlineLevel="1"/>
    <col min="6" max="6" width="15" style="67" customWidth="1" outlineLevel="1"/>
    <col min="7" max="7" width="1.88671875" style="66" customWidth="1" outlineLevel="1"/>
    <col min="8" max="8" width="15" style="66" customWidth="1" outlineLevel="1"/>
    <col min="9" max="9" width="1.88671875" style="66" customWidth="1" outlineLevel="1"/>
    <col min="10" max="10" width="15" style="68" customWidth="1" outlineLevel="1"/>
    <col min="11" max="11" width="1.88671875" style="66" customWidth="1" outlineLevel="1"/>
    <col min="12" max="12" width="15" style="66" customWidth="1" outlineLevel="1"/>
    <col min="13" max="13" width="1.88671875" style="66" customWidth="1" outlineLevel="1"/>
    <col min="14" max="14" width="15" style="67" customWidth="1" outlineLevel="1"/>
    <col min="15" max="15" width="1.88671875" style="64" customWidth="1"/>
    <col min="16" max="16" width="15" style="66" customWidth="1"/>
    <col min="17" max="17" width="1.88671875" style="66" customWidth="1" outlineLevel="1"/>
    <col min="18" max="18" width="15" style="68" customWidth="1" outlineLevel="1"/>
    <col min="19" max="19" width="1.88671875" style="66" customWidth="1" outlineLevel="1"/>
    <col min="20" max="20" width="15" style="66" customWidth="1" outlineLevel="1"/>
    <col min="21" max="21" width="1.88671875" style="66" customWidth="1" outlineLevel="1"/>
    <col min="22" max="22" width="15" style="68" customWidth="1" outlineLevel="1"/>
    <col min="23" max="23" width="1.88671875" style="66" customWidth="1" outlineLevel="1"/>
    <col min="24" max="24" width="15" style="66" customWidth="1" outlineLevel="1"/>
    <col min="25" max="25" width="1.88671875" style="66" customWidth="1" outlineLevel="1"/>
    <col min="26" max="26" width="15" style="68" customWidth="1" outlineLevel="1"/>
  </cols>
  <sheetData>
    <row r="2" spans="1:26" ht="15" customHeight="1" x14ac:dyDescent="0.3">
      <c r="D2" s="54" t="s">
        <v>276</v>
      </c>
    </row>
    <row r="3" spans="1:26" ht="15" customHeight="1" x14ac:dyDescent="0.3">
      <c r="D3" s="54" t="s">
        <v>277</v>
      </c>
      <c r="E3" s="18"/>
      <c r="F3" s="44"/>
      <c r="G3" s="18"/>
      <c r="H3" s="18"/>
      <c r="I3" s="18"/>
      <c r="J3" s="38"/>
      <c r="K3" s="18"/>
      <c r="L3" s="18"/>
      <c r="M3" s="18"/>
      <c r="N3" s="44"/>
      <c r="O3" s="53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ht="15" customHeight="1" x14ac:dyDescent="0.3">
      <c r="D4" s="54" t="str">
        <f>CONCATENATE("Period ",RIGHT(202209,2),", ",2022)</f>
        <v>Period 09, 2022</v>
      </c>
      <c r="E4" s="18"/>
      <c r="F4" s="44"/>
      <c r="G4" s="18"/>
      <c r="H4" s="18"/>
      <c r="I4" s="18"/>
      <c r="J4" s="38"/>
      <c r="K4" s="18"/>
      <c r="L4" s="18"/>
      <c r="M4" s="18"/>
      <c r="N4" s="44"/>
      <c r="O4" s="53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ht="15" customHeight="1" x14ac:dyDescent="0.3">
      <c r="A5" s="24"/>
      <c r="D5" s="60">
        <v>44646</v>
      </c>
      <c r="E5" s="18"/>
      <c r="F5" s="44"/>
      <c r="G5" s="18"/>
      <c r="H5" s="18"/>
      <c r="I5" s="18"/>
      <c r="J5" s="38"/>
      <c r="K5" s="18"/>
      <c r="L5" s="18"/>
      <c r="M5" s="18"/>
      <c r="N5" s="44"/>
      <c r="O5" s="53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ht="15" customHeight="1" x14ac:dyDescent="0.3">
      <c r="A6" s="24"/>
      <c r="B6" s="47"/>
      <c r="C6" s="47"/>
      <c r="D6" s="24" t="str">
        <f>CONCATENATE("Department ","413"," - ","Beach Walk")</f>
        <v>Department 413 - Beach Walk</v>
      </c>
      <c r="E6" s="18"/>
      <c r="F6" s="44"/>
      <c r="G6" s="18"/>
      <c r="H6" s="18"/>
      <c r="I6" s="18"/>
      <c r="J6" s="38"/>
      <c r="K6" s="18"/>
      <c r="L6" s="18"/>
      <c r="M6" s="18"/>
      <c r="N6" s="44"/>
      <c r="O6" s="59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ht="15" customHeight="1" x14ac:dyDescent="0.3">
      <c r="B7" s="52"/>
    </row>
    <row r="8" spans="1:26" ht="15" customHeight="1" x14ac:dyDescent="0.3">
      <c r="B8" s="52"/>
    </row>
    <row r="9" spans="1:26" ht="15" customHeight="1" x14ac:dyDescent="0.3">
      <c r="B9" s="10"/>
      <c r="C9" s="10"/>
      <c r="D9" s="17" t="s">
        <v>279</v>
      </c>
      <c r="E9" s="17"/>
      <c r="F9" s="36"/>
      <c r="G9" s="17"/>
      <c r="H9" s="17"/>
      <c r="I9" s="17"/>
      <c r="J9" s="43"/>
      <c r="K9" s="17"/>
      <c r="L9" s="17"/>
      <c r="M9" s="17"/>
      <c r="N9" s="36"/>
      <c r="P9" s="17" t="s">
        <v>280</v>
      </c>
      <c r="Q9" s="17"/>
      <c r="R9" s="36"/>
      <c r="S9" s="17"/>
      <c r="T9" s="17"/>
      <c r="U9" s="17"/>
      <c r="V9" s="43"/>
      <c r="W9" s="17"/>
      <c r="X9" s="17"/>
      <c r="Y9" s="17"/>
      <c r="Z9" s="36"/>
    </row>
    <row r="10" spans="1:26" ht="15" customHeight="1" x14ac:dyDescent="0.3">
      <c r="A10" s="11"/>
      <c r="B10" s="57"/>
      <c r="C10" s="11"/>
      <c r="D10" s="41" t="s">
        <v>281</v>
      </c>
      <c r="E10" s="33"/>
      <c r="F10" s="37" t="s">
        <v>282</v>
      </c>
      <c r="G10" s="33"/>
      <c r="H10" s="48" t="s">
        <v>283</v>
      </c>
      <c r="I10" s="33"/>
      <c r="J10" s="45" t="s">
        <v>284</v>
      </c>
      <c r="K10" s="11"/>
      <c r="L10" s="41" t="s">
        <v>285</v>
      </c>
      <c r="M10" s="11"/>
      <c r="N10" s="37" t="s">
        <v>286</v>
      </c>
      <c r="O10" s="11"/>
      <c r="P10" s="56" t="s">
        <v>281</v>
      </c>
      <c r="Q10" s="33"/>
      <c r="R10" s="37" t="s">
        <v>282</v>
      </c>
      <c r="S10" s="33"/>
      <c r="T10" s="48" t="s">
        <v>283</v>
      </c>
      <c r="U10" s="33"/>
      <c r="V10" s="45" t="s">
        <v>284</v>
      </c>
      <c r="W10" s="11"/>
      <c r="X10" s="41" t="s">
        <v>285</v>
      </c>
      <c r="Y10" s="11"/>
      <c r="Z10" s="37" t="s">
        <v>286</v>
      </c>
    </row>
    <row r="11" spans="1:26" ht="16.5" customHeight="1" x14ac:dyDescent="0.3">
      <c r="A11" s="10"/>
      <c r="B11" s="55"/>
      <c r="C11" s="10"/>
      <c r="D11" s="10"/>
      <c r="E11" s="10"/>
      <c r="F11" s="9"/>
      <c r="G11" s="10"/>
      <c r="H11" s="10"/>
      <c r="I11" s="10"/>
      <c r="J11" s="46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6"/>
      <c r="W11" s="10"/>
      <c r="X11" s="10"/>
      <c r="Y11" s="10"/>
      <c r="Z11" s="9"/>
    </row>
    <row r="12" spans="1:26" s="63" customFormat="1" ht="15" customHeight="1" x14ac:dyDescent="0.3">
      <c r="A12" s="11"/>
      <c r="B12" s="28" t="s">
        <v>287</v>
      </c>
      <c r="C12" s="11"/>
      <c r="D12" s="5">
        <f>SUM(0)</f>
        <v>0</v>
      </c>
      <c r="E12" s="5"/>
      <c r="F12" s="13"/>
      <c r="G12" s="5"/>
      <c r="H12" s="5">
        <f>SUM(0)</f>
        <v>0</v>
      </c>
      <c r="I12" s="5"/>
      <c r="J12" s="13"/>
      <c r="K12" s="5"/>
      <c r="L12" s="5">
        <f>+D12-H12</f>
        <v>0</v>
      </c>
      <c r="M12" s="5"/>
      <c r="N12" s="13">
        <f>IF(H12=0,0,L12/H12)</f>
        <v>0</v>
      </c>
      <c r="O12" s="11"/>
      <c r="P12" s="5">
        <f>SUM(0)</f>
        <v>0</v>
      </c>
      <c r="Q12" s="5"/>
      <c r="R12" s="13"/>
      <c r="S12" s="5"/>
      <c r="T12" s="5">
        <f>SUM(0)</f>
        <v>0</v>
      </c>
      <c r="U12" s="5"/>
      <c r="V12" s="13"/>
      <c r="W12" s="5"/>
      <c r="X12" s="5">
        <f>+P12-T12</f>
        <v>0</v>
      </c>
      <c r="Y12" s="5"/>
      <c r="Z12" s="13">
        <f>IF(T12=0,0,X12/T12)</f>
        <v>0</v>
      </c>
    </row>
    <row r="13" spans="1:26" ht="15" customHeight="1" x14ac:dyDescent="0.3">
      <c r="A13" s="10"/>
      <c r="B13" s="11"/>
      <c r="C13" s="10"/>
      <c r="D13" s="4"/>
      <c r="E13" s="4"/>
      <c r="F13" s="9"/>
      <c r="G13" s="4"/>
      <c r="H13" s="4"/>
      <c r="I13" s="4"/>
      <c r="J13" s="9"/>
      <c r="K13" s="4"/>
      <c r="L13" s="4"/>
      <c r="M13" s="4"/>
      <c r="N13" s="9"/>
      <c r="P13" s="4"/>
      <c r="Q13" s="4"/>
      <c r="R13" s="9"/>
      <c r="S13" s="4"/>
      <c r="T13" s="4"/>
      <c r="U13" s="4"/>
      <c r="V13" s="9"/>
      <c r="W13" s="4"/>
      <c r="X13" s="4"/>
      <c r="Y13" s="4"/>
      <c r="Z13" s="9"/>
    </row>
    <row r="14" spans="1:26" s="63" customFormat="1" ht="15" customHeight="1" x14ac:dyDescent="0.3">
      <c r="A14" s="11"/>
      <c r="B14" s="28" t="s">
        <v>288</v>
      </c>
      <c r="C14" s="11"/>
      <c r="D14" s="5">
        <f>SUM(0)</f>
        <v>0</v>
      </c>
      <c r="E14" s="5"/>
      <c r="F14" s="13">
        <f>IF(D$12=0,0,D14/D$12)</f>
        <v>0</v>
      </c>
      <c r="G14" s="5"/>
      <c r="H14" s="5">
        <f>SUM(0)</f>
        <v>0</v>
      </c>
      <c r="I14" s="5"/>
      <c r="J14" s="13">
        <f>IF(H$12=0,0,H14/H$12)</f>
        <v>0</v>
      </c>
      <c r="K14" s="5"/>
      <c r="L14" s="5">
        <f>+D14-H14</f>
        <v>0</v>
      </c>
      <c r="M14" s="5"/>
      <c r="N14" s="13">
        <f>IF(H14=0,0,L14/H14)</f>
        <v>0</v>
      </c>
      <c r="O14" s="11"/>
      <c r="P14" s="5">
        <f>SUM(0)</f>
        <v>0</v>
      </c>
      <c r="Q14" s="5"/>
      <c r="R14" s="13">
        <f>IF(P$12=0,0,P14/P$12)</f>
        <v>0</v>
      </c>
      <c r="S14" s="5"/>
      <c r="T14" s="5">
        <f>SUM(0)</f>
        <v>0</v>
      </c>
      <c r="U14" s="5"/>
      <c r="V14" s="13">
        <f>IF(T$12=0,0,T14/T$12)</f>
        <v>0</v>
      </c>
      <c r="W14" s="5"/>
      <c r="X14" s="5">
        <f>+P14-T14</f>
        <v>0</v>
      </c>
      <c r="Y14" s="5"/>
      <c r="Z14" s="13">
        <f>IF(T14=0,0,X14/T14)</f>
        <v>0</v>
      </c>
    </row>
    <row r="15" spans="1:26" ht="15" customHeight="1" x14ac:dyDescent="0.3">
      <c r="A15" s="10"/>
      <c r="B15" s="11"/>
      <c r="C15" s="11"/>
      <c r="D15" s="4"/>
      <c r="E15" s="4"/>
      <c r="F15" s="9"/>
      <c r="G15" s="4"/>
      <c r="H15" s="4"/>
      <c r="I15" s="4"/>
      <c r="J15" s="9"/>
      <c r="K15" s="4"/>
      <c r="L15" s="4"/>
      <c r="M15" s="4"/>
      <c r="N15" s="9"/>
      <c r="O15" s="11"/>
      <c r="P15" s="4"/>
      <c r="Q15" s="4"/>
      <c r="R15" s="9"/>
      <c r="S15" s="4"/>
      <c r="T15" s="4"/>
      <c r="U15" s="4"/>
      <c r="V15" s="9"/>
      <c r="W15" s="4"/>
      <c r="X15" s="4"/>
      <c r="Y15" s="4"/>
      <c r="Z15" s="9"/>
    </row>
    <row r="16" spans="1:26" s="63" customFormat="1" ht="15" customHeight="1" x14ac:dyDescent="0.3">
      <c r="A16" s="11"/>
      <c r="B16" s="27" t="s">
        <v>289</v>
      </c>
      <c r="C16" s="27"/>
      <c r="D16" s="21">
        <f>D12-D14</f>
        <v>0</v>
      </c>
      <c r="E16" s="15"/>
      <c r="F16" s="23">
        <f>IF(D$12=0,0,D16/D$12)</f>
        <v>0</v>
      </c>
      <c r="G16" s="15"/>
      <c r="H16" s="21">
        <f>H12-H14</f>
        <v>0</v>
      </c>
      <c r="I16" s="15"/>
      <c r="J16" s="23">
        <f>IF(H$12=0,0,H16/H$12)</f>
        <v>0</v>
      </c>
      <c r="K16" s="16"/>
      <c r="L16" s="21">
        <f>+D16-H16</f>
        <v>0</v>
      </c>
      <c r="M16" s="16"/>
      <c r="N16" s="23">
        <f>IF(H16=0,0,L16/H16)</f>
        <v>0</v>
      </c>
      <c r="O16" s="28"/>
      <c r="P16" s="21">
        <f>P12-P14</f>
        <v>0</v>
      </c>
      <c r="Q16" s="15"/>
      <c r="R16" s="23">
        <f>IF(P$12=0,0,P16/P$12)</f>
        <v>0</v>
      </c>
      <c r="S16" s="15"/>
      <c r="T16" s="21">
        <f>T12-T14</f>
        <v>0</v>
      </c>
      <c r="U16" s="15"/>
      <c r="V16" s="23">
        <f>IF(T$12=0,0,T16/T$12)</f>
        <v>0</v>
      </c>
      <c r="W16" s="16"/>
      <c r="X16" s="21">
        <f>+P16-T16</f>
        <v>0</v>
      </c>
      <c r="Y16" s="16"/>
      <c r="Z16" s="23">
        <f>IF(T16=0,0,X16/T16)</f>
        <v>0</v>
      </c>
    </row>
    <row r="17" spans="1:26" ht="15" customHeight="1" x14ac:dyDescent="0.3">
      <c r="A17" s="10"/>
      <c r="B17" s="11"/>
      <c r="C17" s="10"/>
      <c r="D17" s="2"/>
      <c r="E17" s="2"/>
      <c r="F17" s="6"/>
      <c r="G17" s="2"/>
      <c r="H17" s="2"/>
      <c r="I17" s="2"/>
      <c r="J17" s="6"/>
      <c r="K17" s="2"/>
      <c r="L17" s="2"/>
      <c r="M17" s="2"/>
      <c r="N17" s="6"/>
      <c r="O17" s="35"/>
      <c r="P17" s="2"/>
      <c r="Q17" s="2"/>
      <c r="R17" s="6"/>
      <c r="S17" s="2"/>
      <c r="T17" s="2"/>
      <c r="U17" s="2"/>
      <c r="V17" s="6"/>
      <c r="W17" s="2"/>
      <c r="X17" s="2"/>
      <c r="Y17" s="2"/>
      <c r="Z17" s="6"/>
    </row>
    <row r="18" spans="1:26" s="63" customFormat="1" ht="15" customHeight="1" x14ac:dyDescent="0.3">
      <c r="A18" s="11"/>
      <c r="B18" s="28" t="s">
        <v>290</v>
      </c>
      <c r="C18" s="11"/>
      <c r="D18" s="22" cm="1">
        <f t="array" ref="D18">SUM(OSRRefD22x_0)</f>
        <v>157.88999999999999</v>
      </c>
      <c r="E18" s="22"/>
      <c r="F18" s="30">
        <f t="shared" ref="F18:F24" si="0">IF(D$12=0,0,D18/D$12)</f>
        <v>0</v>
      </c>
      <c r="G18" s="22"/>
      <c r="H18" s="22" cm="1">
        <f t="array" ref="H18">SUM(OSRRefH22x_0)</f>
        <v>58</v>
      </c>
      <c r="I18" s="22"/>
      <c r="J18" s="30">
        <f t="shared" ref="J18:J24" si="1">IF(H$12=0,0,H18/H$12)</f>
        <v>0</v>
      </c>
      <c r="K18" s="5"/>
      <c r="L18" s="22">
        <f t="shared" ref="L18:L24" si="2">+D18-H18</f>
        <v>99.889999999999986</v>
      </c>
      <c r="M18" s="5"/>
      <c r="N18" s="30">
        <f t="shared" ref="N18:N24" si="3">IF(H18=0,0,L18/H18)</f>
        <v>1.7222413793103446</v>
      </c>
      <c r="O18" s="11"/>
      <c r="P18" s="22" cm="1">
        <f t="array" ref="P18">SUM(OSRRefP22x_0)</f>
        <v>887.07999999999993</v>
      </c>
      <c r="Q18" s="22"/>
      <c r="R18" s="30">
        <f t="shared" ref="R18:R24" si="4">IF(P$12=0,0,P18/P$12)</f>
        <v>0</v>
      </c>
      <c r="S18" s="22"/>
      <c r="T18" s="22" cm="1">
        <f t="array" ref="T18">SUM(OSRRefT22x_0)</f>
        <v>522</v>
      </c>
      <c r="U18" s="22"/>
      <c r="V18" s="30">
        <f t="shared" ref="V18:V24" si="5">IF(T$12=0,0,T18/T$12)</f>
        <v>0</v>
      </c>
      <c r="W18" s="5"/>
      <c r="X18" s="22">
        <f t="shared" ref="X18:X24" si="6">+P18-T18</f>
        <v>365.07999999999993</v>
      </c>
      <c r="Y18" s="5"/>
      <c r="Z18" s="30">
        <f t="shared" ref="Z18:Z24" si="7">IF(T18=0,0,X18/T18)</f>
        <v>0.69938697318007648</v>
      </c>
    </row>
    <row r="19" spans="1:26" s="69" customFormat="1" ht="15" customHeight="1" outlineLevel="1" collapsed="1" x14ac:dyDescent="0.3">
      <c r="A19" s="25"/>
      <c r="B19" s="14" t="str">
        <f>CONCATENATE("     ","Depreciation                                      ")</f>
        <v xml:space="preserve">     Depreciation                                      </v>
      </c>
      <c r="C19" s="14"/>
      <c r="D19" s="2">
        <f>SUM(OSRRefD22_0x_0)</f>
        <v>58.03</v>
      </c>
      <c r="E19" s="2"/>
      <c r="F19" s="6">
        <f t="shared" si="0"/>
        <v>0</v>
      </c>
      <c r="G19" s="2"/>
      <c r="H19" s="2">
        <f>SUM(OSRRefH22_0x_0)</f>
        <v>58</v>
      </c>
      <c r="I19" s="2"/>
      <c r="J19" s="6">
        <f t="shared" si="1"/>
        <v>0</v>
      </c>
      <c r="K19" s="2"/>
      <c r="L19" s="2">
        <f t="shared" si="2"/>
        <v>3.0000000000001137E-2</v>
      </c>
      <c r="M19" s="2"/>
      <c r="N19" s="6">
        <f t="shared" si="3"/>
        <v>5.1724137931036447E-4</v>
      </c>
      <c r="O19" s="14"/>
      <c r="P19" s="2">
        <f>SUM(OSRRefP22_0x_0)</f>
        <v>522.27</v>
      </c>
      <c r="Q19" s="2"/>
      <c r="R19" s="6">
        <f t="shared" si="4"/>
        <v>0</v>
      </c>
      <c r="S19" s="2"/>
      <c r="T19" s="2">
        <f>SUM(OSRRefT22_0x_0)</f>
        <v>522</v>
      </c>
      <c r="U19" s="2"/>
      <c r="V19" s="6">
        <f t="shared" si="5"/>
        <v>0</v>
      </c>
      <c r="W19" s="2"/>
      <c r="X19" s="2">
        <f t="shared" si="6"/>
        <v>0.26999999999998181</v>
      </c>
      <c r="Y19" s="2"/>
      <c r="Z19" s="6">
        <f t="shared" si="7"/>
        <v>5.1724137931030993E-4</v>
      </c>
    </row>
    <row r="20" spans="1:26" s="70" customFormat="1" ht="15" hidden="1" customHeight="1" outlineLevel="2" x14ac:dyDescent="0.3">
      <c r="A20" s="26"/>
      <c r="B20" s="12" t="str">
        <f>CONCATENATE("          ","6322"," - ","EQUIPMENT DEPRECIATION EXPENSE")</f>
        <v xml:space="preserve">          6322 - EQUIPMENT DEPRECIATION EXPENSE</v>
      </c>
      <c r="C20" s="12"/>
      <c r="D20" s="7">
        <v>58.03</v>
      </c>
      <c r="E20" s="3"/>
      <c r="F20" s="8">
        <f t="shared" si="0"/>
        <v>0</v>
      </c>
      <c r="G20" s="3"/>
      <c r="H20" s="7">
        <v>58</v>
      </c>
      <c r="I20" s="3"/>
      <c r="J20" s="8">
        <f t="shared" si="1"/>
        <v>0</v>
      </c>
      <c r="K20" s="3"/>
      <c r="L20" s="7">
        <f t="shared" si="2"/>
        <v>3.0000000000001137E-2</v>
      </c>
      <c r="M20" s="3"/>
      <c r="N20" s="8">
        <f t="shared" si="3"/>
        <v>5.1724137931036447E-4</v>
      </c>
      <c r="O20" s="12"/>
      <c r="P20" s="7">
        <v>522.27</v>
      </c>
      <c r="Q20" s="3"/>
      <c r="R20" s="8">
        <f t="shared" si="4"/>
        <v>0</v>
      </c>
      <c r="S20" s="3"/>
      <c r="T20" s="7">
        <v>522</v>
      </c>
      <c r="U20" s="3"/>
      <c r="V20" s="8">
        <f t="shared" si="5"/>
        <v>0</v>
      </c>
      <c r="W20" s="3"/>
      <c r="X20" s="7">
        <f t="shared" si="6"/>
        <v>0.26999999999998181</v>
      </c>
      <c r="Y20" s="3"/>
      <c r="Z20" s="8">
        <f t="shared" si="7"/>
        <v>5.1724137931030993E-4</v>
      </c>
    </row>
    <row r="21" spans="1:26" s="69" customFormat="1" ht="15" customHeight="1" outlineLevel="1" collapsed="1" x14ac:dyDescent="0.3">
      <c r="A21" s="25"/>
      <c r="B21" s="14" t="str">
        <f>CONCATENATE("     ","Repair and Maintenance                            ")</f>
        <v xml:space="preserve">     Repair and Maintenance                            </v>
      </c>
      <c r="C21" s="14"/>
      <c r="D21" s="2">
        <f>SUM(OSRRefD22_1x_0)</f>
        <v>99.86</v>
      </c>
      <c r="E21" s="2"/>
      <c r="F21" s="6">
        <f t="shared" si="0"/>
        <v>0</v>
      </c>
      <c r="G21" s="2"/>
      <c r="H21" s="2">
        <f>SUM(OSRRefH22_1x_0)</f>
        <v>0</v>
      </c>
      <c r="I21" s="2"/>
      <c r="J21" s="6">
        <f t="shared" si="1"/>
        <v>0</v>
      </c>
      <c r="K21" s="2"/>
      <c r="L21" s="2">
        <f t="shared" si="2"/>
        <v>99.86</v>
      </c>
      <c r="M21" s="2"/>
      <c r="N21" s="6">
        <f t="shared" si="3"/>
        <v>0</v>
      </c>
      <c r="O21" s="14"/>
      <c r="P21" s="2">
        <f>SUM(OSRRefP22_1x_0)</f>
        <v>364.81</v>
      </c>
      <c r="Q21" s="2"/>
      <c r="R21" s="6">
        <f t="shared" si="4"/>
        <v>0</v>
      </c>
      <c r="S21" s="2"/>
      <c r="T21" s="2">
        <f>SUM(OSRRefT22_1x_0)</f>
        <v>0</v>
      </c>
      <c r="U21" s="2"/>
      <c r="V21" s="6">
        <f t="shared" si="5"/>
        <v>0</v>
      </c>
      <c r="W21" s="2"/>
      <c r="X21" s="2">
        <f t="shared" si="6"/>
        <v>364.81</v>
      </c>
      <c r="Y21" s="2"/>
      <c r="Z21" s="6">
        <f t="shared" si="7"/>
        <v>0</v>
      </c>
    </row>
    <row r="22" spans="1:26" s="70" customFormat="1" ht="15" hidden="1" customHeight="1" outlineLevel="2" x14ac:dyDescent="0.3">
      <c r="A22" s="26"/>
      <c r="B22" s="12" t="str">
        <f>CONCATENATE("          ","6373"," - ","MAINTENANCE CONTRACTS")</f>
        <v xml:space="preserve">          6373 - MAINTENANCE CONTRACTS</v>
      </c>
      <c r="C22" s="12"/>
      <c r="D22" s="7">
        <v>99.86</v>
      </c>
      <c r="E22" s="3"/>
      <c r="F22" s="8">
        <f t="shared" si="0"/>
        <v>0</v>
      </c>
      <c r="G22" s="3"/>
      <c r="H22" s="7"/>
      <c r="I22" s="3"/>
      <c r="J22" s="8">
        <f t="shared" si="1"/>
        <v>0</v>
      </c>
      <c r="K22" s="3"/>
      <c r="L22" s="7">
        <f t="shared" si="2"/>
        <v>99.86</v>
      </c>
      <c r="M22" s="3"/>
      <c r="N22" s="8">
        <f t="shared" si="3"/>
        <v>0</v>
      </c>
      <c r="O22" s="12"/>
      <c r="P22" s="7">
        <v>364.81</v>
      </c>
      <c r="Q22" s="3"/>
      <c r="R22" s="8">
        <f t="shared" si="4"/>
        <v>0</v>
      </c>
      <c r="S22" s="3"/>
      <c r="T22" s="7"/>
      <c r="U22" s="3"/>
      <c r="V22" s="8">
        <f t="shared" si="5"/>
        <v>0</v>
      </c>
      <c r="W22" s="3"/>
      <c r="X22" s="7">
        <f t="shared" si="6"/>
        <v>364.81</v>
      </c>
      <c r="Y22" s="3"/>
      <c r="Z22" s="8">
        <f t="shared" si="7"/>
        <v>0</v>
      </c>
    </row>
    <row r="23" spans="1:26" s="69" customFormat="1" ht="15" customHeight="1" outlineLevel="1" collapsed="1" x14ac:dyDescent="0.3">
      <c r="A23" s="25"/>
      <c r="B23" s="14" t="str">
        <f>CONCATENATE("     ","Services                                          ")</f>
        <v xml:space="preserve">     Services                                          </v>
      </c>
      <c r="C23" s="14"/>
      <c r="D23" s="2">
        <f>SUM(OSRRefD22_2x_0)</f>
        <v>0</v>
      </c>
      <c r="E23" s="2"/>
      <c r="F23" s="6">
        <f t="shared" si="0"/>
        <v>0</v>
      </c>
      <c r="G23" s="2"/>
      <c r="H23" s="2">
        <f>SUM(OSRRefH22_2x_0)</f>
        <v>0</v>
      </c>
      <c r="I23" s="2"/>
      <c r="J23" s="6">
        <f t="shared" si="1"/>
        <v>0</v>
      </c>
      <c r="K23" s="2"/>
      <c r="L23" s="2">
        <f t="shared" si="2"/>
        <v>0</v>
      </c>
      <c r="M23" s="2"/>
      <c r="N23" s="6">
        <f t="shared" si="3"/>
        <v>0</v>
      </c>
      <c r="O23" s="14"/>
      <c r="P23" s="2">
        <f>SUM(OSRRefP22_2x_0)</f>
        <v>0</v>
      </c>
      <c r="Q23" s="2"/>
      <c r="R23" s="6">
        <f t="shared" si="4"/>
        <v>0</v>
      </c>
      <c r="S23" s="2"/>
      <c r="T23" s="2">
        <f>SUM(OSRRefT22_2x_0)</f>
        <v>0</v>
      </c>
      <c r="U23" s="2"/>
      <c r="V23" s="6">
        <f t="shared" si="5"/>
        <v>0</v>
      </c>
      <c r="W23" s="2"/>
      <c r="X23" s="2">
        <f t="shared" si="6"/>
        <v>0</v>
      </c>
      <c r="Y23" s="2"/>
      <c r="Z23" s="6">
        <f t="shared" si="7"/>
        <v>0</v>
      </c>
    </row>
    <row r="24" spans="1:26" s="70" customFormat="1" ht="15" hidden="1" customHeight="1" outlineLevel="2" x14ac:dyDescent="0.3">
      <c r="A24" s="26"/>
      <c r="B24" s="12" t="str">
        <f>CONCATENATE("          ","6284"," - ","TRASH REMOVAL EXPENSE")</f>
        <v xml:space="preserve">          6284 - TRASH REMOVAL EXPENSE</v>
      </c>
      <c r="C24" s="12"/>
      <c r="D24" s="7"/>
      <c r="E24" s="3"/>
      <c r="F24" s="8">
        <f t="shared" si="0"/>
        <v>0</v>
      </c>
      <c r="G24" s="3"/>
      <c r="H24" s="7"/>
      <c r="I24" s="3"/>
      <c r="J24" s="8">
        <f t="shared" si="1"/>
        <v>0</v>
      </c>
      <c r="K24" s="3"/>
      <c r="L24" s="7">
        <f t="shared" si="2"/>
        <v>0</v>
      </c>
      <c r="M24" s="3"/>
      <c r="N24" s="8">
        <f t="shared" si="3"/>
        <v>0</v>
      </c>
      <c r="O24" s="12"/>
      <c r="P24" s="7"/>
      <c r="Q24" s="3"/>
      <c r="R24" s="8">
        <f t="shared" si="4"/>
        <v>0</v>
      </c>
      <c r="S24" s="3"/>
      <c r="T24" s="7">
        <v>0</v>
      </c>
      <c r="U24" s="3"/>
      <c r="V24" s="8">
        <f t="shared" si="5"/>
        <v>0</v>
      </c>
      <c r="W24" s="3"/>
      <c r="X24" s="7">
        <f t="shared" si="6"/>
        <v>0</v>
      </c>
      <c r="Y24" s="3"/>
      <c r="Z24" s="8">
        <f t="shared" si="7"/>
        <v>0</v>
      </c>
    </row>
    <row r="25" spans="1:26" s="65" customFormat="1" ht="15" customHeight="1" x14ac:dyDescent="0.3">
      <c r="A25" s="35"/>
      <c r="B25" s="35"/>
      <c r="C25" s="35"/>
      <c r="D25" s="2"/>
      <c r="E25" s="2"/>
      <c r="F25" s="6"/>
      <c r="G25" s="2"/>
      <c r="H25" s="2"/>
      <c r="I25" s="2"/>
      <c r="J25" s="6"/>
      <c r="K25" s="2"/>
      <c r="L25" s="2"/>
      <c r="M25" s="2"/>
      <c r="N25" s="6"/>
      <c r="O25" s="35"/>
      <c r="P25" s="2"/>
      <c r="Q25" s="2"/>
      <c r="R25" s="6"/>
      <c r="S25" s="2"/>
      <c r="T25" s="2"/>
      <c r="U25" s="2"/>
      <c r="V25" s="6"/>
      <c r="W25" s="2"/>
      <c r="X25" s="2"/>
      <c r="Y25" s="2"/>
      <c r="Z25" s="6"/>
    </row>
    <row r="26" spans="1:26" s="63" customFormat="1" ht="15" customHeight="1" x14ac:dyDescent="0.3">
      <c r="A26" s="11"/>
      <c r="B26" s="28" t="s">
        <v>291</v>
      </c>
      <c r="C26" s="11"/>
      <c r="D26" s="5">
        <f>SUM(0)</f>
        <v>0</v>
      </c>
      <c r="E26" s="5"/>
      <c r="F26" s="13">
        <f>IF(D$12=0,0,D26/D$12)</f>
        <v>0</v>
      </c>
      <c r="G26" s="5"/>
      <c r="H26" s="5">
        <f>SUM(0)</f>
        <v>0</v>
      </c>
      <c r="I26" s="5"/>
      <c r="J26" s="13">
        <f>IF(H$12=0,0,H26/H$12)</f>
        <v>0</v>
      </c>
      <c r="K26" s="5"/>
      <c r="L26" s="5">
        <f>+D26-H26</f>
        <v>0</v>
      </c>
      <c r="M26" s="5"/>
      <c r="N26" s="13">
        <f>IF(H26=0,0,L26/H26)</f>
        <v>0</v>
      </c>
      <c r="O26" s="11"/>
      <c r="P26" s="5">
        <f>SUM(0)</f>
        <v>0</v>
      </c>
      <c r="Q26" s="5"/>
      <c r="R26" s="13">
        <f>IF(P$12=0,0,P26/P$12)</f>
        <v>0</v>
      </c>
      <c r="S26" s="5"/>
      <c r="T26" s="5">
        <f>SUM(0)</f>
        <v>0</v>
      </c>
      <c r="U26" s="5"/>
      <c r="V26" s="13">
        <f>IF(T$12=0,0,T26/T$12)</f>
        <v>0</v>
      </c>
      <c r="W26" s="5"/>
      <c r="X26" s="5">
        <f>+P26-T26</f>
        <v>0</v>
      </c>
      <c r="Y26" s="5"/>
      <c r="Z26" s="13">
        <f>IF(T26=0,0,X26/T26)</f>
        <v>0</v>
      </c>
    </row>
    <row r="27" spans="1:26" ht="15" customHeight="1" x14ac:dyDescent="0.3">
      <c r="A27" s="10"/>
      <c r="B27" s="11"/>
      <c r="C27" s="11"/>
      <c r="D27" s="4"/>
      <c r="E27" s="4"/>
      <c r="F27" s="9"/>
      <c r="G27" s="4"/>
      <c r="H27" s="4"/>
      <c r="I27" s="4"/>
      <c r="J27" s="9"/>
      <c r="K27" s="4"/>
      <c r="L27" s="4"/>
      <c r="M27" s="4"/>
      <c r="N27" s="9"/>
      <c r="O27" s="11"/>
      <c r="P27" s="4"/>
      <c r="Q27" s="4"/>
      <c r="R27" s="9"/>
      <c r="S27" s="4"/>
      <c r="T27" s="4"/>
      <c r="U27" s="4"/>
      <c r="V27" s="9"/>
      <c r="W27" s="4"/>
      <c r="X27" s="4"/>
      <c r="Y27" s="4"/>
      <c r="Z27" s="9"/>
    </row>
    <row r="28" spans="1:26" s="63" customFormat="1" ht="15" customHeight="1" x14ac:dyDescent="0.3">
      <c r="A28" s="11"/>
      <c r="B28" s="27" t="s">
        <v>292</v>
      </c>
      <c r="C28" s="27"/>
      <c r="D28" s="21">
        <f>+D16-D18+D26</f>
        <v>-157.88999999999999</v>
      </c>
      <c r="E28" s="15"/>
      <c r="F28" s="23">
        <f>IF(D$12=0,0,D28/D$12)</f>
        <v>0</v>
      </c>
      <c r="G28" s="15"/>
      <c r="H28" s="21">
        <f>+H16-H18+H26</f>
        <v>-58</v>
      </c>
      <c r="I28" s="15"/>
      <c r="J28" s="23">
        <f>IF(H$12=0,0,H28/H$12)</f>
        <v>0</v>
      </c>
      <c r="K28" s="16"/>
      <c r="L28" s="21">
        <f>+D28-H28</f>
        <v>-99.889999999999986</v>
      </c>
      <c r="M28" s="16"/>
      <c r="N28" s="23">
        <f>IF(H28=0,0,L28/H28)</f>
        <v>1.7222413793103446</v>
      </c>
      <c r="O28" s="28"/>
      <c r="P28" s="21">
        <f>+P16-P18+P26</f>
        <v>-887.07999999999993</v>
      </c>
      <c r="Q28" s="15"/>
      <c r="R28" s="23">
        <f>IF(P$12=0,0,P28/P$12)</f>
        <v>0</v>
      </c>
      <c r="S28" s="15"/>
      <c r="T28" s="21">
        <f>+T16-T18+T26</f>
        <v>-522</v>
      </c>
      <c r="U28" s="15"/>
      <c r="V28" s="23">
        <f>IF(T$12=0,0,T28/T$12)</f>
        <v>0</v>
      </c>
      <c r="W28" s="16"/>
      <c r="X28" s="21">
        <f>+P28-T28</f>
        <v>-365.07999999999993</v>
      </c>
      <c r="Y28" s="16"/>
      <c r="Z28" s="23">
        <f>IF(T28=0,0,X28/T28)</f>
        <v>0.69938697318007648</v>
      </c>
    </row>
    <row r="29" spans="1:26" ht="15" customHeight="1" x14ac:dyDescent="0.3">
      <c r="A29" s="10"/>
      <c r="B29" s="11"/>
      <c r="C29" s="10"/>
      <c r="D29" s="4"/>
      <c r="E29" s="4"/>
      <c r="F29" s="9"/>
      <c r="G29" s="4"/>
      <c r="H29" s="4"/>
      <c r="I29" s="4"/>
      <c r="J29" s="9"/>
      <c r="K29" s="4"/>
      <c r="L29" s="4"/>
      <c r="M29" s="4"/>
      <c r="N29" s="9"/>
      <c r="P29" s="4"/>
      <c r="Q29" s="4"/>
      <c r="R29" s="9"/>
      <c r="S29" s="4"/>
      <c r="T29" s="4"/>
      <c r="U29" s="4"/>
      <c r="V29" s="9"/>
      <c r="W29" s="4"/>
      <c r="X29" s="4"/>
      <c r="Y29" s="4"/>
      <c r="Z29" s="9"/>
    </row>
    <row r="30" spans="1:26" s="63" customFormat="1" ht="15" customHeight="1" x14ac:dyDescent="0.3">
      <c r="A30" s="49"/>
      <c r="B30" s="11" t="s">
        <v>293</v>
      </c>
      <c r="C30" s="11"/>
      <c r="D30" s="5"/>
      <c r="E30" s="5"/>
      <c r="F30" s="13">
        <f>IF(D$12=0,0,D30/D$12)</f>
        <v>0</v>
      </c>
      <c r="G30" s="5"/>
      <c r="H30" s="5"/>
      <c r="I30" s="5"/>
      <c r="J30" s="13">
        <f>IF(H$12=0,0,H30/H$12)</f>
        <v>0</v>
      </c>
      <c r="K30" s="5"/>
      <c r="L30" s="5">
        <f>+D30-H30</f>
        <v>0</v>
      </c>
      <c r="M30" s="5"/>
      <c r="N30" s="13">
        <f>IF(H30=0,0,L30/H30)</f>
        <v>0</v>
      </c>
      <c r="O30" s="11"/>
      <c r="P30" s="5"/>
      <c r="Q30" s="5"/>
      <c r="R30" s="13">
        <f>IF(P$12=0,0,P30/P$12)</f>
        <v>0</v>
      </c>
      <c r="S30" s="5"/>
      <c r="T30" s="5"/>
      <c r="U30" s="5"/>
      <c r="V30" s="13">
        <f>IF(T$12=0,0,T30/T$12)</f>
        <v>0</v>
      </c>
      <c r="W30" s="5"/>
      <c r="X30" s="5">
        <f>+P30-T30</f>
        <v>0</v>
      </c>
      <c r="Y30" s="5"/>
      <c r="Z30" s="13">
        <f>IF(T30=0,0,X30/T30)</f>
        <v>0</v>
      </c>
    </row>
    <row r="31" spans="1:26" ht="15" customHeight="1" x14ac:dyDescent="0.3">
      <c r="A31" s="10"/>
      <c r="B31" s="11"/>
      <c r="C31" s="11"/>
      <c r="D31" s="4"/>
      <c r="E31" s="4"/>
      <c r="F31" s="9"/>
      <c r="G31" s="4"/>
      <c r="H31" s="4"/>
      <c r="I31" s="4"/>
      <c r="J31" s="9"/>
      <c r="K31" s="4"/>
      <c r="L31" s="4"/>
      <c r="M31" s="4"/>
      <c r="N31" s="9"/>
      <c r="O31" s="11"/>
      <c r="P31" s="4"/>
      <c r="Q31" s="4"/>
      <c r="R31" s="9"/>
      <c r="S31" s="4"/>
      <c r="T31" s="4"/>
      <c r="U31" s="4"/>
      <c r="V31" s="9"/>
      <c r="W31" s="4"/>
      <c r="X31" s="4"/>
      <c r="Y31" s="4"/>
      <c r="Z31" s="9"/>
    </row>
    <row r="32" spans="1:26" s="63" customFormat="1" ht="15" customHeight="1" x14ac:dyDescent="0.3">
      <c r="A32" s="11"/>
      <c r="B32" s="27" t="s">
        <v>294</v>
      </c>
      <c r="C32" s="27"/>
      <c r="D32" s="34">
        <f>+D28-D30</f>
        <v>-157.88999999999999</v>
      </c>
      <c r="E32" s="15"/>
      <c r="F32" s="29">
        <f>IF(D$12=0,0,D32/D$12)</f>
        <v>0</v>
      </c>
      <c r="G32" s="15"/>
      <c r="H32" s="34">
        <f>+H28-H30</f>
        <v>-58</v>
      </c>
      <c r="I32" s="15"/>
      <c r="J32" s="29">
        <f>IF(H$12=0,0,H32/H$12)</f>
        <v>0</v>
      </c>
      <c r="K32" s="16"/>
      <c r="L32" s="34">
        <f>D32-H32</f>
        <v>-99.889999999999986</v>
      </c>
      <c r="M32" s="16"/>
      <c r="N32" s="29">
        <f>IF(H32=0,0,L32/H32)</f>
        <v>1.7222413793103446</v>
      </c>
      <c r="O32" s="28"/>
      <c r="P32" s="34">
        <f>+P28-P30</f>
        <v>-887.07999999999993</v>
      </c>
      <c r="Q32" s="15"/>
      <c r="R32" s="29">
        <f>IF(P$12=0,0,P32/P$12)</f>
        <v>0</v>
      </c>
      <c r="S32" s="15"/>
      <c r="T32" s="34">
        <f>+T28-T30</f>
        <v>-522</v>
      </c>
      <c r="U32" s="15"/>
      <c r="V32" s="29">
        <f>IF(T$12=0,0,T32/T$12)</f>
        <v>0</v>
      </c>
      <c r="W32" s="16"/>
      <c r="X32" s="34">
        <f>P32-T32</f>
        <v>-365.07999999999993</v>
      </c>
      <c r="Y32" s="16"/>
      <c r="Z32" s="29">
        <f>IF(T32=0,0,X32/T32)</f>
        <v>0.69938697318007648</v>
      </c>
    </row>
    <row r="33" spans="1:26" ht="15" customHeight="1" x14ac:dyDescent="0.3">
      <c r="A33" s="10"/>
      <c r="B33" s="10"/>
      <c r="C33" s="10"/>
      <c r="D33" s="4"/>
      <c r="E33" s="4"/>
      <c r="F33" s="9"/>
      <c r="G33" s="4"/>
      <c r="H33" s="4"/>
      <c r="I33" s="4"/>
      <c r="J33" s="9"/>
      <c r="K33" s="4"/>
      <c r="L33" s="4"/>
      <c r="M33" s="4"/>
      <c r="N33" s="9"/>
      <c r="P33" s="4"/>
      <c r="Q33" s="4"/>
      <c r="R33" s="9"/>
      <c r="S33" s="4"/>
      <c r="T33" s="4"/>
      <c r="U33" s="4"/>
      <c r="V33" s="9"/>
      <c r="W33" s="4"/>
      <c r="X33" s="4"/>
      <c r="Y33" s="4"/>
      <c r="Z33" s="9"/>
    </row>
    <row r="34" spans="1:26" ht="15" customHeight="1" x14ac:dyDescent="0.3">
      <c r="A34" s="10"/>
      <c r="B34" s="10"/>
      <c r="C34" s="10"/>
      <c r="D34" s="4"/>
      <c r="E34" s="4"/>
      <c r="F34" s="9"/>
      <c r="G34" s="4"/>
      <c r="H34" s="4"/>
      <c r="I34" s="4"/>
      <c r="J34" s="9"/>
      <c r="K34" s="4"/>
      <c r="L34" s="4"/>
      <c r="M34" s="4"/>
      <c r="N34" s="9"/>
      <c r="P34" s="4"/>
      <c r="Q34" s="4"/>
      <c r="R34" s="9"/>
      <c r="S34" s="4"/>
      <c r="T34" s="4"/>
      <c r="U34" s="4"/>
      <c r="V34" s="9"/>
      <c r="W34" s="4"/>
      <c r="X34" s="4"/>
      <c r="Y34" s="4"/>
      <c r="Z34" s="9"/>
    </row>
    <row r="35" spans="1:26" s="63" customFormat="1" ht="15" customHeight="1" x14ac:dyDescent="0.3">
      <c r="A35" s="11"/>
      <c r="B35" s="27" t="s">
        <v>297</v>
      </c>
      <c r="C35" s="27"/>
      <c r="D35" s="32">
        <f>SUM(D32:D34)</f>
        <v>-157.88999999999999</v>
      </c>
      <c r="E35" s="15"/>
      <c r="F35" s="31">
        <f>IF(D$12=0,0,D35/D$12)</f>
        <v>0</v>
      </c>
      <c r="G35" s="15"/>
      <c r="H35" s="32">
        <f>SUM(H32:H34)</f>
        <v>-58</v>
      </c>
      <c r="I35" s="15"/>
      <c r="J35" s="31">
        <f>IF(H$12=0,0,H35/H$12)</f>
        <v>0</v>
      </c>
      <c r="K35" s="16"/>
      <c r="L35" s="32">
        <f>+D35-H35</f>
        <v>-99.889999999999986</v>
      </c>
      <c r="M35" s="16"/>
      <c r="N35" s="31">
        <f>IF(H35=0,0,L35/H35)</f>
        <v>1.7222413793103446</v>
      </c>
      <c r="O35" s="28"/>
      <c r="P35" s="32">
        <f>SUM(P32:P34)</f>
        <v>-887.07999999999993</v>
      </c>
      <c r="Q35" s="15"/>
      <c r="R35" s="31">
        <f>IF(P$12=0,0,P35/P$12)</f>
        <v>0</v>
      </c>
      <c r="S35" s="15"/>
      <c r="T35" s="32">
        <f>SUM(T32:T34)</f>
        <v>-522</v>
      </c>
      <c r="U35" s="15"/>
      <c r="V35" s="31">
        <f>IF(T$12=0,0,T35/T$12)</f>
        <v>0</v>
      </c>
      <c r="W35" s="16"/>
      <c r="X35" s="32">
        <f>+P35-T35</f>
        <v>-365.07999999999993</v>
      </c>
      <c r="Y35" s="16"/>
      <c r="Z35" s="31">
        <f>IF(T35=0,0,X35/T35)</f>
        <v>0.69938697318007648</v>
      </c>
    </row>
    <row r="36" spans="1:26" ht="15" customHeight="1" x14ac:dyDescent="0.3">
      <c r="A36" s="10"/>
      <c r="C36" s="10"/>
      <c r="D36" s="19"/>
      <c r="E36" s="19"/>
      <c r="G36" s="19"/>
      <c r="H36" s="19"/>
      <c r="I36" s="19"/>
      <c r="J36" s="40"/>
      <c r="K36" s="19"/>
      <c r="L36" s="19"/>
      <c r="M36" s="19"/>
      <c r="P36" s="19"/>
      <c r="Q36" s="19"/>
      <c r="R36" s="40"/>
      <c r="S36" s="19"/>
      <c r="T36" s="19"/>
      <c r="U36" s="19"/>
      <c r="V36" s="40"/>
      <c r="W36" s="19"/>
      <c r="X36" s="19"/>
    </row>
    <row r="37" spans="1:26" ht="15" customHeight="1" x14ac:dyDescent="0.3">
      <c r="A37" s="10"/>
      <c r="B37" s="51">
        <v>44663.047665428239</v>
      </c>
      <c r="D37" s="19"/>
      <c r="E37" s="19"/>
      <c r="G37" s="19"/>
      <c r="H37" s="19"/>
      <c r="I37" s="19"/>
      <c r="J37" s="40"/>
      <c r="K37" s="19"/>
      <c r="L37" s="19"/>
      <c r="M37" s="19"/>
      <c r="P37" s="19"/>
      <c r="Q37" s="19"/>
      <c r="R37" s="40"/>
      <c r="S37" s="19"/>
      <c r="T37" s="19"/>
      <c r="U37" s="19"/>
      <c r="V37" s="40"/>
      <c r="W37" s="19"/>
      <c r="X37" s="19"/>
    </row>
    <row r="38" spans="1:26" ht="15" customHeight="1" x14ac:dyDescent="0.3">
      <c r="A38" s="10"/>
      <c r="B38" s="58" t="s">
        <v>298</v>
      </c>
      <c r="D38" s="19"/>
      <c r="E38" s="19"/>
      <c r="G38" s="19"/>
      <c r="H38" s="19"/>
      <c r="I38" s="19"/>
      <c r="J38" s="40"/>
      <c r="K38" s="19"/>
      <c r="L38" s="19"/>
      <c r="M38" s="19"/>
      <c r="P38" s="19"/>
      <c r="Q38" s="19"/>
      <c r="R38" s="40"/>
      <c r="S38" s="19"/>
      <c r="T38" s="19"/>
      <c r="U38" s="19"/>
      <c r="V38" s="40"/>
      <c r="W38" s="19"/>
      <c r="X38" s="19"/>
    </row>
    <row r="39" spans="1:26" ht="15" customHeight="1" x14ac:dyDescent="0.3">
      <c r="A39" s="10"/>
      <c r="B39" s="50"/>
      <c r="D39" s="19"/>
      <c r="E39" s="19"/>
      <c r="G39" s="19"/>
      <c r="H39" s="19"/>
      <c r="I39" s="19"/>
      <c r="J39" s="40"/>
      <c r="K39" s="19"/>
      <c r="L39" s="19"/>
      <c r="M39" s="19"/>
      <c r="P39" s="19"/>
      <c r="Q39" s="19"/>
      <c r="R39" s="40"/>
      <c r="S39" s="19"/>
      <c r="T39" s="19"/>
      <c r="U39" s="19"/>
      <c r="V39" s="40"/>
      <c r="W39" s="19"/>
      <c r="X39" s="19"/>
    </row>
    <row r="40" spans="1:26" ht="15" customHeight="1" x14ac:dyDescent="0.3">
      <c r="D40" s="19"/>
      <c r="E40" s="19"/>
      <c r="G40" s="19"/>
      <c r="H40" s="19"/>
      <c r="I40" s="19"/>
      <c r="J40" s="40"/>
      <c r="K40" s="19"/>
      <c r="L40" s="19"/>
      <c r="M40" s="19"/>
      <c r="P40" s="19"/>
      <c r="Q40" s="19"/>
      <c r="R40" s="40"/>
      <c r="S40" s="19"/>
      <c r="T40" s="19"/>
      <c r="U40" s="19"/>
      <c r="V40" s="40"/>
      <c r="W40" s="19"/>
      <c r="X40" s="19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EEF7F1-6DC1-A572-2B6C-9E8D61C0B6F5}">
  <sheetPr>
    <tabColor rgb="FF92D050"/>
    <outlinePr summaryBelow="0" summaryRight="0"/>
  </sheetPr>
  <dimension ref="A2:Z40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6" customWidth="1"/>
    <col min="2" max="2" width="33.44140625" style="66" customWidth="1"/>
    <col min="3" max="3" width="1.88671875" style="66" customWidth="1"/>
    <col min="4" max="4" width="15" style="66" customWidth="1"/>
    <col min="5" max="5" width="1.88671875" style="66" customWidth="1" outlineLevel="1"/>
    <col min="6" max="6" width="15" style="67" customWidth="1" outlineLevel="1"/>
    <col min="7" max="7" width="1.88671875" style="66" customWidth="1" outlineLevel="1"/>
    <col min="8" max="8" width="15" style="66" customWidth="1" outlineLevel="1"/>
    <col min="9" max="9" width="1.88671875" style="66" customWidth="1" outlineLevel="1"/>
    <col min="10" max="10" width="15" style="68" customWidth="1" outlineLevel="1"/>
    <col min="11" max="11" width="1.88671875" style="66" customWidth="1" outlineLevel="1"/>
    <col min="12" max="12" width="15" style="66" customWidth="1" outlineLevel="1"/>
    <col min="13" max="13" width="1.88671875" style="66" customWidth="1" outlineLevel="1"/>
    <col min="14" max="14" width="15" style="67" customWidth="1" outlineLevel="1"/>
    <col min="15" max="15" width="1.88671875" style="64" customWidth="1"/>
    <col min="16" max="16" width="15" style="66" customWidth="1"/>
    <col min="17" max="17" width="1.88671875" style="66" customWidth="1" outlineLevel="1"/>
    <col min="18" max="18" width="15" style="68" customWidth="1" outlineLevel="1"/>
    <col min="19" max="19" width="1.88671875" style="66" customWidth="1" outlineLevel="1"/>
    <col min="20" max="20" width="15" style="66" customWidth="1" outlineLevel="1"/>
    <col min="21" max="21" width="1.88671875" style="66" customWidth="1" outlineLevel="1"/>
    <col min="22" max="22" width="15" style="68" customWidth="1" outlineLevel="1"/>
    <col min="23" max="23" width="1.88671875" style="66" customWidth="1" outlineLevel="1"/>
    <col min="24" max="24" width="15" style="66" customWidth="1" outlineLevel="1"/>
    <col min="25" max="25" width="1.88671875" style="66" customWidth="1" outlineLevel="1"/>
    <col min="26" max="26" width="15" style="68" customWidth="1" outlineLevel="1"/>
  </cols>
  <sheetData>
    <row r="2" spans="1:26" ht="15" customHeight="1" x14ac:dyDescent="0.3">
      <c r="D2" s="54" t="s">
        <v>276</v>
      </c>
    </row>
    <row r="3" spans="1:26" ht="15" customHeight="1" x14ac:dyDescent="0.3">
      <c r="D3" s="54" t="s">
        <v>277</v>
      </c>
      <c r="E3" s="18"/>
      <c r="F3" s="44"/>
      <c r="G3" s="18"/>
      <c r="H3" s="18"/>
      <c r="I3" s="18"/>
      <c r="J3" s="38"/>
      <c r="K3" s="18"/>
      <c r="L3" s="18"/>
      <c r="M3" s="18"/>
      <c r="N3" s="44"/>
      <c r="O3" s="53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ht="15" customHeight="1" x14ac:dyDescent="0.3">
      <c r="D4" s="54" t="str">
        <f>CONCATENATE("Period ",RIGHT(202209,2),", ",2022)</f>
        <v>Period 09, 2022</v>
      </c>
      <c r="E4" s="18"/>
      <c r="F4" s="44"/>
      <c r="G4" s="18"/>
      <c r="H4" s="18"/>
      <c r="I4" s="18"/>
      <c r="J4" s="38"/>
      <c r="K4" s="18"/>
      <c r="L4" s="18"/>
      <c r="M4" s="18"/>
      <c r="N4" s="44"/>
      <c r="O4" s="53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ht="15" customHeight="1" x14ac:dyDescent="0.3">
      <c r="A5" s="24"/>
      <c r="D5" s="60">
        <v>44646</v>
      </c>
      <c r="E5" s="18"/>
      <c r="F5" s="44"/>
      <c r="G5" s="18"/>
      <c r="H5" s="18"/>
      <c r="I5" s="18"/>
      <c r="J5" s="38"/>
      <c r="K5" s="18"/>
      <c r="L5" s="18"/>
      <c r="M5" s="18"/>
      <c r="N5" s="44"/>
      <c r="O5" s="53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ht="15" customHeight="1" x14ac:dyDescent="0.3">
      <c r="A6" s="24"/>
      <c r="B6" s="47"/>
      <c r="C6" s="47"/>
      <c r="D6" s="24" t="str">
        <f>CONCATENATE("Department ","414"," - ","Starbucks UDP")</f>
        <v>Department 414 - Starbucks UDP</v>
      </c>
      <c r="E6" s="18"/>
      <c r="F6" s="44"/>
      <c r="G6" s="18"/>
      <c r="H6" s="18"/>
      <c r="I6" s="18"/>
      <c r="J6" s="38"/>
      <c r="K6" s="18"/>
      <c r="L6" s="18"/>
      <c r="M6" s="18"/>
      <c r="N6" s="44"/>
      <c r="O6" s="59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ht="15" customHeight="1" x14ac:dyDescent="0.3">
      <c r="B7" s="52"/>
    </row>
    <row r="8" spans="1:26" ht="15" customHeight="1" x14ac:dyDescent="0.3">
      <c r="B8" s="52"/>
    </row>
    <row r="9" spans="1:26" ht="15" customHeight="1" x14ac:dyDescent="0.3">
      <c r="B9" s="10"/>
      <c r="C9" s="10"/>
      <c r="D9" s="17" t="s">
        <v>279</v>
      </c>
      <c r="E9" s="17"/>
      <c r="F9" s="36"/>
      <c r="G9" s="17"/>
      <c r="H9" s="17"/>
      <c r="I9" s="17"/>
      <c r="J9" s="43"/>
      <c r="K9" s="17"/>
      <c r="L9" s="17"/>
      <c r="M9" s="17"/>
      <c r="N9" s="36"/>
      <c r="P9" s="17" t="s">
        <v>280</v>
      </c>
      <c r="Q9" s="17"/>
      <c r="R9" s="36"/>
      <c r="S9" s="17"/>
      <c r="T9" s="17"/>
      <c r="U9" s="17"/>
      <c r="V9" s="43"/>
      <c r="W9" s="17"/>
      <c r="X9" s="17"/>
      <c r="Y9" s="17"/>
      <c r="Z9" s="36"/>
    </row>
    <row r="10" spans="1:26" ht="15" customHeight="1" x14ac:dyDescent="0.3">
      <c r="A10" s="11"/>
      <c r="B10" s="57"/>
      <c r="C10" s="11"/>
      <c r="D10" s="41" t="s">
        <v>281</v>
      </c>
      <c r="E10" s="33"/>
      <c r="F10" s="37" t="s">
        <v>282</v>
      </c>
      <c r="G10" s="33"/>
      <c r="H10" s="48" t="s">
        <v>283</v>
      </c>
      <c r="I10" s="33"/>
      <c r="J10" s="45" t="s">
        <v>284</v>
      </c>
      <c r="K10" s="11"/>
      <c r="L10" s="41" t="s">
        <v>285</v>
      </c>
      <c r="M10" s="11"/>
      <c r="N10" s="37" t="s">
        <v>286</v>
      </c>
      <c r="O10" s="11"/>
      <c r="P10" s="56" t="s">
        <v>281</v>
      </c>
      <c r="Q10" s="33"/>
      <c r="R10" s="37" t="s">
        <v>282</v>
      </c>
      <c r="S10" s="33"/>
      <c r="T10" s="48" t="s">
        <v>283</v>
      </c>
      <c r="U10" s="33"/>
      <c r="V10" s="45" t="s">
        <v>284</v>
      </c>
      <c r="W10" s="11"/>
      <c r="X10" s="41" t="s">
        <v>285</v>
      </c>
      <c r="Y10" s="11"/>
      <c r="Z10" s="37" t="s">
        <v>286</v>
      </c>
    </row>
    <row r="11" spans="1:26" ht="16.5" customHeight="1" x14ac:dyDescent="0.3">
      <c r="A11" s="10"/>
      <c r="B11" s="55"/>
      <c r="C11" s="10"/>
      <c r="D11" s="10"/>
      <c r="E11" s="10"/>
      <c r="F11" s="9"/>
      <c r="G11" s="10"/>
      <c r="H11" s="10"/>
      <c r="I11" s="10"/>
      <c r="J11" s="46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6"/>
      <c r="W11" s="10"/>
      <c r="X11" s="10"/>
      <c r="Y11" s="10"/>
      <c r="Z11" s="9"/>
    </row>
    <row r="12" spans="1:26" s="63" customFormat="1" ht="15" customHeight="1" x14ac:dyDescent="0.3">
      <c r="A12" s="11"/>
      <c r="B12" s="28" t="s">
        <v>287</v>
      </c>
      <c r="C12" s="11"/>
      <c r="D12" s="5">
        <f>SUM(0)</f>
        <v>0</v>
      </c>
      <c r="E12" s="5"/>
      <c r="F12" s="13"/>
      <c r="G12" s="5"/>
      <c r="H12" s="5">
        <f>SUM(0)</f>
        <v>0</v>
      </c>
      <c r="I12" s="5"/>
      <c r="J12" s="13"/>
      <c r="K12" s="5"/>
      <c r="L12" s="5">
        <f>+D12-H12</f>
        <v>0</v>
      </c>
      <c r="M12" s="5"/>
      <c r="N12" s="13">
        <f>IF(H12=0,0,L12/H12)</f>
        <v>0</v>
      </c>
      <c r="O12" s="11"/>
      <c r="P12" s="5">
        <f>SUM(0)</f>
        <v>0</v>
      </c>
      <c r="Q12" s="5"/>
      <c r="R12" s="13"/>
      <c r="S12" s="5"/>
      <c r="T12" s="5">
        <f>SUM(0)</f>
        <v>0</v>
      </c>
      <c r="U12" s="5"/>
      <c r="V12" s="13"/>
      <c r="W12" s="5"/>
      <c r="X12" s="5">
        <f>+P12-T12</f>
        <v>0</v>
      </c>
      <c r="Y12" s="5"/>
      <c r="Z12" s="13">
        <f>IF(T12=0,0,X12/T12)</f>
        <v>0</v>
      </c>
    </row>
    <row r="13" spans="1:26" ht="15" customHeight="1" x14ac:dyDescent="0.3">
      <c r="A13" s="10"/>
      <c r="B13" s="11"/>
      <c r="C13" s="10"/>
      <c r="D13" s="4"/>
      <c r="E13" s="4"/>
      <c r="F13" s="9"/>
      <c r="G13" s="4"/>
      <c r="H13" s="4"/>
      <c r="I13" s="4"/>
      <c r="J13" s="9"/>
      <c r="K13" s="4"/>
      <c r="L13" s="4"/>
      <c r="M13" s="4"/>
      <c r="N13" s="9"/>
      <c r="P13" s="4"/>
      <c r="Q13" s="4"/>
      <c r="R13" s="9"/>
      <c r="S13" s="4"/>
      <c r="T13" s="4"/>
      <c r="U13" s="4"/>
      <c r="V13" s="9"/>
      <c r="W13" s="4"/>
      <c r="X13" s="4"/>
      <c r="Y13" s="4"/>
      <c r="Z13" s="9"/>
    </row>
    <row r="14" spans="1:26" s="63" customFormat="1" ht="15" customHeight="1" x14ac:dyDescent="0.3">
      <c r="A14" s="11"/>
      <c r="B14" s="28" t="s">
        <v>288</v>
      </c>
      <c r="C14" s="11"/>
      <c r="D14" s="5">
        <f>SUM(0)</f>
        <v>0</v>
      </c>
      <c r="E14" s="5"/>
      <c r="F14" s="13">
        <f>IF(D$12=0,0,D14/D$12)</f>
        <v>0</v>
      </c>
      <c r="G14" s="5"/>
      <c r="H14" s="5">
        <f>SUM(0)</f>
        <v>0</v>
      </c>
      <c r="I14" s="5"/>
      <c r="J14" s="13">
        <f>IF(H$12=0,0,H14/H$12)</f>
        <v>0</v>
      </c>
      <c r="K14" s="5"/>
      <c r="L14" s="5">
        <f>+D14-H14</f>
        <v>0</v>
      </c>
      <c r="M14" s="5"/>
      <c r="N14" s="13">
        <f>IF(H14=0,0,L14/H14)</f>
        <v>0</v>
      </c>
      <c r="O14" s="11"/>
      <c r="P14" s="5">
        <f>SUM(0)</f>
        <v>0</v>
      </c>
      <c r="Q14" s="5"/>
      <c r="R14" s="13">
        <f>IF(P$12=0,0,P14/P$12)</f>
        <v>0</v>
      </c>
      <c r="S14" s="5"/>
      <c r="T14" s="5">
        <f>SUM(0)</f>
        <v>0</v>
      </c>
      <c r="U14" s="5"/>
      <c r="V14" s="13">
        <f>IF(T$12=0,0,T14/T$12)</f>
        <v>0</v>
      </c>
      <c r="W14" s="5"/>
      <c r="X14" s="5">
        <f>+P14-T14</f>
        <v>0</v>
      </c>
      <c r="Y14" s="5"/>
      <c r="Z14" s="13">
        <f>IF(T14=0,0,X14/T14)</f>
        <v>0</v>
      </c>
    </row>
    <row r="15" spans="1:26" ht="15" customHeight="1" x14ac:dyDescent="0.3">
      <c r="A15" s="10"/>
      <c r="B15" s="11"/>
      <c r="C15" s="11"/>
      <c r="D15" s="4"/>
      <c r="E15" s="4"/>
      <c r="F15" s="9"/>
      <c r="G15" s="4"/>
      <c r="H15" s="4"/>
      <c r="I15" s="4"/>
      <c r="J15" s="9"/>
      <c r="K15" s="4"/>
      <c r="L15" s="4"/>
      <c r="M15" s="4"/>
      <c r="N15" s="9"/>
      <c r="O15" s="11"/>
      <c r="P15" s="4"/>
      <c r="Q15" s="4"/>
      <c r="R15" s="9"/>
      <c r="S15" s="4"/>
      <c r="T15" s="4"/>
      <c r="U15" s="4"/>
      <c r="V15" s="9"/>
      <c r="W15" s="4"/>
      <c r="X15" s="4"/>
      <c r="Y15" s="4"/>
      <c r="Z15" s="9"/>
    </row>
    <row r="16" spans="1:26" s="63" customFormat="1" ht="15" customHeight="1" x14ac:dyDescent="0.3">
      <c r="A16" s="11"/>
      <c r="B16" s="27" t="s">
        <v>289</v>
      </c>
      <c r="C16" s="27"/>
      <c r="D16" s="21">
        <f>D12-D14</f>
        <v>0</v>
      </c>
      <c r="E16" s="15"/>
      <c r="F16" s="23">
        <f>IF(D$12=0,0,D16/D$12)</f>
        <v>0</v>
      </c>
      <c r="G16" s="15"/>
      <c r="H16" s="21">
        <f>H12-H14</f>
        <v>0</v>
      </c>
      <c r="I16" s="15"/>
      <c r="J16" s="23">
        <f>IF(H$12=0,0,H16/H$12)</f>
        <v>0</v>
      </c>
      <c r="K16" s="16"/>
      <c r="L16" s="21">
        <f>+D16-H16</f>
        <v>0</v>
      </c>
      <c r="M16" s="16"/>
      <c r="N16" s="23">
        <f>IF(H16=0,0,L16/H16)</f>
        <v>0</v>
      </c>
      <c r="O16" s="28"/>
      <c r="P16" s="21">
        <f>P12-P14</f>
        <v>0</v>
      </c>
      <c r="Q16" s="15"/>
      <c r="R16" s="23">
        <f>IF(P$12=0,0,P16/P$12)</f>
        <v>0</v>
      </c>
      <c r="S16" s="15"/>
      <c r="T16" s="21">
        <f>T12-T14</f>
        <v>0</v>
      </c>
      <c r="U16" s="15"/>
      <c r="V16" s="23">
        <f>IF(T$12=0,0,T16/T$12)</f>
        <v>0</v>
      </c>
      <c r="W16" s="16"/>
      <c r="X16" s="21">
        <f>+P16-T16</f>
        <v>0</v>
      </c>
      <c r="Y16" s="16"/>
      <c r="Z16" s="23">
        <f>IF(T16=0,0,X16/T16)</f>
        <v>0</v>
      </c>
    </row>
    <row r="17" spans="1:26" ht="15" customHeight="1" x14ac:dyDescent="0.3">
      <c r="A17" s="10"/>
      <c r="B17" s="11"/>
      <c r="C17" s="10"/>
      <c r="D17" s="2"/>
      <c r="E17" s="2"/>
      <c r="F17" s="6"/>
      <c r="G17" s="2"/>
      <c r="H17" s="2"/>
      <c r="I17" s="2"/>
      <c r="J17" s="6"/>
      <c r="K17" s="2"/>
      <c r="L17" s="2"/>
      <c r="M17" s="2"/>
      <c r="N17" s="6"/>
      <c r="O17" s="35"/>
      <c r="P17" s="2"/>
      <c r="Q17" s="2"/>
      <c r="R17" s="6"/>
      <c r="S17" s="2"/>
      <c r="T17" s="2"/>
      <c r="U17" s="2"/>
      <c r="V17" s="6"/>
      <c r="W17" s="2"/>
      <c r="X17" s="2"/>
      <c r="Y17" s="2"/>
      <c r="Z17" s="6"/>
    </row>
    <row r="18" spans="1:26" s="63" customFormat="1" ht="15" customHeight="1" x14ac:dyDescent="0.3">
      <c r="A18" s="11"/>
      <c r="B18" s="28" t="s">
        <v>290</v>
      </c>
      <c r="C18" s="11"/>
      <c r="D18" s="22" cm="1">
        <f t="array" ref="D18">SUM(OSRRefD22x_0)</f>
        <v>62.41</v>
      </c>
      <c r="E18" s="22"/>
      <c r="F18" s="30">
        <f t="shared" ref="F18:F24" si="0">IF(D$12=0,0,D18/D$12)</f>
        <v>0</v>
      </c>
      <c r="G18" s="22"/>
      <c r="H18" s="22" cm="1">
        <f t="array" ref="H18">SUM(OSRRefH22x_0)</f>
        <v>0</v>
      </c>
      <c r="I18" s="22"/>
      <c r="J18" s="30">
        <f t="shared" ref="J18:J24" si="1">IF(H$12=0,0,H18/H$12)</f>
        <v>0</v>
      </c>
      <c r="K18" s="5"/>
      <c r="L18" s="22">
        <f t="shared" ref="L18:L24" si="2">+D18-H18</f>
        <v>62.41</v>
      </c>
      <c r="M18" s="5"/>
      <c r="N18" s="30">
        <f t="shared" ref="N18:N24" si="3">IF(H18=0,0,L18/H18)</f>
        <v>0</v>
      </c>
      <c r="O18" s="11"/>
      <c r="P18" s="22" cm="1">
        <f t="array" ref="P18">SUM(OSRRefP22x_0)</f>
        <v>372.9</v>
      </c>
      <c r="Q18" s="22"/>
      <c r="R18" s="30">
        <f t="shared" ref="R18:R24" si="4">IF(P$12=0,0,P18/P$12)</f>
        <v>0</v>
      </c>
      <c r="S18" s="22"/>
      <c r="T18" s="22" cm="1">
        <f t="array" ref="T18">SUM(OSRRefT22x_0)</f>
        <v>0</v>
      </c>
      <c r="U18" s="22"/>
      <c r="V18" s="30">
        <f t="shared" ref="V18:V24" si="5">IF(T$12=0,0,T18/T$12)</f>
        <v>0</v>
      </c>
      <c r="W18" s="5"/>
      <c r="X18" s="22">
        <f t="shared" ref="X18:X24" si="6">+P18-T18</f>
        <v>372.9</v>
      </c>
      <c r="Y18" s="5"/>
      <c r="Z18" s="30">
        <f t="shared" ref="Z18:Z24" si="7">IF(T18=0,0,X18/T18)</f>
        <v>0</v>
      </c>
    </row>
    <row r="19" spans="1:26" s="69" customFormat="1" ht="15" customHeight="1" outlineLevel="1" collapsed="1" x14ac:dyDescent="0.3">
      <c r="A19" s="25"/>
      <c r="B19" s="14" t="str">
        <f>CONCATENATE("     ","Equipment Rental                                  ")</f>
        <v xml:space="preserve">     Equipment Rental                                  </v>
      </c>
      <c r="C19" s="14"/>
      <c r="D19" s="2">
        <f>SUM(OSRRefD22_0x_0)</f>
        <v>0</v>
      </c>
      <c r="E19" s="2"/>
      <c r="F19" s="6">
        <f t="shared" si="0"/>
        <v>0</v>
      </c>
      <c r="G19" s="2"/>
      <c r="H19" s="2">
        <f>SUM(OSRRefH22_0x_0)</f>
        <v>0</v>
      </c>
      <c r="I19" s="2"/>
      <c r="J19" s="6">
        <f t="shared" si="1"/>
        <v>0</v>
      </c>
      <c r="K19" s="2"/>
      <c r="L19" s="2">
        <f t="shared" si="2"/>
        <v>0</v>
      </c>
      <c r="M19" s="2"/>
      <c r="N19" s="6">
        <f t="shared" si="3"/>
        <v>0</v>
      </c>
      <c r="O19" s="14"/>
      <c r="P19" s="2">
        <f>SUM(OSRRefP22_0x_0)</f>
        <v>118.91</v>
      </c>
      <c r="Q19" s="2"/>
      <c r="R19" s="6">
        <f t="shared" si="4"/>
        <v>0</v>
      </c>
      <c r="S19" s="2"/>
      <c r="T19" s="2">
        <f>SUM(OSRRefT22_0x_0)</f>
        <v>0</v>
      </c>
      <c r="U19" s="2"/>
      <c r="V19" s="6">
        <f t="shared" si="5"/>
        <v>0</v>
      </c>
      <c r="W19" s="2"/>
      <c r="X19" s="2">
        <f t="shared" si="6"/>
        <v>118.91</v>
      </c>
      <c r="Y19" s="2"/>
      <c r="Z19" s="6">
        <f t="shared" si="7"/>
        <v>0</v>
      </c>
    </row>
    <row r="20" spans="1:26" s="70" customFormat="1" ht="15" hidden="1" customHeight="1" outlineLevel="2" x14ac:dyDescent="0.3">
      <c r="A20" s="26"/>
      <c r="B20" s="12" t="str">
        <f>CONCATENATE("          ","6351"," - ","EQUIPMENT RENTAL")</f>
        <v xml:space="preserve">          6351 - EQUIPMENT RENTAL</v>
      </c>
      <c r="C20" s="12"/>
      <c r="D20" s="7"/>
      <c r="E20" s="3"/>
      <c r="F20" s="8">
        <f t="shared" si="0"/>
        <v>0</v>
      </c>
      <c r="G20" s="3"/>
      <c r="H20" s="7"/>
      <c r="I20" s="3"/>
      <c r="J20" s="8">
        <f t="shared" si="1"/>
        <v>0</v>
      </c>
      <c r="K20" s="3"/>
      <c r="L20" s="7">
        <f t="shared" si="2"/>
        <v>0</v>
      </c>
      <c r="M20" s="3"/>
      <c r="N20" s="8">
        <f t="shared" si="3"/>
        <v>0</v>
      </c>
      <c r="O20" s="12"/>
      <c r="P20" s="7">
        <v>118.91</v>
      </c>
      <c r="Q20" s="3"/>
      <c r="R20" s="8">
        <f t="shared" si="4"/>
        <v>0</v>
      </c>
      <c r="S20" s="3"/>
      <c r="T20" s="7"/>
      <c r="U20" s="3"/>
      <c r="V20" s="8">
        <f t="shared" si="5"/>
        <v>0</v>
      </c>
      <c r="W20" s="3"/>
      <c r="X20" s="7">
        <f t="shared" si="6"/>
        <v>118.91</v>
      </c>
      <c r="Y20" s="3"/>
      <c r="Z20" s="8">
        <f t="shared" si="7"/>
        <v>0</v>
      </c>
    </row>
    <row r="21" spans="1:26" s="69" customFormat="1" ht="15" customHeight="1" outlineLevel="1" collapsed="1" x14ac:dyDescent="0.3">
      <c r="A21" s="25"/>
      <c r="B21" s="14" t="str">
        <f>CONCATENATE("     ","Repair and Maintenance                            ")</f>
        <v xml:space="preserve">     Repair and Maintenance                            </v>
      </c>
      <c r="C21" s="14"/>
      <c r="D21" s="2">
        <f>SUM(OSRRefD22_1x_0)</f>
        <v>62.41</v>
      </c>
      <c r="E21" s="2"/>
      <c r="F21" s="6">
        <f t="shared" si="0"/>
        <v>0</v>
      </c>
      <c r="G21" s="2"/>
      <c r="H21" s="2">
        <f>SUM(OSRRefH22_1x_0)</f>
        <v>0</v>
      </c>
      <c r="I21" s="2"/>
      <c r="J21" s="6">
        <f t="shared" si="1"/>
        <v>0</v>
      </c>
      <c r="K21" s="2"/>
      <c r="L21" s="2">
        <f t="shared" si="2"/>
        <v>62.41</v>
      </c>
      <c r="M21" s="2"/>
      <c r="N21" s="6">
        <f t="shared" si="3"/>
        <v>0</v>
      </c>
      <c r="O21" s="14"/>
      <c r="P21" s="2">
        <f>SUM(OSRRefP22_1x_0)</f>
        <v>253.99</v>
      </c>
      <c r="Q21" s="2"/>
      <c r="R21" s="6">
        <f t="shared" si="4"/>
        <v>0</v>
      </c>
      <c r="S21" s="2"/>
      <c r="T21" s="2">
        <f>SUM(OSRRefT22_1x_0)</f>
        <v>0</v>
      </c>
      <c r="U21" s="2"/>
      <c r="V21" s="6">
        <f t="shared" si="5"/>
        <v>0</v>
      </c>
      <c r="W21" s="2"/>
      <c r="X21" s="2">
        <f t="shared" si="6"/>
        <v>253.99</v>
      </c>
      <c r="Y21" s="2"/>
      <c r="Z21" s="6">
        <f t="shared" si="7"/>
        <v>0</v>
      </c>
    </row>
    <row r="22" spans="1:26" s="70" customFormat="1" ht="15" hidden="1" customHeight="1" outlineLevel="2" x14ac:dyDescent="0.3">
      <c r="A22" s="26"/>
      <c r="B22" s="12" t="str">
        <f>CONCATENATE("          ","6373"," - ","MAINTENANCE CONTRACTS")</f>
        <v xml:space="preserve">          6373 - MAINTENANCE CONTRACTS</v>
      </c>
      <c r="C22" s="12"/>
      <c r="D22" s="7">
        <v>62.41</v>
      </c>
      <c r="E22" s="3"/>
      <c r="F22" s="8">
        <f t="shared" si="0"/>
        <v>0</v>
      </c>
      <c r="G22" s="3"/>
      <c r="H22" s="7"/>
      <c r="I22" s="3"/>
      <c r="J22" s="8">
        <f t="shared" si="1"/>
        <v>0</v>
      </c>
      <c r="K22" s="3"/>
      <c r="L22" s="7">
        <f t="shared" si="2"/>
        <v>62.41</v>
      </c>
      <c r="M22" s="3"/>
      <c r="N22" s="8">
        <f t="shared" si="3"/>
        <v>0</v>
      </c>
      <c r="O22" s="12"/>
      <c r="P22" s="7">
        <v>253.99</v>
      </c>
      <c r="Q22" s="3"/>
      <c r="R22" s="8">
        <f t="shared" si="4"/>
        <v>0</v>
      </c>
      <c r="S22" s="3"/>
      <c r="T22" s="7"/>
      <c r="U22" s="3"/>
      <c r="V22" s="8">
        <f t="shared" si="5"/>
        <v>0</v>
      </c>
      <c r="W22" s="3"/>
      <c r="X22" s="7">
        <f t="shared" si="6"/>
        <v>253.99</v>
      </c>
      <c r="Y22" s="3"/>
      <c r="Z22" s="8">
        <f t="shared" si="7"/>
        <v>0</v>
      </c>
    </row>
    <row r="23" spans="1:26" s="69" customFormat="1" ht="15" customHeight="1" outlineLevel="1" collapsed="1" x14ac:dyDescent="0.3">
      <c r="A23" s="25"/>
      <c r="B23" s="14" t="str">
        <f>CONCATENATE("     ","Services                                          ")</f>
        <v xml:space="preserve">     Services                                          </v>
      </c>
      <c r="C23" s="14"/>
      <c r="D23" s="2">
        <f>SUM(OSRRefD22_2x_0)</f>
        <v>0</v>
      </c>
      <c r="E23" s="2"/>
      <c r="F23" s="6">
        <f t="shared" si="0"/>
        <v>0</v>
      </c>
      <c r="G23" s="2"/>
      <c r="H23" s="2">
        <f>SUM(OSRRefH22_2x_0)</f>
        <v>0</v>
      </c>
      <c r="I23" s="2"/>
      <c r="J23" s="6">
        <f t="shared" si="1"/>
        <v>0</v>
      </c>
      <c r="K23" s="2"/>
      <c r="L23" s="2">
        <f t="shared" si="2"/>
        <v>0</v>
      </c>
      <c r="M23" s="2"/>
      <c r="N23" s="6">
        <f t="shared" si="3"/>
        <v>0</v>
      </c>
      <c r="O23" s="14"/>
      <c r="P23" s="2">
        <f>SUM(OSRRefP22_2x_0)</f>
        <v>0</v>
      </c>
      <c r="Q23" s="2"/>
      <c r="R23" s="6">
        <f t="shared" si="4"/>
        <v>0</v>
      </c>
      <c r="S23" s="2"/>
      <c r="T23" s="2">
        <f>SUM(OSRRefT22_2x_0)</f>
        <v>0</v>
      </c>
      <c r="U23" s="2"/>
      <c r="V23" s="6">
        <f t="shared" si="5"/>
        <v>0</v>
      </c>
      <c r="W23" s="2"/>
      <c r="X23" s="2">
        <f t="shared" si="6"/>
        <v>0</v>
      </c>
      <c r="Y23" s="2"/>
      <c r="Z23" s="6">
        <f t="shared" si="7"/>
        <v>0</v>
      </c>
    </row>
    <row r="24" spans="1:26" s="70" customFormat="1" ht="15" hidden="1" customHeight="1" outlineLevel="2" x14ac:dyDescent="0.3">
      <c r="A24" s="26"/>
      <c r="B24" s="12" t="str">
        <f>CONCATENATE("          ","6284"," - ","TRASH REMOVAL EXPENSE")</f>
        <v xml:space="preserve">          6284 - TRASH REMOVAL EXPENSE</v>
      </c>
      <c r="C24" s="12"/>
      <c r="D24" s="7"/>
      <c r="E24" s="3"/>
      <c r="F24" s="8">
        <f t="shared" si="0"/>
        <v>0</v>
      </c>
      <c r="G24" s="3"/>
      <c r="H24" s="7"/>
      <c r="I24" s="3"/>
      <c r="J24" s="8">
        <f t="shared" si="1"/>
        <v>0</v>
      </c>
      <c r="K24" s="3"/>
      <c r="L24" s="7">
        <f t="shared" si="2"/>
        <v>0</v>
      </c>
      <c r="M24" s="3"/>
      <c r="N24" s="8">
        <f t="shared" si="3"/>
        <v>0</v>
      </c>
      <c r="O24" s="12"/>
      <c r="P24" s="7"/>
      <c r="Q24" s="3"/>
      <c r="R24" s="8">
        <f t="shared" si="4"/>
        <v>0</v>
      </c>
      <c r="S24" s="3"/>
      <c r="T24" s="7">
        <v>0</v>
      </c>
      <c r="U24" s="3"/>
      <c r="V24" s="8">
        <f t="shared" si="5"/>
        <v>0</v>
      </c>
      <c r="W24" s="3"/>
      <c r="X24" s="7">
        <f t="shared" si="6"/>
        <v>0</v>
      </c>
      <c r="Y24" s="3"/>
      <c r="Z24" s="8">
        <f t="shared" si="7"/>
        <v>0</v>
      </c>
    </row>
    <row r="25" spans="1:26" s="65" customFormat="1" ht="15" customHeight="1" x14ac:dyDescent="0.3">
      <c r="A25" s="35"/>
      <c r="B25" s="35"/>
      <c r="C25" s="35"/>
      <c r="D25" s="2"/>
      <c r="E25" s="2"/>
      <c r="F25" s="6"/>
      <c r="G25" s="2"/>
      <c r="H25" s="2"/>
      <c r="I25" s="2"/>
      <c r="J25" s="6"/>
      <c r="K25" s="2"/>
      <c r="L25" s="2"/>
      <c r="M25" s="2"/>
      <c r="N25" s="6"/>
      <c r="O25" s="35"/>
      <c r="P25" s="2"/>
      <c r="Q25" s="2"/>
      <c r="R25" s="6"/>
      <c r="S25" s="2"/>
      <c r="T25" s="2"/>
      <c r="U25" s="2"/>
      <c r="V25" s="6"/>
      <c r="W25" s="2"/>
      <c r="X25" s="2"/>
      <c r="Y25" s="2"/>
      <c r="Z25" s="6"/>
    </row>
    <row r="26" spans="1:26" s="63" customFormat="1" ht="15" customHeight="1" x14ac:dyDescent="0.3">
      <c r="A26" s="11"/>
      <c r="B26" s="28" t="s">
        <v>291</v>
      </c>
      <c r="C26" s="11"/>
      <c r="D26" s="5">
        <f>SUM(0)</f>
        <v>0</v>
      </c>
      <c r="E26" s="5"/>
      <c r="F26" s="13">
        <f>IF(D$12=0,0,D26/D$12)</f>
        <v>0</v>
      </c>
      <c r="G26" s="5"/>
      <c r="H26" s="5">
        <f>SUM(0)</f>
        <v>0</v>
      </c>
      <c r="I26" s="5"/>
      <c r="J26" s="13">
        <f>IF(H$12=0,0,H26/H$12)</f>
        <v>0</v>
      </c>
      <c r="K26" s="5"/>
      <c r="L26" s="5">
        <f>+D26-H26</f>
        <v>0</v>
      </c>
      <c r="M26" s="5"/>
      <c r="N26" s="13">
        <f>IF(H26=0,0,L26/H26)</f>
        <v>0</v>
      </c>
      <c r="O26" s="11"/>
      <c r="P26" s="5">
        <f>SUM(0)</f>
        <v>0</v>
      </c>
      <c r="Q26" s="5"/>
      <c r="R26" s="13">
        <f>IF(P$12=0,0,P26/P$12)</f>
        <v>0</v>
      </c>
      <c r="S26" s="5"/>
      <c r="T26" s="5">
        <f>SUM(0)</f>
        <v>0</v>
      </c>
      <c r="U26" s="5"/>
      <c r="V26" s="13">
        <f>IF(T$12=0,0,T26/T$12)</f>
        <v>0</v>
      </c>
      <c r="W26" s="5"/>
      <c r="X26" s="5">
        <f>+P26-T26</f>
        <v>0</v>
      </c>
      <c r="Y26" s="5"/>
      <c r="Z26" s="13">
        <f>IF(T26=0,0,X26/T26)</f>
        <v>0</v>
      </c>
    </row>
    <row r="27" spans="1:26" ht="15" customHeight="1" x14ac:dyDescent="0.3">
      <c r="A27" s="10"/>
      <c r="B27" s="11"/>
      <c r="C27" s="11"/>
      <c r="D27" s="4"/>
      <c r="E27" s="4"/>
      <c r="F27" s="9"/>
      <c r="G27" s="4"/>
      <c r="H27" s="4"/>
      <c r="I27" s="4"/>
      <c r="J27" s="9"/>
      <c r="K27" s="4"/>
      <c r="L27" s="4"/>
      <c r="M27" s="4"/>
      <c r="N27" s="9"/>
      <c r="O27" s="11"/>
      <c r="P27" s="4"/>
      <c r="Q27" s="4"/>
      <c r="R27" s="9"/>
      <c r="S27" s="4"/>
      <c r="T27" s="4"/>
      <c r="U27" s="4"/>
      <c r="V27" s="9"/>
      <c r="W27" s="4"/>
      <c r="X27" s="4"/>
      <c r="Y27" s="4"/>
      <c r="Z27" s="9"/>
    </row>
    <row r="28" spans="1:26" s="63" customFormat="1" ht="15" customHeight="1" x14ac:dyDescent="0.3">
      <c r="A28" s="11"/>
      <c r="B28" s="27" t="s">
        <v>292</v>
      </c>
      <c r="C28" s="27"/>
      <c r="D28" s="21">
        <f>+D16-D18+D26</f>
        <v>-62.41</v>
      </c>
      <c r="E28" s="15"/>
      <c r="F28" s="23">
        <f>IF(D$12=0,0,D28/D$12)</f>
        <v>0</v>
      </c>
      <c r="G28" s="15"/>
      <c r="H28" s="21">
        <f>+H16-H18+H26</f>
        <v>0</v>
      </c>
      <c r="I28" s="15"/>
      <c r="J28" s="23">
        <f>IF(H$12=0,0,H28/H$12)</f>
        <v>0</v>
      </c>
      <c r="K28" s="16"/>
      <c r="L28" s="21">
        <f>+D28-H28</f>
        <v>-62.41</v>
      </c>
      <c r="M28" s="16"/>
      <c r="N28" s="23">
        <f>IF(H28=0,0,L28/H28)</f>
        <v>0</v>
      </c>
      <c r="O28" s="28"/>
      <c r="P28" s="21">
        <f>+P16-P18+P26</f>
        <v>-372.9</v>
      </c>
      <c r="Q28" s="15"/>
      <c r="R28" s="23">
        <f>IF(P$12=0,0,P28/P$12)</f>
        <v>0</v>
      </c>
      <c r="S28" s="15"/>
      <c r="T28" s="21">
        <f>+T16-T18+T26</f>
        <v>0</v>
      </c>
      <c r="U28" s="15"/>
      <c r="V28" s="23">
        <f>IF(T$12=0,0,T28/T$12)</f>
        <v>0</v>
      </c>
      <c r="W28" s="16"/>
      <c r="X28" s="21">
        <f>+P28-T28</f>
        <v>-372.9</v>
      </c>
      <c r="Y28" s="16"/>
      <c r="Z28" s="23">
        <f>IF(T28=0,0,X28/T28)</f>
        <v>0</v>
      </c>
    </row>
    <row r="29" spans="1:26" ht="15" customHeight="1" x14ac:dyDescent="0.3">
      <c r="A29" s="10"/>
      <c r="B29" s="11"/>
      <c r="C29" s="10"/>
      <c r="D29" s="4"/>
      <c r="E29" s="4"/>
      <c r="F29" s="9"/>
      <c r="G29" s="4"/>
      <c r="H29" s="4"/>
      <c r="I29" s="4"/>
      <c r="J29" s="9"/>
      <c r="K29" s="4"/>
      <c r="L29" s="4"/>
      <c r="M29" s="4"/>
      <c r="N29" s="9"/>
      <c r="P29" s="4"/>
      <c r="Q29" s="4"/>
      <c r="R29" s="9"/>
      <c r="S29" s="4"/>
      <c r="T29" s="4"/>
      <c r="U29" s="4"/>
      <c r="V29" s="9"/>
      <c r="W29" s="4"/>
      <c r="X29" s="4"/>
      <c r="Y29" s="4"/>
      <c r="Z29" s="9"/>
    </row>
    <row r="30" spans="1:26" s="63" customFormat="1" ht="15" customHeight="1" x14ac:dyDescent="0.3">
      <c r="A30" s="49"/>
      <c r="B30" s="11" t="s">
        <v>293</v>
      </c>
      <c r="C30" s="11"/>
      <c r="D30" s="5"/>
      <c r="E30" s="5"/>
      <c r="F30" s="13">
        <f>IF(D$12=0,0,D30/D$12)</f>
        <v>0</v>
      </c>
      <c r="G30" s="5"/>
      <c r="H30" s="5"/>
      <c r="I30" s="5"/>
      <c r="J30" s="13">
        <f>IF(H$12=0,0,H30/H$12)</f>
        <v>0</v>
      </c>
      <c r="K30" s="5"/>
      <c r="L30" s="5">
        <f>+D30-H30</f>
        <v>0</v>
      </c>
      <c r="M30" s="5"/>
      <c r="N30" s="13">
        <f>IF(H30=0,0,L30/H30)</f>
        <v>0</v>
      </c>
      <c r="O30" s="11"/>
      <c r="P30" s="5"/>
      <c r="Q30" s="5"/>
      <c r="R30" s="13">
        <f>IF(P$12=0,0,P30/P$12)</f>
        <v>0</v>
      </c>
      <c r="S30" s="5"/>
      <c r="T30" s="5"/>
      <c r="U30" s="5"/>
      <c r="V30" s="13">
        <f>IF(T$12=0,0,T30/T$12)</f>
        <v>0</v>
      </c>
      <c r="W30" s="5"/>
      <c r="X30" s="5">
        <f>+P30-T30</f>
        <v>0</v>
      </c>
      <c r="Y30" s="5"/>
      <c r="Z30" s="13">
        <f>IF(T30=0,0,X30/T30)</f>
        <v>0</v>
      </c>
    </row>
    <row r="31" spans="1:26" ht="15" customHeight="1" x14ac:dyDescent="0.3">
      <c r="A31" s="10"/>
      <c r="B31" s="11"/>
      <c r="C31" s="11"/>
      <c r="D31" s="4"/>
      <c r="E31" s="4"/>
      <c r="F31" s="9"/>
      <c r="G31" s="4"/>
      <c r="H31" s="4"/>
      <c r="I31" s="4"/>
      <c r="J31" s="9"/>
      <c r="K31" s="4"/>
      <c r="L31" s="4"/>
      <c r="M31" s="4"/>
      <c r="N31" s="9"/>
      <c r="O31" s="11"/>
      <c r="P31" s="4"/>
      <c r="Q31" s="4"/>
      <c r="R31" s="9"/>
      <c r="S31" s="4"/>
      <c r="T31" s="4"/>
      <c r="U31" s="4"/>
      <c r="V31" s="9"/>
      <c r="W31" s="4"/>
      <c r="X31" s="4"/>
      <c r="Y31" s="4"/>
      <c r="Z31" s="9"/>
    </row>
    <row r="32" spans="1:26" s="63" customFormat="1" ht="15" customHeight="1" x14ac:dyDescent="0.3">
      <c r="A32" s="11"/>
      <c r="B32" s="27" t="s">
        <v>294</v>
      </c>
      <c r="C32" s="27"/>
      <c r="D32" s="34">
        <f>+D28-D30</f>
        <v>-62.41</v>
      </c>
      <c r="E32" s="15"/>
      <c r="F32" s="29">
        <f>IF(D$12=0,0,D32/D$12)</f>
        <v>0</v>
      </c>
      <c r="G32" s="15"/>
      <c r="H32" s="34">
        <f>+H28-H30</f>
        <v>0</v>
      </c>
      <c r="I32" s="15"/>
      <c r="J32" s="29">
        <f>IF(H$12=0,0,H32/H$12)</f>
        <v>0</v>
      </c>
      <c r="K32" s="16"/>
      <c r="L32" s="34">
        <f>D32-H32</f>
        <v>-62.41</v>
      </c>
      <c r="M32" s="16"/>
      <c r="N32" s="29">
        <f>IF(H32=0,0,L32/H32)</f>
        <v>0</v>
      </c>
      <c r="O32" s="28"/>
      <c r="P32" s="34">
        <f>+P28-P30</f>
        <v>-372.9</v>
      </c>
      <c r="Q32" s="15"/>
      <c r="R32" s="29">
        <f>IF(P$12=0,0,P32/P$12)</f>
        <v>0</v>
      </c>
      <c r="S32" s="15"/>
      <c r="T32" s="34">
        <f>+T28-T30</f>
        <v>0</v>
      </c>
      <c r="U32" s="15"/>
      <c r="V32" s="29">
        <f>IF(T$12=0,0,T32/T$12)</f>
        <v>0</v>
      </c>
      <c r="W32" s="16"/>
      <c r="X32" s="34">
        <f>P32-T32</f>
        <v>-372.9</v>
      </c>
      <c r="Y32" s="16"/>
      <c r="Z32" s="29">
        <f>IF(T32=0,0,X32/T32)</f>
        <v>0</v>
      </c>
    </row>
    <row r="33" spans="1:26" ht="15" customHeight="1" x14ac:dyDescent="0.3">
      <c r="A33" s="10"/>
      <c r="B33" s="10"/>
      <c r="C33" s="10"/>
      <c r="D33" s="4"/>
      <c r="E33" s="4"/>
      <c r="F33" s="9"/>
      <c r="G33" s="4"/>
      <c r="H33" s="4"/>
      <c r="I33" s="4"/>
      <c r="J33" s="9"/>
      <c r="K33" s="4"/>
      <c r="L33" s="4"/>
      <c r="M33" s="4"/>
      <c r="N33" s="9"/>
      <c r="P33" s="4"/>
      <c r="Q33" s="4"/>
      <c r="R33" s="9"/>
      <c r="S33" s="4"/>
      <c r="T33" s="4"/>
      <c r="U33" s="4"/>
      <c r="V33" s="9"/>
      <c r="W33" s="4"/>
      <c r="X33" s="4"/>
      <c r="Y33" s="4"/>
      <c r="Z33" s="9"/>
    </row>
    <row r="34" spans="1:26" ht="15" customHeight="1" x14ac:dyDescent="0.3">
      <c r="A34" s="10"/>
      <c r="B34" s="10"/>
      <c r="C34" s="10"/>
      <c r="D34" s="4"/>
      <c r="E34" s="4"/>
      <c r="F34" s="9"/>
      <c r="G34" s="4"/>
      <c r="H34" s="4"/>
      <c r="I34" s="4"/>
      <c r="J34" s="9"/>
      <c r="K34" s="4"/>
      <c r="L34" s="4"/>
      <c r="M34" s="4"/>
      <c r="N34" s="9"/>
      <c r="P34" s="4"/>
      <c r="Q34" s="4"/>
      <c r="R34" s="9"/>
      <c r="S34" s="4"/>
      <c r="T34" s="4"/>
      <c r="U34" s="4"/>
      <c r="V34" s="9"/>
      <c r="W34" s="4"/>
      <c r="X34" s="4"/>
      <c r="Y34" s="4"/>
      <c r="Z34" s="9"/>
    </row>
    <row r="35" spans="1:26" s="63" customFormat="1" ht="15" customHeight="1" x14ac:dyDescent="0.3">
      <c r="A35" s="11"/>
      <c r="B35" s="27" t="s">
        <v>297</v>
      </c>
      <c r="C35" s="27"/>
      <c r="D35" s="32">
        <f>SUM(D32:D34)</f>
        <v>-62.41</v>
      </c>
      <c r="E35" s="15"/>
      <c r="F35" s="31">
        <f>IF(D$12=0,0,D35/D$12)</f>
        <v>0</v>
      </c>
      <c r="G35" s="15"/>
      <c r="H35" s="32">
        <f>SUM(H32:H34)</f>
        <v>0</v>
      </c>
      <c r="I35" s="15"/>
      <c r="J35" s="31">
        <f>IF(H$12=0,0,H35/H$12)</f>
        <v>0</v>
      </c>
      <c r="K35" s="16"/>
      <c r="L35" s="32">
        <f>+D35-H35</f>
        <v>-62.41</v>
      </c>
      <c r="M35" s="16"/>
      <c r="N35" s="31">
        <f>IF(H35=0,0,L35/H35)</f>
        <v>0</v>
      </c>
      <c r="O35" s="28"/>
      <c r="P35" s="32">
        <f>SUM(P32:P34)</f>
        <v>-372.9</v>
      </c>
      <c r="Q35" s="15"/>
      <c r="R35" s="31">
        <f>IF(P$12=0,0,P35/P$12)</f>
        <v>0</v>
      </c>
      <c r="S35" s="15"/>
      <c r="T35" s="32">
        <f>SUM(T32:T34)</f>
        <v>0</v>
      </c>
      <c r="U35" s="15"/>
      <c r="V35" s="31">
        <f>IF(T$12=0,0,T35/T$12)</f>
        <v>0</v>
      </c>
      <c r="W35" s="16"/>
      <c r="X35" s="32">
        <f>+P35-T35</f>
        <v>-372.9</v>
      </c>
      <c r="Y35" s="16"/>
      <c r="Z35" s="31">
        <f>IF(T35=0,0,X35/T35)</f>
        <v>0</v>
      </c>
    </row>
    <row r="36" spans="1:26" ht="15" customHeight="1" x14ac:dyDescent="0.3">
      <c r="A36" s="10"/>
      <c r="C36" s="10"/>
      <c r="D36" s="19"/>
      <c r="E36" s="19"/>
      <c r="G36" s="19"/>
      <c r="H36" s="19"/>
      <c r="I36" s="19"/>
      <c r="J36" s="40"/>
      <c r="K36" s="19"/>
      <c r="L36" s="19"/>
      <c r="M36" s="19"/>
      <c r="P36" s="19"/>
      <c r="Q36" s="19"/>
      <c r="R36" s="40"/>
      <c r="S36" s="19"/>
      <c r="T36" s="19"/>
      <c r="U36" s="19"/>
      <c r="V36" s="40"/>
      <c r="W36" s="19"/>
      <c r="X36" s="19"/>
    </row>
    <row r="37" spans="1:26" ht="15" customHeight="1" x14ac:dyDescent="0.3">
      <c r="A37" s="10"/>
      <c r="B37" s="51">
        <v>44663.047665428239</v>
      </c>
      <c r="D37" s="19"/>
      <c r="E37" s="19"/>
      <c r="G37" s="19"/>
      <c r="H37" s="19"/>
      <c r="I37" s="19"/>
      <c r="J37" s="40"/>
      <c r="K37" s="19"/>
      <c r="L37" s="19"/>
      <c r="M37" s="19"/>
      <c r="P37" s="19"/>
      <c r="Q37" s="19"/>
      <c r="R37" s="40"/>
      <c r="S37" s="19"/>
      <c r="T37" s="19"/>
      <c r="U37" s="19"/>
      <c r="V37" s="40"/>
      <c r="W37" s="19"/>
      <c r="X37" s="19"/>
    </row>
    <row r="38" spans="1:26" ht="15" customHeight="1" x14ac:dyDescent="0.3">
      <c r="A38" s="10"/>
      <c r="B38" s="58" t="s">
        <v>298</v>
      </c>
      <c r="D38" s="19"/>
      <c r="E38" s="19"/>
      <c r="G38" s="19"/>
      <c r="H38" s="19"/>
      <c r="I38" s="19"/>
      <c r="J38" s="40"/>
      <c r="K38" s="19"/>
      <c r="L38" s="19"/>
      <c r="M38" s="19"/>
      <c r="P38" s="19"/>
      <c r="Q38" s="19"/>
      <c r="R38" s="40"/>
      <c r="S38" s="19"/>
      <c r="T38" s="19"/>
      <c r="U38" s="19"/>
      <c r="V38" s="40"/>
      <c r="W38" s="19"/>
      <c r="X38" s="19"/>
    </row>
    <row r="39" spans="1:26" ht="15" customHeight="1" x14ac:dyDescent="0.3">
      <c r="A39" s="10"/>
      <c r="B39" s="50"/>
      <c r="D39" s="19"/>
      <c r="E39" s="19"/>
      <c r="G39" s="19"/>
      <c r="H39" s="19"/>
      <c r="I39" s="19"/>
      <c r="J39" s="40"/>
      <c r="K39" s="19"/>
      <c r="L39" s="19"/>
      <c r="M39" s="19"/>
      <c r="P39" s="19"/>
      <c r="Q39" s="19"/>
      <c r="R39" s="40"/>
      <c r="S39" s="19"/>
      <c r="T39" s="19"/>
      <c r="U39" s="19"/>
      <c r="V39" s="40"/>
      <c r="W39" s="19"/>
      <c r="X39" s="19"/>
    </row>
    <row r="40" spans="1:26" ht="15" customHeight="1" x14ac:dyDescent="0.3">
      <c r="D40" s="19"/>
      <c r="E40" s="19"/>
      <c r="G40" s="19"/>
      <c r="H40" s="19"/>
      <c r="I40" s="19"/>
      <c r="J40" s="40"/>
      <c r="K40" s="19"/>
      <c r="L40" s="19"/>
      <c r="M40" s="19"/>
      <c r="P40" s="19"/>
      <c r="Q40" s="19"/>
      <c r="R40" s="40"/>
      <c r="S40" s="19"/>
      <c r="T40" s="19"/>
      <c r="U40" s="19"/>
      <c r="V40" s="40"/>
      <c r="W40" s="19"/>
      <c r="X40" s="19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359A9D-1F71-7683-1816-4F564FF8BF78}">
  <sheetPr>
    <tabColor rgb="FF92D050"/>
    <outlinePr summaryBelow="0" summaryRight="0"/>
  </sheetPr>
  <dimension ref="A2:Z109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6" customWidth="1"/>
    <col min="2" max="2" width="33.44140625" style="66" customWidth="1"/>
    <col min="3" max="3" width="1.88671875" style="66" customWidth="1"/>
    <col min="4" max="4" width="15" style="66" customWidth="1"/>
    <col min="5" max="5" width="1.88671875" style="66" customWidth="1" outlineLevel="1"/>
    <col min="6" max="6" width="15" style="67" customWidth="1" outlineLevel="1"/>
    <col min="7" max="7" width="1.88671875" style="66" customWidth="1" outlineLevel="1"/>
    <col min="8" max="8" width="15" style="66" customWidth="1" outlineLevel="1"/>
    <col min="9" max="9" width="1.88671875" style="66" customWidth="1" outlineLevel="1"/>
    <col min="10" max="10" width="15" style="68" customWidth="1" outlineLevel="1"/>
    <col min="11" max="11" width="1.88671875" style="66" customWidth="1" outlineLevel="1"/>
    <col min="12" max="12" width="15" style="66" customWidth="1" outlineLevel="1"/>
    <col min="13" max="13" width="1.88671875" style="66" customWidth="1" outlineLevel="1"/>
    <col min="14" max="14" width="15" style="67" customWidth="1" outlineLevel="1"/>
    <col min="15" max="15" width="1.88671875" style="64" customWidth="1"/>
    <col min="16" max="16" width="15" style="66" customWidth="1"/>
    <col min="17" max="17" width="1.88671875" style="66" customWidth="1" outlineLevel="1"/>
    <col min="18" max="18" width="15" style="68" customWidth="1" outlineLevel="1"/>
    <col min="19" max="19" width="1.88671875" style="66" customWidth="1" outlineLevel="1"/>
    <col min="20" max="20" width="15" style="66" customWidth="1" outlineLevel="1"/>
    <col min="21" max="21" width="1.88671875" style="66" customWidth="1" outlineLevel="1"/>
    <col min="22" max="22" width="15" style="68" customWidth="1" outlineLevel="1"/>
    <col min="23" max="23" width="1.88671875" style="66" customWidth="1" outlineLevel="1"/>
    <col min="24" max="24" width="15" style="66" customWidth="1" outlineLevel="1"/>
    <col min="25" max="25" width="1.88671875" style="66" customWidth="1" outlineLevel="1"/>
    <col min="26" max="26" width="15" style="68" customWidth="1" outlineLevel="1"/>
  </cols>
  <sheetData>
    <row r="2" spans="1:26" ht="15" customHeight="1" x14ac:dyDescent="0.3">
      <c r="D2" s="54" t="s">
        <v>276</v>
      </c>
    </row>
    <row r="3" spans="1:26" ht="15" customHeight="1" x14ac:dyDescent="0.3">
      <c r="D3" s="54" t="s">
        <v>277</v>
      </c>
      <c r="E3" s="18"/>
      <c r="F3" s="44"/>
      <c r="G3" s="18"/>
      <c r="H3" s="18"/>
      <c r="I3" s="18"/>
      <c r="J3" s="38"/>
      <c r="K3" s="18"/>
      <c r="L3" s="18"/>
      <c r="M3" s="18"/>
      <c r="N3" s="44"/>
      <c r="O3" s="53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ht="15" customHeight="1" x14ac:dyDescent="0.3">
      <c r="D4" s="54" t="str">
        <f>CONCATENATE("Period ",RIGHT(202209,2),", ",2022)</f>
        <v>Period 09, 2022</v>
      </c>
      <c r="E4" s="18"/>
      <c r="F4" s="44"/>
      <c r="G4" s="18"/>
      <c r="H4" s="18"/>
      <c r="I4" s="18"/>
      <c r="J4" s="38"/>
      <c r="K4" s="18"/>
      <c r="L4" s="18"/>
      <c r="M4" s="18"/>
      <c r="N4" s="44"/>
      <c r="O4" s="53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ht="15" customHeight="1" x14ac:dyDescent="0.3">
      <c r="A5" s="24"/>
      <c r="D5" s="60">
        <v>44646</v>
      </c>
      <c r="E5" s="18"/>
      <c r="F5" s="44"/>
      <c r="G5" s="18"/>
      <c r="H5" s="18"/>
      <c r="I5" s="18"/>
      <c r="J5" s="38"/>
      <c r="K5" s="18"/>
      <c r="L5" s="18"/>
      <c r="M5" s="18"/>
      <c r="N5" s="44"/>
      <c r="O5" s="53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ht="15" customHeight="1" x14ac:dyDescent="0.3">
      <c r="A6" s="24"/>
      <c r="B6" s="47"/>
      <c r="C6" s="47"/>
      <c r="D6" s="24" t="str">
        <f>CONCATENATE("Department ","415"," - ","Outpost")</f>
        <v>Department 415 - Outpost</v>
      </c>
      <c r="E6" s="18"/>
      <c r="F6" s="44"/>
      <c r="G6" s="18"/>
      <c r="H6" s="18"/>
      <c r="I6" s="18"/>
      <c r="J6" s="38"/>
      <c r="K6" s="18"/>
      <c r="L6" s="18"/>
      <c r="M6" s="18"/>
      <c r="N6" s="44"/>
      <c r="O6" s="59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ht="15" customHeight="1" x14ac:dyDescent="0.3">
      <c r="B7" s="52"/>
    </row>
    <row r="8" spans="1:26" ht="15" customHeight="1" x14ac:dyDescent="0.3">
      <c r="B8" s="52"/>
    </row>
    <row r="9" spans="1:26" ht="15" customHeight="1" x14ac:dyDescent="0.3">
      <c r="B9" s="10"/>
      <c r="C9" s="10"/>
      <c r="D9" s="17" t="s">
        <v>279</v>
      </c>
      <c r="E9" s="17"/>
      <c r="F9" s="36"/>
      <c r="G9" s="17"/>
      <c r="H9" s="17"/>
      <c r="I9" s="17"/>
      <c r="J9" s="43"/>
      <c r="K9" s="17"/>
      <c r="L9" s="17"/>
      <c r="M9" s="17"/>
      <c r="N9" s="36"/>
      <c r="P9" s="17" t="s">
        <v>280</v>
      </c>
      <c r="Q9" s="17"/>
      <c r="R9" s="36"/>
      <c r="S9" s="17"/>
      <c r="T9" s="17"/>
      <c r="U9" s="17"/>
      <c r="V9" s="43"/>
      <c r="W9" s="17"/>
      <c r="X9" s="17"/>
      <c r="Y9" s="17"/>
      <c r="Z9" s="36"/>
    </row>
    <row r="10" spans="1:26" ht="15" customHeight="1" x14ac:dyDescent="0.3">
      <c r="A10" s="11"/>
      <c r="B10" s="57"/>
      <c r="C10" s="11"/>
      <c r="D10" s="41" t="s">
        <v>281</v>
      </c>
      <c r="E10" s="33"/>
      <c r="F10" s="37" t="s">
        <v>282</v>
      </c>
      <c r="G10" s="33"/>
      <c r="H10" s="48" t="s">
        <v>283</v>
      </c>
      <c r="I10" s="33"/>
      <c r="J10" s="45" t="s">
        <v>284</v>
      </c>
      <c r="K10" s="11"/>
      <c r="L10" s="41" t="s">
        <v>285</v>
      </c>
      <c r="M10" s="11"/>
      <c r="N10" s="37" t="s">
        <v>286</v>
      </c>
      <c r="O10" s="11"/>
      <c r="P10" s="56" t="s">
        <v>281</v>
      </c>
      <c r="Q10" s="33"/>
      <c r="R10" s="37" t="s">
        <v>282</v>
      </c>
      <c r="S10" s="33"/>
      <c r="T10" s="48" t="s">
        <v>283</v>
      </c>
      <c r="U10" s="33"/>
      <c r="V10" s="45" t="s">
        <v>284</v>
      </c>
      <c r="W10" s="11"/>
      <c r="X10" s="41" t="s">
        <v>285</v>
      </c>
      <c r="Y10" s="11"/>
      <c r="Z10" s="37" t="s">
        <v>286</v>
      </c>
    </row>
    <row r="11" spans="1:26" ht="16.5" customHeight="1" x14ac:dyDescent="0.3">
      <c r="A11" s="10"/>
      <c r="B11" s="55"/>
      <c r="C11" s="10"/>
      <c r="D11" s="10"/>
      <c r="E11" s="10"/>
      <c r="F11" s="9"/>
      <c r="G11" s="10"/>
      <c r="H11" s="10"/>
      <c r="I11" s="10"/>
      <c r="J11" s="46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6"/>
      <c r="W11" s="10"/>
      <c r="X11" s="10"/>
      <c r="Y11" s="10"/>
      <c r="Z11" s="9"/>
    </row>
    <row r="12" spans="1:26" s="63" customFormat="1" ht="15" customHeight="1" collapsed="1" x14ac:dyDescent="0.3">
      <c r="A12" s="11"/>
      <c r="B12" s="28" t="s">
        <v>287</v>
      </c>
      <c r="C12" s="11"/>
      <c r="D12" s="5">
        <f>SUM(OSRRefD13x_0)</f>
        <v>149080.13</v>
      </c>
      <c r="E12" s="5"/>
      <c r="F12" s="13"/>
      <c r="G12" s="5"/>
      <c r="H12" s="5">
        <f>SUM(OSRRefH13x_0)</f>
        <v>126154</v>
      </c>
      <c r="I12" s="5"/>
      <c r="J12" s="13"/>
      <c r="K12" s="5"/>
      <c r="L12" s="5">
        <f>+D12-H12</f>
        <v>22926.130000000005</v>
      </c>
      <c r="M12" s="5"/>
      <c r="N12" s="13">
        <f>IF(H12=0,0,L12/H12)</f>
        <v>0.18173129666915044</v>
      </c>
      <c r="O12" s="11"/>
      <c r="P12" s="5">
        <f>SUM(OSRRefP13x_0)</f>
        <v>590576.63</v>
      </c>
      <c r="Q12" s="5"/>
      <c r="R12" s="13"/>
      <c r="S12" s="5"/>
      <c r="T12" s="5">
        <f>SUM(OSRRefT13x_0)</f>
        <v>451579</v>
      </c>
      <c r="U12" s="5"/>
      <c r="V12" s="13"/>
      <c r="W12" s="5"/>
      <c r="X12" s="5">
        <f>+P12-T12</f>
        <v>138997.63</v>
      </c>
      <c r="Y12" s="5"/>
      <c r="Z12" s="13">
        <f>IF(T12=0,0,X12/T12)</f>
        <v>0.30780357368256717</v>
      </c>
    </row>
    <row r="13" spans="1:26" s="70" customFormat="1" ht="15" hidden="1" customHeight="1" outlineLevel="1" x14ac:dyDescent="0.3">
      <c r="A13" s="42"/>
      <c r="B13" s="12" t="str">
        <f>CONCATENATE("          ","4000"," - ","TAXABLE SALES")</f>
        <v xml:space="preserve">          4000 - TAXABLE SALES</v>
      </c>
      <c r="C13" s="12"/>
      <c r="D13" s="3">
        <f>0</f>
        <v>0</v>
      </c>
      <c r="E13" s="3"/>
      <c r="F13" s="20"/>
      <c r="G13" s="3"/>
      <c r="H13" s="3">
        <v>39237</v>
      </c>
      <c r="I13" s="3"/>
      <c r="J13" s="20"/>
      <c r="K13" s="3"/>
      <c r="L13" s="3">
        <f>+D13-H13</f>
        <v>-39237</v>
      </c>
      <c r="M13" s="3"/>
      <c r="N13" s="20">
        <f>IF(H13=0,0,L13/H13)</f>
        <v>-1</v>
      </c>
      <c r="O13" s="12"/>
      <c r="P13" s="3">
        <f>0</f>
        <v>0</v>
      </c>
      <c r="Q13" s="3"/>
      <c r="R13" s="20"/>
      <c r="S13" s="3"/>
      <c r="T13" s="3">
        <v>140453</v>
      </c>
      <c r="U13" s="3"/>
      <c r="V13" s="20"/>
      <c r="W13" s="3"/>
      <c r="X13" s="3">
        <f>+P13-T13</f>
        <v>-140453</v>
      </c>
      <c r="Y13" s="3"/>
      <c r="Z13" s="20">
        <f>IF(T13=0,0,X13/T13)</f>
        <v>-1</v>
      </c>
    </row>
    <row r="14" spans="1:26" s="70" customFormat="1" ht="15" hidden="1" customHeight="1" outlineLevel="1" x14ac:dyDescent="0.3">
      <c r="A14" s="42"/>
      <c r="B14" s="12" t="str">
        <f>CONCATENATE("          ","4051"," - ","TAXABLE SALES-FOOD")</f>
        <v xml:space="preserve">          4051 - TAXABLE SALES-FOOD</v>
      </c>
      <c r="C14" s="12"/>
      <c r="D14" s="3">
        <f>--51011.12</f>
        <v>51011.12</v>
      </c>
      <c r="E14" s="3"/>
      <c r="F14" s="20"/>
      <c r="G14" s="3"/>
      <c r="H14" s="3"/>
      <c r="I14" s="3"/>
      <c r="J14" s="20"/>
      <c r="K14" s="3"/>
      <c r="L14" s="3">
        <f>+D14-H14</f>
        <v>51011.12</v>
      </c>
      <c r="M14" s="3"/>
      <c r="N14" s="20">
        <f>IF(H14=0,0,L14/H14)</f>
        <v>0</v>
      </c>
      <c r="O14" s="12"/>
      <c r="P14" s="3">
        <f>--213192.19</f>
        <v>213192.19</v>
      </c>
      <c r="Q14" s="3"/>
      <c r="R14" s="20"/>
      <c r="S14" s="3"/>
      <c r="T14" s="3"/>
      <c r="U14" s="3"/>
      <c r="V14" s="20"/>
      <c r="W14" s="3"/>
      <c r="X14" s="3">
        <f>+P14-T14</f>
        <v>213192.19</v>
      </c>
      <c r="Y14" s="3"/>
      <c r="Z14" s="20">
        <f>IF(T14=0,0,X14/T14)</f>
        <v>0</v>
      </c>
    </row>
    <row r="15" spans="1:26" s="70" customFormat="1" ht="15" hidden="1" customHeight="1" outlineLevel="1" x14ac:dyDescent="0.3">
      <c r="A15" s="42"/>
      <c r="B15" s="12" t="str">
        <f>CONCATENATE("          ","4100"," - ","NON-TAXABLE SALES")</f>
        <v xml:space="preserve">          4100 - NON-TAXABLE SALES</v>
      </c>
      <c r="C15" s="12"/>
      <c r="D15" s="3">
        <f>0</f>
        <v>0</v>
      </c>
      <c r="E15" s="3"/>
      <c r="F15" s="20"/>
      <c r="G15" s="3"/>
      <c r="H15" s="3">
        <v>86917</v>
      </c>
      <c r="I15" s="3"/>
      <c r="J15" s="20"/>
      <c r="K15" s="3"/>
      <c r="L15" s="3">
        <f>+D15-H15</f>
        <v>-86917</v>
      </c>
      <c r="M15" s="3"/>
      <c r="N15" s="20">
        <f>IF(H15=0,0,L15/H15)</f>
        <v>-1</v>
      </c>
      <c r="O15" s="12"/>
      <c r="P15" s="3">
        <f>0</f>
        <v>0</v>
      </c>
      <c r="Q15" s="3"/>
      <c r="R15" s="20"/>
      <c r="S15" s="3"/>
      <c r="T15" s="3">
        <v>311126</v>
      </c>
      <c r="U15" s="3"/>
      <c r="V15" s="20"/>
      <c r="W15" s="3"/>
      <c r="X15" s="3">
        <f>+P15-T15</f>
        <v>-311126</v>
      </c>
      <c r="Y15" s="3"/>
      <c r="Z15" s="20">
        <f>IF(T15=0,0,X15/T15)</f>
        <v>-1</v>
      </c>
    </row>
    <row r="16" spans="1:26" s="70" customFormat="1" ht="15" hidden="1" customHeight="1" outlineLevel="1" x14ac:dyDescent="0.3">
      <c r="A16" s="42"/>
      <c r="B16" s="12" t="str">
        <f>CONCATENATE("          ","4151"," - ","NON-TAXABLE SALES-FOOD")</f>
        <v xml:space="preserve">          4151 - NON-TAXABLE SALES-FOOD</v>
      </c>
      <c r="C16" s="12"/>
      <c r="D16" s="3">
        <f>--98069.01</f>
        <v>98069.01</v>
      </c>
      <c r="E16" s="3"/>
      <c r="F16" s="20"/>
      <c r="G16" s="3"/>
      <c r="H16" s="3"/>
      <c r="I16" s="3"/>
      <c r="J16" s="20"/>
      <c r="K16" s="3"/>
      <c r="L16" s="3">
        <f>+D16-H16</f>
        <v>98069.01</v>
      </c>
      <c r="M16" s="3"/>
      <c r="N16" s="20">
        <f>IF(H16=0,0,L16/H16)</f>
        <v>0</v>
      </c>
      <c r="O16" s="12"/>
      <c r="P16" s="3">
        <f>--377384.44</f>
        <v>377384.44</v>
      </c>
      <c r="Q16" s="3"/>
      <c r="R16" s="20"/>
      <c r="S16" s="3"/>
      <c r="T16" s="3"/>
      <c r="U16" s="3"/>
      <c r="V16" s="20"/>
      <c r="W16" s="3"/>
      <c r="X16" s="3">
        <f>+P16-T16</f>
        <v>377384.44</v>
      </c>
      <c r="Y16" s="3"/>
      <c r="Z16" s="20">
        <f>IF(T16=0,0,X16/T16)</f>
        <v>0</v>
      </c>
    </row>
    <row r="17" spans="1:26" ht="15" customHeight="1" x14ac:dyDescent="0.3">
      <c r="A17" s="10"/>
      <c r="B17" s="11"/>
      <c r="C17" s="10"/>
      <c r="D17" s="4"/>
      <c r="E17" s="4"/>
      <c r="F17" s="9"/>
      <c r="G17" s="4"/>
      <c r="H17" s="4"/>
      <c r="I17" s="4"/>
      <c r="J17" s="9"/>
      <c r="K17" s="4"/>
      <c r="L17" s="4"/>
      <c r="M17" s="4"/>
      <c r="N17" s="9"/>
      <c r="P17" s="4"/>
      <c r="Q17" s="4"/>
      <c r="R17" s="9"/>
      <c r="S17" s="4"/>
      <c r="T17" s="4"/>
      <c r="U17" s="4"/>
      <c r="V17" s="9"/>
      <c r="W17" s="4"/>
      <c r="X17" s="4"/>
      <c r="Y17" s="4"/>
      <c r="Z17" s="9"/>
    </row>
    <row r="18" spans="1:26" s="63" customFormat="1" ht="15" customHeight="1" collapsed="1" x14ac:dyDescent="0.3">
      <c r="A18" s="11"/>
      <c r="B18" s="28" t="s">
        <v>288</v>
      </c>
      <c r="C18" s="11"/>
      <c r="D18" s="5">
        <f>SUM(OSRRefD16x_0)</f>
        <v>47773.96</v>
      </c>
      <c r="E18" s="5"/>
      <c r="F18" s="13">
        <f>IF(D$12=0,0,D18/D$12)</f>
        <v>0.32045826630282653</v>
      </c>
      <c r="G18" s="5"/>
      <c r="H18" s="5">
        <f>SUM(OSRRefH16x_0)</f>
        <v>40369</v>
      </c>
      <c r="I18" s="5"/>
      <c r="J18" s="13">
        <f>IF(H$12=0,0,H18/H$12)</f>
        <v>0.31999778049051159</v>
      </c>
      <c r="K18" s="5"/>
      <c r="L18" s="5">
        <f>+D18-H18</f>
        <v>7404.9599999999991</v>
      </c>
      <c r="M18" s="5"/>
      <c r="N18" s="13">
        <f>IF(H18=0,0,L18/H18)</f>
        <v>0.18343184126433648</v>
      </c>
      <c r="O18" s="11"/>
      <c r="P18" s="5">
        <f>SUM(OSRRefP16x_0)</f>
        <v>201363.86000000002</v>
      </c>
      <c r="Q18" s="5"/>
      <c r="R18" s="13">
        <f>IF(P$12=0,0,P18/P$12)</f>
        <v>0.34096144305608572</v>
      </c>
      <c r="S18" s="5"/>
      <c r="T18" s="5">
        <f>SUM(OSRRefT16x_0)</f>
        <v>143586</v>
      </c>
      <c r="U18" s="5"/>
      <c r="V18" s="13">
        <f>IF(T$12=0,0,T18/T$12)</f>
        <v>0.31796429860555958</v>
      </c>
      <c r="W18" s="5"/>
      <c r="X18" s="5">
        <f>+P18-T18</f>
        <v>57777.860000000015</v>
      </c>
      <c r="Y18" s="5"/>
      <c r="Z18" s="13">
        <f>IF(T18=0,0,X18/T18)</f>
        <v>0.40239201593470125</v>
      </c>
    </row>
    <row r="19" spans="1:26" s="70" customFormat="1" ht="15" hidden="1" customHeight="1" outlineLevel="1" x14ac:dyDescent="0.3">
      <c r="A19" s="42"/>
      <c r="B19" s="12" t="str">
        <f>CONCATENATE("          ","5000"," - ","PURCHASES @ COST")</f>
        <v xml:space="preserve">          5000 - PURCHASES @ COST</v>
      </c>
      <c r="C19" s="12"/>
      <c r="D19" s="3"/>
      <c r="E19" s="3"/>
      <c r="F19" s="20">
        <f>IF(D$12=0,0,D19/D$12)</f>
        <v>0</v>
      </c>
      <c r="G19" s="3"/>
      <c r="H19" s="3">
        <v>40369</v>
      </c>
      <c r="I19" s="3"/>
      <c r="J19" s="20">
        <f>IF(H$12=0,0,H19/H$12)</f>
        <v>0.31999778049051159</v>
      </c>
      <c r="K19" s="3"/>
      <c r="L19" s="3">
        <f>+D19-H19</f>
        <v>-40369</v>
      </c>
      <c r="M19" s="3"/>
      <c r="N19" s="20">
        <f>IF(H19=0,0,L19/H19)</f>
        <v>-1</v>
      </c>
      <c r="O19" s="12"/>
      <c r="P19" s="3"/>
      <c r="Q19" s="3"/>
      <c r="R19" s="20">
        <f>IF(P$12=0,0,P19/P$12)</f>
        <v>0</v>
      </c>
      <c r="S19" s="3"/>
      <c r="T19" s="3">
        <v>143586</v>
      </c>
      <c r="U19" s="3"/>
      <c r="V19" s="20">
        <f>IF(T$12=0,0,T19/T$12)</f>
        <v>0.31796429860555958</v>
      </c>
      <c r="W19" s="3"/>
      <c r="X19" s="3">
        <f>+P19-T19</f>
        <v>-143586</v>
      </c>
      <c r="Y19" s="3"/>
      <c r="Z19" s="20">
        <f>IF(T19=0,0,X19/T19)</f>
        <v>-1</v>
      </c>
    </row>
    <row r="20" spans="1:26" s="70" customFormat="1" ht="15" hidden="1" customHeight="1" outlineLevel="1" x14ac:dyDescent="0.3">
      <c r="A20" s="42"/>
      <c r="B20" s="12" t="str">
        <f>CONCATENATE("          ","5053"," - ","PURCHASES @ COST-FOOD")</f>
        <v xml:space="preserve">          5053 - PURCHASES @ COST-FOOD</v>
      </c>
      <c r="C20" s="12"/>
      <c r="D20" s="3">
        <v>45949.5</v>
      </c>
      <c r="E20" s="3"/>
      <c r="F20" s="20">
        <f>IF(D$12=0,0,D20/D$12)</f>
        <v>0.30822014979461043</v>
      </c>
      <c r="G20" s="3"/>
      <c r="H20" s="3"/>
      <c r="I20" s="3"/>
      <c r="J20" s="20">
        <f>IF(H$12=0,0,H20/H$12)</f>
        <v>0</v>
      </c>
      <c r="K20" s="3"/>
      <c r="L20" s="3">
        <f>+D20-H20</f>
        <v>45949.5</v>
      </c>
      <c r="M20" s="3"/>
      <c r="N20" s="20">
        <f>IF(H20=0,0,L20/H20)</f>
        <v>0</v>
      </c>
      <c r="O20" s="12"/>
      <c r="P20" s="3">
        <v>206820.63</v>
      </c>
      <c r="Q20" s="3"/>
      <c r="R20" s="20">
        <f>IF(P$12=0,0,P20/P$12)</f>
        <v>0.35020117541732054</v>
      </c>
      <c r="S20" s="3"/>
      <c r="T20" s="3"/>
      <c r="U20" s="3"/>
      <c r="V20" s="20">
        <f>IF(T$12=0,0,T20/T$12)</f>
        <v>0</v>
      </c>
      <c r="W20" s="3"/>
      <c r="X20" s="3">
        <f>+P20-T20</f>
        <v>206820.63</v>
      </c>
      <c r="Y20" s="3"/>
      <c r="Z20" s="20">
        <f>IF(T20=0,0,X20/T20)</f>
        <v>0</v>
      </c>
    </row>
    <row r="21" spans="1:26" s="70" customFormat="1" ht="15" hidden="1" customHeight="1" outlineLevel="1" x14ac:dyDescent="0.3">
      <c r="A21" s="42"/>
      <c r="B21" s="12" t="str">
        <f>CONCATENATE("          ","5059"," - ","PURCHASES @ COST-FOOD")</f>
        <v xml:space="preserve">          5059 - PURCHASES @ COST-FOOD</v>
      </c>
      <c r="C21" s="12"/>
      <c r="D21" s="3">
        <v>1824.46</v>
      </c>
      <c r="E21" s="3"/>
      <c r="F21" s="20">
        <f>IF(D$12=0,0,D21/D$12)</f>
        <v>1.2238116508216084E-2</v>
      </c>
      <c r="G21" s="3"/>
      <c r="H21" s="3"/>
      <c r="I21" s="3"/>
      <c r="J21" s="20">
        <f>IF(H$12=0,0,H21/H$12)</f>
        <v>0</v>
      </c>
      <c r="K21" s="3"/>
      <c r="L21" s="3">
        <f>+D21-H21</f>
        <v>1824.46</v>
      </c>
      <c r="M21" s="3"/>
      <c r="N21" s="20">
        <f>IF(H21=0,0,L21/H21)</f>
        <v>0</v>
      </c>
      <c r="O21" s="12"/>
      <c r="P21" s="3">
        <v>-5456.77</v>
      </c>
      <c r="Q21" s="3"/>
      <c r="R21" s="20">
        <f>IF(P$12=0,0,P21/P$12)</f>
        <v>-9.2397323612348169E-3</v>
      </c>
      <c r="S21" s="3"/>
      <c r="T21" s="3"/>
      <c r="U21" s="3"/>
      <c r="V21" s="20">
        <f>IF(T$12=0,0,T21/T$12)</f>
        <v>0</v>
      </c>
      <c r="W21" s="3"/>
      <c r="X21" s="3">
        <f>+P21-T21</f>
        <v>-5456.77</v>
      </c>
      <c r="Y21" s="3"/>
      <c r="Z21" s="20">
        <f>IF(T21=0,0,X21/T21)</f>
        <v>0</v>
      </c>
    </row>
    <row r="22" spans="1:26" ht="15" customHeight="1" x14ac:dyDescent="0.3">
      <c r="A22" s="10"/>
      <c r="B22" s="11"/>
      <c r="C22" s="11"/>
      <c r="D22" s="4"/>
      <c r="E22" s="4"/>
      <c r="F22" s="9"/>
      <c r="G22" s="4"/>
      <c r="H22" s="4"/>
      <c r="I22" s="4"/>
      <c r="J22" s="9"/>
      <c r="K22" s="4"/>
      <c r="L22" s="4"/>
      <c r="M22" s="4"/>
      <c r="N22" s="9"/>
      <c r="O22" s="11"/>
      <c r="P22" s="4"/>
      <c r="Q22" s="4"/>
      <c r="R22" s="9"/>
      <c r="S22" s="4"/>
      <c r="T22" s="4"/>
      <c r="U22" s="4"/>
      <c r="V22" s="9"/>
      <c r="W22" s="4"/>
      <c r="X22" s="4"/>
      <c r="Y22" s="4"/>
      <c r="Z22" s="9"/>
    </row>
    <row r="23" spans="1:26" s="63" customFormat="1" ht="15" customHeight="1" x14ac:dyDescent="0.3">
      <c r="A23" s="11"/>
      <c r="B23" s="27" t="s">
        <v>289</v>
      </c>
      <c r="C23" s="27"/>
      <c r="D23" s="21">
        <f>D12-D18</f>
        <v>101306.17000000001</v>
      </c>
      <c r="E23" s="15"/>
      <c r="F23" s="23">
        <f>IF(D$12=0,0,D23/D$12)</f>
        <v>0.67954173369717352</v>
      </c>
      <c r="G23" s="15"/>
      <c r="H23" s="21">
        <f>H12-H18</f>
        <v>85785</v>
      </c>
      <c r="I23" s="15"/>
      <c r="J23" s="23">
        <f>IF(H$12=0,0,H23/H$12)</f>
        <v>0.68000221950948836</v>
      </c>
      <c r="K23" s="16"/>
      <c r="L23" s="21">
        <f>+D23-H23</f>
        <v>15521.170000000013</v>
      </c>
      <c r="M23" s="16"/>
      <c r="N23" s="23">
        <f>IF(H23=0,0,L23/H23)</f>
        <v>0.18093104855161174</v>
      </c>
      <c r="O23" s="28"/>
      <c r="P23" s="21">
        <f>P12-P18</f>
        <v>389212.77</v>
      </c>
      <c r="Q23" s="15"/>
      <c r="R23" s="23">
        <f>IF(P$12=0,0,P23/P$12)</f>
        <v>0.65903855694391433</v>
      </c>
      <c r="S23" s="15"/>
      <c r="T23" s="21">
        <f>T12-T18</f>
        <v>307993</v>
      </c>
      <c r="U23" s="15"/>
      <c r="V23" s="23">
        <f>IF(T$12=0,0,T23/T$12)</f>
        <v>0.68203570139444036</v>
      </c>
      <c r="W23" s="16"/>
      <c r="X23" s="21">
        <f>+P23-T23</f>
        <v>81219.770000000019</v>
      </c>
      <c r="Y23" s="16"/>
      <c r="Z23" s="23">
        <f>IF(T23=0,0,X23/T23)</f>
        <v>0.26370654527862653</v>
      </c>
    </row>
    <row r="24" spans="1:26" ht="15" customHeight="1" x14ac:dyDescent="0.3">
      <c r="A24" s="10"/>
      <c r="B24" s="11"/>
      <c r="C24" s="10"/>
      <c r="D24" s="2"/>
      <c r="E24" s="2"/>
      <c r="F24" s="6"/>
      <c r="G24" s="2"/>
      <c r="H24" s="2"/>
      <c r="I24" s="2"/>
      <c r="J24" s="6"/>
      <c r="K24" s="2"/>
      <c r="L24" s="2"/>
      <c r="M24" s="2"/>
      <c r="N24" s="6"/>
      <c r="O24" s="35"/>
      <c r="P24" s="2"/>
      <c r="Q24" s="2"/>
      <c r="R24" s="6"/>
      <c r="S24" s="2"/>
      <c r="T24" s="2"/>
      <c r="U24" s="2"/>
      <c r="V24" s="6"/>
      <c r="W24" s="2"/>
      <c r="X24" s="2"/>
      <c r="Y24" s="2"/>
      <c r="Z24" s="6"/>
    </row>
    <row r="25" spans="1:26" s="63" customFormat="1" ht="15" customHeight="1" x14ac:dyDescent="0.3">
      <c r="A25" s="11"/>
      <c r="B25" s="28" t="s">
        <v>290</v>
      </c>
      <c r="C25" s="11"/>
      <c r="D25" s="22" cm="1">
        <f t="array" ref="D25">SUM(OSRRefD22x_0)</f>
        <v>94112.510000000024</v>
      </c>
      <c r="E25" s="22"/>
      <c r="F25" s="30">
        <f t="shared" ref="F25:F56" si="0">IF(D$12=0,0,D25/D$12)</f>
        <v>0.63128808648074042</v>
      </c>
      <c r="G25" s="22"/>
      <c r="H25" s="22" cm="1">
        <f t="array" ref="H25">SUM(OSRRefH22x_0)</f>
        <v>60917.946988122152</v>
      </c>
      <c r="I25" s="22"/>
      <c r="J25" s="30">
        <f t="shared" ref="J25:J56" si="1">IF(H$12=0,0,H25/H$12)</f>
        <v>0.48288557626489964</v>
      </c>
      <c r="K25" s="5"/>
      <c r="L25" s="22">
        <f t="shared" ref="L25:L56" si="2">+D25-H25</f>
        <v>33194.563011877872</v>
      </c>
      <c r="M25" s="5"/>
      <c r="N25" s="30">
        <f t="shared" ref="N25:N56" si="3">IF(H25=0,0,L25/H25)</f>
        <v>0.54490613444918268</v>
      </c>
      <c r="O25" s="11"/>
      <c r="P25" s="22" cm="1">
        <f t="array" ref="P25">SUM(OSRRefP22x_0)</f>
        <v>696915.52999999991</v>
      </c>
      <c r="Q25" s="22"/>
      <c r="R25" s="30">
        <f t="shared" ref="R25:R56" si="4">IF(P$12=0,0,P25/P$12)</f>
        <v>1.1800594446143253</v>
      </c>
      <c r="S25" s="22"/>
      <c r="T25" s="22" cm="1">
        <f t="array" ref="T25">SUM(OSRRefT22x_0)</f>
        <v>517602.80325386947</v>
      </c>
      <c r="U25" s="22"/>
      <c r="V25" s="30">
        <f t="shared" ref="V25:V56" si="5">IF(T$12=0,0,T25/T$12)</f>
        <v>1.1462065402816992</v>
      </c>
      <c r="W25" s="5"/>
      <c r="X25" s="22">
        <f t="shared" ref="X25:X56" si="6">+P25-T25</f>
        <v>179312.72674613044</v>
      </c>
      <c r="Y25" s="5"/>
      <c r="Z25" s="30">
        <f t="shared" ref="Z25:Z56" si="7">IF(T25=0,0,X25/T25)</f>
        <v>0.34642920327883664</v>
      </c>
    </row>
    <row r="26" spans="1:26" s="69" customFormat="1" ht="15" customHeight="1" outlineLevel="1" collapsed="1" x14ac:dyDescent="0.3">
      <c r="A26" s="25"/>
      <c r="B26" s="14" t="str">
        <f>CONCATENATE("     ","*Benefits                                         ")</f>
        <v xml:space="preserve">     *Benefits                                         </v>
      </c>
      <c r="C26" s="14"/>
      <c r="D26" s="2">
        <f>SUM(OSRRefD22_0x_0)</f>
        <v>13271</v>
      </c>
      <c r="E26" s="2"/>
      <c r="F26" s="6">
        <f t="shared" si="0"/>
        <v>8.9019240860602949E-2</v>
      </c>
      <c r="G26" s="2"/>
      <c r="H26" s="2">
        <f>SUM(OSRRefH22_0x_0)</f>
        <v>5969.67024812215</v>
      </c>
      <c r="I26" s="2"/>
      <c r="J26" s="6">
        <f t="shared" si="1"/>
        <v>4.7320499136944923E-2</v>
      </c>
      <c r="K26" s="2"/>
      <c r="L26" s="2">
        <f t="shared" si="2"/>
        <v>7301.32975187785</v>
      </c>
      <c r="M26" s="2"/>
      <c r="N26" s="6">
        <f t="shared" si="3"/>
        <v>1.2230708646218096</v>
      </c>
      <c r="O26" s="14"/>
      <c r="P26" s="2">
        <f>SUM(OSRRefP22_0x_0)</f>
        <v>115113.73000000001</v>
      </c>
      <c r="Q26" s="2"/>
      <c r="R26" s="6">
        <f t="shared" si="4"/>
        <v>0.19491751646183494</v>
      </c>
      <c r="S26" s="2"/>
      <c r="T26" s="2">
        <f>SUM(OSRRefT22_0x_0)</f>
        <v>57786.032688869491</v>
      </c>
      <c r="U26" s="2"/>
      <c r="V26" s="6">
        <f t="shared" si="5"/>
        <v>0.12796439313801017</v>
      </c>
      <c r="W26" s="2"/>
      <c r="X26" s="2">
        <f t="shared" si="6"/>
        <v>57327.69731113052</v>
      </c>
      <c r="Y26" s="2"/>
      <c r="Z26" s="6">
        <f t="shared" si="7"/>
        <v>0.9920684055227198</v>
      </c>
    </row>
    <row r="27" spans="1:26" s="70" customFormat="1" ht="15" hidden="1" customHeight="1" outlineLevel="2" x14ac:dyDescent="0.3">
      <c r="A27" s="26"/>
      <c r="B27" s="12" t="str">
        <f>CONCATENATE("          ","6111"," - ","F.I.C.A.")</f>
        <v xml:space="preserve">          6111 - F.I.C.A.</v>
      </c>
      <c r="C27" s="12"/>
      <c r="D27" s="7">
        <v>2264.04</v>
      </c>
      <c r="E27" s="3"/>
      <c r="F27" s="8">
        <f t="shared" si="0"/>
        <v>1.5186732128553952E-2</v>
      </c>
      <c r="G27" s="3"/>
      <c r="H27" s="7">
        <v>813.72429627600002</v>
      </c>
      <c r="I27" s="3"/>
      <c r="J27" s="8">
        <f t="shared" si="1"/>
        <v>6.4502457018881685E-3</v>
      </c>
      <c r="K27" s="3"/>
      <c r="L27" s="7">
        <f t="shared" si="2"/>
        <v>1450.3157037239998</v>
      </c>
      <c r="M27" s="3"/>
      <c r="N27" s="8">
        <f t="shared" si="3"/>
        <v>1.7823182991602353</v>
      </c>
      <c r="O27" s="12"/>
      <c r="P27" s="7">
        <v>15870.86</v>
      </c>
      <c r="Q27" s="3"/>
      <c r="R27" s="8">
        <f t="shared" si="4"/>
        <v>2.6873498194468007E-2</v>
      </c>
      <c r="S27" s="3"/>
      <c r="T27" s="7">
        <v>8226.3315893309991</v>
      </c>
      <c r="U27" s="3"/>
      <c r="V27" s="8">
        <f t="shared" si="5"/>
        <v>1.8216816081640198E-2</v>
      </c>
      <c r="W27" s="3"/>
      <c r="X27" s="7">
        <f t="shared" si="6"/>
        <v>7644.5284106690015</v>
      </c>
      <c r="Y27" s="3"/>
      <c r="Z27" s="8">
        <f t="shared" si="7"/>
        <v>0.92927550119465674</v>
      </c>
    </row>
    <row r="28" spans="1:26" s="70" customFormat="1" ht="15" hidden="1" customHeight="1" outlineLevel="2" x14ac:dyDescent="0.3">
      <c r="A28" s="26"/>
      <c r="B28" s="12" t="str">
        <f>CONCATENATE("          ","6112"," - ","COMPENSATION INSURANCE")</f>
        <v xml:space="preserve">          6112 - COMPENSATION INSURANCE</v>
      </c>
      <c r="C28" s="12"/>
      <c r="D28" s="7">
        <v>1554.81</v>
      </c>
      <c r="E28" s="3"/>
      <c r="F28" s="8">
        <f t="shared" si="0"/>
        <v>1.0429357688378726E-2</v>
      </c>
      <c r="G28" s="3"/>
      <c r="H28" s="7">
        <v>679.32961318000002</v>
      </c>
      <c r="I28" s="3"/>
      <c r="J28" s="8">
        <f t="shared" si="1"/>
        <v>5.3849232935935442E-3</v>
      </c>
      <c r="K28" s="3"/>
      <c r="L28" s="7">
        <f t="shared" si="2"/>
        <v>875.48038681999992</v>
      </c>
      <c r="M28" s="3"/>
      <c r="N28" s="8">
        <f t="shared" si="3"/>
        <v>1.2887416797889928</v>
      </c>
      <c r="O28" s="12"/>
      <c r="P28" s="7">
        <v>9183.7999999999993</v>
      </c>
      <c r="Q28" s="3"/>
      <c r="R28" s="8">
        <f t="shared" si="4"/>
        <v>1.555056453893206E-2</v>
      </c>
      <c r="S28" s="3"/>
      <c r="T28" s="7">
        <v>5680.6921988300001</v>
      </c>
      <c r="U28" s="3"/>
      <c r="V28" s="8">
        <f t="shared" si="5"/>
        <v>1.2579619953164341E-2</v>
      </c>
      <c r="W28" s="3"/>
      <c r="X28" s="7">
        <f t="shared" si="6"/>
        <v>3503.1078011699992</v>
      </c>
      <c r="Y28" s="3"/>
      <c r="Z28" s="8">
        <f t="shared" si="7"/>
        <v>0.61666918019101657</v>
      </c>
    </row>
    <row r="29" spans="1:26" s="70" customFormat="1" ht="15" hidden="1" customHeight="1" outlineLevel="2" x14ac:dyDescent="0.3">
      <c r="A29" s="26"/>
      <c r="B29" s="12" t="str">
        <f>CONCATENATE("          ","6113"," - ","GROUP INSURANCE")</f>
        <v xml:space="preserve">          6113 - GROUP INSURANCE</v>
      </c>
      <c r="C29" s="12"/>
      <c r="D29" s="7">
        <v>6152.38</v>
      </c>
      <c r="E29" s="3"/>
      <c r="F29" s="8">
        <f t="shared" si="0"/>
        <v>4.1268947109182157E-2</v>
      </c>
      <c r="G29" s="3"/>
      <c r="H29" s="7">
        <v>3254.4461538461501</v>
      </c>
      <c r="I29" s="3"/>
      <c r="J29" s="8">
        <f t="shared" si="1"/>
        <v>2.5797407564137086E-2</v>
      </c>
      <c r="K29" s="3"/>
      <c r="L29" s="7">
        <f t="shared" si="2"/>
        <v>2897.93384615385</v>
      </c>
      <c r="M29" s="3"/>
      <c r="N29" s="8">
        <f t="shared" si="3"/>
        <v>0.89045376975404289</v>
      </c>
      <c r="O29" s="12"/>
      <c r="P29" s="7">
        <v>55762.7</v>
      </c>
      <c r="Q29" s="3"/>
      <c r="R29" s="8">
        <f t="shared" si="4"/>
        <v>9.4420769748372865E-2</v>
      </c>
      <c r="S29" s="3"/>
      <c r="T29" s="7">
        <v>32301.1384615385</v>
      </c>
      <c r="U29" s="3"/>
      <c r="V29" s="8">
        <f t="shared" si="5"/>
        <v>7.1529319258731031E-2</v>
      </c>
      <c r="W29" s="3"/>
      <c r="X29" s="7">
        <f t="shared" si="6"/>
        <v>23461.561538461498</v>
      </c>
      <c r="Y29" s="3"/>
      <c r="Z29" s="8">
        <f t="shared" si="7"/>
        <v>0.72633853343582822</v>
      </c>
    </row>
    <row r="30" spans="1:26" s="70" customFormat="1" ht="15" hidden="1" customHeight="1" outlineLevel="2" x14ac:dyDescent="0.3">
      <c r="A30" s="26"/>
      <c r="B30" s="12" t="str">
        <f>CONCATENATE("          ","6114"," - ","STATE UNEMPLOYMENT INSURANCE")</f>
        <v xml:space="preserve">          6114 - STATE UNEMPLOYMENT INSURANCE</v>
      </c>
      <c r="C30" s="12"/>
      <c r="D30" s="7">
        <v>112.29</v>
      </c>
      <c r="E30" s="3"/>
      <c r="F30" s="8">
        <f t="shared" si="0"/>
        <v>7.5321909096805857E-4</v>
      </c>
      <c r="G30" s="3"/>
      <c r="H30" s="7">
        <v>37.640954819999997</v>
      </c>
      <c r="I30" s="3"/>
      <c r="J30" s="8">
        <f t="shared" si="1"/>
        <v>2.98373058484075E-4</v>
      </c>
      <c r="K30" s="3"/>
      <c r="L30" s="7">
        <f t="shared" si="2"/>
        <v>74.649045180000002</v>
      </c>
      <c r="M30" s="3"/>
      <c r="N30" s="8">
        <f t="shared" si="3"/>
        <v>1.9831868117313611</v>
      </c>
      <c r="O30" s="12"/>
      <c r="P30" s="7">
        <v>663.28</v>
      </c>
      <c r="Q30" s="3"/>
      <c r="R30" s="8">
        <f t="shared" si="4"/>
        <v>1.123105734813787E-3</v>
      </c>
      <c r="S30" s="3"/>
      <c r="T30" s="7">
        <v>314.76130917</v>
      </c>
      <c r="U30" s="3"/>
      <c r="V30" s="8">
        <f t="shared" si="5"/>
        <v>6.9702379687717987E-4</v>
      </c>
      <c r="W30" s="3"/>
      <c r="X30" s="7">
        <f t="shared" si="6"/>
        <v>348.51869082999997</v>
      </c>
      <c r="Y30" s="3"/>
      <c r="Z30" s="8">
        <f t="shared" si="7"/>
        <v>1.1072475576779606</v>
      </c>
    </row>
    <row r="31" spans="1:26" s="70" customFormat="1" ht="15" hidden="1" customHeight="1" outlineLevel="2" x14ac:dyDescent="0.3">
      <c r="A31" s="26"/>
      <c r="B31" s="12" t="str">
        <f>CONCATENATE("          ","6115"," - ","P.E.R.S.")</f>
        <v xml:space="preserve">          6115 - P.E.R.S.</v>
      </c>
      <c r="C31" s="12"/>
      <c r="D31" s="7">
        <v>386.06</v>
      </c>
      <c r="E31" s="3"/>
      <c r="F31" s="8">
        <f t="shared" si="0"/>
        <v>2.5896140552064181E-3</v>
      </c>
      <c r="G31" s="3"/>
      <c r="H31" s="7">
        <v>437.49662000000001</v>
      </c>
      <c r="I31" s="3"/>
      <c r="J31" s="8">
        <f t="shared" si="1"/>
        <v>3.4679567829795331E-3</v>
      </c>
      <c r="K31" s="3"/>
      <c r="L31" s="7">
        <f t="shared" si="2"/>
        <v>-51.436620000000005</v>
      </c>
      <c r="M31" s="3"/>
      <c r="N31" s="8">
        <f t="shared" si="3"/>
        <v>-0.11757032545760011</v>
      </c>
      <c r="O31" s="12"/>
      <c r="P31" s="7">
        <v>6911.69</v>
      </c>
      <c r="Q31" s="3"/>
      <c r="R31" s="8">
        <f t="shared" si="4"/>
        <v>1.1703290731297646E-2</v>
      </c>
      <c r="S31" s="3"/>
      <c r="T31" s="7">
        <v>4265.5920450000003</v>
      </c>
      <c r="U31" s="3"/>
      <c r="V31" s="8">
        <f t="shared" si="5"/>
        <v>9.445948649073584E-3</v>
      </c>
      <c r="W31" s="3"/>
      <c r="X31" s="7">
        <f t="shared" si="6"/>
        <v>2646.0979549999993</v>
      </c>
      <c r="Y31" s="3"/>
      <c r="Z31" s="8">
        <f t="shared" si="7"/>
        <v>0.62033544865165346</v>
      </c>
    </row>
    <row r="32" spans="1:26" s="70" customFormat="1" ht="15" hidden="1" customHeight="1" outlineLevel="2" x14ac:dyDescent="0.3">
      <c r="A32" s="26"/>
      <c r="B32" s="12" t="str">
        <f>CONCATENATE("          ","6116"," - ","EDUCATIONAL BENEFITS")</f>
        <v xml:space="preserve">          6116 - EDUCATIONAL BENEFITS</v>
      </c>
      <c r="C32" s="12"/>
      <c r="D32" s="7"/>
      <c r="E32" s="3"/>
      <c r="F32" s="8">
        <f t="shared" si="0"/>
        <v>0</v>
      </c>
      <c r="G32" s="3"/>
      <c r="H32" s="7">
        <v>0</v>
      </c>
      <c r="I32" s="3"/>
      <c r="J32" s="8">
        <f t="shared" si="1"/>
        <v>0</v>
      </c>
      <c r="K32" s="3"/>
      <c r="L32" s="7">
        <f t="shared" si="2"/>
        <v>0</v>
      </c>
      <c r="M32" s="3"/>
      <c r="N32" s="8">
        <f t="shared" si="3"/>
        <v>0</v>
      </c>
      <c r="O32" s="12"/>
      <c r="P32" s="7"/>
      <c r="Q32" s="3"/>
      <c r="R32" s="8">
        <f t="shared" si="4"/>
        <v>0</v>
      </c>
      <c r="S32" s="3"/>
      <c r="T32" s="7">
        <v>0</v>
      </c>
      <c r="U32" s="3"/>
      <c r="V32" s="8">
        <f t="shared" si="5"/>
        <v>0</v>
      </c>
      <c r="W32" s="3"/>
      <c r="X32" s="7">
        <f t="shared" si="6"/>
        <v>0</v>
      </c>
      <c r="Y32" s="3"/>
      <c r="Z32" s="8">
        <f t="shared" si="7"/>
        <v>0</v>
      </c>
    </row>
    <row r="33" spans="1:26" s="70" customFormat="1" ht="15" hidden="1" customHeight="1" outlineLevel="2" x14ac:dyDescent="0.3">
      <c r="A33" s="26"/>
      <c r="B33" s="12" t="str">
        <f>CONCATENATE("          ","6117"," - ","RETIREMENT STAFF HOURLY")</f>
        <v xml:space="preserve">          6117 - RETIREMENT STAFF HOURLY</v>
      </c>
      <c r="C33" s="12"/>
      <c r="D33" s="7">
        <v>136.52000000000001</v>
      </c>
      <c r="E33" s="3"/>
      <c r="F33" s="8">
        <f t="shared" si="0"/>
        <v>9.1574913437491635E-4</v>
      </c>
      <c r="G33" s="3"/>
      <c r="H33" s="7"/>
      <c r="I33" s="3"/>
      <c r="J33" s="8">
        <f t="shared" si="1"/>
        <v>0</v>
      </c>
      <c r="K33" s="3"/>
      <c r="L33" s="7">
        <f t="shared" si="2"/>
        <v>136.52000000000001</v>
      </c>
      <c r="M33" s="3"/>
      <c r="N33" s="8">
        <f t="shared" si="3"/>
        <v>0</v>
      </c>
      <c r="O33" s="12"/>
      <c r="P33" s="7">
        <v>136.52000000000001</v>
      </c>
      <c r="Q33" s="3"/>
      <c r="R33" s="8">
        <f t="shared" si="4"/>
        <v>2.3116390501263148E-4</v>
      </c>
      <c r="S33" s="3"/>
      <c r="T33" s="7"/>
      <c r="U33" s="3"/>
      <c r="V33" s="8">
        <f t="shared" si="5"/>
        <v>0</v>
      </c>
      <c r="W33" s="3"/>
      <c r="X33" s="7">
        <f t="shared" si="6"/>
        <v>136.52000000000001</v>
      </c>
      <c r="Y33" s="3"/>
      <c r="Z33" s="8">
        <f t="shared" si="7"/>
        <v>0</v>
      </c>
    </row>
    <row r="34" spans="1:26" s="70" customFormat="1" ht="15" hidden="1" customHeight="1" outlineLevel="2" x14ac:dyDescent="0.3">
      <c r="A34" s="26"/>
      <c r="B34" s="12" t="str">
        <f>CONCATENATE("          ","6118"," - ","VACATION")</f>
        <v xml:space="preserve">          6118 - VACATION</v>
      </c>
      <c r="C34" s="12"/>
      <c r="D34" s="7">
        <v>1009.06</v>
      </c>
      <c r="E34" s="3"/>
      <c r="F34" s="8">
        <f t="shared" si="0"/>
        <v>6.7685747255519556E-3</v>
      </c>
      <c r="G34" s="3"/>
      <c r="H34" s="7">
        <v>222.592476</v>
      </c>
      <c r="I34" s="3"/>
      <c r="J34" s="8">
        <f t="shared" si="1"/>
        <v>1.7644504018897538E-3</v>
      </c>
      <c r="K34" s="3"/>
      <c r="L34" s="7">
        <f t="shared" si="2"/>
        <v>786.46752399999991</v>
      </c>
      <c r="M34" s="3"/>
      <c r="N34" s="8">
        <f t="shared" si="3"/>
        <v>3.5332170167333055</v>
      </c>
      <c r="O34" s="12"/>
      <c r="P34" s="7">
        <v>10944.04</v>
      </c>
      <c r="Q34" s="3"/>
      <c r="R34" s="8">
        <f t="shared" si="4"/>
        <v>1.8531109163598295E-2</v>
      </c>
      <c r="S34" s="3"/>
      <c r="T34" s="7">
        <v>2282.7402809999999</v>
      </c>
      <c r="U34" s="3"/>
      <c r="V34" s="8">
        <f t="shared" si="5"/>
        <v>5.0550186811167035E-3</v>
      </c>
      <c r="W34" s="3"/>
      <c r="X34" s="7">
        <f t="shared" si="6"/>
        <v>8661.2997190000006</v>
      </c>
      <c r="Y34" s="3"/>
      <c r="Z34" s="8">
        <f t="shared" si="7"/>
        <v>3.7942554354916562</v>
      </c>
    </row>
    <row r="35" spans="1:26" s="70" customFormat="1" ht="15" hidden="1" customHeight="1" outlineLevel="2" x14ac:dyDescent="0.3">
      <c r="A35" s="26"/>
      <c r="B35" s="12" t="str">
        <f>CONCATENATE("          ","6119"," - ","SICK LEAVE")</f>
        <v xml:space="preserve">          6119 - SICK LEAVE</v>
      </c>
      <c r="C35" s="12"/>
      <c r="D35" s="7">
        <v>735.66</v>
      </c>
      <c r="E35" s="3"/>
      <c r="F35" s="8">
        <f t="shared" si="0"/>
        <v>4.9346616480680557E-3</v>
      </c>
      <c r="G35" s="3"/>
      <c r="H35" s="7">
        <v>253.440134</v>
      </c>
      <c r="I35" s="3"/>
      <c r="J35" s="8">
        <f t="shared" si="1"/>
        <v>2.008974221982656E-3</v>
      </c>
      <c r="K35" s="3"/>
      <c r="L35" s="7">
        <f t="shared" si="2"/>
        <v>482.21986599999997</v>
      </c>
      <c r="M35" s="3"/>
      <c r="N35" s="8">
        <f t="shared" si="3"/>
        <v>1.9026973289084512</v>
      </c>
      <c r="O35" s="12"/>
      <c r="P35" s="7">
        <v>8942.93</v>
      </c>
      <c r="Q35" s="3"/>
      <c r="R35" s="8">
        <f t="shared" si="4"/>
        <v>1.5142708914844802E-2</v>
      </c>
      <c r="S35" s="3"/>
      <c r="T35" s="7">
        <v>2259.7768040000001</v>
      </c>
      <c r="U35" s="3"/>
      <c r="V35" s="8">
        <f t="shared" si="5"/>
        <v>5.0041671645492817E-3</v>
      </c>
      <c r="W35" s="3"/>
      <c r="X35" s="7">
        <f t="shared" si="6"/>
        <v>6683.1531960000002</v>
      </c>
      <c r="Y35" s="3"/>
      <c r="Z35" s="8">
        <f t="shared" si="7"/>
        <v>2.9574395064903056</v>
      </c>
    </row>
    <row r="36" spans="1:26" s="70" customFormat="1" ht="15" hidden="1" customHeight="1" outlineLevel="2" x14ac:dyDescent="0.3">
      <c r="A36" s="26"/>
      <c r="B36" s="12" t="str">
        <f>CONCATENATE("          ","6156"," - ","EMPLOYEE MEALS")</f>
        <v xml:space="preserve">          6156 - EMPLOYEE MEALS</v>
      </c>
      <c r="C36" s="12"/>
      <c r="D36" s="7">
        <v>920.18</v>
      </c>
      <c r="E36" s="3"/>
      <c r="F36" s="8">
        <f t="shared" si="0"/>
        <v>6.1723852803187117E-3</v>
      </c>
      <c r="G36" s="3"/>
      <c r="H36" s="7">
        <v>271</v>
      </c>
      <c r="I36" s="3"/>
      <c r="J36" s="8">
        <f t="shared" si="1"/>
        <v>2.1481681119901075E-3</v>
      </c>
      <c r="K36" s="3"/>
      <c r="L36" s="7">
        <f t="shared" si="2"/>
        <v>649.17999999999995</v>
      </c>
      <c r="M36" s="3"/>
      <c r="N36" s="8">
        <f t="shared" si="3"/>
        <v>2.3954981549815497</v>
      </c>
      <c r="O36" s="12"/>
      <c r="P36" s="7">
        <v>6697.91</v>
      </c>
      <c r="Q36" s="3"/>
      <c r="R36" s="8">
        <f t="shared" si="4"/>
        <v>1.1341305530494832E-2</v>
      </c>
      <c r="S36" s="3"/>
      <c r="T36" s="7">
        <v>2455</v>
      </c>
      <c r="U36" s="3"/>
      <c r="V36" s="8">
        <f t="shared" si="5"/>
        <v>5.4364795528578612E-3</v>
      </c>
      <c r="W36" s="3"/>
      <c r="X36" s="7">
        <f t="shared" si="6"/>
        <v>4242.91</v>
      </c>
      <c r="Y36" s="3"/>
      <c r="Z36" s="8">
        <f t="shared" si="7"/>
        <v>1.7282729124236251</v>
      </c>
    </row>
    <row r="37" spans="1:26" s="69" customFormat="1" ht="15" customHeight="1" outlineLevel="1" collapsed="1" x14ac:dyDescent="0.3">
      <c r="A37" s="25"/>
      <c r="B37" s="14" t="str">
        <f>CONCATENATE("     ","*Payroll                                          ")</f>
        <v xml:space="preserve">     *Payroll                                          </v>
      </c>
      <c r="C37" s="14"/>
      <c r="D37" s="2">
        <f>SUM(OSRRefD22_1x_0)</f>
        <v>42721.439999999995</v>
      </c>
      <c r="E37" s="2"/>
      <c r="F37" s="6">
        <f t="shared" si="0"/>
        <v>0.28656696234434459</v>
      </c>
      <c r="G37" s="2"/>
      <c r="H37" s="2">
        <f>SUM(OSRRefH22_1x_0)</f>
        <v>17553.276740000001</v>
      </c>
      <c r="I37" s="2"/>
      <c r="J37" s="6">
        <f t="shared" si="1"/>
        <v>0.13914165813212423</v>
      </c>
      <c r="K37" s="2"/>
      <c r="L37" s="2">
        <f t="shared" si="2"/>
        <v>25168.163259999994</v>
      </c>
      <c r="M37" s="2"/>
      <c r="N37" s="6">
        <f t="shared" si="3"/>
        <v>1.4338156705891478</v>
      </c>
      <c r="O37" s="14"/>
      <c r="P37" s="2">
        <f>SUM(OSRRefP22_1x_0)</f>
        <v>249231.1</v>
      </c>
      <c r="Q37" s="2"/>
      <c r="R37" s="6">
        <f t="shared" si="4"/>
        <v>0.42201314332400863</v>
      </c>
      <c r="S37" s="2"/>
      <c r="T37" s="2">
        <f>SUM(OSRRefT22_1x_0)</f>
        <v>146081.77056500001</v>
      </c>
      <c r="U37" s="2"/>
      <c r="V37" s="6">
        <f t="shared" si="5"/>
        <v>0.32349106261584354</v>
      </c>
      <c r="W37" s="2"/>
      <c r="X37" s="2">
        <f t="shared" si="6"/>
        <v>103149.32943499999</v>
      </c>
      <c r="Y37" s="2"/>
      <c r="Z37" s="6">
        <f t="shared" si="7"/>
        <v>0.70610678550820993</v>
      </c>
    </row>
    <row r="38" spans="1:26" s="70" customFormat="1" ht="15" hidden="1" customHeight="1" outlineLevel="2" x14ac:dyDescent="0.3">
      <c r="A38" s="26"/>
      <c r="B38" s="12" t="str">
        <f>CONCATENATE("          ","6001"," - ","ADMINISTRATIVE SALARIES")</f>
        <v xml:space="preserve">          6001 - ADMINISTRATIVE SALARIES</v>
      </c>
      <c r="C38" s="12"/>
      <c r="D38" s="7"/>
      <c r="E38" s="3"/>
      <c r="F38" s="8">
        <f t="shared" si="0"/>
        <v>0</v>
      </c>
      <c r="G38" s="3"/>
      <c r="H38" s="7">
        <v>0</v>
      </c>
      <c r="I38" s="3"/>
      <c r="J38" s="8">
        <f t="shared" si="1"/>
        <v>0</v>
      </c>
      <c r="K38" s="3"/>
      <c r="L38" s="7">
        <f t="shared" si="2"/>
        <v>0</v>
      </c>
      <c r="M38" s="3"/>
      <c r="N38" s="8">
        <f t="shared" si="3"/>
        <v>0</v>
      </c>
      <c r="O38" s="12"/>
      <c r="P38" s="7"/>
      <c r="Q38" s="3"/>
      <c r="R38" s="8">
        <f t="shared" si="4"/>
        <v>0</v>
      </c>
      <c r="S38" s="3"/>
      <c r="T38" s="7">
        <v>0</v>
      </c>
      <c r="U38" s="3"/>
      <c r="V38" s="8">
        <f t="shared" si="5"/>
        <v>0</v>
      </c>
      <c r="W38" s="3"/>
      <c r="X38" s="7">
        <f t="shared" si="6"/>
        <v>0</v>
      </c>
      <c r="Y38" s="3"/>
      <c r="Z38" s="8">
        <f t="shared" si="7"/>
        <v>0</v>
      </c>
    </row>
    <row r="39" spans="1:26" s="70" customFormat="1" ht="15" hidden="1" customHeight="1" outlineLevel="2" x14ac:dyDescent="0.3">
      <c r="A39" s="26"/>
      <c r="B39" s="12" t="str">
        <f>CONCATENATE("          ","6002"," - ","STAFF SALARIES")</f>
        <v xml:space="preserve">          6002 - STAFF SALARIES</v>
      </c>
      <c r="C39" s="12"/>
      <c r="D39" s="7">
        <v>5086.4399999999996</v>
      </c>
      <c r="E39" s="3"/>
      <c r="F39" s="8">
        <f t="shared" si="0"/>
        <v>3.4118832603647446E-2</v>
      </c>
      <c r="G39" s="3"/>
      <c r="H39" s="7">
        <v>4832.8114999999998</v>
      </c>
      <c r="I39" s="3"/>
      <c r="J39" s="8">
        <f t="shared" si="1"/>
        <v>3.8308824928262278E-2</v>
      </c>
      <c r="K39" s="3"/>
      <c r="L39" s="7">
        <f t="shared" si="2"/>
        <v>253.6284999999998</v>
      </c>
      <c r="M39" s="3"/>
      <c r="N39" s="8">
        <f t="shared" si="3"/>
        <v>5.248052815633298E-2</v>
      </c>
      <c r="O39" s="12"/>
      <c r="P39" s="7">
        <v>74204.59</v>
      </c>
      <c r="Q39" s="3"/>
      <c r="R39" s="8">
        <f t="shared" si="4"/>
        <v>0.12564769113874349</v>
      </c>
      <c r="S39" s="3"/>
      <c r="T39" s="7">
        <v>47119.912125000003</v>
      </c>
      <c r="U39" s="3"/>
      <c r="V39" s="8">
        <f t="shared" si="5"/>
        <v>0.10434478158860355</v>
      </c>
      <c r="W39" s="3"/>
      <c r="X39" s="7">
        <f t="shared" si="6"/>
        <v>27084.677874999994</v>
      </c>
      <c r="Y39" s="3"/>
      <c r="Z39" s="8">
        <f t="shared" si="7"/>
        <v>0.57480323399478306</v>
      </c>
    </row>
    <row r="40" spans="1:26" s="70" customFormat="1" ht="15" hidden="1" customHeight="1" outlineLevel="2" x14ac:dyDescent="0.3">
      <c r="A40" s="26"/>
      <c r="B40" s="12" t="str">
        <f>CONCATENATE("          ","6003"," - ","STAFF HOURLY-9 MONTH")</f>
        <v xml:space="preserve">          6003 - STAFF HOURLY-9 MONTH</v>
      </c>
      <c r="C40" s="12"/>
      <c r="D40" s="7"/>
      <c r="E40" s="3"/>
      <c r="F40" s="8">
        <f t="shared" si="0"/>
        <v>0</v>
      </c>
      <c r="G40" s="3"/>
      <c r="H40" s="7">
        <v>0</v>
      </c>
      <c r="I40" s="3"/>
      <c r="J40" s="8">
        <f t="shared" si="1"/>
        <v>0</v>
      </c>
      <c r="K40" s="3"/>
      <c r="L40" s="7">
        <f t="shared" si="2"/>
        <v>0</v>
      </c>
      <c r="M40" s="3"/>
      <c r="N40" s="8">
        <f t="shared" si="3"/>
        <v>0</v>
      </c>
      <c r="O40" s="12"/>
      <c r="P40" s="7"/>
      <c r="Q40" s="3"/>
      <c r="R40" s="8">
        <f t="shared" si="4"/>
        <v>0</v>
      </c>
      <c r="S40" s="3"/>
      <c r="T40" s="7">
        <v>0</v>
      </c>
      <c r="U40" s="3"/>
      <c r="V40" s="8">
        <f t="shared" si="5"/>
        <v>0</v>
      </c>
      <c r="W40" s="3"/>
      <c r="X40" s="7">
        <f t="shared" si="6"/>
        <v>0</v>
      </c>
      <c r="Y40" s="3"/>
      <c r="Z40" s="8">
        <f t="shared" si="7"/>
        <v>0</v>
      </c>
    </row>
    <row r="41" spans="1:26" s="70" customFormat="1" ht="15" hidden="1" customHeight="1" outlineLevel="2" x14ac:dyDescent="0.3">
      <c r="A41" s="26"/>
      <c r="B41" s="12" t="str">
        <f>CONCATENATE("          ","6004"," - ","STAFF HOURLY")</f>
        <v xml:space="preserve">          6004 - STAFF HOURLY</v>
      </c>
      <c r="C41" s="12"/>
      <c r="D41" s="7">
        <v>6854.31</v>
      </c>
      <c r="E41" s="3"/>
      <c r="F41" s="8">
        <f t="shared" si="0"/>
        <v>4.5977354594472115E-2</v>
      </c>
      <c r="G41" s="3"/>
      <c r="H41" s="7">
        <v>5428.9502400000001</v>
      </c>
      <c r="I41" s="3"/>
      <c r="J41" s="8">
        <f t="shared" si="1"/>
        <v>4.3034309177671738E-2</v>
      </c>
      <c r="K41" s="3"/>
      <c r="L41" s="7">
        <f t="shared" si="2"/>
        <v>1425.3597600000003</v>
      </c>
      <c r="M41" s="3"/>
      <c r="N41" s="8">
        <f t="shared" si="3"/>
        <v>0.26254795070658082</v>
      </c>
      <c r="O41" s="12"/>
      <c r="P41" s="7">
        <v>55641.67</v>
      </c>
      <c r="Q41" s="3"/>
      <c r="R41" s="8">
        <f t="shared" si="4"/>
        <v>9.4215834446412142E-2</v>
      </c>
      <c r="S41" s="3"/>
      <c r="T41" s="7">
        <v>55769.113440000001</v>
      </c>
      <c r="U41" s="3"/>
      <c r="V41" s="8">
        <f t="shared" si="5"/>
        <v>0.12349802236153586</v>
      </c>
      <c r="W41" s="3"/>
      <c r="X41" s="7">
        <f t="shared" si="6"/>
        <v>-127.44344000000274</v>
      </c>
      <c r="Y41" s="3"/>
      <c r="Z41" s="8">
        <f t="shared" si="7"/>
        <v>-2.2851975249187813E-3</v>
      </c>
    </row>
    <row r="42" spans="1:26" s="70" customFormat="1" ht="15" hidden="1" customHeight="1" outlineLevel="2" x14ac:dyDescent="0.3">
      <c r="A42" s="26"/>
      <c r="B42" s="12" t="str">
        <f>CONCATENATE("          ","6005"," - ","TEMPORARY WAGES-HOURLY")</f>
        <v xml:space="preserve">          6005 - TEMPORARY WAGES-HOURLY</v>
      </c>
      <c r="C42" s="12"/>
      <c r="D42" s="7">
        <v>10883.17</v>
      </c>
      <c r="E42" s="3"/>
      <c r="F42" s="8">
        <f t="shared" si="0"/>
        <v>7.3002149917631542E-2</v>
      </c>
      <c r="G42" s="3"/>
      <c r="H42" s="7">
        <v>0</v>
      </c>
      <c r="I42" s="3"/>
      <c r="J42" s="8">
        <f t="shared" si="1"/>
        <v>0</v>
      </c>
      <c r="K42" s="3"/>
      <c r="L42" s="7">
        <f t="shared" si="2"/>
        <v>10883.17</v>
      </c>
      <c r="M42" s="3"/>
      <c r="N42" s="8">
        <f t="shared" si="3"/>
        <v>0</v>
      </c>
      <c r="O42" s="12"/>
      <c r="P42" s="7">
        <v>63146</v>
      </c>
      <c r="Q42" s="3"/>
      <c r="R42" s="8">
        <f t="shared" si="4"/>
        <v>0.10692261900034886</v>
      </c>
      <c r="S42" s="3"/>
      <c r="T42" s="7">
        <v>0</v>
      </c>
      <c r="U42" s="3"/>
      <c r="V42" s="8">
        <f t="shared" si="5"/>
        <v>0</v>
      </c>
      <c r="W42" s="3"/>
      <c r="X42" s="7">
        <f t="shared" si="6"/>
        <v>63146</v>
      </c>
      <c r="Y42" s="3"/>
      <c r="Z42" s="8">
        <f t="shared" si="7"/>
        <v>0</v>
      </c>
    </row>
    <row r="43" spans="1:26" s="70" customFormat="1" ht="15" hidden="1" customHeight="1" outlineLevel="2" x14ac:dyDescent="0.3">
      <c r="A43" s="26"/>
      <c r="B43" s="12" t="str">
        <f>CONCATENATE("          ","6006"," - ","TEMPORARY PART TIME")</f>
        <v xml:space="preserve">          6006 - TEMPORARY PART TIME</v>
      </c>
      <c r="C43" s="12"/>
      <c r="D43" s="7"/>
      <c r="E43" s="3"/>
      <c r="F43" s="8">
        <f t="shared" si="0"/>
        <v>0</v>
      </c>
      <c r="G43" s="3"/>
      <c r="H43" s="7">
        <v>0</v>
      </c>
      <c r="I43" s="3"/>
      <c r="J43" s="8">
        <f t="shared" si="1"/>
        <v>0</v>
      </c>
      <c r="K43" s="3"/>
      <c r="L43" s="7">
        <f t="shared" si="2"/>
        <v>0</v>
      </c>
      <c r="M43" s="3"/>
      <c r="N43" s="8">
        <f t="shared" si="3"/>
        <v>0</v>
      </c>
      <c r="O43" s="12"/>
      <c r="P43" s="7"/>
      <c r="Q43" s="3"/>
      <c r="R43" s="8">
        <f t="shared" si="4"/>
        <v>0</v>
      </c>
      <c r="S43" s="3"/>
      <c r="T43" s="7">
        <v>0</v>
      </c>
      <c r="U43" s="3"/>
      <c r="V43" s="8">
        <f t="shared" si="5"/>
        <v>0</v>
      </c>
      <c r="W43" s="3"/>
      <c r="X43" s="7">
        <f t="shared" si="6"/>
        <v>0</v>
      </c>
      <c r="Y43" s="3"/>
      <c r="Z43" s="8">
        <f t="shared" si="7"/>
        <v>0</v>
      </c>
    </row>
    <row r="44" spans="1:26" s="70" customFormat="1" ht="15" hidden="1" customHeight="1" outlineLevel="2" x14ac:dyDescent="0.3">
      <c r="A44" s="26"/>
      <c r="B44" s="12" t="str">
        <f>CONCATENATE("          ","6007"," - ","STUDENT HOURLY")</f>
        <v xml:space="preserve">          6007 - STUDENT HOURLY</v>
      </c>
      <c r="C44" s="12"/>
      <c r="D44" s="7">
        <v>17804</v>
      </c>
      <c r="E44" s="3"/>
      <c r="F44" s="8">
        <f t="shared" si="0"/>
        <v>0.11942570750374312</v>
      </c>
      <c r="G44" s="3"/>
      <c r="H44" s="7">
        <v>0</v>
      </c>
      <c r="I44" s="3"/>
      <c r="J44" s="8">
        <f t="shared" si="1"/>
        <v>0</v>
      </c>
      <c r="K44" s="3"/>
      <c r="L44" s="7">
        <f t="shared" si="2"/>
        <v>17804</v>
      </c>
      <c r="M44" s="3"/>
      <c r="N44" s="8">
        <f t="shared" si="3"/>
        <v>0</v>
      </c>
      <c r="O44" s="12"/>
      <c r="P44" s="7">
        <v>53003.72</v>
      </c>
      <c r="Q44" s="3"/>
      <c r="R44" s="8">
        <f t="shared" si="4"/>
        <v>8.9749098266892147E-2</v>
      </c>
      <c r="S44" s="3"/>
      <c r="T44" s="7">
        <v>798</v>
      </c>
      <c r="U44" s="3"/>
      <c r="V44" s="8">
        <f t="shared" si="5"/>
        <v>1.7671326611733496E-3</v>
      </c>
      <c r="W44" s="3"/>
      <c r="X44" s="7">
        <f t="shared" si="6"/>
        <v>52205.72</v>
      </c>
      <c r="Y44" s="3"/>
      <c r="Z44" s="8">
        <f t="shared" si="7"/>
        <v>65.420701754385973</v>
      </c>
    </row>
    <row r="45" spans="1:26" s="70" customFormat="1" ht="15" hidden="1" customHeight="1" outlineLevel="2" x14ac:dyDescent="0.3">
      <c r="A45" s="26"/>
      <c r="B45" s="12" t="str">
        <f>CONCATENATE("          ","6008"," - ","STUDENT HOURLY-FICA EXEMPT")</f>
        <v xml:space="preserve">          6008 - STUDENT HOURLY-FICA EXEMPT</v>
      </c>
      <c r="C45" s="12"/>
      <c r="D45" s="7">
        <v>2093.52</v>
      </c>
      <c r="E45" s="3"/>
      <c r="F45" s="8">
        <f t="shared" si="0"/>
        <v>1.4042917724850387E-2</v>
      </c>
      <c r="G45" s="3"/>
      <c r="H45" s="7">
        <v>7291.5150000000003</v>
      </c>
      <c r="I45" s="3"/>
      <c r="J45" s="8">
        <f t="shared" si="1"/>
        <v>5.7798524026190214E-2</v>
      </c>
      <c r="K45" s="3"/>
      <c r="L45" s="7">
        <f t="shared" si="2"/>
        <v>-5197.9950000000008</v>
      </c>
      <c r="M45" s="3"/>
      <c r="N45" s="8">
        <f t="shared" si="3"/>
        <v>-0.71288271367473022</v>
      </c>
      <c r="O45" s="12"/>
      <c r="P45" s="7">
        <v>3235.12</v>
      </c>
      <c r="Q45" s="3"/>
      <c r="R45" s="8">
        <f t="shared" si="4"/>
        <v>5.477900471611956E-3</v>
      </c>
      <c r="S45" s="3"/>
      <c r="T45" s="7">
        <v>42394.745000000003</v>
      </c>
      <c r="U45" s="3"/>
      <c r="V45" s="8">
        <f t="shared" si="5"/>
        <v>9.3881126004530774E-2</v>
      </c>
      <c r="W45" s="3"/>
      <c r="X45" s="7">
        <f t="shared" si="6"/>
        <v>-39159.625</v>
      </c>
      <c r="Y45" s="3"/>
      <c r="Z45" s="8">
        <f t="shared" si="7"/>
        <v>-0.92369054230659953</v>
      </c>
    </row>
    <row r="46" spans="1:26" s="70" customFormat="1" ht="15" hidden="1" customHeight="1" outlineLevel="2" x14ac:dyDescent="0.3">
      <c r="A46" s="26"/>
      <c r="B46" s="12" t="str">
        <f>CONCATENATE("          ","6009"," - ","TEMPORARY-SEASONAL")</f>
        <v xml:space="preserve">          6009 - TEMPORARY-SEASONAL</v>
      </c>
      <c r="C46" s="12"/>
      <c r="D46" s="7"/>
      <c r="E46" s="3"/>
      <c r="F46" s="8">
        <f t="shared" si="0"/>
        <v>0</v>
      </c>
      <c r="G46" s="3"/>
      <c r="H46" s="7">
        <v>0</v>
      </c>
      <c r="I46" s="3"/>
      <c r="J46" s="8">
        <f t="shared" si="1"/>
        <v>0</v>
      </c>
      <c r="K46" s="3"/>
      <c r="L46" s="7">
        <f t="shared" si="2"/>
        <v>0</v>
      </c>
      <c r="M46" s="3"/>
      <c r="N46" s="8">
        <f t="shared" si="3"/>
        <v>0</v>
      </c>
      <c r="O46" s="12"/>
      <c r="P46" s="7"/>
      <c r="Q46" s="3"/>
      <c r="R46" s="8">
        <f t="shared" si="4"/>
        <v>0</v>
      </c>
      <c r="S46" s="3"/>
      <c r="T46" s="7">
        <v>0</v>
      </c>
      <c r="U46" s="3"/>
      <c r="V46" s="8">
        <f t="shared" si="5"/>
        <v>0</v>
      </c>
      <c r="W46" s="3"/>
      <c r="X46" s="7">
        <f t="shared" si="6"/>
        <v>0</v>
      </c>
      <c r="Y46" s="3"/>
      <c r="Z46" s="8">
        <f t="shared" si="7"/>
        <v>0</v>
      </c>
    </row>
    <row r="47" spans="1:26" s="70" customFormat="1" ht="15" hidden="1" customHeight="1" outlineLevel="2" x14ac:dyDescent="0.3">
      <c r="A47" s="26"/>
      <c r="B47" s="12" t="str">
        <f>CONCATENATE("          ","6010"," - ","GRATUITY")</f>
        <v xml:space="preserve">          6010 - GRATUITY</v>
      </c>
      <c r="C47" s="12"/>
      <c r="D47" s="7"/>
      <c r="E47" s="3"/>
      <c r="F47" s="8">
        <f t="shared" si="0"/>
        <v>0</v>
      </c>
      <c r="G47" s="3"/>
      <c r="H47" s="7">
        <v>0</v>
      </c>
      <c r="I47" s="3"/>
      <c r="J47" s="8">
        <f t="shared" si="1"/>
        <v>0</v>
      </c>
      <c r="K47" s="3"/>
      <c r="L47" s="7">
        <f t="shared" si="2"/>
        <v>0</v>
      </c>
      <c r="M47" s="3"/>
      <c r="N47" s="8">
        <f t="shared" si="3"/>
        <v>0</v>
      </c>
      <c r="O47" s="12"/>
      <c r="P47" s="7"/>
      <c r="Q47" s="3"/>
      <c r="R47" s="8">
        <f t="shared" si="4"/>
        <v>0</v>
      </c>
      <c r="S47" s="3"/>
      <c r="T47" s="7">
        <v>0</v>
      </c>
      <c r="U47" s="3"/>
      <c r="V47" s="8">
        <f t="shared" si="5"/>
        <v>0</v>
      </c>
      <c r="W47" s="3"/>
      <c r="X47" s="7">
        <f t="shared" si="6"/>
        <v>0</v>
      </c>
      <c r="Y47" s="3"/>
      <c r="Z47" s="8">
        <f t="shared" si="7"/>
        <v>0</v>
      </c>
    </row>
    <row r="48" spans="1:26" s="69" customFormat="1" ht="15" customHeight="1" outlineLevel="1" collapsed="1" x14ac:dyDescent="0.3">
      <c r="A48" s="25"/>
      <c r="B48" s="14" t="str">
        <f>CONCATENATE("     ","Advertising/Promo                                 ")</f>
        <v xml:space="preserve">     Advertising/Promo                                 </v>
      </c>
      <c r="C48" s="14"/>
      <c r="D48" s="2">
        <f>SUM(OSRRefD22_2x_0)</f>
        <v>213.04</v>
      </c>
      <c r="E48" s="2"/>
      <c r="F48" s="6">
        <f t="shared" si="0"/>
        <v>1.4290301464051579E-3</v>
      </c>
      <c r="G48" s="2"/>
      <c r="H48" s="2">
        <f>SUM(OSRRefH22_2x_0)</f>
        <v>0</v>
      </c>
      <c r="I48" s="2"/>
      <c r="J48" s="6">
        <f t="shared" si="1"/>
        <v>0</v>
      </c>
      <c r="K48" s="2"/>
      <c r="L48" s="2">
        <f t="shared" si="2"/>
        <v>213.04</v>
      </c>
      <c r="M48" s="2"/>
      <c r="N48" s="6">
        <f t="shared" si="3"/>
        <v>0</v>
      </c>
      <c r="O48" s="14"/>
      <c r="P48" s="2">
        <f>SUM(OSRRefP22_2x_0)</f>
        <v>1019.69</v>
      </c>
      <c r="Q48" s="2"/>
      <c r="R48" s="6">
        <f t="shared" si="4"/>
        <v>1.7266006614586155E-3</v>
      </c>
      <c r="S48" s="2"/>
      <c r="T48" s="2">
        <f>SUM(OSRRefT22_2x_0)</f>
        <v>0</v>
      </c>
      <c r="U48" s="2"/>
      <c r="V48" s="6">
        <f t="shared" si="5"/>
        <v>0</v>
      </c>
      <c r="W48" s="2"/>
      <c r="X48" s="2">
        <f t="shared" si="6"/>
        <v>1019.69</v>
      </c>
      <c r="Y48" s="2"/>
      <c r="Z48" s="6">
        <f t="shared" si="7"/>
        <v>0</v>
      </c>
    </row>
    <row r="49" spans="1:26" s="70" customFormat="1" ht="15" hidden="1" customHeight="1" outlineLevel="2" x14ac:dyDescent="0.3">
      <c r="A49" s="26"/>
      <c r="B49" s="12" t="str">
        <f>CONCATENATE("          ","6362"," - ","ADVERTISING EXPENSE")</f>
        <v xml:space="preserve">          6362 - ADVERTISING EXPENSE</v>
      </c>
      <c r="C49" s="12"/>
      <c r="D49" s="7">
        <v>213.04</v>
      </c>
      <c r="E49" s="3"/>
      <c r="F49" s="8">
        <f t="shared" si="0"/>
        <v>1.4290301464051579E-3</v>
      </c>
      <c r="G49" s="3"/>
      <c r="H49" s="7"/>
      <c r="I49" s="3"/>
      <c r="J49" s="8">
        <f t="shared" si="1"/>
        <v>0</v>
      </c>
      <c r="K49" s="3"/>
      <c r="L49" s="7">
        <f t="shared" si="2"/>
        <v>213.04</v>
      </c>
      <c r="M49" s="3"/>
      <c r="N49" s="8">
        <f t="shared" si="3"/>
        <v>0</v>
      </c>
      <c r="O49" s="12"/>
      <c r="P49" s="7">
        <v>1019.69</v>
      </c>
      <c r="Q49" s="3"/>
      <c r="R49" s="8">
        <f t="shared" si="4"/>
        <v>1.7266006614586155E-3</v>
      </c>
      <c r="S49" s="3"/>
      <c r="T49" s="7"/>
      <c r="U49" s="3"/>
      <c r="V49" s="8">
        <f t="shared" si="5"/>
        <v>0</v>
      </c>
      <c r="W49" s="3"/>
      <c r="X49" s="7">
        <f t="shared" si="6"/>
        <v>1019.69</v>
      </c>
      <c r="Y49" s="3"/>
      <c r="Z49" s="8">
        <f t="shared" si="7"/>
        <v>0</v>
      </c>
    </row>
    <row r="50" spans="1:26" s="69" customFormat="1" ht="15" customHeight="1" outlineLevel="1" collapsed="1" x14ac:dyDescent="0.3">
      <c r="A50" s="25"/>
      <c r="B50" s="14" t="str">
        <f>CONCATENATE("     ","Bad Debts/Over/Short                              ")</f>
        <v xml:space="preserve">     Bad Debts/Over/Short                              </v>
      </c>
      <c r="C50" s="14"/>
      <c r="D50" s="2">
        <f>SUM(OSRRefD22_3x_0)</f>
        <v>3.29</v>
      </c>
      <c r="E50" s="2"/>
      <c r="F50" s="6">
        <f t="shared" si="0"/>
        <v>2.2068668708566327E-5</v>
      </c>
      <c r="G50" s="2"/>
      <c r="H50" s="2">
        <f>SUM(OSRRefH22_3x_0)</f>
        <v>0</v>
      </c>
      <c r="I50" s="2"/>
      <c r="J50" s="6">
        <f t="shared" si="1"/>
        <v>0</v>
      </c>
      <c r="K50" s="2"/>
      <c r="L50" s="2">
        <f t="shared" si="2"/>
        <v>3.29</v>
      </c>
      <c r="M50" s="2"/>
      <c r="N50" s="6">
        <f t="shared" si="3"/>
        <v>0</v>
      </c>
      <c r="O50" s="14"/>
      <c r="P50" s="2">
        <f>SUM(OSRRefP22_3x_0)</f>
        <v>-13.73</v>
      </c>
      <c r="Q50" s="2"/>
      <c r="R50" s="6">
        <f t="shared" si="4"/>
        <v>-2.3248464809723339E-5</v>
      </c>
      <c r="S50" s="2"/>
      <c r="T50" s="2">
        <f>SUM(OSRRefT22_3x_0)</f>
        <v>60</v>
      </c>
      <c r="U50" s="2"/>
      <c r="V50" s="6">
        <f t="shared" si="5"/>
        <v>1.3286711738145484E-4</v>
      </c>
      <c r="W50" s="2"/>
      <c r="X50" s="2">
        <f t="shared" si="6"/>
        <v>-73.73</v>
      </c>
      <c r="Y50" s="2"/>
      <c r="Z50" s="6">
        <f t="shared" si="7"/>
        <v>-1.2288333333333334</v>
      </c>
    </row>
    <row r="51" spans="1:26" s="70" customFormat="1" ht="15" hidden="1" customHeight="1" outlineLevel="2" x14ac:dyDescent="0.3">
      <c r="A51" s="26"/>
      <c r="B51" s="12" t="str">
        <f>CONCATENATE("          ","6272"," - ","CASH (OVER/SHORT)")</f>
        <v xml:space="preserve">          6272 - CASH (OVER/SHORT)</v>
      </c>
      <c r="C51" s="12"/>
      <c r="D51" s="7">
        <v>3.29</v>
      </c>
      <c r="E51" s="3"/>
      <c r="F51" s="8">
        <f t="shared" si="0"/>
        <v>2.2068668708566327E-5</v>
      </c>
      <c r="G51" s="3"/>
      <c r="H51" s="7"/>
      <c r="I51" s="3"/>
      <c r="J51" s="8">
        <f t="shared" si="1"/>
        <v>0</v>
      </c>
      <c r="K51" s="3"/>
      <c r="L51" s="7">
        <f t="shared" si="2"/>
        <v>3.29</v>
      </c>
      <c r="M51" s="3"/>
      <c r="N51" s="8">
        <f t="shared" si="3"/>
        <v>0</v>
      </c>
      <c r="O51" s="12"/>
      <c r="P51" s="7">
        <v>-13.73</v>
      </c>
      <c r="Q51" s="3"/>
      <c r="R51" s="8">
        <f t="shared" si="4"/>
        <v>-2.3248464809723339E-5</v>
      </c>
      <c r="S51" s="3"/>
      <c r="T51" s="7">
        <v>60</v>
      </c>
      <c r="U51" s="3"/>
      <c r="V51" s="8">
        <f t="shared" si="5"/>
        <v>1.3286711738145484E-4</v>
      </c>
      <c r="W51" s="3"/>
      <c r="X51" s="7">
        <f t="shared" si="6"/>
        <v>-73.73</v>
      </c>
      <c r="Y51" s="3"/>
      <c r="Z51" s="8">
        <f t="shared" si="7"/>
        <v>-1.2288333333333334</v>
      </c>
    </row>
    <row r="52" spans="1:26" s="69" customFormat="1" ht="15" customHeight="1" outlineLevel="1" collapsed="1" x14ac:dyDescent="0.3">
      <c r="A52" s="25"/>
      <c r="B52" s="14" t="str">
        <f>CONCATENATE("     ","Bank/card Fees                                    ")</f>
        <v xml:space="preserve">     Bank/card Fees                                    </v>
      </c>
      <c r="C52" s="14"/>
      <c r="D52" s="2">
        <f>SUM(OSRRefD22_4x_0)</f>
        <v>5051.8599999999997</v>
      </c>
      <c r="E52" s="2"/>
      <c r="F52" s="6">
        <f t="shared" si="0"/>
        <v>3.3886876809136129E-2</v>
      </c>
      <c r="G52" s="2"/>
      <c r="H52" s="2">
        <f>SUM(OSRRefH22_4x_0)</f>
        <v>6326</v>
      </c>
      <c r="I52" s="2"/>
      <c r="J52" s="6">
        <f t="shared" si="1"/>
        <v>5.0145060798706342E-2</v>
      </c>
      <c r="K52" s="2"/>
      <c r="L52" s="2">
        <f t="shared" si="2"/>
        <v>-1274.1400000000003</v>
      </c>
      <c r="M52" s="2"/>
      <c r="N52" s="6">
        <f t="shared" si="3"/>
        <v>-0.2014132153019286</v>
      </c>
      <c r="O52" s="14"/>
      <c r="P52" s="2">
        <f>SUM(OSRRefP22_4x_0)</f>
        <v>19476.169999999998</v>
      </c>
      <c r="Q52" s="2"/>
      <c r="R52" s="6">
        <f t="shared" si="4"/>
        <v>3.2978226720552756E-2</v>
      </c>
      <c r="S52" s="2"/>
      <c r="T52" s="2">
        <f>SUM(OSRRefT22_4x_0)</f>
        <v>22646</v>
      </c>
      <c r="U52" s="2"/>
      <c r="V52" s="6">
        <f t="shared" si="5"/>
        <v>5.0148479003673772E-2</v>
      </c>
      <c r="W52" s="2"/>
      <c r="X52" s="2">
        <f t="shared" si="6"/>
        <v>-3169.8300000000017</v>
      </c>
      <c r="Y52" s="2"/>
      <c r="Z52" s="6">
        <f t="shared" si="7"/>
        <v>-0.13997306367570439</v>
      </c>
    </row>
    <row r="53" spans="1:26" s="70" customFormat="1" ht="15" hidden="1" customHeight="1" outlineLevel="2" x14ac:dyDescent="0.3">
      <c r="A53" s="26"/>
      <c r="B53" s="12" t="str">
        <f>CONCATENATE("          ","6381"," - ","BANK/CREDIT CARD FEES")</f>
        <v xml:space="preserve">          6381 - BANK/CREDIT CARD FEES</v>
      </c>
      <c r="C53" s="12"/>
      <c r="D53" s="7">
        <v>5051.8599999999997</v>
      </c>
      <c r="E53" s="3"/>
      <c r="F53" s="8">
        <f t="shared" si="0"/>
        <v>3.3886876809136129E-2</v>
      </c>
      <c r="G53" s="3"/>
      <c r="H53" s="7">
        <v>6326</v>
      </c>
      <c r="I53" s="3"/>
      <c r="J53" s="8">
        <f t="shared" si="1"/>
        <v>5.0145060798706342E-2</v>
      </c>
      <c r="K53" s="3"/>
      <c r="L53" s="7">
        <f t="shared" si="2"/>
        <v>-1274.1400000000003</v>
      </c>
      <c r="M53" s="3"/>
      <c r="N53" s="8">
        <f t="shared" si="3"/>
        <v>-0.2014132153019286</v>
      </c>
      <c r="O53" s="12"/>
      <c r="P53" s="7">
        <v>19476.169999999998</v>
      </c>
      <c r="Q53" s="3"/>
      <c r="R53" s="8">
        <f t="shared" si="4"/>
        <v>3.2978226720552756E-2</v>
      </c>
      <c r="S53" s="3"/>
      <c r="T53" s="7">
        <v>22646</v>
      </c>
      <c r="U53" s="3"/>
      <c r="V53" s="8">
        <f t="shared" si="5"/>
        <v>5.0148479003673772E-2</v>
      </c>
      <c r="W53" s="3"/>
      <c r="X53" s="7">
        <f t="shared" si="6"/>
        <v>-3169.8300000000017</v>
      </c>
      <c r="Y53" s="3"/>
      <c r="Z53" s="8">
        <f t="shared" si="7"/>
        <v>-0.13997306367570439</v>
      </c>
    </row>
    <row r="54" spans="1:26" s="69" customFormat="1" ht="15" customHeight="1" outlineLevel="1" collapsed="1" x14ac:dyDescent="0.3">
      <c r="A54" s="25"/>
      <c r="B54" s="14" t="str">
        <f>CONCATENATE("     ","Depreciation                                      ")</f>
        <v xml:space="preserve">     Depreciation                                      </v>
      </c>
      <c r="C54" s="14"/>
      <c r="D54" s="2">
        <f>SUM(OSRRefD22_5x_0)</f>
        <v>14007.34</v>
      </c>
      <c r="E54" s="2"/>
      <c r="F54" s="6">
        <f t="shared" si="0"/>
        <v>9.3958463814057577E-2</v>
      </c>
      <c r="G54" s="2"/>
      <c r="H54" s="2">
        <f>SUM(OSRRefH22_5x_0)</f>
        <v>13902</v>
      </c>
      <c r="I54" s="2"/>
      <c r="J54" s="6">
        <f t="shared" si="1"/>
        <v>0.11019864609921208</v>
      </c>
      <c r="K54" s="2"/>
      <c r="L54" s="2">
        <f t="shared" si="2"/>
        <v>105.34000000000015</v>
      </c>
      <c r="M54" s="2"/>
      <c r="N54" s="6">
        <f t="shared" si="3"/>
        <v>7.577327003308887E-3</v>
      </c>
      <c r="O54" s="14"/>
      <c r="P54" s="2">
        <f>SUM(OSRRefP22_5x_0)</f>
        <v>126066.06</v>
      </c>
      <c r="Q54" s="2"/>
      <c r="R54" s="6">
        <f t="shared" si="4"/>
        <v>0.21346266275385803</v>
      </c>
      <c r="S54" s="2"/>
      <c r="T54" s="2">
        <f>SUM(OSRRefT22_5x_0)</f>
        <v>125118</v>
      </c>
      <c r="U54" s="2"/>
      <c r="V54" s="6">
        <f t="shared" si="5"/>
        <v>0.2770677998755478</v>
      </c>
      <c r="W54" s="2"/>
      <c r="X54" s="2">
        <f t="shared" si="6"/>
        <v>948.05999999999767</v>
      </c>
      <c r="Y54" s="2"/>
      <c r="Z54" s="6">
        <f t="shared" si="7"/>
        <v>7.5773270033088575E-3</v>
      </c>
    </row>
    <row r="55" spans="1:26" s="70" customFormat="1" ht="15" hidden="1" customHeight="1" outlineLevel="2" x14ac:dyDescent="0.3">
      <c r="A55" s="26"/>
      <c r="B55" s="12" t="str">
        <f>CONCATENATE("          ","6321"," - ","BUILDING DEPRECIATION")</f>
        <v xml:space="preserve">          6321 - BUILDING DEPRECIATION</v>
      </c>
      <c r="C55" s="12"/>
      <c r="D55" s="7">
        <v>10597.26</v>
      </c>
      <c r="E55" s="3"/>
      <c r="F55" s="8">
        <f t="shared" si="0"/>
        <v>7.1084322236638783E-2</v>
      </c>
      <c r="G55" s="3"/>
      <c r="H55" s="7"/>
      <c r="I55" s="3"/>
      <c r="J55" s="8">
        <f t="shared" si="1"/>
        <v>0</v>
      </c>
      <c r="K55" s="3"/>
      <c r="L55" s="7">
        <f t="shared" si="2"/>
        <v>10597.26</v>
      </c>
      <c r="M55" s="3"/>
      <c r="N55" s="8">
        <f t="shared" si="3"/>
        <v>0</v>
      </c>
      <c r="O55" s="12"/>
      <c r="P55" s="7">
        <v>95375.34</v>
      </c>
      <c r="Q55" s="3"/>
      <c r="R55" s="8">
        <f t="shared" si="4"/>
        <v>0.16149528300840485</v>
      </c>
      <c r="S55" s="3"/>
      <c r="T55" s="7"/>
      <c r="U55" s="3"/>
      <c r="V55" s="8">
        <f t="shared" si="5"/>
        <v>0</v>
      </c>
      <c r="W55" s="3"/>
      <c r="X55" s="7">
        <f t="shared" si="6"/>
        <v>95375.34</v>
      </c>
      <c r="Y55" s="3"/>
      <c r="Z55" s="8">
        <f t="shared" si="7"/>
        <v>0</v>
      </c>
    </row>
    <row r="56" spans="1:26" s="70" customFormat="1" ht="15" hidden="1" customHeight="1" outlineLevel="2" x14ac:dyDescent="0.3">
      <c r="A56" s="26"/>
      <c r="B56" s="12" t="str">
        <f>CONCATENATE("          ","6322"," - ","EQUIPMENT DEPRECIATION EXPENSE")</f>
        <v xml:space="preserve">          6322 - EQUIPMENT DEPRECIATION EXPENSE</v>
      </c>
      <c r="C56" s="12"/>
      <c r="D56" s="7">
        <v>3410.08</v>
      </c>
      <c r="E56" s="3"/>
      <c r="F56" s="8">
        <f t="shared" si="0"/>
        <v>2.2874141577418801E-2</v>
      </c>
      <c r="G56" s="3"/>
      <c r="H56" s="7">
        <v>13902</v>
      </c>
      <c r="I56" s="3"/>
      <c r="J56" s="8">
        <f t="shared" si="1"/>
        <v>0.11019864609921208</v>
      </c>
      <c r="K56" s="3"/>
      <c r="L56" s="7">
        <f t="shared" si="2"/>
        <v>-10491.92</v>
      </c>
      <c r="M56" s="3"/>
      <c r="N56" s="8">
        <f t="shared" si="3"/>
        <v>-0.75470579772694579</v>
      </c>
      <c r="O56" s="12"/>
      <c r="P56" s="7">
        <v>30690.720000000001</v>
      </c>
      <c r="Q56" s="3"/>
      <c r="R56" s="8">
        <f t="shared" si="4"/>
        <v>5.1967379745453186E-2</v>
      </c>
      <c r="S56" s="3"/>
      <c r="T56" s="7">
        <v>125118</v>
      </c>
      <c r="U56" s="3"/>
      <c r="V56" s="8">
        <f t="shared" si="5"/>
        <v>0.2770677998755478</v>
      </c>
      <c r="W56" s="3"/>
      <c r="X56" s="7">
        <f t="shared" si="6"/>
        <v>-94427.28</v>
      </c>
      <c r="Y56" s="3"/>
      <c r="Z56" s="8">
        <f t="shared" si="7"/>
        <v>-0.75470579772694579</v>
      </c>
    </row>
    <row r="57" spans="1:26" s="69" customFormat="1" ht="15" customHeight="1" outlineLevel="1" collapsed="1" x14ac:dyDescent="0.3">
      <c r="A57" s="25"/>
      <c r="B57" s="14" t="str">
        <f>CONCATENATE("     ","Employees' Appreciation                           ")</f>
        <v xml:space="preserve">     Employees' Appreciation                           </v>
      </c>
      <c r="C57" s="14"/>
      <c r="D57" s="2">
        <f>SUM(OSRRefD22_6x_0)</f>
        <v>0</v>
      </c>
      <c r="E57" s="2"/>
      <c r="F57" s="6">
        <f t="shared" ref="F57:F92" si="8">IF(D$12=0,0,D57/D$12)</f>
        <v>0</v>
      </c>
      <c r="G57" s="2"/>
      <c r="H57" s="2">
        <f>SUM(OSRRefH22_6x_0)</f>
        <v>0</v>
      </c>
      <c r="I57" s="2"/>
      <c r="J57" s="6">
        <f t="shared" ref="J57:J92" si="9">IF(H$12=0,0,H57/H$12)</f>
        <v>0</v>
      </c>
      <c r="K57" s="2"/>
      <c r="L57" s="2">
        <f t="shared" ref="L57:L92" si="10">+D57-H57</f>
        <v>0</v>
      </c>
      <c r="M57" s="2"/>
      <c r="N57" s="6">
        <f t="shared" ref="N57:N92" si="11">IF(H57=0,0,L57/H57)</f>
        <v>0</v>
      </c>
      <c r="O57" s="14"/>
      <c r="P57" s="2">
        <f>SUM(OSRRefP22_6x_0)</f>
        <v>0</v>
      </c>
      <c r="Q57" s="2"/>
      <c r="R57" s="6">
        <f t="shared" ref="R57:R92" si="12">IF(P$12=0,0,P57/P$12)</f>
        <v>0</v>
      </c>
      <c r="S57" s="2"/>
      <c r="T57" s="2">
        <f>SUM(OSRRefT22_6x_0)</f>
        <v>50</v>
      </c>
      <c r="U57" s="2"/>
      <c r="V57" s="6">
        <f t="shared" ref="V57:V92" si="13">IF(T$12=0,0,T57/T$12)</f>
        <v>1.1072259781787904E-4</v>
      </c>
      <c r="W57" s="2"/>
      <c r="X57" s="2">
        <f t="shared" ref="X57:X92" si="14">+P57-T57</f>
        <v>-50</v>
      </c>
      <c r="Y57" s="2"/>
      <c r="Z57" s="6">
        <f t="shared" ref="Z57:Z92" si="15">IF(T57=0,0,X57/T57)</f>
        <v>-1</v>
      </c>
    </row>
    <row r="58" spans="1:26" s="70" customFormat="1" ht="15" hidden="1" customHeight="1" outlineLevel="2" x14ac:dyDescent="0.3">
      <c r="A58" s="26"/>
      <c r="B58" s="12" t="str">
        <f>CONCATENATE("          ","6277"," - ","EMPLOYEE APPRECIATION")</f>
        <v xml:space="preserve">          6277 - EMPLOYEE APPRECIATION</v>
      </c>
      <c r="C58" s="12"/>
      <c r="D58" s="7"/>
      <c r="E58" s="3"/>
      <c r="F58" s="8">
        <f t="shared" si="8"/>
        <v>0</v>
      </c>
      <c r="G58" s="3"/>
      <c r="H58" s="7"/>
      <c r="I58" s="3"/>
      <c r="J58" s="8">
        <f t="shared" si="9"/>
        <v>0</v>
      </c>
      <c r="K58" s="3"/>
      <c r="L58" s="7">
        <f t="shared" si="10"/>
        <v>0</v>
      </c>
      <c r="M58" s="3"/>
      <c r="N58" s="8">
        <f t="shared" si="11"/>
        <v>0</v>
      </c>
      <c r="O58" s="12"/>
      <c r="P58" s="7"/>
      <c r="Q58" s="3"/>
      <c r="R58" s="8">
        <f t="shared" si="12"/>
        <v>0</v>
      </c>
      <c r="S58" s="3"/>
      <c r="T58" s="7">
        <v>50</v>
      </c>
      <c r="U58" s="3"/>
      <c r="V58" s="8">
        <f t="shared" si="13"/>
        <v>1.1072259781787904E-4</v>
      </c>
      <c r="W58" s="3"/>
      <c r="X58" s="7">
        <f t="shared" si="14"/>
        <v>-50</v>
      </c>
      <c r="Y58" s="3"/>
      <c r="Z58" s="8">
        <f t="shared" si="15"/>
        <v>-1</v>
      </c>
    </row>
    <row r="59" spans="1:26" s="69" customFormat="1" ht="15" customHeight="1" outlineLevel="1" collapsed="1" x14ac:dyDescent="0.3">
      <c r="A59" s="25"/>
      <c r="B59" s="14" t="str">
        <f>CONCATENATE("     ","Equipment Rental                                  ")</f>
        <v xml:space="preserve">     Equipment Rental                                  </v>
      </c>
      <c r="C59" s="14"/>
      <c r="D59" s="2">
        <f>SUM(OSRRefD22_7x_0)</f>
        <v>250.92</v>
      </c>
      <c r="E59" s="2"/>
      <c r="F59" s="6">
        <f t="shared" si="8"/>
        <v>1.6831216876454292E-3</v>
      </c>
      <c r="G59" s="2"/>
      <c r="H59" s="2">
        <f>SUM(OSRRefH22_7x_0)</f>
        <v>275</v>
      </c>
      <c r="I59" s="2"/>
      <c r="J59" s="6">
        <f t="shared" si="9"/>
        <v>2.1798753903958653E-3</v>
      </c>
      <c r="K59" s="2"/>
      <c r="L59" s="2">
        <f t="shared" si="10"/>
        <v>-24.080000000000013</v>
      </c>
      <c r="M59" s="2"/>
      <c r="N59" s="6">
        <f t="shared" si="11"/>
        <v>-8.7563636363636413E-2</v>
      </c>
      <c r="O59" s="14"/>
      <c r="P59" s="2">
        <f>SUM(OSRRefP22_7x_0)</f>
        <v>2717.09</v>
      </c>
      <c r="Q59" s="2"/>
      <c r="R59" s="6">
        <f t="shared" si="12"/>
        <v>4.6007408047961532E-3</v>
      </c>
      <c r="S59" s="2"/>
      <c r="T59" s="2">
        <f>SUM(OSRRefT22_7x_0)</f>
        <v>2475</v>
      </c>
      <c r="U59" s="2"/>
      <c r="V59" s="6">
        <f t="shared" si="13"/>
        <v>5.4807685919850127E-3</v>
      </c>
      <c r="W59" s="2"/>
      <c r="X59" s="2">
        <f t="shared" si="14"/>
        <v>242.09000000000015</v>
      </c>
      <c r="Y59" s="2"/>
      <c r="Z59" s="6">
        <f t="shared" si="15"/>
        <v>9.7814141414141478E-2</v>
      </c>
    </row>
    <row r="60" spans="1:26" s="70" customFormat="1" ht="15" hidden="1" customHeight="1" outlineLevel="2" x14ac:dyDescent="0.3">
      <c r="A60" s="26"/>
      <c r="B60" s="12" t="str">
        <f>CONCATENATE("          ","6351"," - ","EQUIPMENT RENTAL")</f>
        <v xml:space="preserve">          6351 - EQUIPMENT RENTAL</v>
      </c>
      <c r="C60" s="12"/>
      <c r="D60" s="7">
        <v>250.92</v>
      </c>
      <c r="E60" s="3"/>
      <c r="F60" s="8">
        <f t="shared" si="8"/>
        <v>1.6831216876454292E-3</v>
      </c>
      <c r="G60" s="3"/>
      <c r="H60" s="7">
        <v>275</v>
      </c>
      <c r="I60" s="3"/>
      <c r="J60" s="8">
        <f t="shared" si="9"/>
        <v>2.1798753903958653E-3</v>
      </c>
      <c r="K60" s="3"/>
      <c r="L60" s="7">
        <f t="shared" si="10"/>
        <v>-24.080000000000013</v>
      </c>
      <c r="M60" s="3"/>
      <c r="N60" s="8">
        <f t="shared" si="11"/>
        <v>-8.7563636363636413E-2</v>
      </c>
      <c r="O60" s="12"/>
      <c r="P60" s="7">
        <v>2717.09</v>
      </c>
      <c r="Q60" s="3"/>
      <c r="R60" s="8">
        <f t="shared" si="12"/>
        <v>4.6007408047961532E-3</v>
      </c>
      <c r="S60" s="3"/>
      <c r="T60" s="7">
        <v>2475</v>
      </c>
      <c r="U60" s="3"/>
      <c r="V60" s="8">
        <f t="shared" si="13"/>
        <v>5.4807685919850127E-3</v>
      </c>
      <c r="W60" s="3"/>
      <c r="X60" s="7">
        <f t="shared" si="14"/>
        <v>242.09000000000015</v>
      </c>
      <c r="Y60" s="3"/>
      <c r="Z60" s="8">
        <f t="shared" si="15"/>
        <v>9.7814141414141478E-2</v>
      </c>
    </row>
    <row r="61" spans="1:26" s="69" customFormat="1" ht="15" customHeight="1" outlineLevel="1" collapsed="1" x14ac:dyDescent="0.3">
      <c r="A61" s="25"/>
      <c r="B61" s="14" t="str">
        <f>CONCATENATE("     ","General                                           ")</f>
        <v xml:space="preserve">     General                                           </v>
      </c>
      <c r="C61" s="14"/>
      <c r="D61" s="2">
        <f>SUM(OSRRefD22_8x_0)</f>
        <v>54.6</v>
      </c>
      <c r="E61" s="2"/>
      <c r="F61" s="6">
        <f t="shared" si="8"/>
        <v>3.6624599133365391E-4</v>
      </c>
      <c r="G61" s="2"/>
      <c r="H61" s="2">
        <f>SUM(OSRRefH22_8x_0)</f>
        <v>0</v>
      </c>
      <c r="I61" s="2"/>
      <c r="J61" s="6">
        <f t="shared" si="9"/>
        <v>0</v>
      </c>
      <c r="K61" s="2"/>
      <c r="L61" s="2">
        <f t="shared" si="10"/>
        <v>54.6</v>
      </c>
      <c r="M61" s="2"/>
      <c r="N61" s="6">
        <f t="shared" si="11"/>
        <v>0</v>
      </c>
      <c r="O61" s="14"/>
      <c r="P61" s="2">
        <f>SUM(OSRRefP22_8x_0)</f>
        <v>1575.57</v>
      </c>
      <c r="Q61" s="2"/>
      <c r="R61" s="6">
        <f t="shared" si="12"/>
        <v>2.6678502330849088E-3</v>
      </c>
      <c r="S61" s="2"/>
      <c r="T61" s="2">
        <f>SUM(OSRRefT22_8x_0)</f>
        <v>1790</v>
      </c>
      <c r="U61" s="2"/>
      <c r="V61" s="6">
        <f t="shared" si="13"/>
        <v>3.96386900188007E-3</v>
      </c>
      <c r="W61" s="2"/>
      <c r="X61" s="2">
        <f t="shared" si="14"/>
        <v>-214.43000000000006</v>
      </c>
      <c r="Y61" s="2"/>
      <c r="Z61" s="6">
        <f t="shared" si="15"/>
        <v>-0.11979329608938551</v>
      </c>
    </row>
    <row r="62" spans="1:26" s="70" customFormat="1" ht="15" hidden="1" customHeight="1" outlineLevel="2" x14ac:dyDescent="0.3">
      <c r="A62" s="26"/>
      <c r="B62" s="12" t="str">
        <f>CONCATENATE("          ","6279"," - ","GENERAL EXPENSE")</f>
        <v xml:space="preserve">          6279 - GENERAL EXPENSE</v>
      </c>
      <c r="C62" s="12"/>
      <c r="D62" s="7">
        <v>54.6</v>
      </c>
      <c r="E62" s="3"/>
      <c r="F62" s="8">
        <f t="shared" si="8"/>
        <v>3.6624599133365391E-4</v>
      </c>
      <c r="G62" s="3"/>
      <c r="H62" s="7"/>
      <c r="I62" s="3"/>
      <c r="J62" s="8">
        <f t="shared" si="9"/>
        <v>0</v>
      </c>
      <c r="K62" s="3"/>
      <c r="L62" s="7">
        <f t="shared" si="10"/>
        <v>54.6</v>
      </c>
      <c r="M62" s="3"/>
      <c r="N62" s="8">
        <f t="shared" si="11"/>
        <v>0</v>
      </c>
      <c r="O62" s="12"/>
      <c r="P62" s="7">
        <v>1575.57</v>
      </c>
      <c r="Q62" s="3"/>
      <c r="R62" s="8">
        <f t="shared" si="12"/>
        <v>2.6678502330849088E-3</v>
      </c>
      <c r="S62" s="3"/>
      <c r="T62" s="7">
        <v>1790</v>
      </c>
      <c r="U62" s="3"/>
      <c r="V62" s="8">
        <f t="shared" si="13"/>
        <v>3.96386900188007E-3</v>
      </c>
      <c r="W62" s="3"/>
      <c r="X62" s="7">
        <f t="shared" si="14"/>
        <v>-214.43000000000006</v>
      </c>
      <c r="Y62" s="3"/>
      <c r="Z62" s="8">
        <f t="shared" si="15"/>
        <v>-0.11979329608938551</v>
      </c>
    </row>
    <row r="63" spans="1:26" s="69" customFormat="1" ht="15" customHeight="1" outlineLevel="1" collapsed="1" x14ac:dyDescent="0.3">
      <c r="A63" s="25"/>
      <c r="B63" s="14" t="str">
        <f>CONCATENATE("     ","Insurance                                         ")</f>
        <v xml:space="preserve">     Insurance                                         </v>
      </c>
      <c r="C63" s="14"/>
      <c r="D63" s="2">
        <f>SUM(OSRRefD22_9x_0)</f>
        <v>871.61</v>
      </c>
      <c r="E63" s="2"/>
      <c r="F63" s="6">
        <f t="shared" si="8"/>
        <v>5.8465873352806976E-3</v>
      </c>
      <c r="G63" s="2"/>
      <c r="H63" s="2">
        <f>SUM(OSRRefH22_9x_0)</f>
        <v>850</v>
      </c>
      <c r="I63" s="2"/>
      <c r="J63" s="6">
        <f t="shared" si="9"/>
        <v>6.7377966612235836E-3</v>
      </c>
      <c r="K63" s="2"/>
      <c r="L63" s="2">
        <f t="shared" si="10"/>
        <v>21.610000000000014</v>
      </c>
      <c r="M63" s="2"/>
      <c r="N63" s="6">
        <f t="shared" si="11"/>
        <v>2.5423529411764723E-2</v>
      </c>
      <c r="O63" s="14"/>
      <c r="P63" s="2">
        <f>SUM(OSRRefP22_9x_0)</f>
        <v>7844.49</v>
      </c>
      <c r="Q63" s="2"/>
      <c r="R63" s="6">
        <f t="shared" si="12"/>
        <v>1.328276399965234E-2</v>
      </c>
      <c r="S63" s="2"/>
      <c r="T63" s="2">
        <f>SUM(OSRRefT22_9x_0)</f>
        <v>7650</v>
      </c>
      <c r="U63" s="2"/>
      <c r="V63" s="6">
        <f t="shared" si="13"/>
        <v>1.6940557466135493E-2</v>
      </c>
      <c r="W63" s="2"/>
      <c r="X63" s="2">
        <f t="shared" si="14"/>
        <v>194.48999999999978</v>
      </c>
      <c r="Y63" s="2"/>
      <c r="Z63" s="6">
        <f t="shared" si="15"/>
        <v>2.5423529411764678E-2</v>
      </c>
    </row>
    <row r="64" spans="1:26" s="70" customFormat="1" ht="15" hidden="1" customHeight="1" outlineLevel="2" x14ac:dyDescent="0.3">
      <c r="A64" s="26"/>
      <c r="B64" s="12" t="str">
        <f>CONCATENATE("          ","6314"," - ","LIABILITY INSURANCE")</f>
        <v xml:space="preserve">          6314 - LIABILITY INSURANCE</v>
      </c>
      <c r="C64" s="12"/>
      <c r="D64" s="7">
        <v>871.61</v>
      </c>
      <c r="E64" s="3"/>
      <c r="F64" s="8">
        <f t="shared" si="8"/>
        <v>5.8465873352806976E-3</v>
      </c>
      <c r="G64" s="3"/>
      <c r="H64" s="7">
        <v>850</v>
      </c>
      <c r="I64" s="3"/>
      <c r="J64" s="8">
        <f t="shared" si="9"/>
        <v>6.7377966612235836E-3</v>
      </c>
      <c r="K64" s="3"/>
      <c r="L64" s="7">
        <f t="shared" si="10"/>
        <v>21.610000000000014</v>
      </c>
      <c r="M64" s="3"/>
      <c r="N64" s="8">
        <f t="shared" si="11"/>
        <v>2.5423529411764723E-2</v>
      </c>
      <c r="O64" s="12"/>
      <c r="P64" s="7">
        <v>7844.49</v>
      </c>
      <c r="Q64" s="3"/>
      <c r="R64" s="8">
        <f t="shared" si="12"/>
        <v>1.328276399965234E-2</v>
      </c>
      <c r="S64" s="3"/>
      <c r="T64" s="7">
        <v>7650</v>
      </c>
      <c r="U64" s="3"/>
      <c r="V64" s="8">
        <f t="shared" si="13"/>
        <v>1.6940557466135493E-2</v>
      </c>
      <c r="W64" s="3"/>
      <c r="X64" s="7">
        <f t="shared" si="14"/>
        <v>194.48999999999978</v>
      </c>
      <c r="Y64" s="3"/>
      <c r="Z64" s="8">
        <f t="shared" si="15"/>
        <v>2.5423529411764678E-2</v>
      </c>
    </row>
    <row r="65" spans="1:26" s="69" customFormat="1" ht="15" customHeight="1" outlineLevel="1" collapsed="1" x14ac:dyDescent="0.3">
      <c r="A65" s="25"/>
      <c r="B65" s="14" t="str">
        <f>CONCATENATE("     ","Interest                                          ")</f>
        <v xml:space="preserve">     Interest                                          </v>
      </c>
      <c r="C65" s="14"/>
      <c r="D65" s="2">
        <f>SUM(OSRRefD22_10x_0)</f>
        <v>7253</v>
      </c>
      <c r="E65" s="2"/>
      <c r="F65" s="6">
        <f t="shared" si="8"/>
        <v>4.8651688189432087E-2</v>
      </c>
      <c r="G65" s="2"/>
      <c r="H65" s="2">
        <f>SUM(OSRRefH22_10x_0)</f>
        <v>7253</v>
      </c>
      <c r="I65" s="2"/>
      <c r="J65" s="6">
        <f t="shared" si="9"/>
        <v>5.7493222569240769E-2</v>
      </c>
      <c r="K65" s="2"/>
      <c r="L65" s="2">
        <f t="shared" si="10"/>
        <v>0</v>
      </c>
      <c r="M65" s="2"/>
      <c r="N65" s="6">
        <f t="shared" si="11"/>
        <v>0</v>
      </c>
      <c r="O65" s="14"/>
      <c r="P65" s="2">
        <f>SUM(OSRRefP22_10x_0)</f>
        <v>64763</v>
      </c>
      <c r="Q65" s="2"/>
      <c r="R65" s="6">
        <f t="shared" si="12"/>
        <v>0.10966062101035051</v>
      </c>
      <c r="S65" s="2"/>
      <c r="T65" s="2">
        <f>SUM(OSRRefT22_10x_0)</f>
        <v>65277</v>
      </c>
      <c r="U65" s="2"/>
      <c r="V65" s="6">
        <f t="shared" si="13"/>
        <v>0.14455278035515381</v>
      </c>
      <c r="W65" s="2"/>
      <c r="X65" s="2">
        <f t="shared" si="14"/>
        <v>-514</v>
      </c>
      <c r="Y65" s="2"/>
      <c r="Z65" s="6">
        <f t="shared" si="15"/>
        <v>-7.8741363726886962E-3</v>
      </c>
    </row>
    <row r="66" spans="1:26" s="70" customFormat="1" ht="15" hidden="1" customHeight="1" outlineLevel="2" x14ac:dyDescent="0.3">
      <c r="A66" s="26"/>
      <c r="B66" s="12" t="str">
        <f>CONCATENATE("          ","6401"," - ","INTEREST EXPENSE")</f>
        <v xml:space="preserve">          6401 - INTEREST EXPENSE</v>
      </c>
      <c r="C66" s="12"/>
      <c r="D66" s="7">
        <v>7253</v>
      </c>
      <c r="E66" s="3"/>
      <c r="F66" s="8">
        <f t="shared" si="8"/>
        <v>4.8651688189432087E-2</v>
      </c>
      <c r="G66" s="3"/>
      <c r="H66" s="7">
        <v>7253</v>
      </c>
      <c r="I66" s="3"/>
      <c r="J66" s="8">
        <f t="shared" si="9"/>
        <v>5.7493222569240769E-2</v>
      </c>
      <c r="K66" s="3"/>
      <c r="L66" s="7">
        <f t="shared" si="10"/>
        <v>0</v>
      </c>
      <c r="M66" s="3"/>
      <c r="N66" s="8">
        <f t="shared" si="11"/>
        <v>0</v>
      </c>
      <c r="O66" s="12"/>
      <c r="P66" s="7">
        <v>64763</v>
      </c>
      <c r="Q66" s="3"/>
      <c r="R66" s="8">
        <f t="shared" si="12"/>
        <v>0.10966062101035051</v>
      </c>
      <c r="S66" s="3"/>
      <c r="T66" s="7">
        <v>65277</v>
      </c>
      <c r="U66" s="3"/>
      <c r="V66" s="8">
        <f t="shared" si="13"/>
        <v>0.14455278035515381</v>
      </c>
      <c r="W66" s="3"/>
      <c r="X66" s="7">
        <f t="shared" si="14"/>
        <v>-514</v>
      </c>
      <c r="Y66" s="3"/>
      <c r="Z66" s="8">
        <f t="shared" si="15"/>
        <v>-7.8741363726886962E-3</v>
      </c>
    </row>
    <row r="67" spans="1:26" s="69" customFormat="1" ht="15" customHeight="1" outlineLevel="1" collapsed="1" x14ac:dyDescent="0.3">
      <c r="A67" s="25"/>
      <c r="B67" s="14" t="str">
        <f>CONCATENATE("     ","Repair and Maintenance                            ")</f>
        <v xml:space="preserve">     Repair and Maintenance                            </v>
      </c>
      <c r="C67" s="14"/>
      <c r="D67" s="2">
        <f>SUM(OSRRefD22_11x_0)</f>
        <v>1235.1399999999999</v>
      </c>
      <c r="E67" s="2"/>
      <c r="F67" s="6">
        <f t="shared" si="8"/>
        <v>8.2850746105466895E-3</v>
      </c>
      <c r="G67" s="2"/>
      <c r="H67" s="2">
        <f>SUM(OSRRefH22_11x_0)</f>
        <v>500</v>
      </c>
      <c r="I67" s="2"/>
      <c r="J67" s="6">
        <f t="shared" si="9"/>
        <v>3.9634098007197555E-3</v>
      </c>
      <c r="K67" s="2"/>
      <c r="L67" s="2">
        <f t="shared" si="10"/>
        <v>735.13999999999987</v>
      </c>
      <c r="M67" s="2"/>
      <c r="N67" s="6">
        <f t="shared" si="11"/>
        <v>1.4702799999999998</v>
      </c>
      <c r="O67" s="14"/>
      <c r="P67" s="2">
        <f>SUM(OSRRefP22_11x_0)</f>
        <v>25116.23</v>
      </c>
      <c r="Q67" s="2"/>
      <c r="R67" s="6">
        <f t="shared" si="12"/>
        <v>4.2528316774065371E-2</v>
      </c>
      <c r="S67" s="2"/>
      <c r="T67" s="2">
        <f>SUM(OSRRefT22_11x_0)</f>
        <v>8369</v>
      </c>
      <c r="U67" s="2"/>
      <c r="V67" s="6">
        <f t="shared" si="13"/>
        <v>1.8532748422756595E-2</v>
      </c>
      <c r="W67" s="2"/>
      <c r="X67" s="2">
        <f t="shared" si="14"/>
        <v>16747.23</v>
      </c>
      <c r="Y67" s="2"/>
      <c r="Z67" s="6">
        <f t="shared" si="15"/>
        <v>2.001102879674991</v>
      </c>
    </row>
    <row r="68" spans="1:26" s="70" customFormat="1" ht="15" hidden="1" customHeight="1" outlineLevel="2" x14ac:dyDescent="0.3">
      <c r="A68" s="26"/>
      <c r="B68" s="12" t="str">
        <f>CONCATENATE("          ","6373"," - ","MAINTENANCE CONTRACTS")</f>
        <v xml:space="preserve">          6373 - MAINTENANCE CONTRACTS</v>
      </c>
      <c r="C68" s="12"/>
      <c r="D68" s="7">
        <v>700.03</v>
      </c>
      <c r="E68" s="3"/>
      <c r="F68" s="8">
        <f t="shared" si="8"/>
        <v>4.6956626614157093E-3</v>
      </c>
      <c r="G68" s="3"/>
      <c r="H68" s="7"/>
      <c r="I68" s="3"/>
      <c r="J68" s="8">
        <f t="shared" si="9"/>
        <v>0</v>
      </c>
      <c r="K68" s="3"/>
      <c r="L68" s="7">
        <f t="shared" si="10"/>
        <v>700.03</v>
      </c>
      <c r="M68" s="3"/>
      <c r="N68" s="8">
        <f t="shared" si="11"/>
        <v>0</v>
      </c>
      <c r="O68" s="12"/>
      <c r="P68" s="7">
        <v>4153.59</v>
      </c>
      <c r="Q68" s="3"/>
      <c r="R68" s="8">
        <f t="shared" si="12"/>
        <v>7.0331093189380019E-3</v>
      </c>
      <c r="S68" s="3"/>
      <c r="T68" s="7">
        <v>2665</v>
      </c>
      <c r="U68" s="3"/>
      <c r="V68" s="8">
        <f t="shared" si="13"/>
        <v>5.901514463692953E-3</v>
      </c>
      <c r="W68" s="3"/>
      <c r="X68" s="7">
        <f t="shared" si="14"/>
        <v>1488.5900000000001</v>
      </c>
      <c r="Y68" s="3"/>
      <c r="Z68" s="8">
        <f t="shared" si="15"/>
        <v>0.55857035647279552</v>
      </c>
    </row>
    <row r="69" spans="1:26" s="70" customFormat="1" ht="15" hidden="1" customHeight="1" outlineLevel="2" x14ac:dyDescent="0.3">
      <c r="A69" s="26"/>
      <c r="B69" s="12" t="str">
        <f>CONCATENATE("          ","6375"," - ","OUTSIDE REPAIRS &amp; MAINTENANCE")</f>
        <v xml:space="preserve">          6375 - OUTSIDE REPAIRS &amp; MAINTENANCE</v>
      </c>
      <c r="C69" s="12"/>
      <c r="D69" s="7">
        <v>535.11</v>
      </c>
      <c r="E69" s="3"/>
      <c r="F69" s="8">
        <f t="shared" si="8"/>
        <v>3.5894119491309807E-3</v>
      </c>
      <c r="G69" s="3"/>
      <c r="H69" s="7">
        <v>500</v>
      </c>
      <c r="I69" s="3"/>
      <c r="J69" s="8">
        <f t="shared" si="9"/>
        <v>3.9634098007197555E-3</v>
      </c>
      <c r="K69" s="3"/>
      <c r="L69" s="7">
        <f t="shared" si="10"/>
        <v>35.110000000000014</v>
      </c>
      <c r="M69" s="3"/>
      <c r="N69" s="8">
        <f t="shared" si="11"/>
        <v>7.0220000000000032E-2</v>
      </c>
      <c r="O69" s="12"/>
      <c r="P69" s="7">
        <v>20962.64</v>
      </c>
      <c r="Q69" s="3"/>
      <c r="R69" s="8">
        <f t="shared" si="12"/>
        <v>3.5495207455127374E-2</v>
      </c>
      <c r="S69" s="3"/>
      <c r="T69" s="7">
        <v>5704</v>
      </c>
      <c r="U69" s="3"/>
      <c r="V69" s="8">
        <f t="shared" si="13"/>
        <v>1.2631233959063641E-2</v>
      </c>
      <c r="W69" s="3"/>
      <c r="X69" s="7">
        <f t="shared" si="14"/>
        <v>15258.64</v>
      </c>
      <c r="Y69" s="3"/>
      <c r="Z69" s="8">
        <f t="shared" si="15"/>
        <v>2.6750771388499297</v>
      </c>
    </row>
    <row r="70" spans="1:26" s="69" customFormat="1" ht="15" customHeight="1" outlineLevel="1" collapsed="1" x14ac:dyDescent="0.3">
      <c r="A70" s="25"/>
      <c r="B70" s="14" t="str">
        <f>CONCATENATE("     ","Services                                          ")</f>
        <v xml:space="preserve">     Services                                          </v>
      </c>
      <c r="C70" s="14"/>
      <c r="D70" s="2">
        <f>SUM(OSRRefD22_12x_0)</f>
        <v>4799.03</v>
      </c>
      <c r="E70" s="2"/>
      <c r="F70" s="6">
        <f t="shared" si="8"/>
        <v>3.2190943219596063E-2</v>
      </c>
      <c r="G70" s="2"/>
      <c r="H70" s="2">
        <f>SUM(OSRRefH22_12x_0)</f>
        <v>4857</v>
      </c>
      <c r="I70" s="2"/>
      <c r="J70" s="6">
        <f t="shared" si="9"/>
        <v>3.8500562804191701E-2</v>
      </c>
      <c r="K70" s="2"/>
      <c r="L70" s="2">
        <f t="shared" si="10"/>
        <v>-57.970000000000255</v>
      </c>
      <c r="M70" s="2"/>
      <c r="N70" s="6">
        <f t="shared" si="11"/>
        <v>-1.1935351039736515E-2</v>
      </c>
      <c r="O70" s="14"/>
      <c r="P70" s="2">
        <f>SUM(OSRRefP22_12x_0)</f>
        <v>45540.53</v>
      </c>
      <c r="Q70" s="2"/>
      <c r="R70" s="6">
        <f t="shared" si="12"/>
        <v>7.7111974444366349E-2</v>
      </c>
      <c r="S70" s="2"/>
      <c r="T70" s="2">
        <f>SUM(OSRRefT22_12x_0)</f>
        <v>44079</v>
      </c>
      <c r="U70" s="2"/>
      <c r="V70" s="6">
        <f t="shared" si="13"/>
        <v>9.76108277842858E-2</v>
      </c>
      <c r="W70" s="2"/>
      <c r="X70" s="2">
        <f t="shared" si="14"/>
        <v>1461.5299999999988</v>
      </c>
      <c r="Y70" s="2"/>
      <c r="Z70" s="6">
        <f t="shared" si="15"/>
        <v>3.3157058916944551E-2</v>
      </c>
    </row>
    <row r="71" spans="1:26" s="70" customFormat="1" ht="15" hidden="1" customHeight="1" outlineLevel="2" x14ac:dyDescent="0.3">
      <c r="A71" s="26"/>
      <c r="B71" s="12" t="str">
        <f>CONCATENATE("          ","6282"," - ","JANITORIAL/EXTERMINATOR EXPENS")</f>
        <v xml:space="preserve">          6282 - JANITORIAL/EXTERMINATOR EXPENS</v>
      </c>
      <c r="C71" s="12"/>
      <c r="D71" s="7">
        <v>351.55</v>
      </c>
      <c r="E71" s="3"/>
      <c r="F71" s="8">
        <f t="shared" si="8"/>
        <v>2.3581278068378394E-3</v>
      </c>
      <c r="G71" s="3"/>
      <c r="H71" s="7">
        <v>328</v>
      </c>
      <c r="I71" s="3"/>
      <c r="J71" s="8">
        <f t="shared" si="9"/>
        <v>2.5999968292721594E-3</v>
      </c>
      <c r="K71" s="3"/>
      <c r="L71" s="7">
        <f t="shared" si="10"/>
        <v>23.550000000000011</v>
      </c>
      <c r="M71" s="3"/>
      <c r="N71" s="8">
        <f t="shared" si="11"/>
        <v>7.1798780487804914E-2</v>
      </c>
      <c r="O71" s="12"/>
      <c r="P71" s="7">
        <v>2812.4</v>
      </c>
      <c r="Q71" s="3"/>
      <c r="R71" s="8">
        <f t="shared" si="12"/>
        <v>4.7621254501723177E-3</v>
      </c>
      <c r="S71" s="3"/>
      <c r="T71" s="7">
        <v>2952</v>
      </c>
      <c r="U71" s="3"/>
      <c r="V71" s="8">
        <f t="shared" si="13"/>
        <v>6.537062175167579E-3</v>
      </c>
      <c r="W71" s="3"/>
      <c r="X71" s="7">
        <f t="shared" si="14"/>
        <v>-139.59999999999991</v>
      </c>
      <c r="Y71" s="3"/>
      <c r="Z71" s="8">
        <f t="shared" si="15"/>
        <v>-4.7289972899728965E-2</v>
      </c>
    </row>
    <row r="72" spans="1:26" s="70" customFormat="1" ht="15" hidden="1" customHeight="1" outlineLevel="2" x14ac:dyDescent="0.3">
      <c r="A72" s="26"/>
      <c r="B72" s="12" t="str">
        <f>CONCATENATE("          ","6284"," - ","TRASH REMOVAL EXPENSE")</f>
        <v xml:space="preserve">          6284 - TRASH REMOVAL EXPENSE</v>
      </c>
      <c r="C72" s="12"/>
      <c r="D72" s="7"/>
      <c r="E72" s="3"/>
      <c r="F72" s="8">
        <f t="shared" si="8"/>
        <v>0</v>
      </c>
      <c r="G72" s="3"/>
      <c r="H72" s="7">
        <v>1000</v>
      </c>
      <c r="I72" s="3"/>
      <c r="J72" s="8">
        <f t="shared" si="9"/>
        <v>7.9268196014395109E-3</v>
      </c>
      <c r="K72" s="3"/>
      <c r="L72" s="7">
        <f t="shared" si="10"/>
        <v>-1000</v>
      </c>
      <c r="M72" s="3"/>
      <c r="N72" s="8">
        <f t="shared" si="11"/>
        <v>-1</v>
      </c>
      <c r="O72" s="12"/>
      <c r="P72" s="7"/>
      <c r="Q72" s="3"/>
      <c r="R72" s="8">
        <f t="shared" si="12"/>
        <v>0</v>
      </c>
      <c r="S72" s="3"/>
      <c r="T72" s="7">
        <v>9000</v>
      </c>
      <c r="U72" s="3"/>
      <c r="V72" s="8">
        <f t="shared" si="13"/>
        <v>1.9930067607218226E-2</v>
      </c>
      <c r="W72" s="3"/>
      <c r="X72" s="7">
        <f t="shared" si="14"/>
        <v>-9000</v>
      </c>
      <c r="Y72" s="3"/>
      <c r="Z72" s="8">
        <f t="shared" si="15"/>
        <v>-1</v>
      </c>
    </row>
    <row r="73" spans="1:26" s="70" customFormat="1" ht="15" hidden="1" customHeight="1" outlineLevel="2" x14ac:dyDescent="0.3">
      <c r="A73" s="26"/>
      <c r="B73" s="12" t="str">
        <f>CONCATENATE("          ","6285"," - ","JANITORIAL SERVICES")</f>
        <v xml:space="preserve">          6285 - JANITORIAL SERVICES</v>
      </c>
      <c r="C73" s="12"/>
      <c r="D73" s="7">
        <v>4060.07</v>
      </c>
      <c r="E73" s="3"/>
      <c r="F73" s="8">
        <f t="shared" si="8"/>
        <v>2.7234145824799053E-2</v>
      </c>
      <c r="G73" s="3"/>
      <c r="H73" s="7">
        <v>3041</v>
      </c>
      <c r="I73" s="3"/>
      <c r="J73" s="8">
        <f t="shared" si="9"/>
        <v>2.4105458407977551E-2</v>
      </c>
      <c r="K73" s="3"/>
      <c r="L73" s="7">
        <f t="shared" si="10"/>
        <v>1019.0700000000002</v>
      </c>
      <c r="M73" s="3"/>
      <c r="N73" s="8">
        <f t="shared" si="11"/>
        <v>0.3351101611312069</v>
      </c>
      <c r="O73" s="12"/>
      <c r="P73" s="7">
        <v>40213.86</v>
      </c>
      <c r="Q73" s="3"/>
      <c r="R73" s="8">
        <f t="shared" si="12"/>
        <v>6.8092535256601666E-2</v>
      </c>
      <c r="S73" s="3"/>
      <c r="T73" s="7">
        <v>27369</v>
      </c>
      <c r="U73" s="3"/>
      <c r="V73" s="8">
        <f t="shared" si="13"/>
        <v>6.0607335593550631E-2</v>
      </c>
      <c r="W73" s="3"/>
      <c r="X73" s="7">
        <f t="shared" si="14"/>
        <v>12844.86</v>
      </c>
      <c r="Y73" s="3"/>
      <c r="Z73" s="8">
        <f t="shared" si="15"/>
        <v>0.4693214951222186</v>
      </c>
    </row>
    <row r="74" spans="1:26" s="70" customFormat="1" ht="15" hidden="1" customHeight="1" outlineLevel="2" x14ac:dyDescent="0.3">
      <c r="A74" s="26"/>
      <c r="B74" s="12" t="str">
        <f>CONCATENATE("          ","6286"," - ","LAUNDRY EXPENSE")</f>
        <v xml:space="preserve">          6286 - LAUNDRY EXPENSE</v>
      </c>
      <c r="C74" s="12"/>
      <c r="D74" s="7">
        <v>387.41</v>
      </c>
      <c r="E74" s="3"/>
      <c r="F74" s="8">
        <f t="shared" si="8"/>
        <v>2.5986695879591736E-3</v>
      </c>
      <c r="G74" s="3"/>
      <c r="H74" s="7">
        <v>488</v>
      </c>
      <c r="I74" s="3"/>
      <c r="J74" s="8">
        <f t="shared" si="9"/>
        <v>3.8682879655024811E-3</v>
      </c>
      <c r="K74" s="3"/>
      <c r="L74" s="7">
        <f t="shared" si="10"/>
        <v>-100.58999999999997</v>
      </c>
      <c r="M74" s="3"/>
      <c r="N74" s="8">
        <f t="shared" si="11"/>
        <v>-0.20612704918032781</v>
      </c>
      <c r="O74" s="12"/>
      <c r="P74" s="7">
        <v>2514.27</v>
      </c>
      <c r="Q74" s="3"/>
      <c r="R74" s="8">
        <f t="shared" si="12"/>
        <v>4.2573137375923591E-3</v>
      </c>
      <c r="S74" s="3"/>
      <c r="T74" s="7">
        <v>4758</v>
      </c>
      <c r="U74" s="3"/>
      <c r="V74" s="8">
        <f t="shared" si="13"/>
        <v>1.053636240834937E-2</v>
      </c>
      <c r="W74" s="3"/>
      <c r="X74" s="7">
        <f t="shared" si="14"/>
        <v>-2243.73</v>
      </c>
      <c r="Y74" s="3"/>
      <c r="Z74" s="8">
        <f t="shared" si="15"/>
        <v>-0.47156998738965955</v>
      </c>
    </row>
    <row r="75" spans="1:26" s="69" customFormat="1" ht="15" customHeight="1" outlineLevel="1" collapsed="1" x14ac:dyDescent="0.3">
      <c r="A75" s="25"/>
      <c r="B75" s="14" t="str">
        <f>CONCATENATE("     ","Subscriptions &amp; Dues                              ")</f>
        <v xml:space="preserve">     Subscriptions &amp; Dues                              </v>
      </c>
      <c r="C75" s="14"/>
      <c r="D75" s="2">
        <f>SUM(OSRRefD22_13x_0)</f>
        <v>339.47</v>
      </c>
      <c r="E75" s="2"/>
      <c r="F75" s="6">
        <f t="shared" si="8"/>
        <v>2.2770975582057785E-3</v>
      </c>
      <c r="G75" s="2"/>
      <c r="H75" s="2">
        <f>SUM(OSRRefH22_13x_0)</f>
        <v>380</v>
      </c>
      <c r="I75" s="2"/>
      <c r="J75" s="6">
        <f t="shared" si="9"/>
        <v>3.0121914485470138E-3</v>
      </c>
      <c r="K75" s="2"/>
      <c r="L75" s="2">
        <f t="shared" si="10"/>
        <v>-40.529999999999973</v>
      </c>
      <c r="M75" s="2"/>
      <c r="N75" s="6">
        <f t="shared" si="11"/>
        <v>-0.10665789473684203</v>
      </c>
      <c r="O75" s="14"/>
      <c r="P75" s="2">
        <f>SUM(OSRRefP22_13x_0)</f>
        <v>3567</v>
      </c>
      <c r="Q75" s="2"/>
      <c r="R75" s="6">
        <f t="shared" si="12"/>
        <v>6.0398597215064196E-3</v>
      </c>
      <c r="S75" s="2"/>
      <c r="T75" s="2">
        <f>SUM(OSRRefT22_13x_0)</f>
        <v>3420</v>
      </c>
      <c r="U75" s="2"/>
      <c r="V75" s="6">
        <f t="shared" si="13"/>
        <v>7.5734256907429263E-3</v>
      </c>
      <c r="W75" s="2"/>
      <c r="X75" s="2">
        <f t="shared" si="14"/>
        <v>147</v>
      </c>
      <c r="Y75" s="2"/>
      <c r="Z75" s="6">
        <f t="shared" si="15"/>
        <v>4.2982456140350879E-2</v>
      </c>
    </row>
    <row r="76" spans="1:26" s="70" customFormat="1" ht="15" hidden="1" customHeight="1" outlineLevel="2" x14ac:dyDescent="0.3">
      <c r="A76" s="26"/>
      <c r="B76" s="12" t="str">
        <f>CONCATENATE("          ","6275"," - ","SUBSCRIPTIONS")</f>
        <v xml:space="preserve">          6275 - SUBSCRIPTIONS</v>
      </c>
      <c r="C76" s="12"/>
      <c r="D76" s="7">
        <v>339.47</v>
      </c>
      <c r="E76" s="3"/>
      <c r="F76" s="8">
        <f t="shared" si="8"/>
        <v>2.2770975582057785E-3</v>
      </c>
      <c r="G76" s="3"/>
      <c r="H76" s="7">
        <v>380</v>
      </c>
      <c r="I76" s="3"/>
      <c r="J76" s="8">
        <f t="shared" si="9"/>
        <v>3.0121914485470138E-3</v>
      </c>
      <c r="K76" s="3"/>
      <c r="L76" s="7">
        <f t="shared" si="10"/>
        <v>-40.529999999999973</v>
      </c>
      <c r="M76" s="3"/>
      <c r="N76" s="8">
        <f t="shared" si="11"/>
        <v>-0.10665789473684203</v>
      </c>
      <c r="O76" s="12"/>
      <c r="P76" s="7">
        <v>3567</v>
      </c>
      <c r="Q76" s="3"/>
      <c r="R76" s="8">
        <f t="shared" si="12"/>
        <v>6.0398597215064196E-3</v>
      </c>
      <c r="S76" s="3"/>
      <c r="T76" s="7">
        <v>3420</v>
      </c>
      <c r="U76" s="3"/>
      <c r="V76" s="8">
        <f t="shared" si="13"/>
        <v>7.5734256907429263E-3</v>
      </c>
      <c r="W76" s="3"/>
      <c r="X76" s="7">
        <f t="shared" si="14"/>
        <v>147</v>
      </c>
      <c r="Y76" s="3"/>
      <c r="Z76" s="8">
        <f t="shared" si="15"/>
        <v>4.2982456140350879E-2</v>
      </c>
    </row>
    <row r="77" spans="1:26" s="69" customFormat="1" ht="15" customHeight="1" outlineLevel="1" collapsed="1" x14ac:dyDescent="0.3">
      <c r="A77" s="25"/>
      <c r="B77" s="14" t="str">
        <f>CONCATENATE("     ","Supplies                                          ")</f>
        <v xml:space="preserve">     Supplies                                          </v>
      </c>
      <c r="C77" s="14"/>
      <c r="D77" s="2">
        <f>SUM(OSRRefD22_14x_0)</f>
        <v>1460.22</v>
      </c>
      <c r="E77" s="2"/>
      <c r="F77" s="6">
        <f t="shared" si="8"/>
        <v>9.7948666935023469E-3</v>
      </c>
      <c r="G77" s="2"/>
      <c r="H77" s="2">
        <f>SUM(OSRRefH22_14x_0)</f>
        <v>200</v>
      </c>
      <c r="I77" s="2"/>
      <c r="J77" s="6">
        <f t="shared" si="9"/>
        <v>1.5853639202879021E-3</v>
      </c>
      <c r="K77" s="2"/>
      <c r="L77" s="2">
        <f t="shared" si="10"/>
        <v>1260.22</v>
      </c>
      <c r="M77" s="2"/>
      <c r="N77" s="6">
        <f t="shared" si="11"/>
        <v>6.3010999999999999</v>
      </c>
      <c r="O77" s="14"/>
      <c r="P77" s="2">
        <f>SUM(OSRRefP22_14x_0)</f>
        <v>13437.869999999999</v>
      </c>
      <c r="Q77" s="2"/>
      <c r="R77" s="6">
        <f t="shared" si="12"/>
        <v>2.2753812659332625E-2</v>
      </c>
      <c r="S77" s="2"/>
      <c r="T77" s="2">
        <f>SUM(OSRRefT22_14x_0)</f>
        <v>9073</v>
      </c>
      <c r="U77" s="2"/>
      <c r="V77" s="6">
        <f t="shared" si="13"/>
        <v>2.0091722600032332E-2</v>
      </c>
      <c r="W77" s="2"/>
      <c r="X77" s="2">
        <f t="shared" si="14"/>
        <v>4364.869999999999</v>
      </c>
      <c r="Y77" s="2"/>
      <c r="Z77" s="6">
        <f t="shared" si="15"/>
        <v>0.48108343436570034</v>
      </c>
    </row>
    <row r="78" spans="1:26" s="70" customFormat="1" ht="15" hidden="1" customHeight="1" outlineLevel="2" x14ac:dyDescent="0.3">
      <c r="A78" s="26"/>
      <c r="B78" s="12" t="str">
        <f>CONCATENATE("          ","6234"," - ","EXPENDABLE SUPPLIES &amp; EQUIPMEN")</f>
        <v xml:space="preserve">          6234 - EXPENDABLE SUPPLIES &amp; EQUIPMEN</v>
      </c>
      <c r="C78" s="12"/>
      <c r="D78" s="7"/>
      <c r="E78" s="3"/>
      <c r="F78" s="8">
        <f t="shared" si="8"/>
        <v>0</v>
      </c>
      <c r="G78" s="3"/>
      <c r="H78" s="7"/>
      <c r="I78" s="3"/>
      <c r="J78" s="8">
        <f t="shared" si="9"/>
        <v>0</v>
      </c>
      <c r="K78" s="3"/>
      <c r="L78" s="7">
        <f t="shared" si="10"/>
        <v>0</v>
      </c>
      <c r="M78" s="3"/>
      <c r="N78" s="8">
        <f t="shared" si="11"/>
        <v>0</v>
      </c>
      <c r="O78" s="12"/>
      <c r="P78" s="7">
        <v>57.77</v>
      </c>
      <c r="Q78" s="3"/>
      <c r="R78" s="8">
        <f t="shared" si="12"/>
        <v>9.7819651278784951E-5</v>
      </c>
      <c r="S78" s="3"/>
      <c r="T78" s="7"/>
      <c r="U78" s="3"/>
      <c r="V78" s="8">
        <f t="shared" si="13"/>
        <v>0</v>
      </c>
      <c r="W78" s="3"/>
      <c r="X78" s="7">
        <f t="shared" si="14"/>
        <v>57.77</v>
      </c>
      <c r="Y78" s="3"/>
      <c r="Z78" s="8">
        <f t="shared" si="15"/>
        <v>0</v>
      </c>
    </row>
    <row r="79" spans="1:26" s="70" customFormat="1" ht="15" hidden="1" customHeight="1" outlineLevel="2" x14ac:dyDescent="0.3">
      <c r="A79" s="26"/>
      <c r="B79" s="12" t="str">
        <f>CONCATENATE("          ","6235"," - ","COVID-19 EXPENSES")</f>
        <v xml:space="preserve">          6235 - COVID-19 EXPENSES</v>
      </c>
      <c r="C79" s="12"/>
      <c r="D79" s="7">
        <v>35.72</v>
      </c>
      <c r="E79" s="3"/>
      <c r="F79" s="8">
        <f t="shared" si="8"/>
        <v>2.3960268883586294E-4</v>
      </c>
      <c r="G79" s="3"/>
      <c r="H79" s="7"/>
      <c r="I79" s="3"/>
      <c r="J79" s="8">
        <f t="shared" si="9"/>
        <v>0</v>
      </c>
      <c r="K79" s="3"/>
      <c r="L79" s="7">
        <f t="shared" si="10"/>
        <v>35.72</v>
      </c>
      <c r="M79" s="3"/>
      <c r="N79" s="8">
        <f t="shared" si="11"/>
        <v>0</v>
      </c>
      <c r="O79" s="12"/>
      <c r="P79" s="7">
        <v>35.72</v>
      </c>
      <c r="Q79" s="3"/>
      <c r="R79" s="8">
        <f t="shared" si="12"/>
        <v>6.0483260233307908E-5</v>
      </c>
      <c r="S79" s="3"/>
      <c r="T79" s="7"/>
      <c r="U79" s="3"/>
      <c r="V79" s="8">
        <f t="shared" si="13"/>
        <v>0</v>
      </c>
      <c r="W79" s="3"/>
      <c r="X79" s="7">
        <f t="shared" si="14"/>
        <v>35.72</v>
      </c>
      <c r="Y79" s="3"/>
      <c r="Z79" s="8">
        <f t="shared" si="15"/>
        <v>0</v>
      </c>
    </row>
    <row r="80" spans="1:26" s="70" customFormat="1" ht="15" hidden="1" customHeight="1" outlineLevel="2" x14ac:dyDescent="0.3">
      <c r="A80" s="26"/>
      <c r="B80" s="12" t="str">
        <f>CONCATENATE("          ","6237"," - ","JANITORIAL SUPPLIES")</f>
        <v xml:space="preserve">          6237 - JANITORIAL SUPPLIES</v>
      </c>
      <c r="C80" s="12"/>
      <c r="D80" s="7">
        <v>414.52</v>
      </c>
      <c r="E80" s="3"/>
      <c r="F80" s="8">
        <f t="shared" si="8"/>
        <v>2.7805181012385753E-3</v>
      </c>
      <c r="G80" s="3"/>
      <c r="H80" s="7"/>
      <c r="I80" s="3"/>
      <c r="J80" s="8">
        <f t="shared" si="9"/>
        <v>0</v>
      </c>
      <c r="K80" s="3"/>
      <c r="L80" s="7">
        <f t="shared" si="10"/>
        <v>414.52</v>
      </c>
      <c r="M80" s="3"/>
      <c r="N80" s="8">
        <f t="shared" si="11"/>
        <v>0</v>
      </c>
      <c r="O80" s="12"/>
      <c r="P80" s="7">
        <v>6029.74</v>
      </c>
      <c r="Q80" s="3"/>
      <c r="R80" s="8">
        <f t="shared" si="12"/>
        <v>1.0209919752496809E-2</v>
      </c>
      <c r="S80" s="3"/>
      <c r="T80" s="7">
        <v>1503</v>
      </c>
      <c r="U80" s="3"/>
      <c r="V80" s="8">
        <f t="shared" si="13"/>
        <v>3.328321290405444E-3</v>
      </c>
      <c r="W80" s="3"/>
      <c r="X80" s="7">
        <f t="shared" si="14"/>
        <v>4526.74</v>
      </c>
      <c r="Y80" s="3"/>
      <c r="Z80" s="8">
        <f t="shared" si="15"/>
        <v>3.0118030605455752</v>
      </c>
    </row>
    <row r="81" spans="1:26" s="70" customFormat="1" ht="15" hidden="1" customHeight="1" outlineLevel="2" x14ac:dyDescent="0.3">
      <c r="A81" s="26"/>
      <c r="B81" s="12" t="str">
        <f>CONCATENATE("          ","6239"," - ","KITCHEN SUPPLIES")</f>
        <v xml:space="preserve">          6239 - KITCHEN SUPPLIES</v>
      </c>
      <c r="C81" s="12"/>
      <c r="D81" s="7">
        <v>877.18</v>
      </c>
      <c r="E81" s="3"/>
      <c r="F81" s="8">
        <f t="shared" si="8"/>
        <v>5.8839497926383615E-3</v>
      </c>
      <c r="G81" s="3"/>
      <c r="H81" s="7"/>
      <c r="I81" s="3"/>
      <c r="J81" s="8">
        <f t="shared" si="9"/>
        <v>0</v>
      </c>
      <c r="K81" s="3"/>
      <c r="L81" s="7">
        <f t="shared" si="10"/>
        <v>877.18</v>
      </c>
      <c r="M81" s="3"/>
      <c r="N81" s="8">
        <f t="shared" si="11"/>
        <v>0</v>
      </c>
      <c r="O81" s="12"/>
      <c r="P81" s="7">
        <v>2486.7800000000002</v>
      </c>
      <c r="Q81" s="3"/>
      <c r="R81" s="8">
        <f t="shared" si="12"/>
        <v>4.2107660101619671E-3</v>
      </c>
      <c r="S81" s="3"/>
      <c r="T81" s="7">
        <v>149</v>
      </c>
      <c r="U81" s="3"/>
      <c r="V81" s="8">
        <f t="shared" si="13"/>
        <v>3.2995334149727953E-4</v>
      </c>
      <c r="W81" s="3"/>
      <c r="X81" s="7">
        <f t="shared" si="14"/>
        <v>2337.7800000000002</v>
      </c>
      <c r="Y81" s="3"/>
      <c r="Z81" s="8">
        <f t="shared" si="15"/>
        <v>15.689798657718121</v>
      </c>
    </row>
    <row r="82" spans="1:26" s="70" customFormat="1" ht="15" hidden="1" customHeight="1" outlineLevel="2" x14ac:dyDescent="0.3">
      <c r="A82" s="26"/>
      <c r="B82" s="12" t="str">
        <f>CONCATENATE("          ","6241"," - ","OFFICE EXPENSE")</f>
        <v xml:space="preserve">          6241 - OFFICE EXPENSE</v>
      </c>
      <c r="C82" s="12"/>
      <c r="D82" s="7">
        <v>132.80000000000001</v>
      </c>
      <c r="E82" s="3"/>
      <c r="F82" s="8">
        <f t="shared" si="8"/>
        <v>8.907961107895466E-4</v>
      </c>
      <c r="G82" s="3"/>
      <c r="H82" s="7"/>
      <c r="I82" s="3"/>
      <c r="J82" s="8">
        <f t="shared" si="9"/>
        <v>0</v>
      </c>
      <c r="K82" s="3"/>
      <c r="L82" s="7">
        <f t="shared" si="10"/>
        <v>132.80000000000001</v>
      </c>
      <c r="M82" s="3"/>
      <c r="N82" s="8">
        <f t="shared" si="11"/>
        <v>0</v>
      </c>
      <c r="O82" s="12"/>
      <c r="P82" s="7">
        <v>3771.98</v>
      </c>
      <c r="Q82" s="3"/>
      <c r="R82" s="8">
        <f t="shared" si="12"/>
        <v>6.3869442310983422E-3</v>
      </c>
      <c r="S82" s="3"/>
      <c r="T82" s="7">
        <v>2827</v>
      </c>
      <c r="U82" s="3"/>
      <c r="V82" s="8">
        <f t="shared" si="13"/>
        <v>6.2602556806228811E-3</v>
      </c>
      <c r="W82" s="3"/>
      <c r="X82" s="7">
        <f t="shared" si="14"/>
        <v>944.98</v>
      </c>
      <c r="Y82" s="3"/>
      <c r="Z82" s="8">
        <f t="shared" si="15"/>
        <v>0.33426954368588613</v>
      </c>
    </row>
    <row r="83" spans="1:26" s="70" customFormat="1" ht="15" hidden="1" customHeight="1" outlineLevel="2" x14ac:dyDescent="0.3">
      <c r="A83" s="26"/>
      <c r="B83" s="12" t="str">
        <f>CONCATENATE("          ","6243"," - ","PAPER SUPPLIES")</f>
        <v xml:space="preserve">          6243 - PAPER SUPPLIES</v>
      </c>
      <c r="C83" s="12"/>
      <c r="D83" s="7"/>
      <c r="E83" s="3"/>
      <c r="F83" s="8">
        <f t="shared" si="8"/>
        <v>0</v>
      </c>
      <c r="G83" s="3"/>
      <c r="H83" s="7">
        <v>200</v>
      </c>
      <c r="I83" s="3"/>
      <c r="J83" s="8">
        <f t="shared" si="9"/>
        <v>1.5853639202879021E-3</v>
      </c>
      <c r="K83" s="3"/>
      <c r="L83" s="7">
        <f t="shared" si="10"/>
        <v>-200</v>
      </c>
      <c r="M83" s="3"/>
      <c r="N83" s="8">
        <f t="shared" si="11"/>
        <v>-1</v>
      </c>
      <c r="O83" s="12"/>
      <c r="P83" s="7">
        <v>1055.8800000000001</v>
      </c>
      <c r="Q83" s="3"/>
      <c r="R83" s="8">
        <f t="shared" si="12"/>
        <v>1.7878797540634144E-3</v>
      </c>
      <c r="S83" s="3"/>
      <c r="T83" s="7">
        <v>2683</v>
      </c>
      <c r="U83" s="3"/>
      <c r="V83" s="8">
        <f t="shared" si="13"/>
        <v>5.9413745989073891E-3</v>
      </c>
      <c r="W83" s="3"/>
      <c r="X83" s="7">
        <f t="shared" si="14"/>
        <v>-1627.12</v>
      </c>
      <c r="Y83" s="3"/>
      <c r="Z83" s="8">
        <f t="shared" si="15"/>
        <v>-0.60645546030562802</v>
      </c>
    </row>
    <row r="84" spans="1:26" s="70" customFormat="1" ht="15" hidden="1" customHeight="1" outlineLevel="2" x14ac:dyDescent="0.3">
      <c r="A84" s="26"/>
      <c r="B84" s="12" t="str">
        <f>CONCATENATE("          ","6247"," - ","STORE SUPPLIES")</f>
        <v xml:space="preserve">          6247 - STORE SUPPLIES</v>
      </c>
      <c r="C84" s="12"/>
      <c r="D84" s="7"/>
      <c r="E84" s="3"/>
      <c r="F84" s="8">
        <f t="shared" si="8"/>
        <v>0</v>
      </c>
      <c r="G84" s="3"/>
      <c r="H84" s="7"/>
      <c r="I84" s="3"/>
      <c r="J84" s="8">
        <f t="shared" si="9"/>
        <v>0</v>
      </c>
      <c r="K84" s="3"/>
      <c r="L84" s="7">
        <f t="shared" si="10"/>
        <v>0</v>
      </c>
      <c r="M84" s="3"/>
      <c r="N84" s="8">
        <f t="shared" si="11"/>
        <v>0</v>
      </c>
      <c r="O84" s="12"/>
      <c r="P84" s="7"/>
      <c r="Q84" s="3"/>
      <c r="R84" s="8">
        <f t="shared" si="12"/>
        <v>0</v>
      </c>
      <c r="S84" s="3"/>
      <c r="T84" s="7">
        <v>411</v>
      </c>
      <c r="U84" s="3"/>
      <c r="V84" s="8">
        <f t="shared" si="13"/>
        <v>9.1013975406296574E-4</v>
      </c>
      <c r="W84" s="3"/>
      <c r="X84" s="7">
        <f t="shared" si="14"/>
        <v>-411</v>
      </c>
      <c r="Y84" s="3"/>
      <c r="Z84" s="8">
        <f t="shared" si="15"/>
        <v>-1</v>
      </c>
    </row>
    <row r="85" spans="1:26" s="70" customFormat="1" ht="15" hidden="1" customHeight="1" outlineLevel="2" x14ac:dyDescent="0.3">
      <c r="A85" s="26"/>
      <c r="B85" s="12" t="str">
        <f>CONCATENATE("          ","6248"," - ","UNIFORMS")</f>
        <v xml:space="preserve">          6248 - UNIFORMS</v>
      </c>
      <c r="C85" s="12"/>
      <c r="D85" s="7"/>
      <c r="E85" s="3"/>
      <c r="F85" s="8">
        <f t="shared" si="8"/>
        <v>0</v>
      </c>
      <c r="G85" s="3"/>
      <c r="H85" s="7"/>
      <c r="I85" s="3"/>
      <c r="J85" s="8">
        <f t="shared" si="9"/>
        <v>0</v>
      </c>
      <c r="K85" s="3"/>
      <c r="L85" s="7">
        <f t="shared" si="10"/>
        <v>0</v>
      </c>
      <c r="M85" s="3"/>
      <c r="N85" s="8">
        <f t="shared" si="11"/>
        <v>0</v>
      </c>
      <c r="O85" s="12"/>
      <c r="P85" s="7"/>
      <c r="Q85" s="3"/>
      <c r="R85" s="8">
        <f t="shared" si="12"/>
        <v>0</v>
      </c>
      <c r="S85" s="3"/>
      <c r="T85" s="7">
        <v>1500</v>
      </c>
      <c r="U85" s="3"/>
      <c r="V85" s="8">
        <f t="shared" si="13"/>
        <v>3.3216779345363713E-3</v>
      </c>
      <c r="W85" s="3"/>
      <c r="X85" s="7">
        <f t="shared" si="14"/>
        <v>-1500</v>
      </c>
      <c r="Y85" s="3"/>
      <c r="Z85" s="8">
        <f t="shared" si="15"/>
        <v>-1</v>
      </c>
    </row>
    <row r="86" spans="1:26" s="69" customFormat="1" ht="15" customHeight="1" outlineLevel="1" collapsed="1" x14ac:dyDescent="0.3">
      <c r="A86" s="25"/>
      <c r="B86" s="14" t="str">
        <f>CONCATENATE("     ","Telephone/Data Lines                              ")</f>
        <v xml:space="preserve">     Telephone/Data Lines                              </v>
      </c>
      <c r="C86" s="14"/>
      <c r="D86" s="2">
        <f>SUM(OSRRefD22_15x_0)</f>
        <v>180.55</v>
      </c>
      <c r="E86" s="2"/>
      <c r="F86" s="6">
        <f t="shared" si="8"/>
        <v>1.2110936581555167E-3</v>
      </c>
      <c r="G86" s="2"/>
      <c r="H86" s="2">
        <f>SUM(OSRRefH22_15x_0)</f>
        <v>135</v>
      </c>
      <c r="I86" s="2"/>
      <c r="J86" s="6">
        <f t="shared" si="9"/>
        <v>1.0701206461943339E-3</v>
      </c>
      <c r="K86" s="2"/>
      <c r="L86" s="2">
        <f t="shared" si="10"/>
        <v>45.550000000000011</v>
      </c>
      <c r="M86" s="2"/>
      <c r="N86" s="6">
        <f t="shared" si="11"/>
        <v>0.33740740740740749</v>
      </c>
      <c r="O86" s="14"/>
      <c r="P86" s="2">
        <f>SUM(OSRRefP22_15x_0)</f>
        <v>2100.73</v>
      </c>
      <c r="Q86" s="2"/>
      <c r="R86" s="6">
        <f t="shared" si="12"/>
        <v>3.5570828463022657E-3</v>
      </c>
      <c r="S86" s="2"/>
      <c r="T86" s="2">
        <f>SUM(OSRRefT22_15x_0)</f>
        <v>1215</v>
      </c>
      <c r="U86" s="2"/>
      <c r="V86" s="6">
        <f t="shared" si="13"/>
        <v>2.6905591269744608E-3</v>
      </c>
      <c r="W86" s="2"/>
      <c r="X86" s="2">
        <f t="shared" si="14"/>
        <v>885.73</v>
      </c>
      <c r="Y86" s="2"/>
      <c r="Z86" s="6">
        <f t="shared" si="15"/>
        <v>0.72899588477366262</v>
      </c>
    </row>
    <row r="87" spans="1:26" s="70" customFormat="1" ht="15" hidden="1" customHeight="1" outlineLevel="2" x14ac:dyDescent="0.3">
      <c r="A87" s="26"/>
      <c r="B87" s="12" t="str">
        <f>CONCATENATE("          ","6303"," - ","DATA PHONE LINES")</f>
        <v xml:space="preserve">          6303 - DATA PHONE LINES</v>
      </c>
      <c r="C87" s="12"/>
      <c r="D87" s="7"/>
      <c r="E87" s="3"/>
      <c r="F87" s="8">
        <f t="shared" si="8"/>
        <v>0</v>
      </c>
      <c r="G87" s="3"/>
      <c r="H87" s="7">
        <v>60</v>
      </c>
      <c r="I87" s="3"/>
      <c r="J87" s="8">
        <f t="shared" si="9"/>
        <v>4.7560917608637063E-4</v>
      </c>
      <c r="K87" s="3"/>
      <c r="L87" s="7">
        <f t="shared" si="10"/>
        <v>-60</v>
      </c>
      <c r="M87" s="3"/>
      <c r="N87" s="8">
        <f t="shared" si="11"/>
        <v>-1</v>
      </c>
      <c r="O87" s="12"/>
      <c r="P87" s="7"/>
      <c r="Q87" s="3"/>
      <c r="R87" s="8">
        <f t="shared" si="12"/>
        <v>0</v>
      </c>
      <c r="S87" s="3"/>
      <c r="T87" s="7">
        <v>540</v>
      </c>
      <c r="U87" s="3"/>
      <c r="V87" s="8">
        <f t="shared" si="13"/>
        <v>1.1958040564330936E-3</v>
      </c>
      <c r="W87" s="3"/>
      <c r="X87" s="7">
        <f t="shared" si="14"/>
        <v>-540</v>
      </c>
      <c r="Y87" s="3"/>
      <c r="Z87" s="8">
        <f t="shared" si="15"/>
        <v>-1</v>
      </c>
    </row>
    <row r="88" spans="1:26" s="70" customFormat="1" ht="15" hidden="1" customHeight="1" outlineLevel="2" x14ac:dyDescent="0.3">
      <c r="A88" s="26"/>
      <c r="B88" s="12" t="str">
        <f>CONCATENATE("          ","6309"," - ","TELEPHONE")</f>
        <v xml:space="preserve">          6309 - TELEPHONE</v>
      </c>
      <c r="C88" s="12"/>
      <c r="D88" s="7">
        <v>180.55</v>
      </c>
      <c r="E88" s="3"/>
      <c r="F88" s="8">
        <f t="shared" si="8"/>
        <v>1.2110936581555167E-3</v>
      </c>
      <c r="G88" s="3"/>
      <c r="H88" s="7">
        <v>75</v>
      </c>
      <c r="I88" s="3"/>
      <c r="J88" s="8">
        <f t="shared" si="9"/>
        <v>5.9451147010796323E-4</v>
      </c>
      <c r="K88" s="3"/>
      <c r="L88" s="7">
        <f t="shared" si="10"/>
        <v>105.55000000000001</v>
      </c>
      <c r="M88" s="3"/>
      <c r="N88" s="8">
        <f t="shared" si="11"/>
        <v>1.4073333333333335</v>
      </c>
      <c r="O88" s="12"/>
      <c r="P88" s="7">
        <v>2100.73</v>
      </c>
      <c r="Q88" s="3"/>
      <c r="R88" s="8">
        <f t="shared" si="12"/>
        <v>3.5570828463022657E-3</v>
      </c>
      <c r="S88" s="3"/>
      <c r="T88" s="7">
        <v>675</v>
      </c>
      <c r="U88" s="3"/>
      <c r="V88" s="8">
        <f t="shared" si="13"/>
        <v>1.494755070541367E-3</v>
      </c>
      <c r="W88" s="3"/>
      <c r="X88" s="7">
        <f t="shared" si="14"/>
        <v>1425.73</v>
      </c>
      <c r="Y88" s="3"/>
      <c r="Z88" s="8">
        <f t="shared" si="15"/>
        <v>2.1121925925925926</v>
      </c>
    </row>
    <row r="89" spans="1:26" s="69" customFormat="1" ht="15" customHeight="1" outlineLevel="1" collapsed="1" x14ac:dyDescent="0.3">
      <c r="A89" s="25"/>
      <c r="B89" s="14" t="str">
        <f>CONCATENATE("     ","Training                                          ")</f>
        <v xml:space="preserve">     Training                                          </v>
      </c>
      <c r="C89" s="14"/>
      <c r="D89" s="2">
        <f>SUM(OSRRefD22_16x_0)</f>
        <v>0</v>
      </c>
      <c r="E89" s="2"/>
      <c r="F89" s="6">
        <f t="shared" si="8"/>
        <v>0</v>
      </c>
      <c r="G89" s="2"/>
      <c r="H89" s="2">
        <f>SUM(OSRRefH22_16x_0)</f>
        <v>300</v>
      </c>
      <c r="I89" s="2"/>
      <c r="J89" s="6">
        <f t="shared" si="9"/>
        <v>2.3780458804318529E-3</v>
      </c>
      <c r="K89" s="2"/>
      <c r="L89" s="2">
        <f t="shared" si="10"/>
        <v>-300</v>
      </c>
      <c r="M89" s="2"/>
      <c r="N89" s="6">
        <f t="shared" si="11"/>
        <v>-1</v>
      </c>
      <c r="O89" s="14"/>
      <c r="P89" s="2">
        <f>SUM(OSRRefP22_16x_0)</f>
        <v>160</v>
      </c>
      <c r="Q89" s="2"/>
      <c r="R89" s="6">
        <f t="shared" si="12"/>
        <v>2.7092165837987864E-4</v>
      </c>
      <c r="S89" s="2"/>
      <c r="T89" s="2">
        <f>SUM(OSRRefT22_16x_0)</f>
        <v>760</v>
      </c>
      <c r="U89" s="2"/>
      <c r="V89" s="6">
        <f t="shared" si="13"/>
        <v>1.6829834868317614E-3</v>
      </c>
      <c r="W89" s="2"/>
      <c r="X89" s="2">
        <f t="shared" si="14"/>
        <v>-600</v>
      </c>
      <c r="Y89" s="2"/>
      <c r="Z89" s="6">
        <f t="shared" si="15"/>
        <v>-0.78947368421052633</v>
      </c>
    </row>
    <row r="90" spans="1:26" s="70" customFormat="1" ht="15" hidden="1" customHeight="1" outlineLevel="2" x14ac:dyDescent="0.3">
      <c r="A90" s="26"/>
      <c r="B90" s="12" t="str">
        <f>CONCATENATE("          ","6376"," - ","TRAINING")</f>
        <v xml:space="preserve">          6376 - TRAINING</v>
      </c>
      <c r="C90" s="12"/>
      <c r="D90" s="7"/>
      <c r="E90" s="3"/>
      <c r="F90" s="8">
        <f t="shared" si="8"/>
        <v>0</v>
      </c>
      <c r="G90" s="3"/>
      <c r="H90" s="7">
        <v>300</v>
      </c>
      <c r="I90" s="3"/>
      <c r="J90" s="8">
        <f t="shared" si="9"/>
        <v>2.3780458804318529E-3</v>
      </c>
      <c r="K90" s="3"/>
      <c r="L90" s="7">
        <f t="shared" si="10"/>
        <v>-300</v>
      </c>
      <c r="M90" s="3"/>
      <c r="N90" s="8">
        <f t="shared" si="11"/>
        <v>-1</v>
      </c>
      <c r="O90" s="12"/>
      <c r="P90" s="7">
        <v>160</v>
      </c>
      <c r="Q90" s="3"/>
      <c r="R90" s="8">
        <f t="shared" si="12"/>
        <v>2.7092165837987864E-4</v>
      </c>
      <c r="S90" s="3"/>
      <c r="T90" s="7">
        <v>760</v>
      </c>
      <c r="U90" s="3"/>
      <c r="V90" s="8">
        <f t="shared" si="13"/>
        <v>1.6829834868317614E-3</v>
      </c>
      <c r="W90" s="3"/>
      <c r="X90" s="7">
        <f t="shared" si="14"/>
        <v>-600</v>
      </c>
      <c r="Y90" s="3"/>
      <c r="Z90" s="8">
        <f t="shared" si="15"/>
        <v>-0.78947368421052633</v>
      </c>
    </row>
    <row r="91" spans="1:26" s="69" customFormat="1" ht="15" customHeight="1" outlineLevel="1" collapsed="1" x14ac:dyDescent="0.3">
      <c r="A91" s="25"/>
      <c r="B91" s="14" t="str">
        <f>CONCATENATE("     ","Utilities                                         ")</f>
        <v xml:space="preserve">     Utilities                                         </v>
      </c>
      <c r="C91" s="14"/>
      <c r="D91" s="2">
        <f>SUM(OSRRefD22_17x_0)</f>
        <v>2400</v>
      </c>
      <c r="E91" s="2"/>
      <c r="F91" s="6">
        <f t="shared" si="8"/>
        <v>1.6098724893786984E-2</v>
      </c>
      <c r="G91" s="2"/>
      <c r="H91" s="2">
        <f>SUM(OSRRefH22_17x_0)</f>
        <v>2417</v>
      </c>
      <c r="I91" s="2"/>
      <c r="J91" s="6">
        <f t="shared" si="9"/>
        <v>1.9159122976679297E-2</v>
      </c>
      <c r="K91" s="2"/>
      <c r="L91" s="2">
        <f t="shared" si="10"/>
        <v>-17</v>
      </c>
      <c r="M91" s="2"/>
      <c r="N91" s="6">
        <f t="shared" si="11"/>
        <v>-7.0335126189491103E-3</v>
      </c>
      <c r="O91" s="14"/>
      <c r="P91" s="2">
        <f>SUM(OSRRefP22_17x_0)</f>
        <v>19200</v>
      </c>
      <c r="Q91" s="2"/>
      <c r="R91" s="6">
        <f t="shared" si="12"/>
        <v>3.2510599005585436E-2</v>
      </c>
      <c r="S91" s="2"/>
      <c r="T91" s="2">
        <f>SUM(OSRRefT22_17x_0)</f>
        <v>21753</v>
      </c>
      <c r="U91" s="2"/>
      <c r="V91" s="6">
        <f t="shared" si="13"/>
        <v>4.8170973406646458E-2</v>
      </c>
      <c r="W91" s="2"/>
      <c r="X91" s="2">
        <f t="shared" si="14"/>
        <v>-2553</v>
      </c>
      <c r="Y91" s="2"/>
      <c r="Z91" s="6">
        <f t="shared" si="15"/>
        <v>-0.11736312232795476</v>
      </c>
    </row>
    <row r="92" spans="1:26" s="70" customFormat="1" ht="15" hidden="1" customHeight="1" outlineLevel="2" x14ac:dyDescent="0.3">
      <c r="A92" s="26"/>
      <c r="B92" s="12" t="str">
        <f>CONCATENATE("          ","6274"," - ","UTILITIES")</f>
        <v xml:space="preserve">          6274 - UTILITIES</v>
      </c>
      <c r="C92" s="12"/>
      <c r="D92" s="7">
        <v>2400</v>
      </c>
      <c r="E92" s="3"/>
      <c r="F92" s="8">
        <f t="shared" si="8"/>
        <v>1.6098724893786984E-2</v>
      </c>
      <c r="G92" s="3"/>
      <c r="H92" s="7">
        <v>2417</v>
      </c>
      <c r="I92" s="3"/>
      <c r="J92" s="8">
        <f t="shared" si="9"/>
        <v>1.9159122976679297E-2</v>
      </c>
      <c r="K92" s="3"/>
      <c r="L92" s="7">
        <f t="shared" si="10"/>
        <v>-17</v>
      </c>
      <c r="M92" s="3"/>
      <c r="N92" s="8">
        <f t="shared" si="11"/>
        <v>-7.0335126189491103E-3</v>
      </c>
      <c r="O92" s="12"/>
      <c r="P92" s="7">
        <v>19200</v>
      </c>
      <c r="Q92" s="3"/>
      <c r="R92" s="8">
        <f t="shared" si="12"/>
        <v>3.2510599005585436E-2</v>
      </c>
      <c r="S92" s="3"/>
      <c r="T92" s="7">
        <v>21753</v>
      </c>
      <c r="U92" s="3"/>
      <c r="V92" s="8">
        <f t="shared" si="13"/>
        <v>4.8170973406646458E-2</v>
      </c>
      <c r="W92" s="3"/>
      <c r="X92" s="7">
        <f t="shared" si="14"/>
        <v>-2553</v>
      </c>
      <c r="Y92" s="3"/>
      <c r="Z92" s="8">
        <f t="shared" si="15"/>
        <v>-0.11736312232795476</v>
      </c>
    </row>
    <row r="93" spans="1:26" s="65" customFormat="1" ht="15" customHeight="1" x14ac:dyDescent="0.3">
      <c r="A93" s="35"/>
      <c r="B93" s="35"/>
      <c r="C93" s="35"/>
      <c r="D93" s="2"/>
      <c r="E93" s="2"/>
      <c r="F93" s="6"/>
      <c r="G93" s="2"/>
      <c r="H93" s="2"/>
      <c r="I93" s="2"/>
      <c r="J93" s="6"/>
      <c r="K93" s="2"/>
      <c r="L93" s="2"/>
      <c r="M93" s="2"/>
      <c r="N93" s="6"/>
      <c r="O93" s="35"/>
      <c r="P93" s="2"/>
      <c r="Q93" s="2"/>
      <c r="R93" s="6"/>
      <c r="S93" s="2"/>
      <c r="T93" s="2"/>
      <c r="U93" s="2"/>
      <c r="V93" s="6"/>
      <c r="W93" s="2"/>
      <c r="X93" s="2"/>
      <c r="Y93" s="2"/>
      <c r="Z93" s="6"/>
    </row>
    <row r="94" spans="1:26" s="63" customFormat="1" ht="15" customHeight="1" collapsed="1" x14ac:dyDescent="0.3">
      <c r="A94" s="11"/>
      <c r="B94" s="28" t="s">
        <v>291</v>
      </c>
      <c r="C94" s="11"/>
      <c r="D94" s="5">
        <f>SUM(OSRRefD25x_0)</f>
        <v>0</v>
      </c>
      <c r="E94" s="5"/>
      <c r="F94" s="13">
        <f>IF(D$12=0,0,D94/D$12)</f>
        <v>0</v>
      </c>
      <c r="G94" s="5"/>
      <c r="H94" s="5">
        <f>SUM(OSRRefH25x_0)</f>
        <v>0</v>
      </c>
      <c r="I94" s="5"/>
      <c r="J94" s="13">
        <f>IF(H$12=0,0,H94/H$12)</f>
        <v>0</v>
      </c>
      <c r="K94" s="5"/>
      <c r="L94" s="5">
        <f>+D94-H94</f>
        <v>0</v>
      </c>
      <c r="M94" s="5"/>
      <c r="N94" s="13">
        <f>IF(H94=0,0,L94/H94)</f>
        <v>0</v>
      </c>
      <c r="O94" s="11"/>
      <c r="P94" s="5">
        <f>SUM(OSRRefP25x_0)</f>
        <v>6.03</v>
      </c>
      <c r="Q94" s="5"/>
      <c r="R94" s="13">
        <f>IF(P$12=0,0,P94/P$12)</f>
        <v>1.0210360000191677E-5</v>
      </c>
      <c r="S94" s="5"/>
      <c r="T94" s="5">
        <f>SUM(OSRRefT25x_0)</f>
        <v>0</v>
      </c>
      <c r="U94" s="5"/>
      <c r="V94" s="13">
        <f>IF(T$12=0,0,T94/T$12)</f>
        <v>0</v>
      </c>
      <c r="W94" s="5"/>
      <c r="X94" s="5">
        <f>+P94-T94</f>
        <v>6.03</v>
      </c>
      <c r="Y94" s="5"/>
      <c r="Z94" s="13">
        <f>IF(T94=0,0,X94/T94)</f>
        <v>0</v>
      </c>
    </row>
    <row r="95" spans="1:26" s="70" customFormat="1" ht="15" hidden="1" customHeight="1" outlineLevel="1" x14ac:dyDescent="0.3">
      <c r="A95" s="42"/>
      <c r="B95" s="12" t="str">
        <f>CONCATENATE("          ","9150"," - ","MISC. INCOME")</f>
        <v xml:space="preserve">          9150 - MISC. INCOME</v>
      </c>
      <c r="C95" s="12"/>
      <c r="D95" s="3">
        <f>0</f>
        <v>0</v>
      </c>
      <c r="E95" s="3"/>
      <c r="F95" s="20">
        <f>IF(D$12=0,0,D95/D$12)</f>
        <v>0</v>
      </c>
      <c r="G95" s="3"/>
      <c r="H95" s="3"/>
      <c r="I95" s="3"/>
      <c r="J95" s="20">
        <f>IF(H$12=0,0,H95/H$12)</f>
        <v>0</v>
      </c>
      <c r="K95" s="3"/>
      <c r="L95" s="3">
        <f>+D95-H95</f>
        <v>0</v>
      </c>
      <c r="M95" s="3"/>
      <c r="N95" s="20">
        <f>IF(H95=0,0,L95/H95)</f>
        <v>0</v>
      </c>
      <c r="O95" s="12"/>
      <c r="P95" s="3">
        <f>--6.03</f>
        <v>6.03</v>
      </c>
      <c r="Q95" s="3"/>
      <c r="R95" s="20">
        <f>IF(P$12=0,0,P95/P$12)</f>
        <v>1.0210360000191677E-5</v>
      </c>
      <c r="S95" s="3"/>
      <c r="T95" s="3"/>
      <c r="U95" s="3"/>
      <c r="V95" s="20">
        <f>IF(T$12=0,0,T95/T$12)</f>
        <v>0</v>
      </c>
      <c r="W95" s="3"/>
      <c r="X95" s="3">
        <f>+P95-T95</f>
        <v>6.03</v>
      </c>
      <c r="Y95" s="3"/>
      <c r="Z95" s="20">
        <f>IF(T95=0,0,X95/T95)</f>
        <v>0</v>
      </c>
    </row>
    <row r="96" spans="1:26" ht="15" customHeight="1" x14ac:dyDescent="0.3">
      <c r="A96" s="10"/>
      <c r="B96" s="11"/>
      <c r="C96" s="11"/>
      <c r="D96" s="4"/>
      <c r="E96" s="4"/>
      <c r="F96" s="9"/>
      <c r="G96" s="4"/>
      <c r="H96" s="4"/>
      <c r="I96" s="4"/>
      <c r="J96" s="9"/>
      <c r="K96" s="4"/>
      <c r="L96" s="4"/>
      <c r="M96" s="4"/>
      <c r="N96" s="9"/>
      <c r="O96" s="11"/>
      <c r="P96" s="4"/>
      <c r="Q96" s="4"/>
      <c r="R96" s="9"/>
      <c r="S96" s="4"/>
      <c r="T96" s="4"/>
      <c r="U96" s="4"/>
      <c r="V96" s="9"/>
      <c r="W96" s="4"/>
      <c r="X96" s="4"/>
      <c r="Y96" s="4"/>
      <c r="Z96" s="9"/>
    </row>
    <row r="97" spans="1:26" s="63" customFormat="1" ht="15" customHeight="1" x14ac:dyDescent="0.3">
      <c r="A97" s="11"/>
      <c r="B97" s="27" t="s">
        <v>292</v>
      </c>
      <c r="C97" s="27"/>
      <c r="D97" s="21">
        <f>+D23-D25+D94</f>
        <v>7193.6599999999889</v>
      </c>
      <c r="E97" s="15"/>
      <c r="F97" s="23">
        <f>IF(D$12=0,0,D97/D$12)</f>
        <v>4.8253647216433125E-2</v>
      </c>
      <c r="G97" s="15"/>
      <c r="H97" s="21">
        <f>+H23-H25+H94</f>
        <v>24867.053011877848</v>
      </c>
      <c r="I97" s="15"/>
      <c r="J97" s="23">
        <f>IF(H$12=0,0,H97/H$12)</f>
        <v>0.19711664324458875</v>
      </c>
      <c r="K97" s="16"/>
      <c r="L97" s="21">
        <f>+D97-H97</f>
        <v>-17673.393011877859</v>
      </c>
      <c r="M97" s="16"/>
      <c r="N97" s="23">
        <f>IF(H97=0,0,L97/H97)</f>
        <v>-0.71071521838297813</v>
      </c>
      <c r="O97" s="28"/>
      <c r="P97" s="21">
        <f>+P23-P25+P94</f>
        <v>-307696.72999999986</v>
      </c>
      <c r="Q97" s="15"/>
      <c r="R97" s="23">
        <f>IF(P$12=0,0,P97/P$12)</f>
        <v>-0.52101067731041073</v>
      </c>
      <c r="S97" s="15"/>
      <c r="T97" s="21">
        <f>+T23-T25+T94</f>
        <v>-209609.80325386947</v>
      </c>
      <c r="U97" s="15"/>
      <c r="V97" s="23">
        <f>IF(T$12=0,0,T97/T$12)</f>
        <v>-0.46417083888725885</v>
      </c>
      <c r="W97" s="16"/>
      <c r="X97" s="21">
        <f>+P97-T97</f>
        <v>-98086.926746130397</v>
      </c>
      <c r="Y97" s="16"/>
      <c r="Z97" s="23">
        <f>IF(T97=0,0,X97/T97)</f>
        <v>0.46795009214016653</v>
      </c>
    </row>
    <row r="98" spans="1:26" ht="15" customHeight="1" x14ac:dyDescent="0.3">
      <c r="A98" s="10"/>
      <c r="B98" s="11"/>
      <c r="C98" s="10"/>
      <c r="D98" s="4"/>
      <c r="E98" s="4"/>
      <c r="F98" s="9"/>
      <c r="G98" s="4"/>
      <c r="H98" s="4"/>
      <c r="I98" s="4"/>
      <c r="J98" s="9"/>
      <c r="K98" s="4"/>
      <c r="L98" s="4"/>
      <c r="M98" s="4"/>
      <c r="N98" s="9"/>
      <c r="P98" s="4"/>
      <c r="Q98" s="4"/>
      <c r="R98" s="9"/>
      <c r="S98" s="4"/>
      <c r="T98" s="4"/>
      <c r="U98" s="4"/>
      <c r="V98" s="9"/>
      <c r="W98" s="4"/>
      <c r="X98" s="4"/>
      <c r="Y98" s="4"/>
      <c r="Z98" s="9"/>
    </row>
    <row r="99" spans="1:26" s="63" customFormat="1" ht="15" customHeight="1" x14ac:dyDescent="0.3">
      <c r="A99" s="49"/>
      <c r="B99" s="11" t="s">
        <v>293</v>
      </c>
      <c r="C99" s="11"/>
      <c r="D99" s="5">
        <v>15375.08</v>
      </c>
      <c r="E99" s="5"/>
      <c r="F99" s="13">
        <f>IF(D$12=0,0,D99/D$12)</f>
        <v>0.103132992974986</v>
      </c>
      <c r="G99" s="5"/>
      <c r="H99" s="5">
        <v>15212</v>
      </c>
      <c r="I99" s="5"/>
      <c r="J99" s="13">
        <f>IF(H$12=0,0,H99/H$12)</f>
        <v>0.12058277977709783</v>
      </c>
      <c r="K99" s="5"/>
      <c r="L99" s="5">
        <f>+D99-H99</f>
        <v>163.07999999999993</v>
      </c>
      <c r="M99" s="5"/>
      <c r="N99" s="13">
        <f>IF(H99=0,0,L99/H99)</f>
        <v>1.0720483828556398E-2</v>
      </c>
      <c r="O99" s="11"/>
      <c r="P99" s="5">
        <v>70483.87</v>
      </c>
      <c r="Q99" s="5"/>
      <c r="R99" s="13">
        <f>IF(P$12=0,0,P99/P$12)</f>
        <v>0.1193475434339486</v>
      </c>
      <c r="S99" s="5"/>
      <c r="T99" s="5">
        <v>54995</v>
      </c>
      <c r="U99" s="5"/>
      <c r="V99" s="13">
        <f>IF(T$12=0,0,T99/T$12)</f>
        <v>0.12178378533988515</v>
      </c>
      <c r="W99" s="5"/>
      <c r="X99" s="5">
        <f>+P99-T99</f>
        <v>15488.869999999995</v>
      </c>
      <c r="Y99" s="5"/>
      <c r="Z99" s="13">
        <f>IF(T99=0,0,X99/T99)</f>
        <v>0.28164142194744968</v>
      </c>
    </row>
    <row r="100" spans="1:26" ht="15" customHeight="1" x14ac:dyDescent="0.3">
      <c r="A100" s="10"/>
      <c r="B100" s="11"/>
      <c r="C100" s="11"/>
      <c r="D100" s="4"/>
      <c r="E100" s="4"/>
      <c r="F100" s="9"/>
      <c r="G100" s="4"/>
      <c r="H100" s="4"/>
      <c r="I100" s="4"/>
      <c r="J100" s="9"/>
      <c r="K100" s="4"/>
      <c r="L100" s="4"/>
      <c r="M100" s="4"/>
      <c r="N100" s="9"/>
      <c r="O100" s="11"/>
      <c r="P100" s="4"/>
      <c r="Q100" s="4"/>
      <c r="R100" s="9"/>
      <c r="S100" s="4"/>
      <c r="T100" s="4"/>
      <c r="U100" s="4"/>
      <c r="V100" s="9"/>
      <c r="W100" s="4"/>
      <c r="X100" s="4"/>
      <c r="Y100" s="4"/>
      <c r="Z100" s="9"/>
    </row>
    <row r="101" spans="1:26" s="63" customFormat="1" ht="15" customHeight="1" x14ac:dyDescent="0.3">
      <c r="A101" s="11"/>
      <c r="B101" s="27" t="s">
        <v>294</v>
      </c>
      <c r="C101" s="27"/>
      <c r="D101" s="34">
        <f>+D97-D99</f>
        <v>-8181.420000000011</v>
      </c>
      <c r="E101" s="15"/>
      <c r="F101" s="29">
        <f>IF(D$12=0,0,D101/D$12)</f>
        <v>-5.4879345758552869E-2</v>
      </c>
      <c r="G101" s="15"/>
      <c r="H101" s="34">
        <f>+H97-H99</f>
        <v>9655.0530118778479</v>
      </c>
      <c r="I101" s="15"/>
      <c r="J101" s="29">
        <f>IF(H$12=0,0,H101/H$12)</f>
        <v>7.6533863467490901E-2</v>
      </c>
      <c r="K101" s="16"/>
      <c r="L101" s="34">
        <f>D101-H101</f>
        <v>-17836.473011877861</v>
      </c>
      <c r="M101" s="16"/>
      <c r="N101" s="29">
        <f>IF(H101=0,0,L101/H101)</f>
        <v>-1.8473718362742348</v>
      </c>
      <c r="O101" s="28"/>
      <c r="P101" s="34">
        <f>+P97-P99</f>
        <v>-378180.59999999986</v>
      </c>
      <c r="Q101" s="15"/>
      <c r="R101" s="29">
        <f>IF(P$12=0,0,P101/P$12)</f>
        <v>-0.64035822074435933</v>
      </c>
      <c r="S101" s="15"/>
      <c r="T101" s="34">
        <f>+T97-T99</f>
        <v>-264604.80325386947</v>
      </c>
      <c r="U101" s="15"/>
      <c r="V101" s="29">
        <f>IF(T$12=0,0,T101/T$12)</f>
        <v>-0.58595462422714406</v>
      </c>
      <c r="W101" s="16"/>
      <c r="X101" s="34">
        <f>P101-T101</f>
        <v>-113575.79674613039</v>
      </c>
      <c r="Y101" s="16"/>
      <c r="Z101" s="29">
        <f>IF(T101=0,0,X101/T101)</f>
        <v>0.42922802363932339</v>
      </c>
    </row>
    <row r="102" spans="1:26" ht="15" customHeight="1" x14ac:dyDescent="0.3">
      <c r="A102" s="10"/>
      <c r="B102" s="10"/>
      <c r="C102" s="10"/>
      <c r="D102" s="4"/>
      <c r="E102" s="4"/>
      <c r="F102" s="9"/>
      <c r="G102" s="4"/>
      <c r="H102" s="4"/>
      <c r="I102" s="4"/>
      <c r="J102" s="9"/>
      <c r="K102" s="4"/>
      <c r="L102" s="4"/>
      <c r="M102" s="4"/>
      <c r="N102" s="9"/>
      <c r="P102" s="4"/>
      <c r="Q102" s="4"/>
      <c r="R102" s="9"/>
      <c r="S102" s="4"/>
      <c r="T102" s="4"/>
      <c r="U102" s="4"/>
      <c r="V102" s="9"/>
      <c r="W102" s="4"/>
      <c r="X102" s="4"/>
      <c r="Y102" s="4"/>
      <c r="Z102" s="9"/>
    </row>
    <row r="103" spans="1:26" ht="15" customHeight="1" x14ac:dyDescent="0.3">
      <c r="A103" s="10"/>
      <c r="B103" s="10"/>
      <c r="C103" s="10"/>
      <c r="D103" s="4"/>
      <c r="E103" s="4"/>
      <c r="F103" s="9"/>
      <c r="G103" s="4"/>
      <c r="H103" s="4"/>
      <c r="I103" s="4"/>
      <c r="J103" s="9"/>
      <c r="K103" s="4"/>
      <c r="L103" s="4"/>
      <c r="M103" s="4"/>
      <c r="N103" s="9"/>
      <c r="P103" s="4"/>
      <c r="Q103" s="4"/>
      <c r="R103" s="9"/>
      <c r="S103" s="4"/>
      <c r="T103" s="4"/>
      <c r="U103" s="4"/>
      <c r="V103" s="9"/>
      <c r="W103" s="4"/>
      <c r="X103" s="4"/>
      <c r="Y103" s="4"/>
      <c r="Z103" s="9"/>
    </row>
    <row r="104" spans="1:26" s="63" customFormat="1" ht="15" customHeight="1" x14ac:dyDescent="0.3">
      <c r="A104" s="11"/>
      <c r="B104" s="27" t="s">
        <v>297</v>
      </c>
      <c r="C104" s="27"/>
      <c r="D104" s="32">
        <f>SUM(D101:D103)</f>
        <v>-8181.420000000011</v>
      </c>
      <c r="E104" s="15"/>
      <c r="F104" s="31">
        <f>IF(D$12=0,0,D104/D$12)</f>
        <v>-5.4879345758552869E-2</v>
      </c>
      <c r="G104" s="15"/>
      <c r="H104" s="32">
        <f>SUM(H101:H103)</f>
        <v>9655.0530118778479</v>
      </c>
      <c r="I104" s="15"/>
      <c r="J104" s="31">
        <f>IF(H$12=0,0,H104/H$12)</f>
        <v>7.6533863467490901E-2</v>
      </c>
      <c r="K104" s="16"/>
      <c r="L104" s="32">
        <f>+D104-H104</f>
        <v>-17836.473011877861</v>
      </c>
      <c r="M104" s="16"/>
      <c r="N104" s="31">
        <f>IF(H104=0,0,L104/H104)</f>
        <v>-1.8473718362742348</v>
      </c>
      <c r="O104" s="28"/>
      <c r="P104" s="32">
        <f>SUM(P101:P103)</f>
        <v>-378180.59999999986</v>
      </c>
      <c r="Q104" s="15"/>
      <c r="R104" s="31">
        <f>IF(P$12=0,0,P104/P$12)</f>
        <v>-0.64035822074435933</v>
      </c>
      <c r="S104" s="15"/>
      <c r="T104" s="32">
        <f>SUM(T101:T103)</f>
        <v>-264604.80325386947</v>
      </c>
      <c r="U104" s="15"/>
      <c r="V104" s="31">
        <f>IF(T$12=0,0,T104/T$12)</f>
        <v>-0.58595462422714406</v>
      </c>
      <c r="W104" s="16"/>
      <c r="X104" s="32">
        <f>+P104-T104</f>
        <v>-113575.79674613039</v>
      </c>
      <c r="Y104" s="16"/>
      <c r="Z104" s="31">
        <f>IF(T104=0,0,X104/T104)</f>
        <v>0.42922802363932339</v>
      </c>
    </row>
    <row r="105" spans="1:26" ht="15" customHeight="1" x14ac:dyDescent="0.3">
      <c r="A105" s="10"/>
      <c r="C105" s="10"/>
      <c r="D105" s="19"/>
      <c r="E105" s="19"/>
      <c r="G105" s="19"/>
      <c r="H105" s="19"/>
      <c r="I105" s="19"/>
      <c r="J105" s="40"/>
      <c r="K105" s="19"/>
      <c r="L105" s="19"/>
      <c r="M105" s="19"/>
      <c r="P105" s="19"/>
      <c r="Q105" s="19"/>
      <c r="R105" s="40"/>
      <c r="S105" s="19"/>
      <c r="T105" s="19"/>
      <c r="U105" s="19"/>
      <c r="V105" s="40"/>
      <c r="W105" s="19"/>
      <c r="X105" s="19"/>
    </row>
    <row r="106" spans="1:26" ht="15" customHeight="1" x14ac:dyDescent="0.3">
      <c r="A106" s="10"/>
      <c r="B106" s="51">
        <v>44663.047665428239</v>
      </c>
      <c r="D106" s="19"/>
      <c r="E106" s="19"/>
      <c r="G106" s="19"/>
      <c r="H106" s="19"/>
      <c r="I106" s="19"/>
      <c r="J106" s="40"/>
      <c r="K106" s="19"/>
      <c r="L106" s="19"/>
      <c r="M106" s="19"/>
      <c r="P106" s="19"/>
      <c r="Q106" s="19"/>
      <c r="R106" s="40"/>
      <c r="S106" s="19"/>
      <c r="T106" s="19"/>
      <c r="U106" s="19"/>
      <c r="V106" s="40"/>
      <c r="W106" s="19"/>
      <c r="X106" s="19"/>
    </row>
    <row r="107" spans="1:26" ht="15" customHeight="1" x14ac:dyDescent="0.3">
      <c r="A107" s="10"/>
      <c r="B107" s="58" t="s">
        <v>298</v>
      </c>
      <c r="D107" s="19"/>
      <c r="E107" s="19"/>
      <c r="G107" s="19"/>
      <c r="H107" s="19"/>
      <c r="I107" s="19"/>
      <c r="J107" s="40"/>
      <c r="K107" s="19"/>
      <c r="L107" s="19"/>
      <c r="M107" s="19"/>
      <c r="P107" s="19"/>
      <c r="Q107" s="19"/>
      <c r="R107" s="40"/>
      <c r="S107" s="19"/>
      <c r="T107" s="19"/>
      <c r="U107" s="19"/>
      <c r="V107" s="40"/>
      <c r="W107" s="19"/>
      <c r="X107" s="19"/>
    </row>
    <row r="108" spans="1:26" ht="15" customHeight="1" x14ac:dyDescent="0.3">
      <c r="A108" s="10"/>
      <c r="B108" s="50"/>
      <c r="D108" s="19"/>
      <c r="E108" s="19"/>
      <c r="G108" s="19"/>
      <c r="H108" s="19"/>
      <c r="I108" s="19"/>
      <c r="J108" s="40"/>
      <c r="K108" s="19"/>
      <c r="L108" s="19"/>
      <c r="M108" s="19"/>
      <c r="P108" s="19"/>
      <c r="Q108" s="19"/>
      <c r="R108" s="40"/>
      <c r="S108" s="19"/>
      <c r="T108" s="19"/>
      <c r="U108" s="19"/>
      <c r="V108" s="40"/>
      <c r="W108" s="19"/>
      <c r="X108" s="19"/>
    </row>
    <row r="109" spans="1:26" ht="15" customHeight="1" x14ac:dyDescent="0.3">
      <c r="D109" s="19"/>
      <c r="E109" s="19"/>
      <c r="G109" s="19"/>
      <c r="H109" s="19"/>
      <c r="I109" s="19"/>
      <c r="J109" s="40"/>
      <c r="K109" s="19"/>
      <c r="L109" s="19"/>
      <c r="M109" s="19"/>
      <c r="P109" s="19"/>
      <c r="Q109" s="19"/>
      <c r="R109" s="40"/>
      <c r="S109" s="19"/>
      <c r="T109" s="19"/>
      <c r="U109" s="19"/>
      <c r="V109" s="40"/>
      <c r="W109" s="19"/>
      <c r="X109" s="19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BFC7B8-F05B-3C07-A804-2ADAD414A65D}">
  <sheetPr>
    <tabColor rgb="FF92D050"/>
    <outlinePr summaryBelow="0" summaryRight="0"/>
  </sheetPr>
  <dimension ref="A2:Z102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6" customWidth="1"/>
    <col min="2" max="2" width="33.44140625" style="66" customWidth="1"/>
    <col min="3" max="3" width="1.88671875" style="66" customWidth="1"/>
    <col min="4" max="4" width="15" style="66" customWidth="1"/>
    <col min="5" max="5" width="1.88671875" style="66" customWidth="1" outlineLevel="1"/>
    <col min="6" max="6" width="15" style="67" customWidth="1" outlineLevel="1"/>
    <col min="7" max="7" width="1.88671875" style="66" customWidth="1" outlineLevel="1"/>
    <col min="8" max="8" width="15" style="66" customWidth="1" outlineLevel="1"/>
    <col min="9" max="9" width="1.88671875" style="66" customWidth="1" outlineLevel="1"/>
    <col min="10" max="10" width="15" style="68" customWidth="1" outlineLevel="1"/>
    <col min="11" max="11" width="1.88671875" style="66" customWidth="1" outlineLevel="1"/>
    <col min="12" max="12" width="15" style="66" customWidth="1" outlineLevel="1"/>
    <col min="13" max="13" width="1.88671875" style="66" customWidth="1" outlineLevel="1"/>
    <col min="14" max="14" width="15" style="67" customWidth="1" outlineLevel="1"/>
    <col min="15" max="15" width="1.88671875" style="64" customWidth="1"/>
    <col min="16" max="16" width="15" style="66" customWidth="1"/>
    <col min="17" max="17" width="1.88671875" style="66" customWidth="1" outlineLevel="1"/>
    <col min="18" max="18" width="15" style="68" customWidth="1" outlineLevel="1"/>
    <col min="19" max="19" width="1.88671875" style="66" customWidth="1" outlineLevel="1"/>
    <col min="20" max="20" width="15" style="66" customWidth="1" outlineLevel="1"/>
    <col min="21" max="21" width="1.88671875" style="66" customWidth="1" outlineLevel="1"/>
    <col min="22" max="22" width="15" style="68" customWidth="1" outlineLevel="1"/>
    <col min="23" max="23" width="1.88671875" style="66" customWidth="1" outlineLevel="1"/>
    <col min="24" max="24" width="15" style="66" customWidth="1" outlineLevel="1"/>
    <col min="25" max="25" width="1.88671875" style="66" customWidth="1" outlineLevel="1"/>
    <col min="26" max="26" width="15" style="68" customWidth="1" outlineLevel="1"/>
  </cols>
  <sheetData>
    <row r="2" spans="1:26" ht="15" customHeight="1" x14ac:dyDescent="0.3">
      <c r="D2" s="54" t="s">
        <v>276</v>
      </c>
    </row>
    <row r="3" spans="1:26" ht="15" customHeight="1" x14ac:dyDescent="0.3">
      <c r="D3" s="54" t="s">
        <v>277</v>
      </c>
      <c r="E3" s="18"/>
      <c r="F3" s="44"/>
      <c r="G3" s="18"/>
      <c r="H3" s="18"/>
      <c r="I3" s="18"/>
      <c r="J3" s="38"/>
      <c r="K3" s="18"/>
      <c r="L3" s="18"/>
      <c r="M3" s="18"/>
      <c r="N3" s="44"/>
      <c r="O3" s="53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ht="15" customHeight="1" x14ac:dyDescent="0.3">
      <c r="D4" s="54" t="str">
        <f>CONCATENATE("Period ",RIGHT(202209,2),", ",2022)</f>
        <v>Period 09, 2022</v>
      </c>
      <c r="E4" s="18"/>
      <c r="F4" s="44"/>
      <c r="G4" s="18"/>
      <c r="H4" s="18"/>
      <c r="I4" s="18"/>
      <c r="J4" s="38"/>
      <c r="K4" s="18"/>
      <c r="L4" s="18"/>
      <c r="M4" s="18"/>
      <c r="N4" s="44"/>
      <c r="O4" s="53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ht="15" customHeight="1" x14ac:dyDescent="0.3">
      <c r="A5" s="24"/>
      <c r="D5" s="60">
        <v>44646</v>
      </c>
      <c r="E5" s="18"/>
      <c r="F5" s="44"/>
      <c r="G5" s="18"/>
      <c r="H5" s="18"/>
      <c r="I5" s="18"/>
      <c r="J5" s="38"/>
      <c r="K5" s="18"/>
      <c r="L5" s="18"/>
      <c r="M5" s="18"/>
      <c r="N5" s="44"/>
      <c r="O5" s="53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ht="15" customHeight="1" x14ac:dyDescent="0.3">
      <c r="A6" s="24"/>
      <c r="B6" s="47"/>
      <c r="C6" s="47"/>
      <c r="D6" s="24" t="str">
        <f>CONCATENATE("Department ","418"," - ","Nugget")</f>
        <v>Department 418 - Nugget</v>
      </c>
      <c r="E6" s="18"/>
      <c r="F6" s="44"/>
      <c r="G6" s="18"/>
      <c r="H6" s="18"/>
      <c r="I6" s="18"/>
      <c r="J6" s="38"/>
      <c r="K6" s="18"/>
      <c r="L6" s="18"/>
      <c r="M6" s="18"/>
      <c r="N6" s="44"/>
      <c r="O6" s="59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ht="15" customHeight="1" x14ac:dyDescent="0.3">
      <c r="B7" s="52"/>
    </row>
    <row r="8" spans="1:26" ht="15" customHeight="1" x14ac:dyDescent="0.3">
      <c r="B8" s="52"/>
    </row>
    <row r="9" spans="1:26" ht="15" customHeight="1" x14ac:dyDescent="0.3">
      <c r="B9" s="10"/>
      <c r="C9" s="10"/>
      <c r="D9" s="17" t="s">
        <v>279</v>
      </c>
      <c r="E9" s="17"/>
      <c r="F9" s="36"/>
      <c r="G9" s="17"/>
      <c r="H9" s="17"/>
      <c r="I9" s="17"/>
      <c r="J9" s="43"/>
      <c r="K9" s="17"/>
      <c r="L9" s="17"/>
      <c r="M9" s="17"/>
      <c r="N9" s="36"/>
      <c r="P9" s="17" t="s">
        <v>280</v>
      </c>
      <c r="Q9" s="17"/>
      <c r="R9" s="36"/>
      <c r="S9" s="17"/>
      <c r="T9" s="17"/>
      <c r="U9" s="17"/>
      <c r="V9" s="43"/>
      <c r="W9" s="17"/>
      <c r="X9" s="17"/>
      <c r="Y9" s="17"/>
      <c r="Z9" s="36"/>
    </row>
    <row r="10" spans="1:26" ht="15" customHeight="1" x14ac:dyDescent="0.3">
      <c r="A10" s="11"/>
      <c r="B10" s="57"/>
      <c r="C10" s="11"/>
      <c r="D10" s="41" t="s">
        <v>281</v>
      </c>
      <c r="E10" s="33"/>
      <c r="F10" s="37" t="s">
        <v>282</v>
      </c>
      <c r="G10" s="33"/>
      <c r="H10" s="48" t="s">
        <v>283</v>
      </c>
      <c r="I10" s="33"/>
      <c r="J10" s="45" t="s">
        <v>284</v>
      </c>
      <c r="K10" s="11"/>
      <c r="L10" s="41" t="s">
        <v>285</v>
      </c>
      <c r="M10" s="11"/>
      <c r="N10" s="37" t="s">
        <v>286</v>
      </c>
      <c r="O10" s="11"/>
      <c r="P10" s="56" t="s">
        <v>281</v>
      </c>
      <c r="Q10" s="33"/>
      <c r="R10" s="37" t="s">
        <v>282</v>
      </c>
      <c r="S10" s="33"/>
      <c r="T10" s="48" t="s">
        <v>283</v>
      </c>
      <c r="U10" s="33"/>
      <c r="V10" s="45" t="s">
        <v>284</v>
      </c>
      <c r="W10" s="11"/>
      <c r="X10" s="41" t="s">
        <v>285</v>
      </c>
      <c r="Y10" s="11"/>
      <c r="Z10" s="37" t="s">
        <v>286</v>
      </c>
    </row>
    <row r="11" spans="1:26" ht="16.5" customHeight="1" x14ac:dyDescent="0.3">
      <c r="A11" s="10"/>
      <c r="B11" s="55"/>
      <c r="C11" s="10"/>
      <c r="D11" s="10"/>
      <c r="E11" s="10"/>
      <c r="F11" s="9"/>
      <c r="G11" s="10"/>
      <c r="H11" s="10"/>
      <c r="I11" s="10"/>
      <c r="J11" s="46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6"/>
      <c r="W11" s="10"/>
      <c r="X11" s="10"/>
      <c r="Y11" s="10"/>
      <c r="Z11" s="9"/>
    </row>
    <row r="12" spans="1:26" s="63" customFormat="1" ht="15" customHeight="1" collapsed="1" x14ac:dyDescent="0.3">
      <c r="A12" s="11"/>
      <c r="B12" s="28" t="s">
        <v>287</v>
      </c>
      <c r="C12" s="11"/>
      <c r="D12" s="5">
        <f>SUM(OSRRefD13x_0)</f>
        <v>0</v>
      </c>
      <c r="E12" s="5"/>
      <c r="F12" s="13"/>
      <c r="G12" s="5"/>
      <c r="H12" s="5">
        <f>SUM(OSRRefH13x_0)</f>
        <v>163353</v>
      </c>
      <c r="I12" s="5"/>
      <c r="J12" s="13"/>
      <c r="K12" s="5"/>
      <c r="L12" s="5">
        <f>+D12-H12</f>
        <v>-163353</v>
      </c>
      <c r="M12" s="5"/>
      <c r="N12" s="13">
        <f>IF(H12=0,0,L12/H12)</f>
        <v>-1</v>
      </c>
      <c r="O12" s="11"/>
      <c r="P12" s="5">
        <f>SUM(OSRRefP13x_0)</f>
        <v>0</v>
      </c>
      <c r="Q12" s="5"/>
      <c r="R12" s="13"/>
      <c r="S12" s="5"/>
      <c r="T12" s="5">
        <f>SUM(OSRRefT13x_0)</f>
        <v>628849</v>
      </c>
      <c r="U12" s="5"/>
      <c r="V12" s="13"/>
      <c r="W12" s="5"/>
      <c r="X12" s="5">
        <f>+P12-T12</f>
        <v>-628849</v>
      </c>
      <c r="Y12" s="5"/>
      <c r="Z12" s="13">
        <f>IF(T12=0,0,X12/T12)</f>
        <v>-1</v>
      </c>
    </row>
    <row r="13" spans="1:26" s="70" customFormat="1" ht="15" hidden="1" customHeight="1" outlineLevel="1" x14ac:dyDescent="0.3">
      <c r="A13" s="42"/>
      <c r="B13" s="12" t="str">
        <f>CONCATENATE("          ","4000"," - ","TAXABLE SALES")</f>
        <v xml:space="preserve">          4000 - TAXABLE SALES</v>
      </c>
      <c r="C13" s="12"/>
      <c r="D13" s="3">
        <f>0</f>
        <v>0</v>
      </c>
      <c r="E13" s="3"/>
      <c r="F13" s="20"/>
      <c r="G13" s="3"/>
      <c r="H13" s="3">
        <v>105037</v>
      </c>
      <c r="I13" s="3"/>
      <c r="J13" s="20"/>
      <c r="K13" s="3"/>
      <c r="L13" s="3">
        <f>+D13-H13</f>
        <v>-105037</v>
      </c>
      <c r="M13" s="3"/>
      <c r="N13" s="20">
        <f>IF(H13=0,0,L13/H13)</f>
        <v>-1</v>
      </c>
      <c r="O13" s="12"/>
      <c r="P13" s="3">
        <f>0</f>
        <v>0</v>
      </c>
      <c r="Q13" s="3"/>
      <c r="R13" s="20"/>
      <c r="S13" s="3"/>
      <c r="T13" s="3">
        <v>341086</v>
      </c>
      <c r="U13" s="3"/>
      <c r="V13" s="20"/>
      <c r="W13" s="3"/>
      <c r="X13" s="3">
        <f>+P13-T13</f>
        <v>-341086</v>
      </c>
      <c r="Y13" s="3"/>
      <c r="Z13" s="20">
        <f>IF(T13=0,0,X13/T13)</f>
        <v>-1</v>
      </c>
    </row>
    <row r="14" spans="1:26" s="70" customFormat="1" ht="15" hidden="1" customHeight="1" outlineLevel="1" x14ac:dyDescent="0.3">
      <c r="A14" s="42"/>
      <c r="B14" s="12" t="str">
        <f>CONCATENATE("          ","4100"," - ","NON-TAXABLE SALES")</f>
        <v xml:space="preserve">          4100 - NON-TAXABLE SALES</v>
      </c>
      <c r="C14" s="12"/>
      <c r="D14" s="3">
        <f>0</f>
        <v>0</v>
      </c>
      <c r="E14" s="3"/>
      <c r="F14" s="20"/>
      <c r="G14" s="3"/>
      <c r="H14" s="3">
        <v>58316</v>
      </c>
      <c r="I14" s="3"/>
      <c r="J14" s="20"/>
      <c r="K14" s="3"/>
      <c r="L14" s="3">
        <f>+D14-H14</f>
        <v>-58316</v>
      </c>
      <c r="M14" s="3"/>
      <c r="N14" s="20">
        <f>IF(H14=0,0,L14/H14)</f>
        <v>-1</v>
      </c>
      <c r="O14" s="12"/>
      <c r="P14" s="3">
        <f>0</f>
        <v>0</v>
      </c>
      <c r="Q14" s="3"/>
      <c r="R14" s="20"/>
      <c r="S14" s="3"/>
      <c r="T14" s="3">
        <v>287763</v>
      </c>
      <c r="U14" s="3"/>
      <c r="V14" s="20"/>
      <c r="W14" s="3"/>
      <c r="X14" s="3">
        <f>+P14-T14</f>
        <v>-287763</v>
      </c>
      <c r="Y14" s="3"/>
      <c r="Z14" s="20">
        <f>IF(T14=0,0,X14/T14)</f>
        <v>-1</v>
      </c>
    </row>
    <row r="15" spans="1:26" ht="15" customHeight="1" x14ac:dyDescent="0.3">
      <c r="A15" s="10"/>
      <c r="B15" s="11"/>
      <c r="C15" s="10"/>
      <c r="D15" s="4"/>
      <c r="E15" s="4"/>
      <c r="F15" s="9"/>
      <c r="G15" s="4"/>
      <c r="H15" s="4"/>
      <c r="I15" s="4"/>
      <c r="J15" s="9"/>
      <c r="K15" s="4"/>
      <c r="L15" s="4"/>
      <c r="M15" s="4"/>
      <c r="N15" s="9"/>
      <c r="P15" s="4"/>
      <c r="Q15" s="4"/>
      <c r="R15" s="9"/>
      <c r="S15" s="4"/>
      <c r="T15" s="4"/>
      <c r="U15" s="4"/>
      <c r="V15" s="9"/>
      <c r="W15" s="4"/>
      <c r="X15" s="4"/>
      <c r="Y15" s="4"/>
      <c r="Z15" s="9"/>
    </row>
    <row r="16" spans="1:26" s="63" customFormat="1" ht="15" customHeight="1" collapsed="1" x14ac:dyDescent="0.3">
      <c r="A16" s="11"/>
      <c r="B16" s="28" t="s">
        <v>288</v>
      </c>
      <c r="C16" s="11"/>
      <c r="D16" s="5">
        <f>SUM(OSRRefD16x_0)</f>
        <v>0</v>
      </c>
      <c r="E16" s="5"/>
      <c r="F16" s="13">
        <f>IF(D$12=0,0,D16/D$12)</f>
        <v>0</v>
      </c>
      <c r="G16" s="5"/>
      <c r="H16" s="5">
        <f>SUM(OSRRefH16x_0)</f>
        <v>55540</v>
      </c>
      <c r="I16" s="5"/>
      <c r="J16" s="13">
        <f>IF(H$12=0,0,H16/H$12)</f>
        <v>0.3399998775657625</v>
      </c>
      <c r="K16" s="5"/>
      <c r="L16" s="5">
        <f>+D16-H16</f>
        <v>-55540</v>
      </c>
      <c r="M16" s="5"/>
      <c r="N16" s="13">
        <f>IF(H16=0,0,L16/H16)</f>
        <v>-1</v>
      </c>
      <c r="O16" s="11"/>
      <c r="P16" s="5">
        <f>SUM(OSRRefP16x_0)</f>
        <v>1349.42</v>
      </c>
      <c r="Q16" s="5"/>
      <c r="R16" s="13">
        <f>IF(P$12=0,0,P16/P$12)</f>
        <v>0</v>
      </c>
      <c r="S16" s="5"/>
      <c r="T16" s="5">
        <f>SUM(OSRRefT16x_0)</f>
        <v>213682</v>
      </c>
      <c r="U16" s="5"/>
      <c r="V16" s="13">
        <f>IF(T$12=0,0,T16/T$12)</f>
        <v>0.33979858439784433</v>
      </c>
      <c r="W16" s="5"/>
      <c r="X16" s="5">
        <f>+P16-T16</f>
        <v>-212332.58</v>
      </c>
      <c r="Y16" s="5"/>
      <c r="Z16" s="13">
        <f>IF(T16=0,0,X16/T16)</f>
        <v>-0.99368491496710054</v>
      </c>
    </row>
    <row r="17" spans="1:26" s="70" customFormat="1" ht="15" hidden="1" customHeight="1" outlineLevel="1" x14ac:dyDescent="0.3">
      <c r="A17" s="42"/>
      <c r="B17" s="12" t="str">
        <f>CONCATENATE("          ","5000"," - ","PURCHASES @ COST")</f>
        <v xml:space="preserve">          5000 - PURCHASES @ COST</v>
      </c>
      <c r="C17" s="12"/>
      <c r="D17" s="3"/>
      <c r="E17" s="3"/>
      <c r="F17" s="20">
        <f>IF(D$12=0,0,D17/D$12)</f>
        <v>0</v>
      </c>
      <c r="G17" s="3"/>
      <c r="H17" s="3">
        <v>55540</v>
      </c>
      <c r="I17" s="3"/>
      <c r="J17" s="20">
        <f>IF(H$12=0,0,H17/H$12)</f>
        <v>0.3399998775657625</v>
      </c>
      <c r="K17" s="3"/>
      <c r="L17" s="3">
        <f>+D17-H17</f>
        <v>-55540</v>
      </c>
      <c r="M17" s="3"/>
      <c r="N17" s="20">
        <f>IF(H17=0,0,L17/H17)</f>
        <v>-1</v>
      </c>
      <c r="O17" s="12"/>
      <c r="P17" s="3"/>
      <c r="Q17" s="3"/>
      <c r="R17" s="20">
        <f>IF(P$12=0,0,P17/P$12)</f>
        <v>0</v>
      </c>
      <c r="S17" s="3"/>
      <c r="T17" s="3">
        <v>213682</v>
      </c>
      <c r="U17" s="3"/>
      <c r="V17" s="20">
        <f>IF(T$12=0,0,T17/T$12)</f>
        <v>0.33979858439784433</v>
      </c>
      <c r="W17" s="3"/>
      <c r="X17" s="3">
        <f>+P17-T17</f>
        <v>-213682</v>
      </c>
      <c r="Y17" s="3"/>
      <c r="Z17" s="20">
        <f>IF(T17=0,0,X17/T17)</f>
        <v>-1</v>
      </c>
    </row>
    <row r="18" spans="1:26" s="70" customFormat="1" ht="15" hidden="1" customHeight="1" outlineLevel="1" x14ac:dyDescent="0.3">
      <c r="A18" s="42"/>
      <c r="B18" s="12" t="str">
        <f>CONCATENATE("          ","5053"," - ","PURCHASES @ COST-FOOD")</f>
        <v xml:space="preserve">          5053 - PURCHASES @ COST-FOOD</v>
      </c>
      <c r="C18" s="12"/>
      <c r="D18" s="3"/>
      <c r="E18" s="3"/>
      <c r="F18" s="20">
        <f>IF(D$12=0,0,D18/D$12)</f>
        <v>0</v>
      </c>
      <c r="G18" s="3"/>
      <c r="H18" s="3"/>
      <c r="I18" s="3"/>
      <c r="J18" s="20">
        <f>IF(H$12=0,0,H18/H$12)</f>
        <v>0</v>
      </c>
      <c r="K18" s="3"/>
      <c r="L18" s="3">
        <f>+D18-H18</f>
        <v>0</v>
      </c>
      <c r="M18" s="3"/>
      <c r="N18" s="20">
        <f>IF(H18=0,0,L18/H18)</f>
        <v>0</v>
      </c>
      <c r="O18" s="12"/>
      <c r="P18" s="3">
        <v>1349.42</v>
      </c>
      <c r="Q18" s="3"/>
      <c r="R18" s="20">
        <f>IF(P$12=0,0,P18/P$12)</f>
        <v>0</v>
      </c>
      <c r="S18" s="3"/>
      <c r="T18" s="3"/>
      <c r="U18" s="3"/>
      <c r="V18" s="20">
        <f>IF(T$12=0,0,T18/T$12)</f>
        <v>0</v>
      </c>
      <c r="W18" s="3"/>
      <c r="X18" s="3">
        <f>+P18-T18</f>
        <v>1349.42</v>
      </c>
      <c r="Y18" s="3"/>
      <c r="Z18" s="20">
        <f>IF(T18=0,0,X18/T18)</f>
        <v>0</v>
      </c>
    </row>
    <row r="19" spans="1:26" ht="15" customHeight="1" x14ac:dyDescent="0.3">
      <c r="A19" s="10"/>
      <c r="B19" s="11"/>
      <c r="C19" s="11"/>
      <c r="D19" s="4"/>
      <c r="E19" s="4"/>
      <c r="F19" s="9"/>
      <c r="G19" s="4"/>
      <c r="H19" s="4"/>
      <c r="I19" s="4"/>
      <c r="J19" s="9"/>
      <c r="K19" s="4"/>
      <c r="L19" s="4"/>
      <c r="M19" s="4"/>
      <c r="N19" s="9"/>
      <c r="O19" s="11"/>
      <c r="P19" s="4"/>
      <c r="Q19" s="4"/>
      <c r="R19" s="9"/>
      <c r="S19" s="4"/>
      <c r="T19" s="4"/>
      <c r="U19" s="4"/>
      <c r="V19" s="9"/>
      <c r="W19" s="4"/>
      <c r="X19" s="4"/>
      <c r="Y19" s="4"/>
      <c r="Z19" s="9"/>
    </row>
    <row r="20" spans="1:26" s="63" customFormat="1" ht="15" customHeight="1" x14ac:dyDescent="0.3">
      <c r="A20" s="11"/>
      <c r="B20" s="27" t="s">
        <v>289</v>
      </c>
      <c r="C20" s="27"/>
      <c r="D20" s="21">
        <f>D12-D16</f>
        <v>0</v>
      </c>
      <c r="E20" s="15"/>
      <c r="F20" s="23">
        <f>IF(D$12=0,0,D20/D$12)</f>
        <v>0</v>
      </c>
      <c r="G20" s="15"/>
      <c r="H20" s="21">
        <f>H12-H16</f>
        <v>107813</v>
      </c>
      <c r="I20" s="15"/>
      <c r="J20" s="23">
        <f>IF(H$12=0,0,H20/H$12)</f>
        <v>0.66000012243423756</v>
      </c>
      <c r="K20" s="16"/>
      <c r="L20" s="21">
        <f>+D20-H20</f>
        <v>-107813</v>
      </c>
      <c r="M20" s="16"/>
      <c r="N20" s="23">
        <f>IF(H20=0,0,L20/H20)</f>
        <v>-1</v>
      </c>
      <c r="O20" s="28"/>
      <c r="P20" s="21">
        <f>P12-P16</f>
        <v>-1349.42</v>
      </c>
      <c r="Q20" s="15"/>
      <c r="R20" s="23">
        <f>IF(P$12=0,0,P20/P$12)</f>
        <v>0</v>
      </c>
      <c r="S20" s="15"/>
      <c r="T20" s="21">
        <f>T12-T16</f>
        <v>415167</v>
      </c>
      <c r="U20" s="15"/>
      <c r="V20" s="23">
        <f>IF(T$12=0,0,T20/T$12)</f>
        <v>0.66020141560215573</v>
      </c>
      <c r="W20" s="16"/>
      <c r="X20" s="21">
        <f>+P20-T20</f>
        <v>-416516.42</v>
      </c>
      <c r="Y20" s="16"/>
      <c r="Z20" s="23">
        <f>IF(T20=0,0,X20/T20)</f>
        <v>-1.0032503065031662</v>
      </c>
    </row>
    <row r="21" spans="1:26" ht="15" customHeight="1" x14ac:dyDescent="0.3">
      <c r="A21" s="10"/>
      <c r="B21" s="11"/>
      <c r="C21" s="10"/>
      <c r="D21" s="2"/>
      <c r="E21" s="2"/>
      <c r="F21" s="6"/>
      <c r="G21" s="2"/>
      <c r="H21" s="2"/>
      <c r="I21" s="2"/>
      <c r="J21" s="6"/>
      <c r="K21" s="2"/>
      <c r="L21" s="2"/>
      <c r="M21" s="2"/>
      <c r="N21" s="6"/>
      <c r="O21" s="35"/>
      <c r="P21" s="2"/>
      <c r="Q21" s="2"/>
      <c r="R21" s="6"/>
      <c r="S21" s="2"/>
      <c r="T21" s="2"/>
      <c r="U21" s="2"/>
      <c r="V21" s="6"/>
      <c r="W21" s="2"/>
      <c r="X21" s="2"/>
      <c r="Y21" s="2"/>
      <c r="Z21" s="6"/>
    </row>
    <row r="22" spans="1:26" s="63" customFormat="1" ht="15" customHeight="1" x14ac:dyDescent="0.3">
      <c r="A22" s="11"/>
      <c r="B22" s="28" t="s">
        <v>290</v>
      </c>
      <c r="C22" s="11"/>
      <c r="D22" s="22" cm="1">
        <f t="array" ref="D22">SUM(OSRRefD22x_0)</f>
        <v>16559.199999999997</v>
      </c>
      <c r="E22" s="22"/>
      <c r="F22" s="30">
        <f t="shared" ref="F22:F53" si="0">IF(D$12=0,0,D22/D$12)</f>
        <v>0</v>
      </c>
      <c r="G22" s="22"/>
      <c r="H22" s="22" cm="1">
        <f t="array" ref="H22">SUM(OSRRefH22x_0)</f>
        <v>62985.022526787681</v>
      </c>
      <c r="I22" s="22"/>
      <c r="J22" s="30">
        <f t="shared" ref="J22:J53" si="1">IF(H$12=0,0,H22/H$12)</f>
        <v>0.38557616038142967</v>
      </c>
      <c r="K22" s="5"/>
      <c r="L22" s="22">
        <f t="shared" ref="L22:L53" si="2">+D22-H22</f>
        <v>-46425.822526787684</v>
      </c>
      <c r="M22" s="5"/>
      <c r="N22" s="30">
        <f t="shared" ref="N22:N53" si="3">IF(H22=0,0,L22/H22)</f>
        <v>-0.73709305267046099</v>
      </c>
      <c r="O22" s="11"/>
      <c r="P22" s="22" cm="1">
        <f t="array" ref="P22">SUM(OSRRefP22x_0)</f>
        <v>153852.37000000002</v>
      </c>
      <c r="Q22" s="22"/>
      <c r="R22" s="30">
        <f t="shared" ref="R22:R53" si="4">IF(P$12=0,0,P22/P$12)</f>
        <v>0</v>
      </c>
      <c r="S22" s="22"/>
      <c r="T22" s="22" cm="1">
        <f t="array" ref="T22">SUM(OSRRefT22x_0)</f>
        <v>406909.42603591381</v>
      </c>
      <c r="U22" s="22"/>
      <c r="V22" s="30">
        <f t="shared" ref="V22:V53" si="5">IF(T$12=0,0,T22/T$12)</f>
        <v>0.64707016475483592</v>
      </c>
      <c r="W22" s="5"/>
      <c r="X22" s="22">
        <f t="shared" ref="X22:X53" si="6">+P22-T22</f>
        <v>-253057.05603591379</v>
      </c>
      <c r="Y22" s="5"/>
      <c r="Z22" s="30">
        <f t="shared" ref="Z22:Z53" si="7">IF(T22=0,0,X22/T22)</f>
        <v>-0.62190020639526544</v>
      </c>
    </row>
    <row r="23" spans="1:26" s="69" customFormat="1" ht="15" customHeight="1" outlineLevel="1" collapsed="1" x14ac:dyDescent="0.3">
      <c r="A23" s="25"/>
      <c r="B23" s="14" t="str">
        <f>CONCATENATE("     ","*Benefits                                         ")</f>
        <v xml:space="preserve">     *Benefits                                         </v>
      </c>
      <c r="C23" s="14"/>
      <c r="D23" s="2">
        <f>SUM(OSRRefD22_0x_0)</f>
        <v>2441.5899999999997</v>
      </c>
      <c r="E23" s="2"/>
      <c r="F23" s="6">
        <f t="shared" si="0"/>
        <v>0</v>
      </c>
      <c r="G23" s="2"/>
      <c r="H23" s="2">
        <f>SUM(OSRRefH22_0x_0)</f>
        <v>11607.028265249226</v>
      </c>
      <c r="I23" s="2"/>
      <c r="J23" s="6">
        <f t="shared" si="1"/>
        <v>7.1054882770743275E-2</v>
      </c>
      <c r="K23" s="2"/>
      <c r="L23" s="2">
        <f t="shared" si="2"/>
        <v>-9165.4382652492259</v>
      </c>
      <c r="M23" s="2"/>
      <c r="N23" s="6">
        <f t="shared" si="3"/>
        <v>-0.78964555403815295</v>
      </c>
      <c r="O23" s="14"/>
      <c r="P23" s="2">
        <f>SUM(OSRRefP22_0x_0)</f>
        <v>24167.230000000003</v>
      </c>
      <c r="Q23" s="2"/>
      <c r="R23" s="6">
        <f t="shared" si="4"/>
        <v>0</v>
      </c>
      <c r="S23" s="2"/>
      <c r="T23" s="2">
        <f>SUM(OSRRefT22_0x_0)</f>
        <v>82652.183435913801</v>
      </c>
      <c r="U23" s="2"/>
      <c r="V23" s="6">
        <f t="shared" si="5"/>
        <v>0.131434069921259</v>
      </c>
      <c r="W23" s="2"/>
      <c r="X23" s="2">
        <f t="shared" si="6"/>
        <v>-58484.953435913798</v>
      </c>
      <c r="Y23" s="2"/>
      <c r="Z23" s="6">
        <f t="shared" si="7"/>
        <v>-0.70760324778668915</v>
      </c>
    </row>
    <row r="24" spans="1:26" s="70" customFormat="1" ht="15" hidden="1" customHeight="1" outlineLevel="2" x14ac:dyDescent="0.3">
      <c r="A24" s="26"/>
      <c r="B24" s="12" t="str">
        <f>CONCATENATE("          ","6111"," - ","F.I.C.A.")</f>
        <v xml:space="preserve">          6111 - F.I.C.A.</v>
      </c>
      <c r="C24" s="12"/>
      <c r="D24" s="7">
        <v>429.42</v>
      </c>
      <c r="E24" s="3"/>
      <c r="F24" s="8">
        <f t="shared" si="0"/>
        <v>0</v>
      </c>
      <c r="G24" s="3"/>
      <c r="H24" s="7">
        <v>1154.64465601846</v>
      </c>
      <c r="I24" s="3"/>
      <c r="J24" s="8">
        <f t="shared" si="1"/>
        <v>7.0684019027410575E-3</v>
      </c>
      <c r="K24" s="3"/>
      <c r="L24" s="7">
        <f t="shared" si="2"/>
        <v>-725.22465601845988</v>
      </c>
      <c r="M24" s="3"/>
      <c r="N24" s="8">
        <f t="shared" si="3"/>
        <v>-0.62809337248330477</v>
      </c>
      <c r="O24" s="12"/>
      <c r="P24" s="7">
        <v>3630.16</v>
      </c>
      <c r="Q24" s="3"/>
      <c r="R24" s="8">
        <f t="shared" si="4"/>
        <v>0</v>
      </c>
      <c r="S24" s="3"/>
      <c r="T24" s="7">
        <v>7867.8497097600002</v>
      </c>
      <c r="U24" s="3"/>
      <c r="V24" s="8">
        <f t="shared" si="5"/>
        <v>1.2511508660680069E-2</v>
      </c>
      <c r="W24" s="3"/>
      <c r="X24" s="7">
        <f t="shared" si="6"/>
        <v>-4237.6897097600004</v>
      </c>
      <c r="Y24" s="3"/>
      <c r="Z24" s="8">
        <f t="shared" si="7"/>
        <v>-0.53860837027722863</v>
      </c>
    </row>
    <row r="25" spans="1:26" s="70" customFormat="1" ht="15" hidden="1" customHeight="1" outlineLevel="2" x14ac:dyDescent="0.3">
      <c r="A25" s="26"/>
      <c r="B25" s="12" t="str">
        <f>CONCATENATE("          ","6112"," - ","COMPENSATION INSURANCE")</f>
        <v xml:space="preserve">          6112 - COMPENSATION INSURANCE</v>
      </c>
      <c r="C25" s="12"/>
      <c r="D25" s="7">
        <v>210.7</v>
      </c>
      <c r="E25" s="3"/>
      <c r="F25" s="8">
        <f t="shared" si="0"/>
        <v>0</v>
      </c>
      <c r="G25" s="3"/>
      <c r="H25" s="7">
        <v>1187.8154687076899</v>
      </c>
      <c r="I25" s="3"/>
      <c r="J25" s="8">
        <f t="shared" si="1"/>
        <v>7.2714640607009964E-3</v>
      </c>
      <c r="K25" s="3"/>
      <c r="L25" s="7">
        <f t="shared" si="2"/>
        <v>-977.11546870768984</v>
      </c>
      <c r="M25" s="3"/>
      <c r="N25" s="8">
        <f t="shared" si="3"/>
        <v>-0.82261554462728481</v>
      </c>
      <c r="O25" s="12"/>
      <c r="P25" s="7">
        <v>1614.65</v>
      </c>
      <c r="Q25" s="3"/>
      <c r="R25" s="8">
        <f t="shared" si="4"/>
        <v>0</v>
      </c>
      <c r="S25" s="3"/>
      <c r="T25" s="7">
        <v>6581.6765548000003</v>
      </c>
      <c r="U25" s="3"/>
      <c r="V25" s="8">
        <f t="shared" si="5"/>
        <v>1.0466227273638029E-2</v>
      </c>
      <c r="W25" s="3"/>
      <c r="X25" s="7">
        <f t="shared" si="6"/>
        <v>-4967.0265548000007</v>
      </c>
      <c r="Y25" s="3"/>
      <c r="Z25" s="8">
        <f t="shared" si="7"/>
        <v>-0.75467496973511417</v>
      </c>
    </row>
    <row r="26" spans="1:26" s="70" customFormat="1" ht="15" hidden="1" customHeight="1" outlineLevel="2" x14ac:dyDescent="0.3">
      <c r="A26" s="26"/>
      <c r="B26" s="12" t="str">
        <f>CONCATENATE("          ","6113"," - ","GROUP INSURANCE")</f>
        <v xml:space="preserve">          6113 - GROUP INSURANCE</v>
      </c>
      <c r="C26" s="12"/>
      <c r="D26" s="7">
        <v>652.17999999999995</v>
      </c>
      <c r="E26" s="3"/>
      <c r="F26" s="8">
        <f t="shared" si="0"/>
        <v>0</v>
      </c>
      <c r="G26" s="3"/>
      <c r="H26" s="7">
        <v>6061.2615384615401</v>
      </c>
      <c r="I26" s="3"/>
      <c r="J26" s="8">
        <f t="shared" si="1"/>
        <v>3.7105296740565154E-2</v>
      </c>
      <c r="K26" s="3"/>
      <c r="L26" s="7">
        <f t="shared" si="2"/>
        <v>-5409.0815384615398</v>
      </c>
      <c r="M26" s="3"/>
      <c r="N26" s="8">
        <f t="shared" si="3"/>
        <v>-0.89240193714433658</v>
      </c>
      <c r="O26" s="12"/>
      <c r="P26" s="7">
        <v>12053.8</v>
      </c>
      <c r="Q26" s="3"/>
      <c r="R26" s="8">
        <f t="shared" si="4"/>
        <v>0</v>
      </c>
      <c r="S26" s="3"/>
      <c r="T26" s="7">
        <v>46588.9038461538</v>
      </c>
      <c r="U26" s="3"/>
      <c r="V26" s="8">
        <f t="shared" si="5"/>
        <v>7.4085994962469204E-2</v>
      </c>
      <c r="W26" s="3"/>
      <c r="X26" s="7">
        <f t="shared" si="6"/>
        <v>-34535.103846153797</v>
      </c>
      <c r="Y26" s="3"/>
      <c r="Z26" s="8">
        <f t="shared" si="7"/>
        <v>-0.74127315723494713</v>
      </c>
    </row>
    <row r="27" spans="1:26" s="70" customFormat="1" ht="15" hidden="1" customHeight="1" outlineLevel="2" x14ac:dyDescent="0.3">
      <c r="A27" s="26"/>
      <c r="B27" s="12" t="str">
        <f>CONCATENATE("          ","6114"," - ","STATE UNEMPLOYMENT INSURANCE")</f>
        <v xml:space="preserve">          6114 - STATE UNEMPLOYMENT INSURANCE</v>
      </c>
      <c r="C27" s="12"/>
      <c r="D27" s="7">
        <v>15.22</v>
      </c>
      <c r="E27" s="3"/>
      <c r="F27" s="8">
        <f t="shared" si="0"/>
        <v>0</v>
      </c>
      <c r="G27" s="3"/>
      <c r="H27" s="7">
        <v>65.815632830769204</v>
      </c>
      <c r="I27" s="3"/>
      <c r="J27" s="8">
        <f t="shared" si="1"/>
        <v>4.0290434109425114E-4</v>
      </c>
      <c r="K27" s="3"/>
      <c r="L27" s="7">
        <f t="shared" si="2"/>
        <v>-50.595632830769205</v>
      </c>
      <c r="M27" s="3"/>
      <c r="N27" s="8">
        <f t="shared" si="3"/>
        <v>-0.76874795021518716</v>
      </c>
      <c r="O27" s="12"/>
      <c r="P27" s="7">
        <v>117.99</v>
      </c>
      <c r="Q27" s="3"/>
      <c r="R27" s="8">
        <f t="shared" si="4"/>
        <v>0</v>
      </c>
      <c r="S27" s="3"/>
      <c r="T27" s="7">
        <v>364.68392519999998</v>
      </c>
      <c r="U27" s="3"/>
      <c r="V27" s="8">
        <f t="shared" si="5"/>
        <v>5.7992288323588013E-4</v>
      </c>
      <c r="W27" s="3"/>
      <c r="X27" s="7">
        <f t="shared" si="6"/>
        <v>-246.69392519999997</v>
      </c>
      <c r="Y27" s="3"/>
      <c r="Z27" s="8">
        <f t="shared" si="7"/>
        <v>-0.67645955347417097</v>
      </c>
    </row>
    <row r="28" spans="1:26" s="70" customFormat="1" ht="15" hidden="1" customHeight="1" outlineLevel="2" x14ac:dyDescent="0.3">
      <c r="A28" s="26"/>
      <c r="B28" s="12" t="str">
        <f>CONCATENATE("          ","6115"," - ","P.E.R.S.")</f>
        <v xml:space="preserve">          6115 - P.E.R.S.</v>
      </c>
      <c r="C28" s="12"/>
      <c r="D28" s="7">
        <v>420.37</v>
      </c>
      <c r="E28" s="3"/>
      <c r="F28" s="8">
        <f t="shared" si="0"/>
        <v>0</v>
      </c>
      <c r="G28" s="3"/>
      <c r="H28" s="7">
        <v>424.70769230769201</v>
      </c>
      <c r="I28" s="3"/>
      <c r="J28" s="8">
        <f t="shared" si="1"/>
        <v>2.5999381236199641E-3</v>
      </c>
      <c r="K28" s="3"/>
      <c r="L28" s="7">
        <f t="shared" si="2"/>
        <v>-4.3376923076920093</v>
      </c>
      <c r="M28" s="3"/>
      <c r="N28" s="8">
        <f t="shared" si="3"/>
        <v>-1.0213359414619315E-2</v>
      </c>
      <c r="O28" s="12"/>
      <c r="P28" s="7">
        <v>1723.52</v>
      </c>
      <c r="Q28" s="3"/>
      <c r="R28" s="8">
        <f t="shared" si="4"/>
        <v>0</v>
      </c>
      <c r="S28" s="3"/>
      <c r="T28" s="7">
        <v>1380.3</v>
      </c>
      <c r="U28" s="3"/>
      <c r="V28" s="8">
        <f t="shared" si="5"/>
        <v>2.1949625426771766E-3</v>
      </c>
      <c r="W28" s="3"/>
      <c r="X28" s="7">
        <f t="shared" si="6"/>
        <v>343.22</v>
      </c>
      <c r="Y28" s="3"/>
      <c r="Z28" s="8">
        <f t="shared" si="7"/>
        <v>0.24865608925595889</v>
      </c>
    </row>
    <row r="29" spans="1:26" s="70" customFormat="1" ht="15" hidden="1" customHeight="1" outlineLevel="2" x14ac:dyDescent="0.3">
      <c r="A29" s="26"/>
      <c r="B29" s="12" t="str">
        <f>CONCATENATE("          ","6116"," - ","EDUCATIONAL BENEFITS")</f>
        <v xml:space="preserve">          6116 - EDUCATIONAL BENEFITS</v>
      </c>
      <c r="C29" s="12"/>
      <c r="D29" s="7"/>
      <c r="E29" s="3"/>
      <c r="F29" s="8">
        <f t="shared" si="0"/>
        <v>0</v>
      </c>
      <c r="G29" s="3"/>
      <c r="H29" s="7">
        <v>0</v>
      </c>
      <c r="I29" s="3"/>
      <c r="J29" s="8">
        <f t="shared" si="1"/>
        <v>0</v>
      </c>
      <c r="K29" s="3"/>
      <c r="L29" s="7">
        <f t="shared" si="2"/>
        <v>0</v>
      </c>
      <c r="M29" s="3"/>
      <c r="N29" s="8">
        <f t="shared" si="3"/>
        <v>0</v>
      </c>
      <c r="O29" s="12"/>
      <c r="P29" s="7"/>
      <c r="Q29" s="3"/>
      <c r="R29" s="8">
        <f t="shared" si="4"/>
        <v>0</v>
      </c>
      <c r="S29" s="3"/>
      <c r="T29" s="7">
        <v>0</v>
      </c>
      <c r="U29" s="3"/>
      <c r="V29" s="8">
        <f t="shared" si="5"/>
        <v>0</v>
      </c>
      <c r="W29" s="3"/>
      <c r="X29" s="7">
        <f t="shared" si="6"/>
        <v>0</v>
      </c>
      <c r="Y29" s="3"/>
      <c r="Z29" s="8">
        <f t="shared" si="7"/>
        <v>0</v>
      </c>
    </row>
    <row r="30" spans="1:26" s="70" customFormat="1" ht="15" hidden="1" customHeight="1" outlineLevel="2" x14ac:dyDescent="0.3">
      <c r="A30" s="26"/>
      <c r="B30" s="12" t="str">
        <f>CONCATENATE("          ","6118"," - ","VACATION")</f>
        <v xml:space="preserve">          6118 - VACATION</v>
      </c>
      <c r="C30" s="12"/>
      <c r="D30" s="7">
        <v>213.24</v>
      </c>
      <c r="E30" s="3"/>
      <c r="F30" s="8">
        <f t="shared" si="0"/>
        <v>0</v>
      </c>
      <c r="G30" s="3"/>
      <c r="H30" s="7">
        <v>408.83992615384602</v>
      </c>
      <c r="I30" s="3"/>
      <c r="J30" s="8">
        <f t="shared" si="1"/>
        <v>2.5028002311181675E-3</v>
      </c>
      <c r="K30" s="3"/>
      <c r="L30" s="7">
        <f t="shared" si="2"/>
        <v>-195.59992615384601</v>
      </c>
      <c r="M30" s="3"/>
      <c r="N30" s="8">
        <f t="shared" si="3"/>
        <v>-0.47842667420950952</v>
      </c>
      <c r="O30" s="12"/>
      <c r="P30" s="7">
        <v>1670.9</v>
      </c>
      <c r="Q30" s="3"/>
      <c r="R30" s="8">
        <f t="shared" si="4"/>
        <v>0</v>
      </c>
      <c r="S30" s="3"/>
      <c r="T30" s="7">
        <v>2758.49856</v>
      </c>
      <c r="U30" s="3"/>
      <c r="V30" s="8">
        <f t="shared" si="5"/>
        <v>4.3865833610294367E-3</v>
      </c>
      <c r="W30" s="3"/>
      <c r="X30" s="7">
        <f t="shared" si="6"/>
        <v>-1087.5985599999999</v>
      </c>
      <c r="Y30" s="3"/>
      <c r="Z30" s="8">
        <f t="shared" si="7"/>
        <v>-0.39427193320702691</v>
      </c>
    </row>
    <row r="31" spans="1:26" s="70" customFormat="1" ht="15" hidden="1" customHeight="1" outlineLevel="2" x14ac:dyDescent="0.3">
      <c r="A31" s="26"/>
      <c r="B31" s="12" t="str">
        <f>CONCATENATE("          ","6119"," - ","SICK LEAVE")</f>
        <v xml:space="preserve">          6119 - SICK LEAVE</v>
      </c>
      <c r="C31" s="12"/>
      <c r="D31" s="7">
        <v>255.46</v>
      </c>
      <c r="E31" s="3"/>
      <c r="F31" s="8">
        <f t="shared" si="0"/>
        <v>0</v>
      </c>
      <c r="G31" s="3"/>
      <c r="H31" s="7">
        <v>803.94335076923096</v>
      </c>
      <c r="I31" s="3"/>
      <c r="J31" s="8">
        <f t="shared" si="1"/>
        <v>4.9215095576403923E-3</v>
      </c>
      <c r="K31" s="3"/>
      <c r="L31" s="7">
        <f t="shared" si="2"/>
        <v>-548.48335076923092</v>
      </c>
      <c r="M31" s="3"/>
      <c r="N31" s="8">
        <f t="shared" si="3"/>
        <v>-0.68224129255429478</v>
      </c>
      <c r="O31" s="12"/>
      <c r="P31" s="7">
        <v>1823.03</v>
      </c>
      <c r="Q31" s="3"/>
      <c r="R31" s="8">
        <f t="shared" si="4"/>
        <v>0</v>
      </c>
      <c r="S31" s="3"/>
      <c r="T31" s="7">
        <v>4290.2708400000001</v>
      </c>
      <c r="U31" s="3"/>
      <c r="V31" s="8">
        <f t="shared" si="5"/>
        <v>6.8224181639789522E-3</v>
      </c>
      <c r="W31" s="3"/>
      <c r="X31" s="7">
        <f t="shared" si="6"/>
        <v>-2467.2408400000004</v>
      </c>
      <c r="Y31" s="3"/>
      <c r="Z31" s="8">
        <f t="shared" si="7"/>
        <v>-0.57507810858859443</v>
      </c>
    </row>
    <row r="32" spans="1:26" s="70" customFormat="1" ht="15" hidden="1" customHeight="1" outlineLevel="2" x14ac:dyDescent="0.3">
      <c r="A32" s="26"/>
      <c r="B32" s="12" t="str">
        <f>CONCATENATE("          ","6156"," - ","EMPLOYEE MEALS")</f>
        <v xml:space="preserve">          6156 - EMPLOYEE MEALS</v>
      </c>
      <c r="C32" s="12"/>
      <c r="D32" s="7">
        <v>245</v>
      </c>
      <c r="E32" s="3"/>
      <c r="F32" s="8">
        <f t="shared" si="0"/>
        <v>0</v>
      </c>
      <c r="G32" s="3"/>
      <c r="H32" s="7">
        <v>1500</v>
      </c>
      <c r="I32" s="3"/>
      <c r="J32" s="8">
        <f t="shared" si="1"/>
        <v>9.1825678132633013E-3</v>
      </c>
      <c r="K32" s="3"/>
      <c r="L32" s="7">
        <f t="shared" si="2"/>
        <v>-1255</v>
      </c>
      <c r="M32" s="3"/>
      <c r="N32" s="8">
        <f t="shared" si="3"/>
        <v>-0.83666666666666667</v>
      </c>
      <c r="O32" s="12"/>
      <c r="P32" s="7">
        <v>1533.18</v>
      </c>
      <c r="Q32" s="3"/>
      <c r="R32" s="8">
        <f t="shared" si="4"/>
        <v>0</v>
      </c>
      <c r="S32" s="3"/>
      <c r="T32" s="7">
        <v>12820</v>
      </c>
      <c r="U32" s="3"/>
      <c r="V32" s="8">
        <f t="shared" si="5"/>
        <v>2.0386452073550249E-2</v>
      </c>
      <c r="W32" s="3"/>
      <c r="X32" s="7">
        <f t="shared" si="6"/>
        <v>-11286.82</v>
      </c>
      <c r="Y32" s="3"/>
      <c r="Z32" s="8">
        <f t="shared" si="7"/>
        <v>-0.88040717628705145</v>
      </c>
    </row>
    <row r="33" spans="1:26" s="69" customFormat="1" ht="15" customHeight="1" outlineLevel="1" collapsed="1" x14ac:dyDescent="0.3">
      <c r="A33" s="25"/>
      <c r="B33" s="14" t="str">
        <f>CONCATENATE("     ","*Payroll                                          ")</f>
        <v xml:space="preserve">     *Payroll                                          </v>
      </c>
      <c r="C33" s="14"/>
      <c r="D33" s="2">
        <f>SUM(OSRRefD22_1x_0)</f>
        <v>6267.73</v>
      </c>
      <c r="E33" s="2"/>
      <c r="F33" s="6">
        <f t="shared" si="0"/>
        <v>0</v>
      </c>
      <c r="G33" s="2"/>
      <c r="H33" s="2">
        <f>SUM(OSRRefH22_1x_0)</f>
        <v>30127.994261538457</v>
      </c>
      <c r="I33" s="2"/>
      <c r="J33" s="6">
        <f t="shared" si="1"/>
        <v>0.18443490025612297</v>
      </c>
      <c r="K33" s="2"/>
      <c r="L33" s="2">
        <f t="shared" si="2"/>
        <v>-23860.264261538458</v>
      </c>
      <c r="M33" s="2"/>
      <c r="N33" s="6">
        <f t="shared" si="3"/>
        <v>-0.79196325033819415</v>
      </c>
      <c r="O33" s="14"/>
      <c r="P33" s="2">
        <f>SUM(OSRRefP22_1x_0)</f>
        <v>47438.709999999992</v>
      </c>
      <c r="Q33" s="2"/>
      <c r="R33" s="6">
        <f t="shared" si="4"/>
        <v>0</v>
      </c>
      <c r="S33" s="2"/>
      <c r="T33" s="2">
        <f>SUM(OSRRefT22_1x_0)</f>
        <v>166610.2426</v>
      </c>
      <c r="U33" s="2"/>
      <c r="V33" s="6">
        <f t="shared" si="5"/>
        <v>0.26494475239683929</v>
      </c>
      <c r="W33" s="2"/>
      <c r="X33" s="2">
        <f t="shared" si="6"/>
        <v>-119171.53260000001</v>
      </c>
      <c r="Y33" s="2"/>
      <c r="Z33" s="6">
        <f t="shared" si="7"/>
        <v>-0.7152713467089088</v>
      </c>
    </row>
    <row r="34" spans="1:26" s="70" customFormat="1" ht="15" hidden="1" customHeight="1" outlineLevel="2" x14ac:dyDescent="0.3">
      <c r="A34" s="26"/>
      <c r="B34" s="12" t="str">
        <f>CONCATENATE("          ","6001"," - ","ADMINISTRATIVE SALARIES")</f>
        <v xml:space="preserve">          6001 - ADMINISTRATIVE SALARIES</v>
      </c>
      <c r="C34" s="12"/>
      <c r="D34" s="7"/>
      <c r="E34" s="3"/>
      <c r="F34" s="8">
        <f t="shared" si="0"/>
        <v>0</v>
      </c>
      <c r="G34" s="3"/>
      <c r="H34" s="7">
        <v>0</v>
      </c>
      <c r="I34" s="3"/>
      <c r="J34" s="8">
        <f t="shared" si="1"/>
        <v>0</v>
      </c>
      <c r="K34" s="3"/>
      <c r="L34" s="7">
        <f t="shared" si="2"/>
        <v>0</v>
      </c>
      <c r="M34" s="3"/>
      <c r="N34" s="8">
        <f t="shared" si="3"/>
        <v>0</v>
      </c>
      <c r="O34" s="12"/>
      <c r="P34" s="7"/>
      <c r="Q34" s="3"/>
      <c r="R34" s="8">
        <f t="shared" si="4"/>
        <v>0</v>
      </c>
      <c r="S34" s="3"/>
      <c r="T34" s="7">
        <v>0</v>
      </c>
      <c r="U34" s="3"/>
      <c r="V34" s="8">
        <f t="shared" si="5"/>
        <v>0</v>
      </c>
      <c r="W34" s="3"/>
      <c r="X34" s="7">
        <f t="shared" si="6"/>
        <v>0</v>
      </c>
      <c r="Y34" s="3"/>
      <c r="Z34" s="8">
        <f t="shared" si="7"/>
        <v>0</v>
      </c>
    </row>
    <row r="35" spans="1:26" s="70" customFormat="1" ht="15" hidden="1" customHeight="1" outlineLevel="2" x14ac:dyDescent="0.3">
      <c r="A35" s="26"/>
      <c r="B35" s="12" t="str">
        <f>CONCATENATE("          ","6002"," - ","STAFF SALARIES")</f>
        <v xml:space="preserve">          6002 - STAFF SALARIES</v>
      </c>
      <c r="C35" s="12"/>
      <c r="D35" s="7">
        <v>5538.48</v>
      </c>
      <c r="E35" s="3"/>
      <c r="F35" s="8">
        <f t="shared" si="0"/>
        <v>0</v>
      </c>
      <c r="G35" s="3"/>
      <c r="H35" s="7">
        <v>4691.5384615384601</v>
      </c>
      <c r="I35" s="3"/>
      <c r="J35" s="8">
        <f t="shared" si="1"/>
        <v>2.8720246714406591E-2</v>
      </c>
      <c r="K35" s="3"/>
      <c r="L35" s="7">
        <f t="shared" si="2"/>
        <v>846.94153846153949</v>
      </c>
      <c r="M35" s="3"/>
      <c r="N35" s="8">
        <f t="shared" si="3"/>
        <v>0.18052533202164317</v>
      </c>
      <c r="O35" s="12"/>
      <c r="P35" s="7">
        <v>24092.76</v>
      </c>
      <c r="Q35" s="3"/>
      <c r="R35" s="8">
        <f t="shared" si="4"/>
        <v>0</v>
      </c>
      <c r="S35" s="3"/>
      <c r="T35" s="7">
        <v>15247.5</v>
      </c>
      <c r="U35" s="3"/>
      <c r="V35" s="8">
        <f t="shared" si="5"/>
        <v>2.4246679250503698E-2</v>
      </c>
      <c r="W35" s="3"/>
      <c r="X35" s="7">
        <f t="shared" si="6"/>
        <v>8845.2599999999984</v>
      </c>
      <c r="Y35" s="3"/>
      <c r="Z35" s="8">
        <f t="shared" si="7"/>
        <v>0.58011214953271018</v>
      </c>
    </row>
    <row r="36" spans="1:26" s="70" customFormat="1" ht="15" hidden="1" customHeight="1" outlineLevel="2" x14ac:dyDescent="0.3">
      <c r="A36" s="26"/>
      <c r="B36" s="12" t="str">
        <f>CONCATENATE("          ","6003"," - ","STAFF HOURLY-9 MONTH")</f>
        <v xml:space="preserve">          6003 - STAFF HOURLY-9 MONTH</v>
      </c>
      <c r="C36" s="12"/>
      <c r="D36" s="7"/>
      <c r="E36" s="3"/>
      <c r="F36" s="8">
        <f t="shared" si="0"/>
        <v>0</v>
      </c>
      <c r="G36" s="3"/>
      <c r="H36" s="7">
        <v>0</v>
      </c>
      <c r="I36" s="3"/>
      <c r="J36" s="8">
        <f t="shared" si="1"/>
        <v>0</v>
      </c>
      <c r="K36" s="3"/>
      <c r="L36" s="7">
        <f t="shared" si="2"/>
        <v>0</v>
      </c>
      <c r="M36" s="3"/>
      <c r="N36" s="8">
        <f t="shared" si="3"/>
        <v>0</v>
      </c>
      <c r="O36" s="12"/>
      <c r="P36" s="7"/>
      <c r="Q36" s="3"/>
      <c r="R36" s="8">
        <f t="shared" si="4"/>
        <v>0</v>
      </c>
      <c r="S36" s="3"/>
      <c r="T36" s="7">
        <v>0</v>
      </c>
      <c r="U36" s="3"/>
      <c r="V36" s="8">
        <f t="shared" si="5"/>
        <v>0</v>
      </c>
      <c r="W36" s="3"/>
      <c r="X36" s="7">
        <f t="shared" si="6"/>
        <v>0</v>
      </c>
      <c r="Y36" s="3"/>
      <c r="Z36" s="8">
        <f t="shared" si="7"/>
        <v>0</v>
      </c>
    </row>
    <row r="37" spans="1:26" s="70" customFormat="1" ht="15" hidden="1" customHeight="1" outlineLevel="2" x14ac:dyDescent="0.3">
      <c r="A37" s="26"/>
      <c r="B37" s="12" t="str">
        <f>CONCATENATE("          ","6004"," - ","STAFF HOURLY")</f>
        <v xml:space="preserve">          6004 - STAFF HOURLY</v>
      </c>
      <c r="C37" s="12"/>
      <c r="D37" s="7"/>
      <c r="E37" s="3"/>
      <c r="F37" s="8">
        <f t="shared" si="0"/>
        <v>0</v>
      </c>
      <c r="G37" s="3"/>
      <c r="H37" s="7">
        <v>8255.0591999999997</v>
      </c>
      <c r="I37" s="3"/>
      <c r="J37" s="8">
        <f t="shared" si="1"/>
        <v>5.0535093937668731E-2</v>
      </c>
      <c r="K37" s="3"/>
      <c r="L37" s="7">
        <f t="shared" si="2"/>
        <v>-8255.0591999999997</v>
      </c>
      <c r="M37" s="3"/>
      <c r="N37" s="8">
        <f t="shared" si="3"/>
        <v>-1</v>
      </c>
      <c r="O37" s="12"/>
      <c r="P37" s="7">
        <v>14370.65</v>
      </c>
      <c r="Q37" s="3"/>
      <c r="R37" s="8">
        <f t="shared" si="4"/>
        <v>0</v>
      </c>
      <c r="S37" s="3"/>
      <c r="T37" s="7">
        <v>72104.954400000002</v>
      </c>
      <c r="U37" s="3"/>
      <c r="V37" s="8">
        <f t="shared" si="5"/>
        <v>0.11466179384876179</v>
      </c>
      <c r="W37" s="3"/>
      <c r="X37" s="7">
        <f t="shared" si="6"/>
        <v>-57734.304400000001</v>
      </c>
      <c r="Y37" s="3"/>
      <c r="Z37" s="8">
        <f t="shared" si="7"/>
        <v>-0.80069816117933779</v>
      </c>
    </row>
    <row r="38" spans="1:26" s="70" customFormat="1" ht="15" hidden="1" customHeight="1" outlineLevel="2" x14ac:dyDescent="0.3">
      <c r="A38" s="26"/>
      <c r="B38" s="12" t="str">
        <f>CONCATENATE("          ","6005"," - ","TEMPORARY WAGES-HOURLY")</f>
        <v xml:space="preserve">          6005 - TEMPORARY WAGES-HOURLY</v>
      </c>
      <c r="C38" s="12"/>
      <c r="D38" s="7"/>
      <c r="E38" s="3"/>
      <c r="F38" s="8">
        <f t="shared" si="0"/>
        <v>0</v>
      </c>
      <c r="G38" s="3"/>
      <c r="H38" s="7">
        <v>4998.5263999999997</v>
      </c>
      <c r="I38" s="3"/>
      <c r="J38" s="8">
        <f t="shared" si="1"/>
        <v>3.0599538422924587E-2</v>
      </c>
      <c r="K38" s="3"/>
      <c r="L38" s="7">
        <f t="shared" si="2"/>
        <v>-4998.5263999999997</v>
      </c>
      <c r="M38" s="3"/>
      <c r="N38" s="8">
        <f t="shared" si="3"/>
        <v>-1</v>
      </c>
      <c r="O38" s="12"/>
      <c r="P38" s="7">
        <v>8246.0499999999993</v>
      </c>
      <c r="Q38" s="3"/>
      <c r="R38" s="8">
        <f t="shared" si="4"/>
        <v>0</v>
      </c>
      <c r="S38" s="3"/>
      <c r="T38" s="7">
        <v>36020.678399999997</v>
      </c>
      <c r="U38" s="3"/>
      <c r="V38" s="8">
        <f t="shared" si="5"/>
        <v>5.7280330254162758E-2</v>
      </c>
      <c r="W38" s="3"/>
      <c r="X38" s="7">
        <f t="shared" si="6"/>
        <v>-27774.628399999998</v>
      </c>
      <c r="Y38" s="3"/>
      <c r="Z38" s="8">
        <f t="shared" si="7"/>
        <v>-0.77107455033384376</v>
      </c>
    </row>
    <row r="39" spans="1:26" s="70" customFormat="1" ht="15" hidden="1" customHeight="1" outlineLevel="2" x14ac:dyDescent="0.3">
      <c r="A39" s="26"/>
      <c r="B39" s="12" t="str">
        <f>CONCATENATE("          ","6006"," - ","TEMPORARY PART TIME")</f>
        <v xml:space="preserve">          6006 - TEMPORARY PART TIME</v>
      </c>
      <c r="C39" s="12"/>
      <c r="D39" s="7"/>
      <c r="E39" s="3"/>
      <c r="F39" s="8">
        <f t="shared" si="0"/>
        <v>0</v>
      </c>
      <c r="G39" s="3"/>
      <c r="H39" s="7">
        <v>0</v>
      </c>
      <c r="I39" s="3"/>
      <c r="J39" s="8">
        <f t="shared" si="1"/>
        <v>0</v>
      </c>
      <c r="K39" s="3"/>
      <c r="L39" s="7">
        <f t="shared" si="2"/>
        <v>0</v>
      </c>
      <c r="M39" s="3"/>
      <c r="N39" s="8">
        <f t="shared" si="3"/>
        <v>0</v>
      </c>
      <c r="O39" s="12"/>
      <c r="P39" s="7"/>
      <c r="Q39" s="3"/>
      <c r="R39" s="8">
        <f t="shared" si="4"/>
        <v>0</v>
      </c>
      <c r="S39" s="3"/>
      <c r="T39" s="7">
        <v>0</v>
      </c>
      <c r="U39" s="3"/>
      <c r="V39" s="8">
        <f t="shared" si="5"/>
        <v>0</v>
      </c>
      <c r="W39" s="3"/>
      <c r="X39" s="7">
        <f t="shared" si="6"/>
        <v>0</v>
      </c>
      <c r="Y39" s="3"/>
      <c r="Z39" s="8">
        <f t="shared" si="7"/>
        <v>0</v>
      </c>
    </row>
    <row r="40" spans="1:26" s="70" customFormat="1" ht="15" hidden="1" customHeight="1" outlineLevel="2" x14ac:dyDescent="0.3">
      <c r="A40" s="26"/>
      <c r="B40" s="12" t="str">
        <f>CONCATENATE("          ","6007"," - ","STUDENT HOURLY")</f>
        <v xml:space="preserve">          6007 - STUDENT HOURLY</v>
      </c>
      <c r="C40" s="12"/>
      <c r="D40" s="7">
        <v>729.25</v>
      </c>
      <c r="E40" s="3"/>
      <c r="F40" s="8">
        <f t="shared" si="0"/>
        <v>0</v>
      </c>
      <c r="G40" s="3"/>
      <c r="H40" s="7">
        <v>1415.6956</v>
      </c>
      <c r="I40" s="3"/>
      <c r="J40" s="8">
        <f t="shared" si="1"/>
        <v>8.6664805666256516E-3</v>
      </c>
      <c r="K40" s="3"/>
      <c r="L40" s="7">
        <f t="shared" si="2"/>
        <v>-686.44560000000001</v>
      </c>
      <c r="M40" s="3"/>
      <c r="N40" s="8">
        <f t="shared" si="3"/>
        <v>-0.48488220207790433</v>
      </c>
      <c r="O40" s="12"/>
      <c r="P40" s="7">
        <v>729.25</v>
      </c>
      <c r="Q40" s="3"/>
      <c r="R40" s="8">
        <f t="shared" si="4"/>
        <v>0</v>
      </c>
      <c r="S40" s="3"/>
      <c r="T40" s="7">
        <v>10531.7168</v>
      </c>
      <c r="U40" s="3"/>
      <c r="V40" s="8">
        <f t="shared" si="5"/>
        <v>1.6747608408377846E-2</v>
      </c>
      <c r="W40" s="3"/>
      <c r="X40" s="7">
        <f t="shared" si="6"/>
        <v>-9802.4668000000001</v>
      </c>
      <c r="Y40" s="3"/>
      <c r="Z40" s="8">
        <f t="shared" si="7"/>
        <v>-0.9307567784200198</v>
      </c>
    </row>
    <row r="41" spans="1:26" s="70" customFormat="1" ht="15" hidden="1" customHeight="1" outlineLevel="2" x14ac:dyDescent="0.3">
      <c r="A41" s="26"/>
      <c r="B41" s="12" t="str">
        <f>CONCATENATE("          ","6008"," - ","STUDENT HOURLY-FICA EXEMPT")</f>
        <v xml:space="preserve">          6008 - STUDENT HOURLY-FICA EXEMPT</v>
      </c>
      <c r="C41" s="12"/>
      <c r="D41" s="7"/>
      <c r="E41" s="3"/>
      <c r="F41" s="8">
        <f t="shared" si="0"/>
        <v>0</v>
      </c>
      <c r="G41" s="3"/>
      <c r="H41" s="7">
        <v>10767.1746</v>
      </c>
      <c r="I41" s="3"/>
      <c r="J41" s="8">
        <f t="shared" si="1"/>
        <v>6.5913540614497446E-2</v>
      </c>
      <c r="K41" s="3"/>
      <c r="L41" s="7">
        <f t="shared" si="2"/>
        <v>-10767.1746</v>
      </c>
      <c r="M41" s="3"/>
      <c r="N41" s="8">
        <f t="shared" si="3"/>
        <v>-1</v>
      </c>
      <c r="O41" s="12"/>
      <c r="P41" s="7"/>
      <c r="Q41" s="3"/>
      <c r="R41" s="8">
        <f t="shared" si="4"/>
        <v>0</v>
      </c>
      <c r="S41" s="3"/>
      <c r="T41" s="7">
        <v>32705.393</v>
      </c>
      <c r="U41" s="3"/>
      <c r="V41" s="8">
        <f t="shared" si="5"/>
        <v>5.2008340635033214E-2</v>
      </c>
      <c r="W41" s="3"/>
      <c r="X41" s="7">
        <f t="shared" si="6"/>
        <v>-32705.393</v>
      </c>
      <c r="Y41" s="3"/>
      <c r="Z41" s="8">
        <f t="shared" si="7"/>
        <v>-1</v>
      </c>
    </row>
    <row r="42" spans="1:26" s="70" customFormat="1" ht="15" hidden="1" customHeight="1" outlineLevel="2" x14ac:dyDescent="0.3">
      <c r="A42" s="26"/>
      <c r="B42" s="12" t="str">
        <f>CONCATENATE("          ","6009"," - ","TEMPORARY-SEASONAL")</f>
        <v xml:space="preserve">          6009 - TEMPORARY-SEASONAL</v>
      </c>
      <c r="C42" s="12"/>
      <c r="D42" s="7"/>
      <c r="E42" s="3"/>
      <c r="F42" s="8">
        <f t="shared" si="0"/>
        <v>0</v>
      </c>
      <c r="G42" s="3"/>
      <c r="H42" s="7">
        <v>0</v>
      </c>
      <c r="I42" s="3"/>
      <c r="J42" s="8">
        <f t="shared" si="1"/>
        <v>0</v>
      </c>
      <c r="K42" s="3"/>
      <c r="L42" s="7">
        <f t="shared" si="2"/>
        <v>0</v>
      </c>
      <c r="M42" s="3"/>
      <c r="N42" s="8">
        <f t="shared" si="3"/>
        <v>0</v>
      </c>
      <c r="O42" s="12"/>
      <c r="P42" s="7"/>
      <c r="Q42" s="3"/>
      <c r="R42" s="8">
        <f t="shared" si="4"/>
        <v>0</v>
      </c>
      <c r="S42" s="3"/>
      <c r="T42" s="7">
        <v>0</v>
      </c>
      <c r="U42" s="3"/>
      <c r="V42" s="8">
        <f t="shared" si="5"/>
        <v>0</v>
      </c>
      <c r="W42" s="3"/>
      <c r="X42" s="7">
        <f t="shared" si="6"/>
        <v>0</v>
      </c>
      <c r="Y42" s="3"/>
      <c r="Z42" s="8">
        <f t="shared" si="7"/>
        <v>0</v>
      </c>
    </row>
    <row r="43" spans="1:26" s="70" customFormat="1" ht="15" hidden="1" customHeight="1" outlineLevel="2" x14ac:dyDescent="0.3">
      <c r="A43" s="26"/>
      <c r="B43" s="12" t="str">
        <f>CONCATENATE("          ","6010"," - ","GRATUITY")</f>
        <v xml:space="preserve">          6010 - GRATUITY</v>
      </c>
      <c r="C43" s="12"/>
      <c r="D43" s="7"/>
      <c r="E43" s="3"/>
      <c r="F43" s="8">
        <f t="shared" si="0"/>
        <v>0</v>
      </c>
      <c r="G43" s="3"/>
      <c r="H43" s="7">
        <v>0</v>
      </c>
      <c r="I43" s="3"/>
      <c r="J43" s="8">
        <f t="shared" si="1"/>
        <v>0</v>
      </c>
      <c r="K43" s="3"/>
      <c r="L43" s="7">
        <f t="shared" si="2"/>
        <v>0</v>
      </c>
      <c r="M43" s="3"/>
      <c r="N43" s="8">
        <f t="shared" si="3"/>
        <v>0</v>
      </c>
      <c r="O43" s="12"/>
      <c r="P43" s="7"/>
      <c r="Q43" s="3"/>
      <c r="R43" s="8">
        <f t="shared" si="4"/>
        <v>0</v>
      </c>
      <c r="S43" s="3"/>
      <c r="T43" s="7">
        <v>0</v>
      </c>
      <c r="U43" s="3"/>
      <c r="V43" s="8">
        <f t="shared" si="5"/>
        <v>0</v>
      </c>
      <c r="W43" s="3"/>
      <c r="X43" s="7">
        <f t="shared" si="6"/>
        <v>0</v>
      </c>
      <c r="Y43" s="3"/>
      <c r="Z43" s="8">
        <f t="shared" si="7"/>
        <v>0</v>
      </c>
    </row>
    <row r="44" spans="1:26" s="69" customFormat="1" ht="15" customHeight="1" outlineLevel="1" collapsed="1" x14ac:dyDescent="0.3">
      <c r="A44" s="25"/>
      <c r="B44" s="14" t="str">
        <f>CONCATENATE("     ","Advertising/Promo                                 ")</f>
        <v xml:space="preserve">     Advertising/Promo                                 </v>
      </c>
      <c r="C44" s="14"/>
      <c r="D44" s="2">
        <f>SUM(OSRRefD22_2x_0)</f>
        <v>0</v>
      </c>
      <c r="E44" s="2"/>
      <c r="F44" s="6">
        <f t="shared" si="0"/>
        <v>0</v>
      </c>
      <c r="G44" s="2"/>
      <c r="H44" s="2">
        <f>SUM(OSRRefH22_2x_0)</f>
        <v>0</v>
      </c>
      <c r="I44" s="2"/>
      <c r="J44" s="6">
        <f t="shared" si="1"/>
        <v>0</v>
      </c>
      <c r="K44" s="2"/>
      <c r="L44" s="2">
        <f t="shared" si="2"/>
        <v>0</v>
      </c>
      <c r="M44" s="2"/>
      <c r="N44" s="6">
        <f t="shared" si="3"/>
        <v>0</v>
      </c>
      <c r="O44" s="14"/>
      <c r="P44" s="2">
        <f>SUM(OSRRefP22_2x_0)</f>
        <v>263.58</v>
      </c>
      <c r="Q44" s="2"/>
      <c r="R44" s="6">
        <f t="shared" si="4"/>
        <v>0</v>
      </c>
      <c r="S44" s="2"/>
      <c r="T44" s="2">
        <f>SUM(OSRRefT22_2x_0)</f>
        <v>0</v>
      </c>
      <c r="U44" s="2"/>
      <c r="V44" s="6">
        <f t="shared" si="5"/>
        <v>0</v>
      </c>
      <c r="W44" s="2"/>
      <c r="X44" s="2">
        <f t="shared" si="6"/>
        <v>263.58</v>
      </c>
      <c r="Y44" s="2"/>
      <c r="Z44" s="6">
        <f t="shared" si="7"/>
        <v>0</v>
      </c>
    </row>
    <row r="45" spans="1:26" s="70" customFormat="1" ht="15" hidden="1" customHeight="1" outlineLevel="2" x14ac:dyDescent="0.3">
      <c r="A45" s="26"/>
      <c r="B45" s="12" t="str">
        <f>CONCATENATE("          ","6362"," - ","ADVERTISING EXPENSE")</f>
        <v xml:space="preserve">          6362 - ADVERTISING EXPENSE</v>
      </c>
      <c r="C45" s="12"/>
      <c r="D45" s="7"/>
      <c r="E45" s="3"/>
      <c r="F45" s="8">
        <f t="shared" si="0"/>
        <v>0</v>
      </c>
      <c r="G45" s="3"/>
      <c r="H45" s="7"/>
      <c r="I45" s="3"/>
      <c r="J45" s="8">
        <f t="shared" si="1"/>
        <v>0</v>
      </c>
      <c r="K45" s="3"/>
      <c r="L45" s="7">
        <f t="shared" si="2"/>
        <v>0</v>
      </c>
      <c r="M45" s="3"/>
      <c r="N45" s="8">
        <f t="shared" si="3"/>
        <v>0</v>
      </c>
      <c r="O45" s="12"/>
      <c r="P45" s="7">
        <v>263.58</v>
      </c>
      <c r="Q45" s="3"/>
      <c r="R45" s="8">
        <f t="shared" si="4"/>
        <v>0</v>
      </c>
      <c r="S45" s="3"/>
      <c r="T45" s="7"/>
      <c r="U45" s="3"/>
      <c r="V45" s="8">
        <f t="shared" si="5"/>
        <v>0</v>
      </c>
      <c r="W45" s="3"/>
      <c r="X45" s="7">
        <f t="shared" si="6"/>
        <v>263.58</v>
      </c>
      <c r="Y45" s="3"/>
      <c r="Z45" s="8">
        <f t="shared" si="7"/>
        <v>0</v>
      </c>
    </row>
    <row r="46" spans="1:26" s="69" customFormat="1" ht="15" customHeight="1" outlineLevel="1" collapsed="1" x14ac:dyDescent="0.3">
      <c r="A46" s="25"/>
      <c r="B46" s="14" t="str">
        <f>CONCATENATE("     ","Bank/card Fees                                    ")</f>
        <v xml:space="preserve">     Bank/card Fees                                    </v>
      </c>
      <c r="C46" s="14"/>
      <c r="D46" s="2">
        <f>SUM(OSRRefD22_3x_0)</f>
        <v>0</v>
      </c>
      <c r="E46" s="2"/>
      <c r="F46" s="6">
        <f t="shared" si="0"/>
        <v>0</v>
      </c>
      <c r="G46" s="2"/>
      <c r="H46" s="2">
        <f>SUM(OSRRefH22_3x_0)</f>
        <v>6529</v>
      </c>
      <c r="I46" s="2"/>
      <c r="J46" s="6">
        <f t="shared" si="1"/>
        <v>3.9968656835197396E-2</v>
      </c>
      <c r="K46" s="2"/>
      <c r="L46" s="2">
        <f t="shared" si="2"/>
        <v>-6529</v>
      </c>
      <c r="M46" s="2"/>
      <c r="N46" s="6">
        <f t="shared" si="3"/>
        <v>-1</v>
      </c>
      <c r="O46" s="14"/>
      <c r="P46" s="2">
        <f>SUM(OSRRefP22_3x_0)</f>
        <v>0.64</v>
      </c>
      <c r="Q46" s="2"/>
      <c r="R46" s="6">
        <f t="shared" si="4"/>
        <v>0</v>
      </c>
      <c r="S46" s="2"/>
      <c r="T46" s="2">
        <f>SUM(OSRRefT22_3x_0)</f>
        <v>25135</v>
      </c>
      <c r="U46" s="2"/>
      <c r="V46" s="6">
        <f t="shared" si="5"/>
        <v>3.9969849677744577E-2</v>
      </c>
      <c r="W46" s="2"/>
      <c r="X46" s="2">
        <f t="shared" si="6"/>
        <v>-25134.36</v>
      </c>
      <c r="Y46" s="2"/>
      <c r="Z46" s="6">
        <f t="shared" si="7"/>
        <v>-0.99997453749751342</v>
      </c>
    </row>
    <row r="47" spans="1:26" s="70" customFormat="1" ht="15" hidden="1" customHeight="1" outlineLevel="2" x14ac:dyDescent="0.3">
      <c r="A47" s="26"/>
      <c r="B47" s="12" t="str">
        <f>CONCATENATE("          ","6381"," - ","BANK/CREDIT CARD FEES")</f>
        <v xml:space="preserve">          6381 - BANK/CREDIT CARD FEES</v>
      </c>
      <c r="C47" s="12"/>
      <c r="D47" s="7"/>
      <c r="E47" s="3"/>
      <c r="F47" s="8">
        <f t="shared" si="0"/>
        <v>0</v>
      </c>
      <c r="G47" s="3"/>
      <c r="H47" s="7">
        <v>6529</v>
      </c>
      <c r="I47" s="3"/>
      <c r="J47" s="8">
        <f t="shared" si="1"/>
        <v>3.9968656835197396E-2</v>
      </c>
      <c r="K47" s="3"/>
      <c r="L47" s="7">
        <f t="shared" si="2"/>
        <v>-6529</v>
      </c>
      <c r="M47" s="3"/>
      <c r="N47" s="8">
        <f t="shared" si="3"/>
        <v>-1</v>
      </c>
      <c r="O47" s="12"/>
      <c r="P47" s="7">
        <v>0.64</v>
      </c>
      <c r="Q47" s="3"/>
      <c r="R47" s="8">
        <f t="shared" si="4"/>
        <v>0</v>
      </c>
      <c r="S47" s="3"/>
      <c r="T47" s="7">
        <v>25135</v>
      </c>
      <c r="U47" s="3"/>
      <c r="V47" s="8">
        <f t="shared" si="5"/>
        <v>3.9969849677744577E-2</v>
      </c>
      <c r="W47" s="3"/>
      <c r="X47" s="7">
        <f t="shared" si="6"/>
        <v>-25134.36</v>
      </c>
      <c r="Y47" s="3"/>
      <c r="Z47" s="8">
        <f t="shared" si="7"/>
        <v>-0.99997453749751342</v>
      </c>
    </row>
    <row r="48" spans="1:26" s="69" customFormat="1" ht="15" customHeight="1" outlineLevel="1" collapsed="1" x14ac:dyDescent="0.3">
      <c r="A48" s="25"/>
      <c r="B48" s="14" t="str">
        <f>CONCATENATE("     ","Depreciation                                      ")</f>
        <v xml:space="preserve">     Depreciation                                      </v>
      </c>
      <c r="C48" s="14"/>
      <c r="D48" s="2">
        <f>SUM(OSRRefD22_4x_0)</f>
        <v>6701.08</v>
      </c>
      <c r="E48" s="2"/>
      <c r="F48" s="6">
        <f t="shared" si="0"/>
        <v>0</v>
      </c>
      <c r="G48" s="2"/>
      <c r="H48" s="2">
        <f>SUM(OSRRefH22_4x_0)</f>
        <v>6701</v>
      </c>
      <c r="I48" s="2"/>
      <c r="J48" s="6">
        <f t="shared" si="1"/>
        <v>4.1021591277784923E-2</v>
      </c>
      <c r="K48" s="2"/>
      <c r="L48" s="2">
        <f t="shared" si="2"/>
        <v>7.999999999992724E-2</v>
      </c>
      <c r="M48" s="2"/>
      <c r="N48" s="6">
        <f t="shared" si="3"/>
        <v>1.1938516639296707E-5</v>
      </c>
      <c r="O48" s="14"/>
      <c r="P48" s="2">
        <f>SUM(OSRRefP22_4x_0)</f>
        <v>60397.86</v>
      </c>
      <c r="Q48" s="2"/>
      <c r="R48" s="6">
        <f t="shared" si="4"/>
        <v>0</v>
      </c>
      <c r="S48" s="2"/>
      <c r="T48" s="2">
        <f>SUM(OSRRefT22_4x_0)</f>
        <v>60397</v>
      </c>
      <c r="U48" s="2"/>
      <c r="V48" s="6">
        <f t="shared" si="5"/>
        <v>9.6043724328097838E-2</v>
      </c>
      <c r="W48" s="2"/>
      <c r="X48" s="2">
        <f t="shared" si="6"/>
        <v>0.86000000000058208</v>
      </c>
      <c r="Y48" s="2"/>
      <c r="Z48" s="6">
        <f t="shared" si="7"/>
        <v>1.4239117836988296E-5</v>
      </c>
    </row>
    <row r="49" spans="1:26" s="70" customFormat="1" ht="15" hidden="1" customHeight="1" outlineLevel="2" x14ac:dyDescent="0.3">
      <c r="A49" s="26"/>
      <c r="B49" s="12" t="str">
        <f>CONCATENATE("          ","6321"," - ","BUILDING DEPRECIATION")</f>
        <v xml:space="preserve">          6321 - BUILDING DEPRECIATION</v>
      </c>
      <c r="C49" s="12"/>
      <c r="D49" s="7">
        <v>6492.96</v>
      </c>
      <c r="E49" s="3"/>
      <c r="F49" s="8">
        <f t="shared" si="0"/>
        <v>0</v>
      </c>
      <c r="G49" s="3"/>
      <c r="H49" s="7"/>
      <c r="I49" s="3"/>
      <c r="J49" s="8">
        <f t="shared" si="1"/>
        <v>0</v>
      </c>
      <c r="K49" s="3"/>
      <c r="L49" s="7">
        <f t="shared" si="2"/>
        <v>6492.96</v>
      </c>
      <c r="M49" s="3"/>
      <c r="N49" s="8">
        <f t="shared" si="3"/>
        <v>0</v>
      </c>
      <c r="O49" s="12"/>
      <c r="P49" s="7">
        <v>58524.78</v>
      </c>
      <c r="Q49" s="3"/>
      <c r="R49" s="8">
        <f t="shared" si="4"/>
        <v>0</v>
      </c>
      <c r="S49" s="3"/>
      <c r="T49" s="7"/>
      <c r="U49" s="3"/>
      <c r="V49" s="8">
        <f t="shared" si="5"/>
        <v>0</v>
      </c>
      <c r="W49" s="3"/>
      <c r="X49" s="7">
        <f t="shared" si="6"/>
        <v>58524.78</v>
      </c>
      <c r="Y49" s="3"/>
      <c r="Z49" s="8">
        <f t="shared" si="7"/>
        <v>0</v>
      </c>
    </row>
    <row r="50" spans="1:26" s="70" customFormat="1" ht="15" hidden="1" customHeight="1" outlineLevel="2" x14ac:dyDescent="0.3">
      <c r="A50" s="26"/>
      <c r="B50" s="12" t="str">
        <f>CONCATENATE("          ","6322"," - ","EQUIPMENT DEPRECIATION EXPENSE")</f>
        <v xml:space="preserve">          6322 - EQUIPMENT DEPRECIATION EXPENSE</v>
      </c>
      <c r="C50" s="12"/>
      <c r="D50" s="7">
        <v>208.12</v>
      </c>
      <c r="E50" s="3"/>
      <c r="F50" s="8">
        <f t="shared" si="0"/>
        <v>0</v>
      </c>
      <c r="G50" s="3"/>
      <c r="H50" s="7">
        <v>6701</v>
      </c>
      <c r="I50" s="3"/>
      <c r="J50" s="8">
        <f t="shared" si="1"/>
        <v>4.1021591277784923E-2</v>
      </c>
      <c r="K50" s="3"/>
      <c r="L50" s="7">
        <f t="shared" si="2"/>
        <v>-6492.88</v>
      </c>
      <c r="M50" s="3"/>
      <c r="N50" s="8">
        <f t="shared" si="3"/>
        <v>-0.96894194896284136</v>
      </c>
      <c r="O50" s="12"/>
      <c r="P50" s="7">
        <v>1873.08</v>
      </c>
      <c r="Q50" s="3"/>
      <c r="R50" s="8">
        <f t="shared" si="4"/>
        <v>0</v>
      </c>
      <c r="S50" s="3"/>
      <c r="T50" s="7">
        <v>60397</v>
      </c>
      <c r="U50" s="3"/>
      <c r="V50" s="8">
        <f t="shared" si="5"/>
        <v>9.6043724328097838E-2</v>
      </c>
      <c r="W50" s="3"/>
      <c r="X50" s="7">
        <f t="shared" si="6"/>
        <v>-58523.92</v>
      </c>
      <c r="Y50" s="3"/>
      <c r="Z50" s="8">
        <f t="shared" si="7"/>
        <v>-0.96898720135106042</v>
      </c>
    </row>
    <row r="51" spans="1:26" s="69" customFormat="1" ht="15" customHeight="1" outlineLevel="1" collapsed="1" x14ac:dyDescent="0.3">
      <c r="A51" s="25"/>
      <c r="B51" s="14" t="str">
        <f>CONCATENATE("     ","Employees' Appreciation                           ")</f>
        <v xml:space="preserve">     Employees' Appreciation                           </v>
      </c>
      <c r="C51" s="14"/>
      <c r="D51" s="2">
        <f>SUM(OSRRefD22_5x_0)</f>
        <v>0</v>
      </c>
      <c r="E51" s="2"/>
      <c r="F51" s="6">
        <f t="shared" si="0"/>
        <v>0</v>
      </c>
      <c r="G51" s="2"/>
      <c r="H51" s="2">
        <f>SUM(OSRRefH22_5x_0)</f>
        <v>20</v>
      </c>
      <c r="I51" s="2"/>
      <c r="J51" s="6">
        <f t="shared" si="1"/>
        <v>1.2243423751017734E-4</v>
      </c>
      <c r="K51" s="2"/>
      <c r="L51" s="2">
        <f t="shared" si="2"/>
        <v>-20</v>
      </c>
      <c r="M51" s="2"/>
      <c r="N51" s="6">
        <f t="shared" si="3"/>
        <v>-1</v>
      </c>
      <c r="O51" s="14"/>
      <c r="P51" s="2">
        <f>SUM(OSRRefP22_5x_0)</f>
        <v>49.95</v>
      </c>
      <c r="Q51" s="2"/>
      <c r="R51" s="6">
        <f t="shared" si="4"/>
        <v>0</v>
      </c>
      <c r="S51" s="2"/>
      <c r="T51" s="2">
        <f>SUM(OSRRefT22_5x_0)</f>
        <v>100</v>
      </c>
      <c r="U51" s="2"/>
      <c r="V51" s="6">
        <f t="shared" si="5"/>
        <v>1.5902068700117199E-4</v>
      </c>
      <c r="W51" s="2"/>
      <c r="X51" s="2">
        <f t="shared" si="6"/>
        <v>-50.05</v>
      </c>
      <c r="Y51" s="2"/>
      <c r="Z51" s="6">
        <f t="shared" si="7"/>
        <v>-0.50049999999999994</v>
      </c>
    </row>
    <row r="52" spans="1:26" s="70" customFormat="1" ht="15" hidden="1" customHeight="1" outlineLevel="2" x14ac:dyDescent="0.3">
      <c r="A52" s="26"/>
      <c r="B52" s="12" t="str">
        <f>CONCATENATE("          ","6277"," - ","EMPLOYEE APPRECIATION")</f>
        <v xml:space="preserve">          6277 - EMPLOYEE APPRECIATION</v>
      </c>
      <c r="C52" s="12"/>
      <c r="D52" s="7"/>
      <c r="E52" s="3"/>
      <c r="F52" s="8">
        <f t="shared" si="0"/>
        <v>0</v>
      </c>
      <c r="G52" s="3"/>
      <c r="H52" s="7">
        <v>20</v>
      </c>
      <c r="I52" s="3"/>
      <c r="J52" s="8">
        <f t="shared" si="1"/>
        <v>1.2243423751017734E-4</v>
      </c>
      <c r="K52" s="3"/>
      <c r="L52" s="7">
        <f t="shared" si="2"/>
        <v>-20</v>
      </c>
      <c r="M52" s="3"/>
      <c r="N52" s="8">
        <f t="shared" si="3"/>
        <v>-1</v>
      </c>
      <c r="O52" s="12"/>
      <c r="P52" s="7">
        <v>49.95</v>
      </c>
      <c r="Q52" s="3"/>
      <c r="R52" s="8">
        <f t="shared" si="4"/>
        <v>0</v>
      </c>
      <c r="S52" s="3"/>
      <c r="T52" s="7">
        <v>100</v>
      </c>
      <c r="U52" s="3"/>
      <c r="V52" s="8">
        <f t="shared" si="5"/>
        <v>1.5902068700117199E-4</v>
      </c>
      <c r="W52" s="3"/>
      <c r="X52" s="7">
        <f t="shared" si="6"/>
        <v>-50.05</v>
      </c>
      <c r="Y52" s="3"/>
      <c r="Z52" s="8">
        <f t="shared" si="7"/>
        <v>-0.50049999999999994</v>
      </c>
    </row>
    <row r="53" spans="1:26" s="69" customFormat="1" ht="15" customHeight="1" outlineLevel="1" collapsed="1" x14ac:dyDescent="0.3">
      <c r="A53" s="25"/>
      <c r="B53" s="14" t="str">
        <f>CONCATENATE("     ","Equipment Rental                                  ")</f>
        <v xml:space="preserve">     Equipment Rental                                  </v>
      </c>
      <c r="C53" s="14"/>
      <c r="D53" s="2">
        <f>SUM(OSRRefD22_6x_0)</f>
        <v>290.5</v>
      </c>
      <c r="E53" s="2"/>
      <c r="F53" s="6">
        <f t="shared" si="0"/>
        <v>0</v>
      </c>
      <c r="G53" s="2"/>
      <c r="H53" s="2">
        <f>SUM(OSRRefH22_6x_0)</f>
        <v>200</v>
      </c>
      <c r="I53" s="2"/>
      <c r="J53" s="6">
        <f t="shared" si="1"/>
        <v>1.2243423751017734E-3</v>
      </c>
      <c r="K53" s="2"/>
      <c r="L53" s="2">
        <f t="shared" si="2"/>
        <v>90.5</v>
      </c>
      <c r="M53" s="2"/>
      <c r="N53" s="6">
        <f t="shared" si="3"/>
        <v>0.45250000000000001</v>
      </c>
      <c r="O53" s="14"/>
      <c r="P53" s="2">
        <f>SUM(OSRRefP22_6x_0)</f>
        <v>4457.26</v>
      </c>
      <c r="Q53" s="2"/>
      <c r="R53" s="6">
        <f t="shared" si="4"/>
        <v>0</v>
      </c>
      <c r="S53" s="2"/>
      <c r="T53" s="2">
        <f>SUM(OSRRefT22_6x_0)</f>
        <v>1800</v>
      </c>
      <c r="U53" s="2"/>
      <c r="V53" s="6">
        <f t="shared" si="5"/>
        <v>2.8623723660210956E-3</v>
      </c>
      <c r="W53" s="2"/>
      <c r="X53" s="2">
        <f t="shared" si="6"/>
        <v>2657.26</v>
      </c>
      <c r="Y53" s="2"/>
      <c r="Z53" s="6">
        <f t="shared" si="7"/>
        <v>1.4762555555555557</v>
      </c>
    </row>
    <row r="54" spans="1:26" s="70" customFormat="1" ht="15" hidden="1" customHeight="1" outlineLevel="2" x14ac:dyDescent="0.3">
      <c r="A54" s="26"/>
      <c r="B54" s="12" t="str">
        <f>CONCATENATE("          ","6351"," - ","EQUIPMENT RENTAL")</f>
        <v xml:space="preserve">          6351 - EQUIPMENT RENTAL</v>
      </c>
      <c r="C54" s="12"/>
      <c r="D54" s="7">
        <v>290.5</v>
      </c>
      <c r="E54" s="3"/>
      <c r="F54" s="8">
        <f t="shared" ref="F54:F85" si="8">IF(D$12=0,0,D54/D$12)</f>
        <v>0</v>
      </c>
      <c r="G54" s="3"/>
      <c r="H54" s="7">
        <v>200</v>
      </c>
      <c r="I54" s="3"/>
      <c r="J54" s="8">
        <f t="shared" ref="J54:J85" si="9">IF(H$12=0,0,H54/H$12)</f>
        <v>1.2243423751017734E-3</v>
      </c>
      <c r="K54" s="3"/>
      <c r="L54" s="7">
        <f t="shared" ref="L54:L85" si="10">+D54-H54</f>
        <v>90.5</v>
      </c>
      <c r="M54" s="3"/>
      <c r="N54" s="8">
        <f t="shared" ref="N54:N85" si="11">IF(H54=0,0,L54/H54)</f>
        <v>0.45250000000000001</v>
      </c>
      <c r="O54" s="12"/>
      <c r="P54" s="7">
        <v>4457.26</v>
      </c>
      <c r="Q54" s="3"/>
      <c r="R54" s="8">
        <f t="shared" ref="R54:R85" si="12">IF(P$12=0,0,P54/P$12)</f>
        <v>0</v>
      </c>
      <c r="S54" s="3"/>
      <c r="T54" s="7">
        <v>1800</v>
      </c>
      <c r="U54" s="3"/>
      <c r="V54" s="8">
        <f t="shared" ref="V54:V85" si="13">IF(T$12=0,0,T54/T$12)</f>
        <v>2.8623723660210956E-3</v>
      </c>
      <c r="W54" s="3"/>
      <c r="X54" s="7">
        <f t="shared" ref="X54:X85" si="14">+P54-T54</f>
        <v>2657.26</v>
      </c>
      <c r="Y54" s="3"/>
      <c r="Z54" s="8">
        <f t="shared" ref="Z54:Z85" si="15">IF(T54=0,0,X54/T54)</f>
        <v>1.4762555555555557</v>
      </c>
    </row>
    <row r="55" spans="1:26" s="69" customFormat="1" ht="15" customHeight="1" outlineLevel="1" collapsed="1" x14ac:dyDescent="0.3">
      <c r="A55" s="25"/>
      <c r="B55" s="14" t="str">
        <f>CONCATENATE("     ","General                                           ")</f>
        <v xml:space="preserve">     General                                           </v>
      </c>
      <c r="C55" s="14"/>
      <c r="D55" s="2">
        <f>SUM(OSRRefD22_7x_0)</f>
        <v>0</v>
      </c>
      <c r="E55" s="2"/>
      <c r="F55" s="6">
        <f t="shared" si="8"/>
        <v>0</v>
      </c>
      <c r="G55" s="2"/>
      <c r="H55" s="2">
        <f>SUM(OSRRefH22_7x_0)</f>
        <v>250</v>
      </c>
      <c r="I55" s="2"/>
      <c r="J55" s="6">
        <f t="shared" si="9"/>
        <v>1.5304279688772167E-3</v>
      </c>
      <c r="K55" s="2"/>
      <c r="L55" s="2">
        <f t="shared" si="10"/>
        <v>-250</v>
      </c>
      <c r="M55" s="2"/>
      <c r="N55" s="6">
        <f t="shared" si="11"/>
        <v>-1</v>
      </c>
      <c r="O55" s="14"/>
      <c r="P55" s="2">
        <f>SUM(OSRRefP22_7x_0)</f>
        <v>3074.55</v>
      </c>
      <c r="Q55" s="2"/>
      <c r="R55" s="6">
        <f t="shared" si="12"/>
        <v>0</v>
      </c>
      <c r="S55" s="2"/>
      <c r="T55" s="2">
        <f>SUM(OSRRefT22_7x_0)</f>
        <v>2400</v>
      </c>
      <c r="U55" s="2"/>
      <c r="V55" s="6">
        <f t="shared" si="13"/>
        <v>3.8164964880281274E-3</v>
      </c>
      <c r="W55" s="2"/>
      <c r="X55" s="2">
        <f t="shared" si="14"/>
        <v>674.55000000000018</v>
      </c>
      <c r="Y55" s="2"/>
      <c r="Z55" s="6">
        <f t="shared" si="15"/>
        <v>0.28106250000000005</v>
      </c>
    </row>
    <row r="56" spans="1:26" s="70" customFormat="1" ht="15" hidden="1" customHeight="1" outlineLevel="2" x14ac:dyDescent="0.3">
      <c r="A56" s="26"/>
      <c r="B56" s="12" t="str">
        <f>CONCATENATE("          ","6269"," - ","ENTERTAINMENT")</f>
        <v xml:space="preserve">          6269 - ENTERTAINMENT</v>
      </c>
      <c r="C56" s="12"/>
      <c r="D56" s="7"/>
      <c r="E56" s="3"/>
      <c r="F56" s="8">
        <f t="shared" si="8"/>
        <v>0</v>
      </c>
      <c r="G56" s="3"/>
      <c r="H56" s="7">
        <v>250</v>
      </c>
      <c r="I56" s="3"/>
      <c r="J56" s="8">
        <f t="shared" si="9"/>
        <v>1.5304279688772167E-3</v>
      </c>
      <c r="K56" s="3"/>
      <c r="L56" s="7">
        <f t="shared" si="10"/>
        <v>-250</v>
      </c>
      <c r="M56" s="3"/>
      <c r="N56" s="8">
        <f t="shared" si="11"/>
        <v>-1</v>
      </c>
      <c r="O56" s="12"/>
      <c r="P56" s="7"/>
      <c r="Q56" s="3"/>
      <c r="R56" s="8">
        <f t="shared" si="12"/>
        <v>0</v>
      </c>
      <c r="S56" s="3"/>
      <c r="T56" s="7">
        <v>500</v>
      </c>
      <c r="U56" s="3"/>
      <c r="V56" s="8">
        <f t="shared" si="13"/>
        <v>7.9510343500585991E-4</v>
      </c>
      <c r="W56" s="3"/>
      <c r="X56" s="7">
        <f t="shared" si="14"/>
        <v>-500</v>
      </c>
      <c r="Y56" s="3"/>
      <c r="Z56" s="8">
        <f t="shared" si="15"/>
        <v>-1</v>
      </c>
    </row>
    <row r="57" spans="1:26" s="70" customFormat="1" ht="15" hidden="1" customHeight="1" outlineLevel="2" x14ac:dyDescent="0.3">
      <c r="A57" s="26"/>
      <c r="B57" s="12" t="str">
        <f>CONCATENATE("          ","6279"," - ","GENERAL EXPENSE")</f>
        <v xml:space="preserve">          6279 - GENERAL EXPENSE</v>
      </c>
      <c r="C57" s="12"/>
      <c r="D57" s="7"/>
      <c r="E57" s="3"/>
      <c r="F57" s="8">
        <f t="shared" si="8"/>
        <v>0</v>
      </c>
      <c r="G57" s="3"/>
      <c r="H57" s="7"/>
      <c r="I57" s="3"/>
      <c r="J57" s="8">
        <f t="shared" si="9"/>
        <v>0</v>
      </c>
      <c r="K57" s="3"/>
      <c r="L57" s="7">
        <f t="shared" si="10"/>
        <v>0</v>
      </c>
      <c r="M57" s="3"/>
      <c r="N57" s="8">
        <f t="shared" si="11"/>
        <v>0</v>
      </c>
      <c r="O57" s="12"/>
      <c r="P57" s="7">
        <v>3074.55</v>
      </c>
      <c r="Q57" s="3"/>
      <c r="R57" s="8">
        <f t="shared" si="12"/>
        <v>0</v>
      </c>
      <c r="S57" s="3"/>
      <c r="T57" s="7">
        <v>1900</v>
      </c>
      <c r="U57" s="3"/>
      <c r="V57" s="8">
        <f t="shared" si="13"/>
        <v>3.0213930530222678E-3</v>
      </c>
      <c r="W57" s="3"/>
      <c r="X57" s="7">
        <f t="shared" si="14"/>
        <v>1174.5500000000002</v>
      </c>
      <c r="Y57" s="3"/>
      <c r="Z57" s="8">
        <f t="shared" si="15"/>
        <v>0.61818421052631589</v>
      </c>
    </row>
    <row r="58" spans="1:26" s="69" customFormat="1" ht="15" customHeight="1" outlineLevel="1" collapsed="1" x14ac:dyDescent="0.3">
      <c r="A58" s="25"/>
      <c r="B58" s="14" t="str">
        <f>CONCATENATE("     ","Repair and Maintenance                            ")</f>
        <v xml:space="preserve">     Repair and Maintenance                            </v>
      </c>
      <c r="C58" s="14"/>
      <c r="D58" s="2">
        <f>SUM(OSRRefD22_8x_0)</f>
        <v>426.16</v>
      </c>
      <c r="E58" s="2"/>
      <c r="F58" s="6">
        <f t="shared" si="8"/>
        <v>0</v>
      </c>
      <c r="G58" s="2"/>
      <c r="H58" s="2">
        <f>SUM(OSRRefH22_8x_0)</f>
        <v>2450</v>
      </c>
      <c r="I58" s="2"/>
      <c r="J58" s="6">
        <f t="shared" si="9"/>
        <v>1.4998194094996725E-2</v>
      </c>
      <c r="K58" s="2"/>
      <c r="L58" s="2">
        <f t="shared" si="10"/>
        <v>-2023.84</v>
      </c>
      <c r="M58" s="2"/>
      <c r="N58" s="6">
        <f t="shared" si="11"/>
        <v>-0.82605714285714282</v>
      </c>
      <c r="O58" s="14"/>
      <c r="P58" s="2">
        <f>SUM(OSRRefP22_8x_0)</f>
        <v>8715.57</v>
      </c>
      <c r="Q58" s="2"/>
      <c r="R58" s="6">
        <f t="shared" si="12"/>
        <v>0</v>
      </c>
      <c r="S58" s="2"/>
      <c r="T58" s="2">
        <f>SUM(OSRRefT22_8x_0)</f>
        <v>21990</v>
      </c>
      <c r="U58" s="2"/>
      <c r="V58" s="6">
        <f t="shared" si="13"/>
        <v>3.4968649071557716E-2</v>
      </c>
      <c r="W58" s="2"/>
      <c r="X58" s="2">
        <f t="shared" si="14"/>
        <v>-13274.43</v>
      </c>
      <c r="Y58" s="2"/>
      <c r="Z58" s="6">
        <f t="shared" si="15"/>
        <v>-0.60365757162346523</v>
      </c>
    </row>
    <row r="59" spans="1:26" s="70" customFormat="1" ht="15" hidden="1" customHeight="1" outlineLevel="2" x14ac:dyDescent="0.3">
      <c r="A59" s="26"/>
      <c r="B59" s="12" t="str">
        <f>CONCATENATE("          ","6373"," - ","MAINTENANCE CONTRACTS")</f>
        <v xml:space="preserve">          6373 - MAINTENANCE CONTRACTS</v>
      </c>
      <c r="C59" s="12"/>
      <c r="D59" s="7">
        <v>426.16</v>
      </c>
      <c r="E59" s="3"/>
      <c r="F59" s="8">
        <f t="shared" si="8"/>
        <v>0</v>
      </c>
      <c r="G59" s="3"/>
      <c r="H59" s="7"/>
      <c r="I59" s="3"/>
      <c r="J59" s="8">
        <f t="shared" si="9"/>
        <v>0</v>
      </c>
      <c r="K59" s="3"/>
      <c r="L59" s="7">
        <f t="shared" si="10"/>
        <v>426.16</v>
      </c>
      <c r="M59" s="3"/>
      <c r="N59" s="8">
        <f t="shared" si="11"/>
        <v>0</v>
      </c>
      <c r="O59" s="12"/>
      <c r="P59" s="7">
        <v>3567.59</v>
      </c>
      <c r="Q59" s="3"/>
      <c r="R59" s="8">
        <f t="shared" si="12"/>
        <v>0</v>
      </c>
      <c r="S59" s="3"/>
      <c r="T59" s="7">
        <v>1500</v>
      </c>
      <c r="U59" s="3"/>
      <c r="V59" s="8">
        <f t="shared" si="13"/>
        <v>2.3853103050175796E-3</v>
      </c>
      <c r="W59" s="3"/>
      <c r="X59" s="7">
        <f t="shared" si="14"/>
        <v>2067.59</v>
      </c>
      <c r="Y59" s="3"/>
      <c r="Z59" s="8">
        <f t="shared" si="15"/>
        <v>1.3783933333333334</v>
      </c>
    </row>
    <row r="60" spans="1:26" s="70" customFormat="1" ht="15" hidden="1" customHeight="1" outlineLevel="2" x14ac:dyDescent="0.3">
      <c r="A60" s="26"/>
      <c r="B60" s="12" t="str">
        <f>CONCATENATE("          ","6375"," - ","OUTSIDE REPAIRS &amp; MAINTENANCE")</f>
        <v xml:space="preserve">          6375 - OUTSIDE REPAIRS &amp; MAINTENANCE</v>
      </c>
      <c r="C60" s="12"/>
      <c r="D60" s="7"/>
      <c r="E60" s="3"/>
      <c r="F60" s="8">
        <f t="shared" si="8"/>
        <v>0</v>
      </c>
      <c r="G60" s="3"/>
      <c r="H60" s="7">
        <v>2450</v>
      </c>
      <c r="I60" s="3"/>
      <c r="J60" s="8">
        <f t="shared" si="9"/>
        <v>1.4998194094996725E-2</v>
      </c>
      <c r="K60" s="3"/>
      <c r="L60" s="7">
        <f t="shared" si="10"/>
        <v>-2450</v>
      </c>
      <c r="M60" s="3"/>
      <c r="N60" s="8">
        <f t="shared" si="11"/>
        <v>-1</v>
      </c>
      <c r="O60" s="12"/>
      <c r="P60" s="7">
        <v>5147.9799999999996</v>
      </c>
      <c r="Q60" s="3"/>
      <c r="R60" s="8">
        <f t="shared" si="12"/>
        <v>0</v>
      </c>
      <c r="S60" s="3"/>
      <c r="T60" s="7">
        <v>20490</v>
      </c>
      <c r="U60" s="3"/>
      <c r="V60" s="8">
        <f t="shared" si="13"/>
        <v>3.258333876654014E-2</v>
      </c>
      <c r="W60" s="3"/>
      <c r="X60" s="7">
        <f t="shared" si="14"/>
        <v>-15342.02</v>
      </c>
      <c r="Y60" s="3"/>
      <c r="Z60" s="8">
        <f t="shared" si="15"/>
        <v>-0.74875646656905814</v>
      </c>
    </row>
    <row r="61" spans="1:26" s="69" customFormat="1" ht="15" customHeight="1" outlineLevel="1" collapsed="1" x14ac:dyDescent="0.3">
      <c r="A61" s="25"/>
      <c r="B61" s="14" t="str">
        <f>CONCATENATE("     ","Services                                          ")</f>
        <v xml:space="preserve">     Services                                          </v>
      </c>
      <c r="C61" s="14"/>
      <c r="D61" s="2">
        <f>SUM(OSRRefD22_9x_0)</f>
        <v>0</v>
      </c>
      <c r="E61" s="2"/>
      <c r="F61" s="6">
        <f t="shared" si="8"/>
        <v>0</v>
      </c>
      <c r="G61" s="2"/>
      <c r="H61" s="2">
        <f>SUM(OSRRefH22_9x_0)</f>
        <v>3225</v>
      </c>
      <c r="I61" s="2"/>
      <c r="J61" s="6">
        <f t="shared" si="9"/>
        <v>1.9742520798516097E-2</v>
      </c>
      <c r="K61" s="2"/>
      <c r="L61" s="2">
        <f t="shared" si="10"/>
        <v>-3225</v>
      </c>
      <c r="M61" s="2"/>
      <c r="N61" s="6">
        <f t="shared" si="11"/>
        <v>-1</v>
      </c>
      <c r="O61" s="14"/>
      <c r="P61" s="2">
        <f>SUM(OSRRefP22_9x_0)</f>
        <v>260</v>
      </c>
      <c r="Q61" s="2"/>
      <c r="R61" s="6">
        <f t="shared" si="12"/>
        <v>0</v>
      </c>
      <c r="S61" s="2"/>
      <c r="T61" s="2">
        <f>SUM(OSRRefT22_9x_0)</f>
        <v>26100</v>
      </c>
      <c r="U61" s="2"/>
      <c r="V61" s="6">
        <f t="shared" si="13"/>
        <v>4.1504399307305886E-2</v>
      </c>
      <c r="W61" s="2"/>
      <c r="X61" s="2">
        <f t="shared" si="14"/>
        <v>-25840</v>
      </c>
      <c r="Y61" s="2"/>
      <c r="Z61" s="6">
        <f t="shared" si="15"/>
        <v>-0.99003831417624522</v>
      </c>
    </row>
    <row r="62" spans="1:26" s="70" customFormat="1" ht="15" hidden="1" customHeight="1" outlineLevel="2" x14ac:dyDescent="0.3">
      <c r="A62" s="26"/>
      <c r="B62" s="12" t="str">
        <f>CONCATENATE("          ","6283"," - ","PLANT SERVICE")</f>
        <v xml:space="preserve">          6283 - PLANT SERVICE</v>
      </c>
      <c r="C62" s="12"/>
      <c r="D62" s="7"/>
      <c r="E62" s="3"/>
      <c r="F62" s="8">
        <f t="shared" si="8"/>
        <v>0</v>
      </c>
      <c r="G62" s="3"/>
      <c r="H62" s="7">
        <v>100</v>
      </c>
      <c r="I62" s="3"/>
      <c r="J62" s="8">
        <f t="shared" si="9"/>
        <v>6.1217118755088672E-4</v>
      </c>
      <c r="K62" s="3"/>
      <c r="L62" s="7">
        <f t="shared" si="10"/>
        <v>-100</v>
      </c>
      <c r="M62" s="3"/>
      <c r="N62" s="8">
        <f t="shared" si="11"/>
        <v>-1</v>
      </c>
      <c r="O62" s="12"/>
      <c r="P62" s="7"/>
      <c r="Q62" s="3"/>
      <c r="R62" s="8">
        <f t="shared" si="12"/>
        <v>0</v>
      </c>
      <c r="S62" s="3"/>
      <c r="T62" s="7">
        <v>900</v>
      </c>
      <c r="U62" s="3"/>
      <c r="V62" s="8">
        <f t="shared" si="13"/>
        <v>1.4311861830105478E-3</v>
      </c>
      <c r="W62" s="3"/>
      <c r="X62" s="7">
        <f t="shared" si="14"/>
        <v>-900</v>
      </c>
      <c r="Y62" s="3"/>
      <c r="Z62" s="8">
        <f t="shared" si="15"/>
        <v>-1</v>
      </c>
    </row>
    <row r="63" spans="1:26" s="70" customFormat="1" ht="15" hidden="1" customHeight="1" outlineLevel="2" x14ac:dyDescent="0.3">
      <c r="A63" s="26"/>
      <c r="B63" s="12" t="str">
        <f>CONCATENATE("          ","6284"," - ","TRASH REMOVAL EXPENSE")</f>
        <v xml:space="preserve">          6284 - TRASH REMOVAL EXPENSE</v>
      </c>
      <c r="C63" s="12"/>
      <c r="D63" s="7"/>
      <c r="E63" s="3"/>
      <c r="F63" s="8">
        <f t="shared" si="8"/>
        <v>0</v>
      </c>
      <c r="G63" s="3"/>
      <c r="H63" s="7"/>
      <c r="I63" s="3"/>
      <c r="J63" s="8">
        <f t="shared" si="9"/>
        <v>0</v>
      </c>
      <c r="K63" s="3"/>
      <c r="L63" s="7">
        <f t="shared" si="10"/>
        <v>0</v>
      </c>
      <c r="M63" s="3"/>
      <c r="N63" s="8">
        <f t="shared" si="11"/>
        <v>0</v>
      </c>
      <c r="O63" s="12"/>
      <c r="P63" s="7"/>
      <c r="Q63" s="3"/>
      <c r="R63" s="8">
        <f t="shared" si="12"/>
        <v>0</v>
      </c>
      <c r="S63" s="3"/>
      <c r="T63" s="7">
        <v>0</v>
      </c>
      <c r="U63" s="3"/>
      <c r="V63" s="8">
        <f t="shared" si="13"/>
        <v>0</v>
      </c>
      <c r="W63" s="3"/>
      <c r="X63" s="7">
        <f t="shared" si="14"/>
        <v>0</v>
      </c>
      <c r="Y63" s="3"/>
      <c r="Z63" s="8">
        <f t="shared" si="15"/>
        <v>0</v>
      </c>
    </row>
    <row r="64" spans="1:26" s="70" customFormat="1" ht="15" hidden="1" customHeight="1" outlineLevel="2" x14ac:dyDescent="0.3">
      <c r="A64" s="26"/>
      <c r="B64" s="12" t="str">
        <f>CONCATENATE("          ","6285"," - ","JANITORIAL SERVICES")</f>
        <v xml:space="preserve">          6285 - JANITORIAL SERVICES</v>
      </c>
      <c r="C64" s="12"/>
      <c r="D64" s="7"/>
      <c r="E64" s="3"/>
      <c r="F64" s="8">
        <f t="shared" si="8"/>
        <v>0</v>
      </c>
      <c r="G64" s="3"/>
      <c r="H64" s="7">
        <v>3100</v>
      </c>
      <c r="I64" s="3"/>
      <c r="J64" s="8">
        <f t="shared" si="9"/>
        <v>1.8977306814077489E-2</v>
      </c>
      <c r="K64" s="3"/>
      <c r="L64" s="7">
        <f t="shared" si="10"/>
        <v>-3100</v>
      </c>
      <c r="M64" s="3"/>
      <c r="N64" s="8">
        <f t="shared" si="11"/>
        <v>-1</v>
      </c>
      <c r="O64" s="12"/>
      <c r="P64" s="7">
        <v>260</v>
      </c>
      <c r="Q64" s="3"/>
      <c r="R64" s="8">
        <f t="shared" si="12"/>
        <v>0</v>
      </c>
      <c r="S64" s="3"/>
      <c r="T64" s="7">
        <v>24800</v>
      </c>
      <c r="U64" s="3"/>
      <c r="V64" s="8">
        <f t="shared" si="13"/>
        <v>3.9437130376290652E-2</v>
      </c>
      <c r="W64" s="3"/>
      <c r="X64" s="7">
        <f t="shared" si="14"/>
        <v>-24540</v>
      </c>
      <c r="Y64" s="3"/>
      <c r="Z64" s="8">
        <f t="shared" si="15"/>
        <v>-0.98951612903225805</v>
      </c>
    </row>
    <row r="65" spans="1:26" s="70" customFormat="1" ht="15" hidden="1" customHeight="1" outlineLevel="2" x14ac:dyDescent="0.3">
      <c r="A65" s="26"/>
      <c r="B65" s="12" t="str">
        <f>CONCATENATE("          ","6286"," - ","LAUNDRY EXPENSE")</f>
        <v xml:space="preserve">          6286 - LAUNDRY EXPENSE</v>
      </c>
      <c r="C65" s="12"/>
      <c r="D65" s="7"/>
      <c r="E65" s="3"/>
      <c r="F65" s="8">
        <f t="shared" si="8"/>
        <v>0</v>
      </c>
      <c r="G65" s="3"/>
      <c r="H65" s="7">
        <v>25</v>
      </c>
      <c r="I65" s="3"/>
      <c r="J65" s="8">
        <f t="shared" si="9"/>
        <v>1.5304279688772168E-4</v>
      </c>
      <c r="K65" s="3"/>
      <c r="L65" s="7">
        <f t="shared" si="10"/>
        <v>-25</v>
      </c>
      <c r="M65" s="3"/>
      <c r="N65" s="8">
        <f t="shared" si="11"/>
        <v>-1</v>
      </c>
      <c r="O65" s="12"/>
      <c r="P65" s="7"/>
      <c r="Q65" s="3"/>
      <c r="R65" s="8">
        <f t="shared" si="12"/>
        <v>0</v>
      </c>
      <c r="S65" s="3"/>
      <c r="T65" s="7">
        <v>400</v>
      </c>
      <c r="U65" s="3"/>
      <c r="V65" s="8">
        <f t="shared" si="13"/>
        <v>6.3608274800468797E-4</v>
      </c>
      <c r="W65" s="3"/>
      <c r="X65" s="7">
        <f t="shared" si="14"/>
        <v>-400</v>
      </c>
      <c r="Y65" s="3"/>
      <c r="Z65" s="8">
        <f t="shared" si="15"/>
        <v>-1</v>
      </c>
    </row>
    <row r="66" spans="1:26" s="69" customFormat="1" ht="15" customHeight="1" outlineLevel="1" collapsed="1" x14ac:dyDescent="0.3">
      <c r="A66" s="25"/>
      <c r="B66" s="14" t="str">
        <f>CONCATENATE("     ","Subscriptions &amp; Dues                              ")</f>
        <v xml:space="preserve">     Subscriptions &amp; Dues                              </v>
      </c>
      <c r="C66" s="14"/>
      <c r="D66" s="2">
        <f>SUM(OSRRefD22_10x_0)</f>
        <v>214.92</v>
      </c>
      <c r="E66" s="2"/>
      <c r="F66" s="6">
        <f t="shared" si="8"/>
        <v>0</v>
      </c>
      <c r="G66" s="2"/>
      <c r="H66" s="2">
        <f>SUM(OSRRefH22_10x_0)</f>
        <v>200</v>
      </c>
      <c r="I66" s="2"/>
      <c r="J66" s="6">
        <f t="shared" si="9"/>
        <v>1.2243423751017734E-3</v>
      </c>
      <c r="K66" s="2"/>
      <c r="L66" s="2">
        <f t="shared" si="10"/>
        <v>14.919999999999987</v>
      </c>
      <c r="M66" s="2"/>
      <c r="N66" s="6">
        <f t="shared" si="11"/>
        <v>7.4599999999999944E-2</v>
      </c>
      <c r="O66" s="14"/>
      <c r="P66" s="2">
        <f>SUM(OSRRefP22_10x_0)</f>
        <v>1870.96</v>
      </c>
      <c r="Q66" s="2"/>
      <c r="R66" s="6">
        <f t="shared" si="12"/>
        <v>0</v>
      </c>
      <c r="S66" s="2"/>
      <c r="T66" s="2">
        <f>SUM(OSRRefT22_10x_0)</f>
        <v>1600</v>
      </c>
      <c r="U66" s="2"/>
      <c r="V66" s="6">
        <f t="shared" si="13"/>
        <v>2.5443309920187519E-3</v>
      </c>
      <c r="W66" s="2"/>
      <c r="X66" s="2">
        <f t="shared" si="14"/>
        <v>270.96000000000004</v>
      </c>
      <c r="Y66" s="2"/>
      <c r="Z66" s="6">
        <f t="shared" si="15"/>
        <v>0.16935000000000003</v>
      </c>
    </row>
    <row r="67" spans="1:26" s="70" customFormat="1" ht="15" hidden="1" customHeight="1" outlineLevel="2" x14ac:dyDescent="0.3">
      <c r="A67" s="26"/>
      <c r="B67" s="12" t="str">
        <f>CONCATENATE("          ","6275"," - ","SUBSCRIPTIONS")</f>
        <v xml:space="preserve">          6275 - SUBSCRIPTIONS</v>
      </c>
      <c r="C67" s="12"/>
      <c r="D67" s="7">
        <v>214.92</v>
      </c>
      <c r="E67" s="3"/>
      <c r="F67" s="8">
        <f t="shared" si="8"/>
        <v>0</v>
      </c>
      <c r="G67" s="3"/>
      <c r="H67" s="7">
        <v>200</v>
      </c>
      <c r="I67" s="3"/>
      <c r="J67" s="8">
        <f t="shared" si="9"/>
        <v>1.2243423751017734E-3</v>
      </c>
      <c r="K67" s="3"/>
      <c r="L67" s="7">
        <f t="shared" si="10"/>
        <v>14.919999999999987</v>
      </c>
      <c r="M67" s="3"/>
      <c r="N67" s="8">
        <f t="shared" si="11"/>
        <v>7.4599999999999944E-2</v>
      </c>
      <c r="O67" s="12"/>
      <c r="P67" s="7">
        <v>1870.96</v>
      </c>
      <c r="Q67" s="3"/>
      <c r="R67" s="8">
        <f t="shared" si="12"/>
        <v>0</v>
      </c>
      <c r="S67" s="3"/>
      <c r="T67" s="7">
        <v>1600</v>
      </c>
      <c r="U67" s="3"/>
      <c r="V67" s="8">
        <f t="shared" si="13"/>
        <v>2.5443309920187519E-3</v>
      </c>
      <c r="W67" s="3"/>
      <c r="X67" s="7">
        <f t="shared" si="14"/>
        <v>270.96000000000004</v>
      </c>
      <c r="Y67" s="3"/>
      <c r="Z67" s="8">
        <f t="shared" si="15"/>
        <v>0.16935000000000003</v>
      </c>
    </row>
    <row r="68" spans="1:26" s="69" customFormat="1" ht="15" customHeight="1" outlineLevel="1" collapsed="1" x14ac:dyDescent="0.3">
      <c r="A68" s="25"/>
      <c r="B68" s="14" t="str">
        <f>CONCATENATE("     ","Supplies                                          ")</f>
        <v xml:space="preserve">     Supplies                                          </v>
      </c>
      <c r="C68" s="14"/>
      <c r="D68" s="2">
        <f>SUM(OSRRefD22_11x_0)</f>
        <v>35.72</v>
      </c>
      <c r="E68" s="2"/>
      <c r="F68" s="6">
        <f t="shared" si="8"/>
        <v>0</v>
      </c>
      <c r="G68" s="2"/>
      <c r="H68" s="2">
        <f>SUM(OSRRefH22_11x_0)</f>
        <v>500</v>
      </c>
      <c r="I68" s="2"/>
      <c r="J68" s="6">
        <f t="shared" si="9"/>
        <v>3.0608559377544335E-3</v>
      </c>
      <c r="K68" s="2"/>
      <c r="L68" s="2">
        <f t="shared" si="10"/>
        <v>-464.28</v>
      </c>
      <c r="M68" s="2"/>
      <c r="N68" s="6">
        <f t="shared" si="11"/>
        <v>-0.92855999999999994</v>
      </c>
      <c r="O68" s="14"/>
      <c r="P68" s="2">
        <f>SUM(OSRRefP22_11x_0)</f>
        <v>2416.56</v>
      </c>
      <c r="Q68" s="2"/>
      <c r="R68" s="6">
        <f t="shared" si="12"/>
        <v>0</v>
      </c>
      <c r="S68" s="2"/>
      <c r="T68" s="2">
        <f>SUM(OSRRefT22_11x_0)</f>
        <v>11500</v>
      </c>
      <c r="U68" s="2"/>
      <c r="V68" s="6">
        <f t="shared" si="13"/>
        <v>1.8287379005134777E-2</v>
      </c>
      <c r="W68" s="2"/>
      <c r="X68" s="2">
        <f t="shared" si="14"/>
        <v>-9083.44</v>
      </c>
      <c r="Y68" s="2"/>
      <c r="Z68" s="6">
        <f t="shared" si="15"/>
        <v>-0.78986434782608705</v>
      </c>
    </row>
    <row r="69" spans="1:26" s="70" customFormat="1" ht="15" hidden="1" customHeight="1" outlineLevel="2" x14ac:dyDescent="0.3">
      <c r="A69" s="26"/>
      <c r="B69" s="12" t="str">
        <f>CONCATENATE("          ","6235"," - ","COVID-19 EXPENSES")</f>
        <v xml:space="preserve">          6235 - COVID-19 EXPENSES</v>
      </c>
      <c r="C69" s="12"/>
      <c r="D69" s="7">
        <v>35.72</v>
      </c>
      <c r="E69" s="3"/>
      <c r="F69" s="8">
        <f t="shared" si="8"/>
        <v>0</v>
      </c>
      <c r="G69" s="3"/>
      <c r="H69" s="7">
        <v>175</v>
      </c>
      <c r="I69" s="3"/>
      <c r="J69" s="8">
        <f t="shared" si="9"/>
        <v>1.0712995782140517E-3</v>
      </c>
      <c r="K69" s="3"/>
      <c r="L69" s="7">
        <f t="shared" si="10"/>
        <v>-139.28</v>
      </c>
      <c r="M69" s="3"/>
      <c r="N69" s="8">
        <f t="shared" si="11"/>
        <v>-0.79588571428571431</v>
      </c>
      <c r="O69" s="12"/>
      <c r="P69" s="7">
        <v>35.72</v>
      </c>
      <c r="Q69" s="3"/>
      <c r="R69" s="8">
        <f t="shared" si="12"/>
        <v>0</v>
      </c>
      <c r="S69" s="3"/>
      <c r="T69" s="7">
        <v>1650</v>
      </c>
      <c r="U69" s="3"/>
      <c r="V69" s="8">
        <f t="shared" si="13"/>
        <v>2.6238413355193376E-3</v>
      </c>
      <c r="W69" s="3"/>
      <c r="X69" s="7">
        <f t="shared" si="14"/>
        <v>-1614.28</v>
      </c>
      <c r="Y69" s="3"/>
      <c r="Z69" s="8">
        <f t="shared" si="15"/>
        <v>-0.97835151515151508</v>
      </c>
    </row>
    <row r="70" spans="1:26" s="70" customFormat="1" ht="15" hidden="1" customHeight="1" outlineLevel="2" x14ac:dyDescent="0.3">
      <c r="A70" s="26"/>
      <c r="B70" s="12" t="str">
        <f>CONCATENATE("          ","6237"," - ","JANITORIAL SUPPLIES")</f>
        <v xml:space="preserve">          6237 - JANITORIAL SUPPLIES</v>
      </c>
      <c r="C70" s="12"/>
      <c r="D70" s="7"/>
      <c r="E70" s="3"/>
      <c r="F70" s="8">
        <f t="shared" si="8"/>
        <v>0</v>
      </c>
      <c r="G70" s="3"/>
      <c r="H70" s="7">
        <v>75</v>
      </c>
      <c r="I70" s="3"/>
      <c r="J70" s="8">
        <f t="shared" si="9"/>
        <v>4.5912839066316507E-4</v>
      </c>
      <c r="K70" s="3"/>
      <c r="L70" s="7">
        <f t="shared" si="10"/>
        <v>-75</v>
      </c>
      <c r="M70" s="3"/>
      <c r="N70" s="8">
        <f t="shared" si="11"/>
        <v>-1</v>
      </c>
      <c r="O70" s="12"/>
      <c r="P70" s="7">
        <v>796.76</v>
      </c>
      <c r="Q70" s="3"/>
      <c r="R70" s="8">
        <f t="shared" si="12"/>
        <v>0</v>
      </c>
      <c r="S70" s="3"/>
      <c r="T70" s="7">
        <v>850</v>
      </c>
      <c r="U70" s="3"/>
      <c r="V70" s="8">
        <f t="shared" si="13"/>
        <v>1.3516758395099619E-3</v>
      </c>
      <c r="W70" s="3"/>
      <c r="X70" s="7">
        <f t="shared" si="14"/>
        <v>-53.240000000000009</v>
      </c>
      <c r="Y70" s="3"/>
      <c r="Z70" s="8">
        <f t="shared" si="15"/>
        <v>-6.2635294117647067E-2</v>
      </c>
    </row>
    <row r="71" spans="1:26" s="70" customFormat="1" ht="15" hidden="1" customHeight="1" outlineLevel="2" x14ac:dyDescent="0.3">
      <c r="A71" s="26"/>
      <c r="B71" s="12" t="str">
        <f>CONCATENATE("          ","6239"," - ","KITCHEN SUPPLIES")</f>
        <v xml:space="preserve">          6239 - KITCHEN SUPPLIES</v>
      </c>
      <c r="C71" s="12"/>
      <c r="D71" s="7"/>
      <c r="E71" s="3"/>
      <c r="F71" s="8">
        <f t="shared" si="8"/>
        <v>0</v>
      </c>
      <c r="G71" s="3"/>
      <c r="H71" s="7"/>
      <c r="I71" s="3"/>
      <c r="J71" s="8">
        <f t="shared" si="9"/>
        <v>0</v>
      </c>
      <c r="K71" s="3"/>
      <c r="L71" s="7">
        <f t="shared" si="10"/>
        <v>0</v>
      </c>
      <c r="M71" s="3"/>
      <c r="N71" s="8">
        <f t="shared" si="11"/>
        <v>0</v>
      </c>
      <c r="O71" s="12"/>
      <c r="P71" s="7">
        <v>214.67</v>
      </c>
      <c r="Q71" s="3"/>
      <c r="R71" s="8">
        <f t="shared" si="12"/>
        <v>0</v>
      </c>
      <c r="S71" s="3"/>
      <c r="T71" s="7">
        <v>5000</v>
      </c>
      <c r="U71" s="3"/>
      <c r="V71" s="8">
        <f t="shared" si="13"/>
        <v>7.9510343500585993E-3</v>
      </c>
      <c r="W71" s="3"/>
      <c r="X71" s="7">
        <f t="shared" si="14"/>
        <v>-4785.33</v>
      </c>
      <c r="Y71" s="3"/>
      <c r="Z71" s="8">
        <f t="shared" si="15"/>
        <v>-0.95706599999999997</v>
      </c>
    </row>
    <row r="72" spans="1:26" s="70" customFormat="1" ht="15" hidden="1" customHeight="1" outlineLevel="2" x14ac:dyDescent="0.3">
      <c r="A72" s="26"/>
      <c r="B72" s="12" t="str">
        <f>CONCATENATE("          ","6241"," - ","OFFICE EXPENSE")</f>
        <v xml:space="preserve">          6241 - OFFICE EXPENSE</v>
      </c>
      <c r="C72" s="12"/>
      <c r="D72" s="7"/>
      <c r="E72" s="3"/>
      <c r="F72" s="8">
        <f t="shared" si="8"/>
        <v>0</v>
      </c>
      <c r="G72" s="3"/>
      <c r="H72" s="7"/>
      <c r="I72" s="3"/>
      <c r="J72" s="8">
        <f t="shared" si="9"/>
        <v>0</v>
      </c>
      <c r="K72" s="3"/>
      <c r="L72" s="7">
        <f t="shared" si="10"/>
        <v>0</v>
      </c>
      <c r="M72" s="3"/>
      <c r="N72" s="8">
        <f t="shared" si="11"/>
        <v>0</v>
      </c>
      <c r="O72" s="12"/>
      <c r="P72" s="7">
        <v>893.22</v>
      </c>
      <c r="Q72" s="3"/>
      <c r="R72" s="8">
        <f t="shared" si="12"/>
        <v>0</v>
      </c>
      <c r="S72" s="3"/>
      <c r="T72" s="7">
        <v>150</v>
      </c>
      <c r="U72" s="3"/>
      <c r="V72" s="8">
        <f t="shared" si="13"/>
        <v>2.3853103050175796E-4</v>
      </c>
      <c r="W72" s="3"/>
      <c r="X72" s="7">
        <f t="shared" si="14"/>
        <v>743.22</v>
      </c>
      <c r="Y72" s="3"/>
      <c r="Z72" s="8">
        <f t="shared" si="15"/>
        <v>4.9548000000000005</v>
      </c>
    </row>
    <row r="73" spans="1:26" s="70" customFormat="1" ht="15" hidden="1" customHeight="1" outlineLevel="2" x14ac:dyDescent="0.3">
      <c r="A73" s="26"/>
      <c r="B73" s="12" t="str">
        <f>CONCATENATE("          ","6243"," - ","PAPER SUPPLIES")</f>
        <v xml:space="preserve">          6243 - PAPER SUPPLIES</v>
      </c>
      <c r="C73" s="12"/>
      <c r="D73" s="7"/>
      <c r="E73" s="3"/>
      <c r="F73" s="8">
        <f t="shared" si="8"/>
        <v>0</v>
      </c>
      <c r="G73" s="3"/>
      <c r="H73" s="7">
        <v>200</v>
      </c>
      <c r="I73" s="3"/>
      <c r="J73" s="8">
        <f t="shared" si="9"/>
        <v>1.2243423751017734E-3</v>
      </c>
      <c r="K73" s="3"/>
      <c r="L73" s="7">
        <f t="shared" si="10"/>
        <v>-200</v>
      </c>
      <c r="M73" s="3"/>
      <c r="N73" s="8">
        <f t="shared" si="11"/>
        <v>-1</v>
      </c>
      <c r="O73" s="12"/>
      <c r="P73" s="7">
        <v>138.19</v>
      </c>
      <c r="Q73" s="3"/>
      <c r="R73" s="8">
        <f t="shared" si="12"/>
        <v>0</v>
      </c>
      <c r="S73" s="3"/>
      <c r="T73" s="7">
        <v>1850</v>
      </c>
      <c r="U73" s="3"/>
      <c r="V73" s="8">
        <f t="shared" si="13"/>
        <v>2.9418827095216817E-3</v>
      </c>
      <c r="W73" s="3"/>
      <c r="X73" s="7">
        <f t="shared" si="14"/>
        <v>-1711.81</v>
      </c>
      <c r="Y73" s="3"/>
      <c r="Z73" s="8">
        <f t="shared" si="15"/>
        <v>-0.92530270270270265</v>
      </c>
    </row>
    <row r="74" spans="1:26" s="70" customFormat="1" ht="15" hidden="1" customHeight="1" outlineLevel="2" x14ac:dyDescent="0.3">
      <c r="A74" s="26"/>
      <c r="B74" s="12" t="str">
        <f>CONCATENATE("          ","6244"," - ","SAFETY SUPPLY EXPENSE")</f>
        <v xml:space="preserve">          6244 - SAFETY SUPPLY EXPENSE</v>
      </c>
      <c r="C74" s="12"/>
      <c r="D74" s="7"/>
      <c r="E74" s="3"/>
      <c r="F74" s="8">
        <f t="shared" si="8"/>
        <v>0</v>
      </c>
      <c r="G74" s="3"/>
      <c r="H74" s="7"/>
      <c r="I74" s="3"/>
      <c r="J74" s="8">
        <f t="shared" si="9"/>
        <v>0</v>
      </c>
      <c r="K74" s="3"/>
      <c r="L74" s="7">
        <f t="shared" si="10"/>
        <v>0</v>
      </c>
      <c r="M74" s="3"/>
      <c r="N74" s="8">
        <f t="shared" si="11"/>
        <v>0</v>
      </c>
      <c r="O74" s="12"/>
      <c r="P74" s="7"/>
      <c r="Q74" s="3"/>
      <c r="R74" s="8">
        <f t="shared" si="12"/>
        <v>0</v>
      </c>
      <c r="S74" s="3"/>
      <c r="T74" s="7">
        <v>100</v>
      </c>
      <c r="U74" s="3"/>
      <c r="V74" s="8">
        <f t="shared" si="13"/>
        <v>1.5902068700117199E-4</v>
      </c>
      <c r="W74" s="3"/>
      <c r="X74" s="7">
        <f t="shared" si="14"/>
        <v>-100</v>
      </c>
      <c r="Y74" s="3"/>
      <c r="Z74" s="8">
        <f t="shared" si="15"/>
        <v>-1</v>
      </c>
    </row>
    <row r="75" spans="1:26" s="70" customFormat="1" ht="15" hidden="1" customHeight="1" outlineLevel="2" x14ac:dyDescent="0.3">
      <c r="A75" s="26"/>
      <c r="B75" s="12" t="str">
        <f>CONCATENATE("          ","6245"," - ","PRINTING")</f>
        <v xml:space="preserve">          6245 - PRINTING</v>
      </c>
      <c r="C75" s="12"/>
      <c r="D75" s="7"/>
      <c r="E75" s="3"/>
      <c r="F75" s="8">
        <f t="shared" si="8"/>
        <v>0</v>
      </c>
      <c r="G75" s="3"/>
      <c r="H75" s="7">
        <v>50</v>
      </c>
      <c r="I75" s="3"/>
      <c r="J75" s="8">
        <f t="shared" si="9"/>
        <v>3.0608559377544336E-4</v>
      </c>
      <c r="K75" s="3"/>
      <c r="L75" s="7">
        <f t="shared" si="10"/>
        <v>-50</v>
      </c>
      <c r="M75" s="3"/>
      <c r="N75" s="8">
        <f t="shared" si="11"/>
        <v>-1</v>
      </c>
      <c r="O75" s="12"/>
      <c r="P75" s="7">
        <v>338</v>
      </c>
      <c r="Q75" s="3"/>
      <c r="R75" s="8">
        <f t="shared" si="12"/>
        <v>0</v>
      </c>
      <c r="S75" s="3"/>
      <c r="T75" s="7">
        <v>850</v>
      </c>
      <c r="U75" s="3"/>
      <c r="V75" s="8">
        <f t="shared" si="13"/>
        <v>1.3516758395099619E-3</v>
      </c>
      <c r="W75" s="3"/>
      <c r="X75" s="7">
        <f t="shared" si="14"/>
        <v>-512</v>
      </c>
      <c r="Y75" s="3"/>
      <c r="Z75" s="8">
        <f t="shared" si="15"/>
        <v>-0.60235294117647054</v>
      </c>
    </row>
    <row r="76" spans="1:26" s="70" customFormat="1" ht="15" hidden="1" customHeight="1" outlineLevel="2" x14ac:dyDescent="0.3">
      <c r="A76" s="26"/>
      <c r="B76" s="12" t="str">
        <f>CONCATENATE("          ","6248"," - ","UNIFORMS")</f>
        <v xml:space="preserve">          6248 - UNIFORMS</v>
      </c>
      <c r="C76" s="12"/>
      <c r="D76" s="7"/>
      <c r="E76" s="3"/>
      <c r="F76" s="8">
        <f t="shared" si="8"/>
        <v>0</v>
      </c>
      <c r="G76" s="3"/>
      <c r="H76" s="7"/>
      <c r="I76" s="3"/>
      <c r="J76" s="8">
        <f t="shared" si="9"/>
        <v>0</v>
      </c>
      <c r="K76" s="3"/>
      <c r="L76" s="7">
        <f t="shared" si="10"/>
        <v>0</v>
      </c>
      <c r="M76" s="3"/>
      <c r="N76" s="8">
        <f t="shared" si="11"/>
        <v>0</v>
      </c>
      <c r="O76" s="12"/>
      <c r="P76" s="7"/>
      <c r="Q76" s="3"/>
      <c r="R76" s="8">
        <f t="shared" si="12"/>
        <v>0</v>
      </c>
      <c r="S76" s="3"/>
      <c r="T76" s="7">
        <v>1050</v>
      </c>
      <c r="U76" s="3"/>
      <c r="V76" s="8">
        <f t="shared" si="13"/>
        <v>1.6697172135123057E-3</v>
      </c>
      <c r="W76" s="3"/>
      <c r="X76" s="7">
        <f t="shared" si="14"/>
        <v>-1050</v>
      </c>
      <c r="Y76" s="3"/>
      <c r="Z76" s="8">
        <f t="shared" si="15"/>
        <v>-1</v>
      </c>
    </row>
    <row r="77" spans="1:26" s="69" customFormat="1" ht="15" customHeight="1" outlineLevel="1" collapsed="1" x14ac:dyDescent="0.3">
      <c r="A77" s="25"/>
      <c r="B77" s="14" t="str">
        <f>CONCATENATE("     ","Telephone/Data Lines                              ")</f>
        <v xml:space="preserve">     Telephone/Data Lines                              </v>
      </c>
      <c r="C77" s="14"/>
      <c r="D77" s="2">
        <f>SUM(OSRRefD22_12x_0)</f>
        <v>181.5</v>
      </c>
      <c r="E77" s="2"/>
      <c r="F77" s="6">
        <f t="shared" si="8"/>
        <v>0</v>
      </c>
      <c r="G77" s="2"/>
      <c r="H77" s="2">
        <f>SUM(OSRRefH22_12x_0)</f>
        <v>75</v>
      </c>
      <c r="I77" s="2"/>
      <c r="J77" s="6">
        <f t="shared" si="9"/>
        <v>4.5912839066316507E-4</v>
      </c>
      <c r="K77" s="2"/>
      <c r="L77" s="2">
        <f t="shared" si="10"/>
        <v>106.5</v>
      </c>
      <c r="M77" s="2"/>
      <c r="N77" s="6">
        <f t="shared" si="11"/>
        <v>1.42</v>
      </c>
      <c r="O77" s="14"/>
      <c r="P77" s="2">
        <f>SUM(OSRRefP22_12x_0)</f>
        <v>619.5</v>
      </c>
      <c r="Q77" s="2"/>
      <c r="R77" s="6">
        <f t="shared" si="12"/>
        <v>0</v>
      </c>
      <c r="S77" s="2"/>
      <c r="T77" s="2">
        <f>SUM(OSRRefT22_12x_0)</f>
        <v>1125</v>
      </c>
      <c r="U77" s="2"/>
      <c r="V77" s="6">
        <f t="shared" si="13"/>
        <v>1.7889827287631847E-3</v>
      </c>
      <c r="W77" s="2"/>
      <c r="X77" s="2">
        <f t="shared" si="14"/>
        <v>-505.5</v>
      </c>
      <c r="Y77" s="2"/>
      <c r="Z77" s="6">
        <f t="shared" si="15"/>
        <v>-0.44933333333333331</v>
      </c>
    </row>
    <row r="78" spans="1:26" s="70" customFormat="1" ht="15" hidden="1" customHeight="1" outlineLevel="2" x14ac:dyDescent="0.3">
      <c r="A78" s="26"/>
      <c r="B78" s="12" t="str">
        <f>CONCATENATE("          ","6303"," - ","DATA PHONE LINES")</f>
        <v xml:space="preserve">          6303 - DATA PHONE LINES</v>
      </c>
      <c r="C78" s="12"/>
      <c r="D78" s="7"/>
      <c r="E78" s="3"/>
      <c r="F78" s="8">
        <f t="shared" si="8"/>
        <v>0</v>
      </c>
      <c r="G78" s="3"/>
      <c r="H78" s="7">
        <v>75</v>
      </c>
      <c r="I78" s="3"/>
      <c r="J78" s="8">
        <f t="shared" si="9"/>
        <v>4.5912839066316507E-4</v>
      </c>
      <c r="K78" s="3"/>
      <c r="L78" s="7">
        <f t="shared" si="10"/>
        <v>-75</v>
      </c>
      <c r="M78" s="3"/>
      <c r="N78" s="8">
        <f t="shared" si="11"/>
        <v>-1</v>
      </c>
      <c r="O78" s="12"/>
      <c r="P78" s="7"/>
      <c r="Q78" s="3"/>
      <c r="R78" s="8">
        <f t="shared" si="12"/>
        <v>0</v>
      </c>
      <c r="S78" s="3"/>
      <c r="T78" s="7">
        <v>675</v>
      </c>
      <c r="U78" s="3"/>
      <c r="V78" s="8">
        <f t="shared" si="13"/>
        <v>1.0733896372579108E-3</v>
      </c>
      <c r="W78" s="3"/>
      <c r="X78" s="7">
        <f t="shared" si="14"/>
        <v>-675</v>
      </c>
      <c r="Y78" s="3"/>
      <c r="Z78" s="8">
        <f t="shared" si="15"/>
        <v>-1</v>
      </c>
    </row>
    <row r="79" spans="1:26" s="70" customFormat="1" ht="15" hidden="1" customHeight="1" outlineLevel="2" x14ac:dyDescent="0.3">
      <c r="A79" s="26"/>
      <c r="B79" s="12" t="str">
        <f>CONCATENATE("          ","6309"," - ","TELEPHONE")</f>
        <v xml:space="preserve">          6309 - TELEPHONE</v>
      </c>
      <c r="C79" s="12"/>
      <c r="D79" s="7">
        <v>181.5</v>
      </c>
      <c r="E79" s="3"/>
      <c r="F79" s="8">
        <f t="shared" si="8"/>
        <v>0</v>
      </c>
      <c r="G79" s="3"/>
      <c r="H79" s="7"/>
      <c r="I79" s="3"/>
      <c r="J79" s="8">
        <f t="shared" si="9"/>
        <v>0</v>
      </c>
      <c r="K79" s="3"/>
      <c r="L79" s="7">
        <f t="shared" si="10"/>
        <v>181.5</v>
      </c>
      <c r="M79" s="3"/>
      <c r="N79" s="8">
        <f t="shared" si="11"/>
        <v>0</v>
      </c>
      <c r="O79" s="12"/>
      <c r="P79" s="7">
        <v>619.5</v>
      </c>
      <c r="Q79" s="3"/>
      <c r="R79" s="8">
        <f t="shared" si="12"/>
        <v>0</v>
      </c>
      <c r="S79" s="3"/>
      <c r="T79" s="7">
        <v>450</v>
      </c>
      <c r="U79" s="3"/>
      <c r="V79" s="8">
        <f t="shared" si="13"/>
        <v>7.1559309150527389E-4</v>
      </c>
      <c r="W79" s="3"/>
      <c r="X79" s="7">
        <f t="shared" si="14"/>
        <v>169.5</v>
      </c>
      <c r="Y79" s="3"/>
      <c r="Z79" s="8">
        <f t="shared" si="15"/>
        <v>0.37666666666666665</v>
      </c>
    </row>
    <row r="80" spans="1:26" s="69" customFormat="1" ht="15" customHeight="1" outlineLevel="1" collapsed="1" x14ac:dyDescent="0.3">
      <c r="A80" s="25"/>
      <c r="B80" s="14" t="str">
        <f>CONCATENATE("     ","Training                                          ")</f>
        <v xml:space="preserve">     Training                                          </v>
      </c>
      <c r="C80" s="14"/>
      <c r="D80" s="2">
        <f>SUM(OSRRefD22_13x_0)</f>
        <v>0</v>
      </c>
      <c r="E80" s="2"/>
      <c r="F80" s="6">
        <f t="shared" si="8"/>
        <v>0</v>
      </c>
      <c r="G80" s="2"/>
      <c r="H80" s="2">
        <f>SUM(OSRRefH22_13x_0)</f>
        <v>0</v>
      </c>
      <c r="I80" s="2"/>
      <c r="J80" s="6">
        <f t="shared" si="9"/>
        <v>0</v>
      </c>
      <c r="K80" s="2"/>
      <c r="L80" s="2">
        <f t="shared" si="10"/>
        <v>0</v>
      </c>
      <c r="M80" s="2"/>
      <c r="N80" s="6">
        <f t="shared" si="11"/>
        <v>0</v>
      </c>
      <c r="O80" s="14"/>
      <c r="P80" s="2">
        <f>SUM(OSRRefP22_13x_0)</f>
        <v>120</v>
      </c>
      <c r="Q80" s="2"/>
      <c r="R80" s="6">
        <f t="shared" si="12"/>
        <v>0</v>
      </c>
      <c r="S80" s="2"/>
      <c r="T80" s="2">
        <f>SUM(OSRRefT22_13x_0)</f>
        <v>400</v>
      </c>
      <c r="U80" s="2"/>
      <c r="V80" s="6">
        <f t="shared" si="13"/>
        <v>6.3608274800468797E-4</v>
      </c>
      <c r="W80" s="2"/>
      <c r="X80" s="2">
        <f t="shared" si="14"/>
        <v>-280</v>
      </c>
      <c r="Y80" s="2"/>
      <c r="Z80" s="6">
        <f t="shared" si="15"/>
        <v>-0.7</v>
      </c>
    </row>
    <row r="81" spans="1:26" s="70" customFormat="1" ht="15" hidden="1" customHeight="1" outlineLevel="2" x14ac:dyDescent="0.3">
      <c r="A81" s="26"/>
      <c r="B81" s="12" t="str">
        <f>CONCATENATE("          ","6376"," - ","TRAINING")</f>
        <v xml:space="preserve">          6376 - TRAINING</v>
      </c>
      <c r="C81" s="12"/>
      <c r="D81" s="7"/>
      <c r="E81" s="3"/>
      <c r="F81" s="8">
        <f t="shared" si="8"/>
        <v>0</v>
      </c>
      <c r="G81" s="3"/>
      <c r="H81" s="7"/>
      <c r="I81" s="3"/>
      <c r="J81" s="8">
        <f t="shared" si="9"/>
        <v>0</v>
      </c>
      <c r="K81" s="3"/>
      <c r="L81" s="7">
        <f t="shared" si="10"/>
        <v>0</v>
      </c>
      <c r="M81" s="3"/>
      <c r="N81" s="8">
        <f t="shared" si="11"/>
        <v>0</v>
      </c>
      <c r="O81" s="12"/>
      <c r="P81" s="7">
        <v>120</v>
      </c>
      <c r="Q81" s="3"/>
      <c r="R81" s="8">
        <f t="shared" si="12"/>
        <v>0</v>
      </c>
      <c r="S81" s="3"/>
      <c r="T81" s="7">
        <v>400</v>
      </c>
      <c r="U81" s="3"/>
      <c r="V81" s="8">
        <f t="shared" si="13"/>
        <v>6.3608274800468797E-4</v>
      </c>
      <c r="W81" s="3"/>
      <c r="X81" s="7">
        <f t="shared" si="14"/>
        <v>-280</v>
      </c>
      <c r="Y81" s="3"/>
      <c r="Z81" s="8">
        <f t="shared" si="15"/>
        <v>-0.7</v>
      </c>
    </row>
    <row r="82" spans="1:26" s="69" customFormat="1" ht="15" customHeight="1" outlineLevel="1" collapsed="1" x14ac:dyDescent="0.3">
      <c r="A82" s="25"/>
      <c r="B82" s="14" t="str">
        <f>CONCATENATE("     ","Travel                                            ")</f>
        <v xml:space="preserve">     Travel                                            </v>
      </c>
      <c r="C82" s="14"/>
      <c r="D82" s="2">
        <f>SUM(OSRRefD22_14x_0)</f>
        <v>0</v>
      </c>
      <c r="E82" s="2"/>
      <c r="F82" s="6">
        <f t="shared" si="8"/>
        <v>0</v>
      </c>
      <c r="G82" s="2"/>
      <c r="H82" s="2">
        <f>SUM(OSRRefH22_14x_0)</f>
        <v>600</v>
      </c>
      <c r="I82" s="2"/>
      <c r="J82" s="6">
        <f t="shared" si="9"/>
        <v>3.6730271253053205E-3</v>
      </c>
      <c r="K82" s="2"/>
      <c r="L82" s="2">
        <f t="shared" si="10"/>
        <v>-600</v>
      </c>
      <c r="M82" s="2"/>
      <c r="N82" s="6">
        <f t="shared" si="11"/>
        <v>-1</v>
      </c>
      <c r="O82" s="14"/>
      <c r="P82" s="2">
        <f>SUM(OSRRefP22_14x_0)</f>
        <v>0</v>
      </c>
      <c r="Q82" s="2"/>
      <c r="R82" s="6">
        <f t="shared" si="12"/>
        <v>0</v>
      </c>
      <c r="S82" s="2"/>
      <c r="T82" s="2">
        <f>SUM(OSRRefT22_14x_0)</f>
        <v>600</v>
      </c>
      <c r="U82" s="2"/>
      <c r="V82" s="6">
        <f t="shared" si="13"/>
        <v>9.5412412200703185E-4</v>
      </c>
      <c r="W82" s="2"/>
      <c r="X82" s="2">
        <f t="shared" si="14"/>
        <v>-600</v>
      </c>
      <c r="Y82" s="2"/>
      <c r="Z82" s="6">
        <f t="shared" si="15"/>
        <v>-1</v>
      </c>
    </row>
    <row r="83" spans="1:26" s="70" customFormat="1" ht="15" hidden="1" customHeight="1" outlineLevel="2" x14ac:dyDescent="0.3">
      <c r="A83" s="26"/>
      <c r="B83" s="12" t="str">
        <f>CONCATENATE("          ","6292"," - ","TRAVEL/CONFERENCE")</f>
        <v xml:space="preserve">          6292 - TRAVEL/CONFERENCE</v>
      </c>
      <c r="C83" s="12"/>
      <c r="D83" s="7"/>
      <c r="E83" s="3"/>
      <c r="F83" s="8">
        <f t="shared" si="8"/>
        <v>0</v>
      </c>
      <c r="G83" s="3"/>
      <c r="H83" s="7">
        <v>600</v>
      </c>
      <c r="I83" s="3"/>
      <c r="J83" s="8">
        <f t="shared" si="9"/>
        <v>3.6730271253053205E-3</v>
      </c>
      <c r="K83" s="3"/>
      <c r="L83" s="7">
        <f t="shared" si="10"/>
        <v>-600</v>
      </c>
      <c r="M83" s="3"/>
      <c r="N83" s="8">
        <f t="shared" si="11"/>
        <v>-1</v>
      </c>
      <c r="O83" s="12"/>
      <c r="P83" s="7"/>
      <c r="Q83" s="3"/>
      <c r="R83" s="8">
        <f t="shared" si="12"/>
        <v>0</v>
      </c>
      <c r="S83" s="3"/>
      <c r="T83" s="7">
        <v>600</v>
      </c>
      <c r="U83" s="3"/>
      <c r="V83" s="8">
        <f t="shared" si="13"/>
        <v>9.5412412200703185E-4</v>
      </c>
      <c r="W83" s="3"/>
      <c r="X83" s="7">
        <f t="shared" si="14"/>
        <v>-600</v>
      </c>
      <c r="Y83" s="3"/>
      <c r="Z83" s="8">
        <f t="shared" si="15"/>
        <v>-1</v>
      </c>
    </row>
    <row r="84" spans="1:26" s="69" customFormat="1" ht="15" customHeight="1" outlineLevel="1" collapsed="1" x14ac:dyDescent="0.3">
      <c r="A84" s="25"/>
      <c r="B84" s="14" t="str">
        <f>CONCATENATE("     ","Utilities                                         ")</f>
        <v xml:space="preserve">     Utilities                                         </v>
      </c>
      <c r="C84" s="14"/>
      <c r="D84" s="2">
        <f>SUM(OSRRefD22_15x_0)</f>
        <v>0</v>
      </c>
      <c r="E84" s="2"/>
      <c r="F84" s="6">
        <f t="shared" si="8"/>
        <v>0</v>
      </c>
      <c r="G84" s="2"/>
      <c r="H84" s="2">
        <f>SUM(OSRRefH22_15x_0)</f>
        <v>500</v>
      </c>
      <c r="I84" s="2"/>
      <c r="J84" s="6">
        <f t="shared" si="9"/>
        <v>3.0608559377544335E-3</v>
      </c>
      <c r="K84" s="2"/>
      <c r="L84" s="2">
        <f t="shared" si="10"/>
        <v>-500</v>
      </c>
      <c r="M84" s="2"/>
      <c r="N84" s="6">
        <f t="shared" si="11"/>
        <v>-1</v>
      </c>
      <c r="O84" s="14"/>
      <c r="P84" s="2">
        <f>SUM(OSRRefP22_15x_0)</f>
        <v>0</v>
      </c>
      <c r="Q84" s="2"/>
      <c r="R84" s="6">
        <f t="shared" si="12"/>
        <v>0</v>
      </c>
      <c r="S84" s="2"/>
      <c r="T84" s="2">
        <f>SUM(OSRRefT22_15x_0)</f>
        <v>4500</v>
      </c>
      <c r="U84" s="2"/>
      <c r="V84" s="6">
        <f t="shared" si="13"/>
        <v>7.1559309150527389E-3</v>
      </c>
      <c r="W84" s="2"/>
      <c r="X84" s="2">
        <f t="shared" si="14"/>
        <v>-4500</v>
      </c>
      <c r="Y84" s="2"/>
      <c r="Z84" s="6">
        <f t="shared" si="15"/>
        <v>-1</v>
      </c>
    </row>
    <row r="85" spans="1:26" s="70" customFormat="1" ht="15" hidden="1" customHeight="1" outlineLevel="2" x14ac:dyDescent="0.3">
      <c r="A85" s="26"/>
      <c r="B85" s="12" t="str">
        <f>CONCATENATE("          ","6274"," - ","UTILITIES")</f>
        <v xml:space="preserve">          6274 - UTILITIES</v>
      </c>
      <c r="C85" s="12"/>
      <c r="D85" s="7"/>
      <c r="E85" s="3"/>
      <c r="F85" s="8">
        <f t="shared" si="8"/>
        <v>0</v>
      </c>
      <c r="G85" s="3"/>
      <c r="H85" s="7">
        <v>500</v>
      </c>
      <c r="I85" s="3"/>
      <c r="J85" s="8">
        <f t="shared" si="9"/>
        <v>3.0608559377544335E-3</v>
      </c>
      <c r="K85" s="3"/>
      <c r="L85" s="7">
        <f t="shared" si="10"/>
        <v>-500</v>
      </c>
      <c r="M85" s="3"/>
      <c r="N85" s="8">
        <f t="shared" si="11"/>
        <v>-1</v>
      </c>
      <c r="O85" s="12"/>
      <c r="P85" s="7"/>
      <c r="Q85" s="3"/>
      <c r="R85" s="8">
        <f t="shared" si="12"/>
        <v>0</v>
      </c>
      <c r="S85" s="3"/>
      <c r="T85" s="7">
        <v>4500</v>
      </c>
      <c r="U85" s="3"/>
      <c r="V85" s="8">
        <f t="shared" si="13"/>
        <v>7.1559309150527389E-3</v>
      </c>
      <c r="W85" s="3"/>
      <c r="X85" s="7">
        <f t="shared" si="14"/>
        <v>-4500</v>
      </c>
      <c r="Y85" s="3"/>
      <c r="Z85" s="8">
        <f t="shared" si="15"/>
        <v>-1</v>
      </c>
    </row>
    <row r="86" spans="1:26" s="65" customFormat="1" ht="15" customHeight="1" x14ac:dyDescent="0.3">
      <c r="A86" s="35"/>
      <c r="B86" s="35"/>
      <c r="C86" s="35"/>
      <c r="D86" s="2"/>
      <c r="E86" s="2"/>
      <c r="F86" s="6"/>
      <c r="G86" s="2"/>
      <c r="H86" s="2"/>
      <c r="I86" s="2"/>
      <c r="J86" s="6"/>
      <c r="K86" s="2"/>
      <c r="L86" s="2"/>
      <c r="M86" s="2"/>
      <c r="N86" s="6"/>
      <c r="O86" s="35"/>
      <c r="P86" s="2"/>
      <c r="Q86" s="2"/>
      <c r="R86" s="6"/>
      <c r="S86" s="2"/>
      <c r="T86" s="2"/>
      <c r="U86" s="2"/>
      <c r="V86" s="6"/>
      <c r="W86" s="2"/>
      <c r="X86" s="2"/>
      <c r="Y86" s="2"/>
      <c r="Z86" s="6"/>
    </row>
    <row r="87" spans="1:26" s="63" customFormat="1" ht="15" customHeight="1" collapsed="1" x14ac:dyDescent="0.3">
      <c r="A87" s="11"/>
      <c r="B87" s="28" t="s">
        <v>291</v>
      </c>
      <c r="C87" s="11"/>
      <c r="D87" s="5">
        <f>SUM(OSRRefD25x_0)</f>
        <v>352.8</v>
      </c>
      <c r="E87" s="5"/>
      <c r="F87" s="13">
        <f>IF(D$12=0,0,D87/D$12)</f>
        <v>0</v>
      </c>
      <c r="G87" s="5"/>
      <c r="H87" s="5">
        <f>SUM(OSRRefH25x_0)</f>
        <v>0</v>
      </c>
      <c r="I87" s="5"/>
      <c r="J87" s="13">
        <f>IF(H$12=0,0,H87/H$12)</f>
        <v>0</v>
      </c>
      <c r="K87" s="5"/>
      <c r="L87" s="5">
        <f>+D87-H87</f>
        <v>352.8</v>
      </c>
      <c r="M87" s="5"/>
      <c r="N87" s="13">
        <f>IF(H87=0,0,L87/H87)</f>
        <v>0</v>
      </c>
      <c r="O87" s="11"/>
      <c r="P87" s="5">
        <f>SUM(OSRRefP25x_0)</f>
        <v>694.3</v>
      </c>
      <c r="Q87" s="5"/>
      <c r="R87" s="13">
        <f>IF(P$12=0,0,P87/P$12)</f>
        <v>0</v>
      </c>
      <c r="S87" s="5"/>
      <c r="T87" s="5">
        <f>SUM(OSRRefT25x_0)</f>
        <v>0</v>
      </c>
      <c r="U87" s="5"/>
      <c r="V87" s="13">
        <f>IF(T$12=0,0,T87/T$12)</f>
        <v>0</v>
      </c>
      <c r="W87" s="5"/>
      <c r="X87" s="5">
        <f>+P87-T87</f>
        <v>694.3</v>
      </c>
      <c r="Y87" s="5"/>
      <c r="Z87" s="13">
        <f>IF(T87=0,0,X87/T87)</f>
        <v>0</v>
      </c>
    </row>
    <row r="88" spans="1:26" s="70" customFormat="1" ht="15" hidden="1" customHeight="1" outlineLevel="1" x14ac:dyDescent="0.3">
      <c r="A88" s="42"/>
      <c r="B88" s="12" t="str">
        <f>CONCATENATE("          ","9150"," - ","MISC. INCOME")</f>
        <v xml:space="preserve">          9150 - MISC. INCOME</v>
      </c>
      <c r="C88" s="12"/>
      <c r="D88" s="3">
        <f>--352.8</f>
        <v>352.8</v>
      </c>
      <c r="E88" s="3"/>
      <c r="F88" s="20">
        <f>IF(D$12=0,0,D88/D$12)</f>
        <v>0</v>
      </c>
      <c r="G88" s="3"/>
      <c r="H88" s="3"/>
      <c r="I88" s="3"/>
      <c r="J88" s="20">
        <f>IF(H$12=0,0,H88/H$12)</f>
        <v>0</v>
      </c>
      <c r="K88" s="3"/>
      <c r="L88" s="3">
        <f>+D88-H88</f>
        <v>352.8</v>
      </c>
      <c r="M88" s="3"/>
      <c r="N88" s="20">
        <f>IF(H88=0,0,L88/H88)</f>
        <v>0</v>
      </c>
      <c r="O88" s="12"/>
      <c r="P88" s="3">
        <f>--694.3</f>
        <v>694.3</v>
      </c>
      <c r="Q88" s="3"/>
      <c r="R88" s="20">
        <f>IF(P$12=0,0,P88/P$12)</f>
        <v>0</v>
      </c>
      <c r="S88" s="3"/>
      <c r="T88" s="3"/>
      <c r="U88" s="3"/>
      <c r="V88" s="20">
        <f>IF(T$12=0,0,T88/T$12)</f>
        <v>0</v>
      </c>
      <c r="W88" s="3"/>
      <c r="X88" s="3">
        <f>+P88-T88</f>
        <v>694.3</v>
      </c>
      <c r="Y88" s="3"/>
      <c r="Z88" s="20">
        <f>IF(T88=0,0,X88/T88)</f>
        <v>0</v>
      </c>
    </row>
    <row r="89" spans="1:26" ht="15" customHeight="1" x14ac:dyDescent="0.3">
      <c r="A89" s="10"/>
      <c r="B89" s="11"/>
      <c r="C89" s="11"/>
      <c r="D89" s="4"/>
      <c r="E89" s="4"/>
      <c r="F89" s="9"/>
      <c r="G89" s="4"/>
      <c r="H89" s="4"/>
      <c r="I89" s="4"/>
      <c r="J89" s="9"/>
      <c r="K89" s="4"/>
      <c r="L89" s="4"/>
      <c r="M89" s="4"/>
      <c r="N89" s="9"/>
      <c r="O89" s="11"/>
      <c r="P89" s="4"/>
      <c r="Q89" s="4"/>
      <c r="R89" s="9"/>
      <c r="S89" s="4"/>
      <c r="T89" s="4"/>
      <c r="U89" s="4"/>
      <c r="V89" s="9"/>
      <c r="W89" s="4"/>
      <c r="X89" s="4"/>
      <c r="Y89" s="4"/>
      <c r="Z89" s="9"/>
    </row>
    <row r="90" spans="1:26" s="63" customFormat="1" ht="15" customHeight="1" x14ac:dyDescent="0.3">
      <c r="A90" s="11"/>
      <c r="B90" s="27" t="s">
        <v>292</v>
      </c>
      <c r="C90" s="27"/>
      <c r="D90" s="21">
        <f>+D20-D22+D87</f>
        <v>-16206.399999999998</v>
      </c>
      <c r="E90" s="15"/>
      <c r="F90" s="23">
        <f>IF(D$12=0,0,D90/D$12)</f>
        <v>0</v>
      </c>
      <c r="G90" s="15"/>
      <c r="H90" s="21">
        <f>+H20-H22+H87</f>
        <v>44827.977473212319</v>
      </c>
      <c r="I90" s="15"/>
      <c r="J90" s="23">
        <f>IF(H$12=0,0,H90/H$12)</f>
        <v>0.27442396205280783</v>
      </c>
      <c r="K90" s="16"/>
      <c r="L90" s="21">
        <f>+D90-H90</f>
        <v>-61034.377473212313</v>
      </c>
      <c r="M90" s="16"/>
      <c r="N90" s="23">
        <f>IF(H90=0,0,L90/H90)</f>
        <v>-1.361524229142044</v>
      </c>
      <c r="O90" s="28"/>
      <c r="P90" s="21">
        <f>+P20-P22+P87</f>
        <v>-154507.49000000005</v>
      </c>
      <c r="Q90" s="15"/>
      <c r="R90" s="23">
        <f>IF(P$12=0,0,P90/P$12)</f>
        <v>0</v>
      </c>
      <c r="S90" s="15"/>
      <c r="T90" s="21">
        <f>+T20-T22+T87</f>
        <v>8257.5739640861866</v>
      </c>
      <c r="U90" s="15"/>
      <c r="V90" s="23">
        <f>IF(T$12=0,0,T90/T$12)</f>
        <v>1.3131250847319765E-2</v>
      </c>
      <c r="W90" s="16"/>
      <c r="X90" s="21">
        <f>+P90-T90</f>
        <v>-162765.06396408624</v>
      </c>
      <c r="Y90" s="16"/>
      <c r="Z90" s="23">
        <f>IF(T90=0,0,X90/T90)</f>
        <v>-19.711002852894023</v>
      </c>
    </row>
    <row r="91" spans="1:26" ht="15" customHeight="1" x14ac:dyDescent="0.3">
      <c r="A91" s="10"/>
      <c r="B91" s="11"/>
      <c r="C91" s="10"/>
      <c r="D91" s="4"/>
      <c r="E91" s="4"/>
      <c r="F91" s="9"/>
      <c r="G91" s="4"/>
      <c r="H91" s="4"/>
      <c r="I91" s="4"/>
      <c r="J91" s="9"/>
      <c r="K91" s="4"/>
      <c r="L91" s="4"/>
      <c r="M91" s="4"/>
      <c r="N91" s="9"/>
      <c r="P91" s="4"/>
      <c r="Q91" s="4"/>
      <c r="R91" s="9"/>
      <c r="S91" s="4"/>
      <c r="T91" s="4"/>
      <c r="U91" s="4"/>
      <c r="V91" s="9"/>
      <c r="W91" s="4"/>
      <c r="X91" s="4"/>
      <c r="Y91" s="4"/>
      <c r="Z91" s="9"/>
    </row>
    <row r="92" spans="1:26" s="63" customFormat="1" ht="15" customHeight="1" x14ac:dyDescent="0.3">
      <c r="A92" s="49"/>
      <c r="B92" s="11" t="s">
        <v>293</v>
      </c>
      <c r="C92" s="11"/>
      <c r="D92" s="5"/>
      <c r="E92" s="5"/>
      <c r="F92" s="13">
        <f>IF(D$12=0,0,D92/D$12)</f>
        <v>0</v>
      </c>
      <c r="G92" s="5"/>
      <c r="H92" s="5">
        <v>19676</v>
      </c>
      <c r="I92" s="5"/>
      <c r="J92" s="13">
        <f>IF(H$12=0,0,H92/H$12)</f>
        <v>0.12045080286251247</v>
      </c>
      <c r="K92" s="5"/>
      <c r="L92" s="5">
        <f>+D92-H92</f>
        <v>-19676</v>
      </c>
      <c r="M92" s="5"/>
      <c r="N92" s="13">
        <f>IF(H92=0,0,L92/H92)</f>
        <v>-1</v>
      </c>
      <c r="O92" s="11"/>
      <c r="P92" s="5"/>
      <c r="Q92" s="5"/>
      <c r="R92" s="13">
        <f>IF(P$12=0,0,P92/P$12)</f>
        <v>0</v>
      </c>
      <c r="S92" s="5"/>
      <c r="T92" s="5">
        <v>76581</v>
      </c>
      <c r="U92" s="5"/>
      <c r="V92" s="13">
        <f>IF(T$12=0,0,T92/T$12)</f>
        <v>0.12177963231236752</v>
      </c>
      <c r="W92" s="5"/>
      <c r="X92" s="5">
        <f>+P92-T92</f>
        <v>-76581</v>
      </c>
      <c r="Y92" s="5"/>
      <c r="Z92" s="13">
        <f>IF(T92=0,0,X92/T92)</f>
        <v>-1</v>
      </c>
    </row>
    <row r="93" spans="1:26" ht="15" customHeight="1" x14ac:dyDescent="0.3">
      <c r="A93" s="10"/>
      <c r="B93" s="11"/>
      <c r="C93" s="11"/>
      <c r="D93" s="4"/>
      <c r="E93" s="4"/>
      <c r="F93" s="9"/>
      <c r="G93" s="4"/>
      <c r="H93" s="4"/>
      <c r="I93" s="4"/>
      <c r="J93" s="9"/>
      <c r="K93" s="4"/>
      <c r="L93" s="4"/>
      <c r="M93" s="4"/>
      <c r="N93" s="9"/>
      <c r="O93" s="11"/>
      <c r="P93" s="4"/>
      <c r="Q93" s="4"/>
      <c r="R93" s="9"/>
      <c r="S93" s="4"/>
      <c r="T93" s="4"/>
      <c r="U93" s="4"/>
      <c r="V93" s="9"/>
      <c r="W93" s="4"/>
      <c r="X93" s="4"/>
      <c r="Y93" s="4"/>
      <c r="Z93" s="9"/>
    </row>
    <row r="94" spans="1:26" s="63" customFormat="1" ht="15" customHeight="1" x14ac:dyDescent="0.3">
      <c r="A94" s="11"/>
      <c r="B94" s="27" t="s">
        <v>294</v>
      </c>
      <c r="C94" s="27"/>
      <c r="D94" s="34">
        <f>+D90-D92</f>
        <v>-16206.399999999998</v>
      </c>
      <c r="E94" s="15"/>
      <c r="F94" s="29">
        <f>IF(D$12=0,0,D94/D$12)</f>
        <v>0</v>
      </c>
      <c r="G94" s="15"/>
      <c r="H94" s="34">
        <f>+H90-H92</f>
        <v>25151.977473212319</v>
      </c>
      <c r="I94" s="15"/>
      <c r="J94" s="29">
        <f>IF(H$12=0,0,H94/H$12)</f>
        <v>0.15397315919029536</v>
      </c>
      <c r="K94" s="16"/>
      <c r="L94" s="34">
        <f>D94-H94</f>
        <v>-41358.377473212313</v>
      </c>
      <c r="M94" s="16"/>
      <c r="N94" s="29">
        <f>IF(H94=0,0,L94/H94)</f>
        <v>-1.6443389994786828</v>
      </c>
      <c r="O94" s="28"/>
      <c r="P94" s="34">
        <f>+P90-P92</f>
        <v>-154507.49000000005</v>
      </c>
      <c r="Q94" s="15"/>
      <c r="R94" s="29">
        <f>IF(P$12=0,0,P94/P$12)</f>
        <v>0</v>
      </c>
      <c r="S94" s="15"/>
      <c r="T94" s="34">
        <f>+T90-T92</f>
        <v>-68323.426035913813</v>
      </c>
      <c r="U94" s="15"/>
      <c r="V94" s="29">
        <f>IF(T$12=0,0,T94/T$12)</f>
        <v>-0.10864838146504775</v>
      </c>
      <c r="W94" s="16"/>
      <c r="X94" s="34">
        <f>P94-T94</f>
        <v>-86184.063964086236</v>
      </c>
      <c r="Y94" s="16"/>
      <c r="Z94" s="29">
        <f>IF(T94=0,0,X94/T94)</f>
        <v>1.2614130901278879</v>
      </c>
    </row>
    <row r="95" spans="1:26" ht="15" customHeight="1" x14ac:dyDescent="0.3">
      <c r="A95" s="10"/>
      <c r="B95" s="10"/>
      <c r="C95" s="10"/>
      <c r="D95" s="4"/>
      <c r="E95" s="4"/>
      <c r="F95" s="9"/>
      <c r="G95" s="4"/>
      <c r="H95" s="4"/>
      <c r="I95" s="4"/>
      <c r="J95" s="9"/>
      <c r="K95" s="4"/>
      <c r="L95" s="4"/>
      <c r="M95" s="4"/>
      <c r="N95" s="9"/>
      <c r="P95" s="4"/>
      <c r="Q95" s="4"/>
      <c r="R95" s="9"/>
      <c r="S95" s="4"/>
      <c r="T95" s="4"/>
      <c r="U95" s="4"/>
      <c r="V95" s="9"/>
      <c r="W95" s="4"/>
      <c r="X95" s="4"/>
      <c r="Y95" s="4"/>
      <c r="Z95" s="9"/>
    </row>
    <row r="96" spans="1:26" ht="15" customHeight="1" x14ac:dyDescent="0.3">
      <c r="A96" s="10"/>
      <c r="B96" s="10"/>
      <c r="C96" s="10"/>
      <c r="D96" s="4"/>
      <c r="E96" s="4"/>
      <c r="F96" s="9"/>
      <c r="G96" s="4"/>
      <c r="H96" s="4"/>
      <c r="I96" s="4"/>
      <c r="J96" s="9"/>
      <c r="K96" s="4"/>
      <c r="L96" s="4"/>
      <c r="M96" s="4"/>
      <c r="N96" s="9"/>
      <c r="P96" s="4"/>
      <c r="Q96" s="4"/>
      <c r="R96" s="9"/>
      <c r="S96" s="4"/>
      <c r="T96" s="4"/>
      <c r="U96" s="4"/>
      <c r="V96" s="9"/>
      <c r="W96" s="4"/>
      <c r="X96" s="4"/>
      <c r="Y96" s="4"/>
      <c r="Z96" s="9"/>
    </row>
    <row r="97" spans="1:26" s="63" customFormat="1" ht="15" customHeight="1" x14ac:dyDescent="0.3">
      <c r="A97" s="11"/>
      <c r="B97" s="27" t="s">
        <v>297</v>
      </c>
      <c r="C97" s="27"/>
      <c r="D97" s="32">
        <f>SUM(D94:D96)</f>
        <v>-16206.399999999998</v>
      </c>
      <c r="E97" s="15"/>
      <c r="F97" s="31">
        <f>IF(D$12=0,0,D97/D$12)</f>
        <v>0</v>
      </c>
      <c r="G97" s="15"/>
      <c r="H97" s="32">
        <f>SUM(H94:H96)</f>
        <v>25151.977473212319</v>
      </c>
      <c r="I97" s="15"/>
      <c r="J97" s="31">
        <f>IF(H$12=0,0,H97/H$12)</f>
        <v>0.15397315919029536</v>
      </c>
      <c r="K97" s="16"/>
      <c r="L97" s="32">
        <f>+D97-H97</f>
        <v>-41358.377473212313</v>
      </c>
      <c r="M97" s="16"/>
      <c r="N97" s="31">
        <f>IF(H97=0,0,L97/H97)</f>
        <v>-1.6443389994786828</v>
      </c>
      <c r="O97" s="28"/>
      <c r="P97" s="32">
        <f>SUM(P94:P96)</f>
        <v>-154507.49000000005</v>
      </c>
      <c r="Q97" s="15"/>
      <c r="R97" s="31">
        <f>IF(P$12=0,0,P97/P$12)</f>
        <v>0</v>
      </c>
      <c r="S97" s="15"/>
      <c r="T97" s="32">
        <f>SUM(T94:T96)</f>
        <v>-68323.426035913813</v>
      </c>
      <c r="U97" s="15"/>
      <c r="V97" s="31">
        <f>IF(T$12=0,0,T97/T$12)</f>
        <v>-0.10864838146504775</v>
      </c>
      <c r="W97" s="16"/>
      <c r="X97" s="32">
        <f>+P97-T97</f>
        <v>-86184.063964086236</v>
      </c>
      <c r="Y97" s="16"/>
      <c r="Z97" s="31">
        <f>IF(T97=0,0,X97/T97)</f>
        <v>1.2614130901278879</v>
      </c>
    </row>
    <row r="98" spans="1:26" ht="15" customHeight="1" x14ac:dyDescent="0.3">
      <c r="A98" s="10"/>
      <c r="C98" s="10"/>
      <c r="D98" s="19"/>
      <c r="E98" s="19"/>
      <c r="G98" s="19"/>
      <c r="H98" s="19"/>
      <c r="I98" s="19"/>
      <c r="J98" s="40"/>
      <c r="K98" s="19"/>
      <c r="L98" s="19"/>
      <c r="M98" s="19"/>
      <c r="P98" s="19"/>
      <c r="Q98" s="19"/>
      <c r="R98" s="40"/>
      <c r="S98" s="19"/>
      <c r="T98" s="19"/>
      <c r="U98" s="19"/>
      <c r="V98" s="40"/>
      <c r="W98" s="19"/>
      <c r="X98" s="19"/>
    </row>
    <row r="99" spans="1:26" ht="15" customHeight="1" x14ac:dyDescent="0.3">
      <c r="A99" s="10"/>
      <c r="B99" s="51">
        <v>44663.047665428239</v>
      </c>
      <c r="D99" s="19"/>
      <c r="E99" s="19"/>
      <c r="G99" s="19"/>
      <c r="H99" s="19"/>
      <c r="I99" s="19"/>
      <c r="J99" s="40"/>
      <c r="K99" s="19"/>
      <c r="L99" s="19"/>
      <c r="M99" s="19"/>
      <c r="P99" s="19"/>
      <c r="Q99" s="19"/>
      <c r="R99" s="40"/>
      <c r="S99" s="19"/>
      <c r="T99" s="19"/>
      <c r="U99" s="19"/>
      <c r="V99" s="40"/>
      <c r="W99" s="19"/>
      <c r="X99" s="19"/>
    </row>
    <row r="100" spans="1:26" ht="15" customHeight="1" x14ac:dyDescent="0.3">
      <c r="A100" s="10"/>
      <c r="B100" s="58" t="s">
        <v>298</v>
      </c>
      <c r="D100" s="19"/>
      <c r="E100" s="19"/>
      <c r="G100" s="19"/>
      <c r="H100" s="19"/>
      <c r="I100" s="19"/>
      <c r="J100" s="40"/>
      <c r="K100" s="19"/>
      <c r="L100" s="19"/>
      <c r="M100" s="19"/>
      <c r="P100" s="19"/>
      <c r="Q100" s="19"/>
      <c r="R100" s="40"/>
      <c r="S100" s="19"/>
      <c r="T100" s="19"/>
      <c r="U100" s="19"/>
      <c r="V100" s="40"/>
      <c r="W100" s="19"/>
      <c r="X100" s="19"/>
    </row>
    <row r="101" spans="1:26" ht="15" customHeight="1" x14ac:dyDescent="0.3">
      <c r="A101" s="10"/>
      <c r="B101" s="50"/>
      <c r="D101" s="19"/>
      <c r="E101" s="19"/>
      <c r="G101" s="19"/>
      <c r="H101" s="19"/>
      <c r="I101" s="19"/>
      <c r="J101" s="40"/>
      <c r="K101" s="19"/>
      <c r="L101" s="19"/>
      <c r="M101" s="19"/>
      <c r="P101" s="19"/>
      <c r="Q101" s="19"/>
      <c r="R101" s="40"/>
      <c r="S101" s="19"/>
      <c r="T101" s="19"/>
      <c r="U101" s="19"/>
      <c r="V101" s="40"/>
      <c r="W101" s="19"/>
      <c r="X101" s="19"/>
    </row>
    <row r="102" spans="1:26" ht="15" customHeight="1" x14ac:dyDescent="0.3">
      <c r="D102" s="19"/>
      <c r="E102" s="19"/>
      <c r="G102" s="19"/>
      <c r="H102" s="19"/>
      <c r="I102" s="19"/>
      <c r="J102" s="40"/>
      <c r="K102" s="19"/>
      <c r="L102" s="19"/>
      <c r="M102" s="19"/>
      <c r="P102" s="19"/>
      <c r="Q102" s="19"/>
      <c r="R102" s="40"/>
      <c r="S102" s="19"/>
      <c r="T102" s="19"/>
      <c r="U102" s="19"/>
      <c r="V102" s="40"/>
      <c r="W102" s="19"/>
      <c r="X102" s="19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B4B943-6EA2-4282-0681-9AA79D6C2866}">
  <sheetPr>
    <tabColor rgb="FFFFC000"/>
    <outlinePr summaryBelow="0" summaryRight="0"/>
  </sheetPr>
  <dimension ref="A2:Z41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6" customWidth="1"/>
    <col min="2" max="2" width="33.44140625" style="66" customWidth="1"/>
    <col min="3" max="3" width="1.88671875" style="66" customWidth="1"/>
    <col min="4" max="4" width="15" style="66" customWidth="1"/>
    <col min="5" max="5" width="1.88671875" style="66" customWidth="1" outlineLevel="1"/>
    <col min="6" max="6" width="15" style="67" customWidth="1" outlineLevel="1"/>
    <col min="7" max="7" width="1.88671875" style="66" customWidth="1" outlineLevel="1"/>
    <col min="8" max="8" width="15" style="66" customWidth="1" outlineLevel="1"/>
    <col min="9" max="9" width="1.88671875" style="66" customWidth="1" outlineLevel="1"/>
    <col min="10" max="10" width="15" style="68" customWidth="1" outlineLevel="1"/>
    <col min="11" max="11" width="1.88671875" style="66" customWidth="1" outlineLevel="1"/>
    <col min="12" max="12" width="15" style="66" customWidth="1" outlineLevel="1"/>
    <col min="13" max="13" width="1.88671875" style="66" customWidth="1" outlineLevel="1"/>
    <col min="14" max="14" width="15" style="67" customWidth="1" outlineLevel="1"/>
    <col min="15" max="15" width="1.88671875" style="64" customWidth="1"/>
    <col min="16" max="16" width="15" style="66" customWidth="1"/>
    <col min="17" max="17" width="1.88671875" style="66" customWidth="1" outlineLevel="1"/>
    <col min="18" max="18" width="15" style="68" customWidth="1" outlineLevel="1"/>
    <col min="19" max="19" width="1.88671875" style="66" customWidth="1" outlineLevel="1"/>
    <col min="20" max="20" width="15" style="66" customWidth="1" outlineLevel="1"/>
    <col min="21" max="21" width="1.88671875" style="66" customWidth="1" outlineLevel="1"/>
    <col min="22" max="22" width="15" style="68" customWidth="1" outlineLevel="1"/>
    <col min="23" max="23" width="1.88671875" style="66" customWidth="1" outlineLevel="1"/>
    <col min="24" max="24" width="15" style="66" customWidth="1" outlineLevel="1"/>
    <col min="25" max="25" width="1.88671875" style="66" customWidth="1" outlineLevel="1"/>
    <col min="26" max="26" width="15" style="68" customWidth="1" outlineLevel="1"/>
  </cols>
  <sheetData>
    <row r="2" spans="1:26" ht="15" customHeight="1" x14ac:dyDescent="0.3">
      <c r="D2" s="54" t="s">
        <v>276</v>
      </c>
    </row>
    <row r="3" spans="1:26" ht="15" customHeight="1" x14ac:dyDescent="0.3">
      <c r="D3" s="54" t="s">
        <v>277</v>
      </c>
      <c r="E3" s="18"/>
      <c r="F3" s="44"/>
      <c r="G3" s="18"/>
      <c r="H3" s="18"/>
      <c r="I3" s="18"/>
      <c r="J3" s="38"/>
      <c r="K3" s="18"/>
      <c r="L3" s="18"/>
      <c r="M3" s="18"/>
      <c r="N3" s="44"/>
      <c r="O3" s="53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ht="15" customHeight="1" x14ac:dyDescent="0.3">
      <c r="D4" s="54" t="e">
        <f ca="1">CONCATENATE("Period ",RIGHT(_xll.ONESTOP.REPORTPLAYER.OSRFUNCTIONS.OSRGET("Period","PeriodId"),2),", ",_xll.ONESTOP.REPORTPLAYER.OSRFUNCTIONS.OSRGET("Period","Year"))</f>
        <v>#NAME?</v>
      </c>
      <c r="E4" s="18"/>
      <c r="F4" s="44"/>
      <c r="G4" s="18"/>
      <c r="H4" s="18"/>
      <c r="I4" s="18"/>
      <c r="J4" s="38"/>
      <c r="K4" s="18"/>
      <c r="L4" s="18"/>
      <c r="M4" s="18"/>
      <c r="N4" s="44"/>
      <c r="O4" s="53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ht="15" customHeight="1" x14ac:dyDescent="0.3">
      <c r="A5" s="24"/>
      <c r="D5" s="61" t="e">
        <f ca="1">_xll.ONESTOP.REPORTPLAYER.OSRFUNCTIONS.OSRGET("Period","PeriodEnd")</f>
        <v>#NAME?</v>
      </c>
      <c r="E5" s="18"/>
      <c r="F5" s="44"/>
      <c r="G5" s="18"/>
      <c r="H5" s="18"/>
      <c r="I5" s="18"/>
      <c r="J5" s="38"/>
      <c r="K5" s="18"/>
      <c r="L5" s="18"/>
      <c r="M5" s="18"/>
      <c r="N5" s="44"/>
      <c r="O5" s="53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ht="15" customHeight="1" x14ac:dyDescent="0.3">
      <c r="A6" s="24"/>
      <c r="B6" s="47"/>
      <c r="C6" s="47"/>
      <c r="D6" s="24" t="s">
        <v>299</v>
      </c>
      <c r="E6" s="18"/>
      <c r="F6" s="44"/>
      <c r="G6" s="18"/>
      <c r="H6" s="18"/>
      <c r="I6" s="18"/>
      <c r="J6" s="38"/>
      <c r="K6" s="18"/>
      <c r="L6" s="18"/>
      <c r="M6" s="18"/>
      <c r="N6" s="44"/>
      <c r="O6" s="59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ht="15" customHeight="1" x14ac:dyDescent="0.3">
      <c r="B7" s="52"/>
    </row>
    <row r="8" spans="1:26" ht="15" customHeight="1" x14ac:dyDescent="0.3">
      <c r="B8" s="52"/>
    </row>
    <row r="9" spans="1:26" ht="15" customHeight="1" x14ac:dyDescent="0.3">
      <c r="B9" s="10"/>
      <c r="C9" s="10"/>
      <c r="D9" s="17" t="s">
        <v>279</v>
      </c>
      <c r="E9" s="17"/>
      <c r="F9" s="36"/>
      <c r="G9" s="17"/>
      <c r="H9" s="17"/>
      <c r="I9" s="17"/>
      <c r="J9" s="43"/>
      <c r="K9" s="17"/>
      <c r="L9" s="17"/>
      <c r="M9" s="17"/>
      <c r="N9" s="36"/>
      <c r="P9" s="17" t="s">
        <v>280</v>
      </c>
      <c r="Q9" s="17"/>
      <c r="R9" s="36"/>
      <c r="S9" s="17"/>
      <c r="T9" s="17"/>
      <c r="U9" s="17"/>
      <c r="V9" s="43"/>
      <c r="W9" s="17"/>
      <c r="X9" s="17"/>
      <c r="Y9" s="17"/>
      <c r="Z9" s="36"/>
    </row>
    <row r="10" spans="1:26" ht="15" customHeight="1" x14ac:dyDescent="0.3">
      <c r="A10" s="11"/>
      <c r="B10" s="57"/>
      <c r="C10" s="11"/>
      <c r="D10" s="41" t="s">
        <v>281</v>
      </c>
      <c r="E10" s="33"/>
      <c r="F10" s="37" t="s">
        <v>282</v>
      </c>
      <c r="G10" s="33"/>
      <c r="H10" s="48" t="s">
        <v>283</v>
      </c>
      <c r="I10" s="33"/>
      <c r="J10" s="45" t="s">
        <v>284</v>
      </c>
      <c r="K10" s="11"/>
      <c r="L10" s="41" t="s">
        <v>285</v>
      </c>
      <c r="M10" s="11"/>
      <c r="N10" s="37" t="s">
        <v>286</v>
      </c>
      <c r="O10" s="11"/>
      <c r="P10" s="56" t="s">
        <v>281</v>
      </c>
      <c r="Q10" s="33"/>
      <c r="R10" s="37" t="s">
        <v>282</v>
      </c>
      <c r="S10" s="33"/>
      <c r="T10" s="48" t="s">
        <v>283</v>
      </c>
      <c r="U10" s="33"/>
      <c r="V10" s="45" t="s">
        <v>284</v>
      </c>
      <c r="W10" s="11"/>
      <c r="X10" s="41" t="s">
        <v>285</v>
      </c>
      <c r="Y10" s="11"/>
      <c r="Z10" s="37" t="s">
        <v>286</v>
      </c>
    </row>
    <row r="11" spans="1:26" ht="16.5" customHeight="1" x14ac:dyDescent="0.3">
      <c r="A11" s="10"/>
      <c r="B11" s="55"/>
      <c r="C11" s="10"/>
      <c r="D11" s="10"/>
      <c r="E11" s="10"/>
      <c r="F11" s="9"/>
      <c r="G11" s="10"/>
      <c r="H11" s="10"/>
      <c r="I11" s="10"/>
      <c r="J11" s="46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6"/>
      <c r="W11" s="10"/>
      <c r="X11" s="10"/>
      <c r="Y11" s="10"/>
      <c r="Z11" s="9"/>
    </row>
    <row r="12" spans="1:26" s="63" customFormat="1" ht="15" customHeight="1" collapsed="1" x14ac:dyDescent="0.3">
      <c r="A12" s="11"/>
      <c r="B12" s="28" t="s">
        <v>287</v>
      </c>
      <c r="C12" s="11"/>
      <c r="D12" s="5" t="e">
        <f ca="1">SUM(_xll.ONESTOP.REPORTPLAYER.OSRFUNCTIONS.OSRREF(D13))</f>
        <v>#NAME?</v>
      </c>
      <c r="E12" s="5"/>
      <c r="F12" s="13"/>
      <c r="G12" s="5"/>
      <c r="H12" s="5" t="e">
        <f ca="1">SUM(_xll.ONESTOP.REPORTPLAYER.OSRFUNCTIONS.OSRREF(H13))</f>
        <v>#NAME?</v>
      </c>
      <c r="I12" s="5"/>
      <c r="J12" s="13"/>
      <c r="K12" s="5"/>
      <c r="L12" s="5" t="e">
        <f ca="1">+D12-H12</f>
        <v>#NAME?</v>
      </c>
      <c r="M12" s="5"/>
      <c r="N12" s="13" t="e">
        <f ca="1">IF(H12=0,0,L12/H12)</f>
        <v>#NAME?</v>
      </c>
      <c r="O12" s="11"/>
      <c r="P12" s="5" t="e">
        <f ca="1">SUM(_xll.ONESTOP.REPORTPLAYER.OSRFUNCTIONS.OSRREF(P13))</f>
        <v>#NAME?</v>
      </c>
      <c r="Q12" s="5"/>
      <c r="R12" s="13"/>
      <c r="S12" s="5"/>
      <c r="T12" s="5" t="e">
        <f ca="1">SUM(_xll.ONESTOP.REPORTPLAYER.OSRFUNCTIONS.OSRREF(T13))</f>
        <v>#NAME?</v>
      </c>
      <c r="U12" s="5"/>
      <c r="V12" s="13"/>
      <c r="W12" s="5"/>
      <c r="X12" s="5" t="e">
        <f ca="1">+P12-T12</f>
        <v>#NAME?</v>
      </c>
      <c r="Y12" s="5"/>
      <c r="Z12" s="13" t="e">
        <f ca="1">IF(T12=0,0,X12/T12)</f>
        <v>#NAME?</v>
      </c>
    </row>
    <row r="13" spans="1:26" s="70" customFormat="1" ht="15" hidden="1" customHeight="1" outlineLevel="1" x14ac:dyDescent="0.3">
      <c r="A13" s="42"/>
      <c r="B13" s="12" t="e">
        <f ca="1">CONCATENATE("          ",_xll.ONESTOP.REPORTPLAYER.OSRFUNCTIONS.OSRGET("d_Account","Code")," - ",_xll.ONESTOP.REPORTPLAYER.OSRFUNCTIONS.OSRGET("d_Account","Description"))</f>
        <v>#NAME?</v>
      </c>
      <c r="C13" s="12"/>
      <c r="D13" s="3" t="e">
        <f ca="1">-_xll.ONESTOP.REPORTPLAYER.OSRFUNCTIONS.OSRGET("GL_F_Trans","Value1")</f>
        <v>#NAME?</v>
      </c>
      <c r="E13" s="3"/>
      <c r="F13" s="20"/>
      <c r="G13" s="3"/>
      <c r="H13" s="3" t="e">
        <f ca="1">_xll.ONESTOP.REPORTPLAYER.OSRFUNCTIONS.OSRGET("GL_F_Trans","Value1")</f>
        <v>#NAME?</v>
      </c>
      <c r="I13" s="3"/>
      <c r="J13" s="20"/>
      <c r="K13" s="3"/>
      <c r="L13" s="3" t="e">
        <f ca="1">+D13-H13</f>
        <v>#NAME?</v>
      </c>
      <c r="M13" s="3"/>
      <c r="N13" s="20" t="e">
        <f ca="1">IF(H13=0,0,L13/H13)</f>
        <v>#NAME?</v>
      </c>
      <c r="O13" s="12"/>
      <c r="P13" s="3" t="e">
        <f ca="1">-_xll.ONESTOP.REPORTPLAYER.OSRFUNCTIONS.OSRGET("GL_F_Trans","Value1")</f>
        <v>#NAME?</v>
      </c>
      <c r="Q13" s="3"/>
      <c r="R13" s="20"/>
      <c r="S13" s="3"/>
      <c r="T13" s="3" t="e">
        <f ca="1">_xll.ONESTOP.REPORTPLAYER.OSRFUNCTIONS.OSRGET("GL_F_Trans","Value1")</f>
        <v>#NAME?</v>
      </c>
      <c r="U13" s="3"/>
      <c r="V13" s="20"/>
      <c r="W13" s="3"/>
      <c r="X13" s="3" t="e">
        <f ca="1">+P13-T13</f>
        <v>#NAME?</v>
      </c>
      <c r="Y13" s="3"/>
      <c r="Z13" s="20" t="e">
        <f ca="1">IF(T13=0,0,X13/T13)</f>
        <v>#NAME?</v>
      </c>
    </row>
    <row r="14" spans="1:26" ht="15" customHeight="1" x14ac:dyDescent="0.3">
      <c r="A14" s="10"/>
      <c r="B14" s="11"/>
      <c r="C14" s="10"/>
      <c r="D14" s="4"/>
      <c r="E14" s="4"/>
      <c r="F14" s="9"/>
      <c r="G14" s="4"/>
      <c r="H14" s="4"/>
      <c r="I14" s="4"/>
      <c r="J14" s="9"/>
      <c r="K14" s="4"/>
      <c r="L14" s="4"/>
      <c r="M14" s="4"/>
      <c r="N14" s="9"/>
      <c r="P14" s="4"/>
      <c r="Q14" s="4"/>
      <c r="R14" s="9"/>
      <c r="S14" s="4"/>
      <c r="T14" s="4"/>
      <c r="U14" s="4"/>
      <c r="V14" s="9"/>
      <c r="W14" s="4"/>
      <c r="X14" s="4"/>
      <c r="Y14" s="4"/>
      <c r="Z14" s="9"/>
    </row>
    <row r="15" spans="1:26" s="63" customFormat="1" ht="15" customHeight="1" collapsed="1" x14ac:dyDescent="0.3">
      <c r="A15" s="11"/>
      <c r="B15" s="28" t="s">
        <v>288</v>
      </c>
      <c r="C15" s="11"/>
      <c r="D15" s="5" t="e">
        <f ca="1">SUM(_xll.ONESTOP.REPORTPLAYER.OSRFUNCTIONS.OSRREF(D16))</f>
        <v>#NAME?</v>
      </c>
      <c r="E15" s="5"/>
      <c r="F15" s="13" t="e">
        <f ca="1">IF(D$12=0,0,D15/D$12)</f>
        <v>#NAME?</v>
      </c>
      <c r="G15" s="5"/>
      <c r="H15" s="5" t="e">
        <f ca="1">SUM(_xll.ONESTOP.REPORTPLAYER.OSRFUNCTIONS.OSRREF(H16))</f>
        <v>#NAME?</v>
      </c>
      <c r="I15" s="5"/>
      <c r="J15" s="13" t="e">
        <f ca="1">IF(H$12=0,0,H15/H$12)</f>
        <v>#NAME?</v>
      </c>
      <c r="K15" s="5"/>
      <c r="L15" s="5" t="e">
        <f ca="1">+D15-H15</f>
        <v>#NAME?</v>
      </c>
      <c r="M15" s="5"/>
      <c r="N15" s="13" t="e">
        <f ca="1">IF(H15=0,0,L15/H15)</f>
        <v>#NAME?</v>
      </c>
      <c r="O15" s="11"/>
      <c r="P15" s="5" t="e">
        <f ca="1">SUM(_xll.ONESTOP.REPORTPLAYER.OSRFUNCTIONS.OSRREF(P16))</f>
        <v>#NAME?</v>
      </c>
      <c r="Q15" s="5"/>
      <c r="R15" s="13" t="e">
        <f ca="1">IF(P$12=0,0,P15/P$12)</f>
        <v>#NAME?</v>
      </c>
      <c r="S15" s="5"/>
      <c r="T15" s="5" t="e">
        <f ca="1">SUM(_xll.ONESTOP.REPORTPLAYER.OSRFUNCTIONS.OSRREF(T16))</f>
        <v>#NAME?</v>
      </c>
      <c r="U15" s="5"/>
      <c r="V15" s="13" t="e">
        <f ca="1">IF(T$12=0,0,T15/T$12)</f>
        <v>#NAME?</v>
      </c>
      <c r="W15" s="5"/>
      <c r="X15" s="5" t="e">
        <f ca="1">+P15-T15</f>
        <v>#NAME?</v>
      </c>
      <c r="Y15" s="5"/>
      <c r="Z15" s="13" t="e">
        <f ca="1">IF(T15=0,0,X15/T15)</f>
        <v>#NAME?</v>
      </c>
    </row>
    <row r="16" spans="1:26" s="70" customFormat="1" ht="15" hidden="1" customHeight="1" outlineLevel="1" x14ac:dyDescent="0.3">
      <c r="A16" s="42"/>
      <c r="B16" s="12" t="e">
        <f ca="1">CONCATENATE("          ",_xll.ONESTOP.REPORTPLAYER.OSRFUNCTIONS.OSRGET("d_Account","Code")," - ",_xll.ONESTOP.REPORTPLAYER.OSRFUNCTIONS.OSRGET("d_Account","Description"))</f>
        <v>#NAME?</v>
      </c>
      <c r="C16" s="12"/>
      <c r="D16" s="3" t="e">
        <f ca="1">_xll.ONESTOP.REPORTPLAYER.OSRFUNCTIONS.OSRGET("GL_F_Trans","Value1")</f>
        <v>#NAME?</v>
      </c>
      <c r="E16" s="3"/>
      <c r="F16" s="20" t="e">
        <f ca="1">IF(D$12=0,0,D16/D$12)</f>
        <v>#NAME?</v>
      </c>
      <c r="G16" s="3"/>
      <c r="H16" s="3" t="e">
        <f ca="1">_xll.ONESTOP.REPORTPLAYER.OSRFUNCTIONS.OSRGET("GL_F_Trans","Value1")</f>
        <v>#NAME?</v>
      </c>
      <c r="I16" s="3"/>
      <c r="J16" s="20" t="e">
        <f ca="1">IF(H$12=0,0,H16/H$12)</f>
        <v>#NAME?</v>
      </c>
      <c r="K16" s="3"/>
      <c r="L16" s="3" t="e">
        <f ca="1">+D16-H16</f>
        <v>#NAME?</v>
      </c>
      <c r="M16" s="3"/>
      <c r="N16" s="20" t="e">
        <f ca="1">IF(H16=0,0,L16/H16)</f>
        <v>#NAME?</v>
      </c>
      <c r="O16" s="12"/>
      <c r="P16" s="3" t="e">
        <f ca="1">_xll.ONESTOP.REPORTPLAYER.OSRFUNCTIONS.OSRGET("GL_F_Trans","Value1")</f>
        <v>#NAME?</v>
      </c>
      <c r="Q16" s="3"/>
      <c r="R16" s="20" t="e">
        <f ca="1">IF(P$12=0,0,P16/P$12)</f>
        <v>#NAME?</v>
      </c>
      <c r="S16" s="3"/>
      <c r="T16" s="3" t="e">
        <f ca="1">_xll.ONESTOP.REPORTPLAYER.OSRFUNCTIONS.OSRGET("GL_F_Trans","Value1")</f>
        <v>#NAME?</v>
      </c>
      <c r="U16" s="3"/>
      <c r="V16" s="20" t="e">
        <f ca="1">IF(T$12=0,0,T16/T$12)</f>
        <v>#NAME?</v>
      </c>
      <c r="W16" s="3"/>
      <c r="X16" s="3" t="e">
        <f ca="1">+P16-T16</f>
        <v>#NAME?</v>
      </c>
      <c r="Y16" s="3"/>
      <c r="Z16" s="20" t="e">
        <f ca="1">IF(T16=0,0,X16/T16)</f>
        <v>#NAME?</v>
      </c>
    </row>
    <row r="17" spans="1:26" ht="15" customHeight="1" x14ac:dyDescent="0.3">
      <c r="A17" s="10"/>
      <c r="B17" s="11"/>
      <c r="C17" s="11"/>
      <c r="D17" s="4"/>
      <c r="E17" s="4"/>
      <c r="F17" s="9"/>
      <c r="G17" s="4"/>
      <c r="H17" s="4"/>
      <c r="I17" s="4"/>
      <c r="J17" s="9"/>
      <c r="K17" s="4"/>
      <c r="L17" s="4"/>
      <c r="M17" s="4"/>
      <c r="N17" s="9"/>
      <c r="O17" s="11"/>
      <c r="P17" s="4"/>
      <c r="Q17" s="4"/>
      <c r="R17" s="9"/>
      <c r="S17" s="4"/>
      <c r="T17" s="4"/>
      <c r="U17" s="4"/>
      <c r="V17" s="9"/>
      <c r="W17" s="4"/>
      <c r="X17" s="4"/>
      <c r="Y17" s="4"/>
      <c r="Z17" s="9"/>
    </row>
    <row r="18" spans="1:26" s="63" customFormat="1" ht="15" customHeight="1" x14ac:dyDescent="0.3">
      <c r="A18" s="11"/>
      <c r="B18" s="27" t="s">
        <v>289</v>
      </c>
      <c r="C18" s="27"/>
      <c r="D18" s="21" t="e">
        <f ca="1">D12-D15</f>
        <v>#NAME?</v>
      </c>
      <c r="E18" s="15"/>
      <c r="F18" s="23" t="e">
        <f ca="1">IF(D$12=0,0,D18/D$12)</f>
        <v>#NAME?</v>
      </c>
      <c r="G18" s="15"/>
      <c r="H18" s="21" t="e">
        <f ca="1">H12-H15</f>
        <v>#NAME?</v>
      </c>
      <c r="I18" s="15"/>
      <c r="J18" s="23" t="e">
        <f ca="1">IF(H$12=0,0,H18/H$12)</f>
        <v>#NAME?</v>
      </c>
      <c r="K18" s="16"/>
      <c r="L18" s="21" t="e">
        <f ca="1">+D18-H18</f>
        <v>#NAME?</v>
      </c>
      <c r="M18" s="16"/>
      <c r="N18" s="23" t="e">
        <f ca="1">IF(H18=0,0,L18/H18)</f>
        <v>#NAME?</v>
      </c>
      <c r="O18" s="28"/>
      <c r="P18" s="21" t="e">
        <f ca="1">P12-P15</f>
        <v>#NAME?</v>
      </c>
      <c r="Q18" s="15"/>
      <c r="R18" s="23" t="e">
        <f ca="1">IF(P$12=0,0,P18/P$12)</f>
        <v>#NAME?</v>
      </c>
      <c r="S18" s="15"/>
      <c r="T18" s="21" t="e">
        <f ca="1">T12-T15</f>
        <v>#NAME?</v>
      </c>
      <c r="U18" s="15"/>
      <c r="V18" s="23" t="e">
        <f ca="1">IF(T$12=0,0,T18/T$12)</f>
        <v>#NAME?</v>
      </c>
      <c r="W18" s="16"/>
      <c r="X18" s="21" t="e">
        <f ca="1">+P18-T18</f>
        <v>#NAME?</v>
      </c>
      <c r="Y18" s="16"/>
      <c r="Z18" s="23" t="e">
        <f ca="1">IF(T18=0,0,X18/T18)</f>
        <v>#NAME?</v>
      </c>
    </row>
    <row r="19" spans="1:26" ht="15" customHeight="1" x14ac:dyDescent="0.3">
      <c r="A19" s="10"/>
      <c r="B19" s="11"/>
      <c r="C19" s="10"/>
      <c r="D19" s="2"/>
      <c r="E19" s="2"/>
      <c r="F19" s="6"/>
      <c r="G19" s="2"/>
      <c r="H19" s="2"/>
      <c r="I19" s="2"/>
      <c r="J19" s="6"/>
      <c r="K19" s="2"/>
      <c r="L19" s="2"/>
      <c r="M19" s="2"/>
      <c r="N19" s="6"/>
      <c r="O19" s="35"/>
      <c r="P19" s="2"/>
      <c r="Q19" s="2"/>
      <c r="R19" s="6"/>
      <c r="S19" s="2"/>
      <c r="T19" s="2"/>
      <c r="U19" s="2"/>
      <c r="V19" s="6"/>
      <c r="W19" s="2"/>
      <c r="X19" s="2"/>
      <c r="Y19" s="2"/>
      <c r="Z19" s="6"/>
    </row>
    <row r="20" spans="1:26" s="63" customFormat="1" ht="15" customHeight="1" x14ac:dyDescent="0.3">
      <c r="A20" s="11"/>
      <c r="B20" s="28" t="s">
        <v>290</v>
      </c>
      <c r="C20" s="11"/>
      <c r="D20" s="22" t="e">
        <f ca="1">SUM(_xll.ONESTOP.REPORTPLAYER.OSRFUNCTIONS.OSRREF(D22))</f>
        <v>#NAME?</v>
      </c>
      <c r="E20" s="22"/>
      <c r="F20" s="30" t="e">
        <f ca="1">IF(D$12=0,0,D20/D$12)</f>
        <v>#NAME?</v>
      </c>
      <c r="G20" s="22"/>
      <c r="H20" s="22" t="e">
        <f ca="1">SUM(_xll.ONESTOP.REPORTPLAYER.OSRFUNCTIONS.OSRREF(H22))</f>
        <v>#NAME?</v>
      </c>
      <c r="I20" s="22"/>
      <c r="J20" s="30" t="e">
        <f ca="1">IF(H$12=0,0,H20/H$12)</f>
        <v>#NAME?</v>
      </c>
      <c r="K20" s="5"/>
      <c r="L20" s="22" t="e">
        <f ca="1">+D20-H20</f>
        <v>#NAME?</v>
      </c>
      <c r="M20" s="5"/>
      <c r="N20" s="30" t="e">
        <f ca="1">IF(H20=0,0,L20/H20)</f>
        <v>#NAME?</v>
      </c>
      <c r="O20" s="11"/>
      <c r="P20" s="22" t="e">
        <f ca="1">SUM(_xll.ONESTOP.REPORTPLAYER.OSRFUNCTIONS.OSRREF(P22))</f>
        <v>#NAME?</v>
      </c>
      <c r="Q20" s="22"/>
      <c r="R20" s="30" t="e">
        <f ca="1">IF(P$12=0,0,P20/P$12)</f>
        <v>#NAME?</v>
      </c>
      <c r="S20" s="22"/>
      <c r="T20" s="22" t="e">
        <f ca="1">SUM(_xll.ONESTOP.REPORTPLAYER.OSRFUNCTIONS.OSRREF(T22))</f>
        <v>#NAME?</v>
      </c>
      <c r="U20" s="22"/>
      <c r="V20" s="30" t="e">
        <f ca="1">IF(T$12=0,0,T20/T$12)</f>
        <v>#NAME?</v>
      </c>
      <c r="W20" s="5"/>
      <c r="X20" s="22" t="e">
        <f ca="1">+P20-T20</f>
        <v>#NAME?</v>
      </c>
      <c r="Y20" s="5"/>
      <c r="Z20" s="30" t="e">
        <f ca="1">IF(T20=0,0,X20/T20)</f>
        <v>#NAME?</v>
      </c>
    </row>
    <row r="21" spans="1:26" s="69" customFormat="1" ht="15" customHeight="1" outlineLevel="1" collapsed="1" x14ac:dyDescent="0.3">
      <c r="A21" s="25"/>
      <c r="B21" s="14" t="e">
        <f ca="1">CONCATENATE("     ",_xll.ONESTOP.REPORTPLAYER.OSRFUNCTIONS.OSRGET("d_Account","AccountCategory"))</f>
        <v>#NAME?</v>
      </c>
      <c r="C21" s="14"/>
      <c r="D21" s="2" t="e">
        <f ca="1">SUM(_xll.ONESTOP.REPORTPLAYER.OSRFUNCTIONS.OSRREF(D22))</f>
        <v>#NAME?</v>
      </c>
      <c r="E21" s="2"/>
      <c r="F21" s="6" t="e">
        <f ca="1">IF(D$12=0,0,D21/D$12)</f>
        <v>#NAME?</v>
      </c>
      <c r="G21" s="2"/>
      <c r="H21" s="2" t="e">
        <f ca="1">SUM(_xll.ONESTOP.REPORTPLAYER.OSRFUNCTIONS.OSRREF(H22))</f>
        <v>#NAME?</v>
      </c>
      <c r="I21" s="2"/>
      <c r="J21" s="6" t="e">
        <f ca="1">IF(H$12=0,0,H21/H$12)</f>
        <v>#NAME?</v>
      </c>
      <c r="K21" s="2"/>
      <c r="L21" s="2" t="e">
        <f ca="1">+D21-H21</f>
        <v>#NAME?</v>
      </c>
      <c r="M21" s="2"/>
      <c r="N21" s="6" t="e">
        <f ca="1">IF(H21=0,0,L21/H21)</f>
        <v>#NAME?</v>
      </c>
      <c r="O21" s="14"/>
      <c r="P21" s="2" t="e">
        <f ca="1">SUM(_xll.ONESTOP.REPORTPLAYER.OSRFUNCTIONS.OSRREF(P22))</f>
        <v>#NAME?</v>
      </c>
      <c r="Q21" s="2"/>
      <c r="R21" s="6" t="e">
        <f ca="1">IF(P$12=0,0,P21/P$12)</f>
        <v>#NAME?</v>
      </c>
      <c r="S21" s="2"/>
      <c r="T21" s="2" t="e">
        <f ca="1">SUM(_xll.ONESTOP.REPORTPLAYER.OSRFUNCTIONS.OSRREF(T22))</f>
        <v>#NAME?</v>
      </c>
      <c r="U21" s="2"/>
      <c r="V21" s="6" t="e">
        <f ca="1">IF(T$12=0,0,T21/T$12)</f>
        <v>#NAME?</v>
      </c>
      <c r="W21" s="2"/>
      <c r="X21" s="2" t="e">
        <f ca="1">+P21-T21</f>
        <v>#NAME?</v>
      </c>
      <c r="Y21" s="2"/>
      <c r="Z21" s="6" t="e">
        <f ca="1">IF(T21=0,0,X21/T21)</f>
        <v>#NAME?</v>
      </c>
    </row>
    <row r="22" spans="1:26" s="70" customFormat="1" ht="15" hidden="1" customHeight="1" outlineLevel="2" x14ac:dyDescent="0.3">
      <c r="A22" s="26"/>
      <c r="B22" s="12" t="e">
        <f ca="1">CONCATENATE("          ",_xll.ONESTOP.REPORTPLAYER.OSRFUNCTIONS.OSRGET("d_Account","Code")," - ",_xll.ONESTOP.REPORTPLAYER.OSRFUNCTIONS.OSRGET("d_Account","Description"))</f>
        <v>#NAME?</v>
      </c>
      <c r="C22" s="12"/>
      <c r="D22" s="7" t="e">
        <f ca="1">_xll.ONESTOP.REPORTPLAYER.OSRFUNCTIONS.OSRGET("GL_F_Trans","Value1")</f>
        <v>#NAME?</v>
      </c>
      <c r="E22" s="3"/>
      <c r="F22" s="8" t="e">
        <f ca="1">IF(D$12=0,0,D22/D$12)</f>
        <v>#NAME?</v>
      </c>
      <c r="G22" s="3"/>
      <c r="H22" s="7" t="e">
        <f ca="1">_xll.ONESTOP.REPORTPLAYER.OSRFUNCTIONS.OSRGET("GL_F_Trans","Value1")</f>
        <v>#NAME?</v>
      </c>
      <c r="I22" s="3"/>
      <c r="J22" s="8" t="e">
        <f ca="1">IF(H$12=0,0,H22/H$12)</f>
        <v>#NAME?</v>
      </c>
      <c r="K22" s="3"/>
      <c r="L22" s="7" t="e">
        <f ca="1">+D22-H22</f>
        <v>#NAME?</v>
      </c>
      <c r="M22" s="3"/>
      <c r="N22" s="8" t="e">
        <f ca="1">IF(H22=0,0,L22/H22)</f>
        <v>#NAME?</v>
      </c>
      <c r="O22" s="12"/>
      <c r="P22" s="7" t="e">
        <f ca="1">_xll.ONESTOP.REPORTPLAYER.OSRFUNCTIONS.OSRGET("GL_F_Trans","Value1")</f>
        <v>#NAME?</v>
      </c>
      <c r="Q22" s="3"/>
      <c r="R22" s="8" t="e">
        <f ca="1">IF(P$12=0,0,P22/P$12)</f>
        <v>#NAME?</v>
      </c>
      <c r="S22" s="3"/>
      <c r="T22" s="7" t="e">
        <f ca="1">_xll.ONESTOP.REPORTPLAYER.OSRFUNCTIONS.OSRGET("GL_F_Trans","Value1")</f>
        <v>#NAME?</v>
      </c>
      <c r="U22" s="3"/>
      <c r="V22" s="8" t="e">
        <f ca="1">IF(T$12=0,0,T22/T$12)</f>
        <v>#NAME?</v>
      </c>
      <c r="W22" s="3"/>
      <c r="X22" s="7" t="e">
        <f ca="1">+P22-T22</f>
        <v>#NAME?</v>
      </c>
      <c r="Y22" s="3"/>
      <c r="Z22" s="8" t="e">
        <f ca="1">IF(T22=0,0,X22/T22)</f>
        <v>#NAME?</v>
      </c>
    </row>
    <row r="23" spans="1:26" s="65" customFormat="1" ht="15" customHeight="1" x14ac:dyDescent="0.3">
      <c r="A23" s="35"/>
      <c r="B23" s="35"/>
      <c r="C23" s="35"/>
      <c r="D23" s="2"/>
      <c r="E23" s="2"/>
      <c r="F23" s="6"/>
      <c r="G23" s="2"/>
      <c r="H23" s="2"/>
      <c r="I23" s="2"/>
      <c r="J23" s="6"/>
      <c r="K23" s="2"/>
      <c r="L23" s="2"/>
      <c r="M23" s="2"/>
      <c r="N23" s="6"/>
      <c r="O23" s="35"/>
      <c r="P23" s="2"/>
      <c r="Q23" s="2"/>
      <c r="R23" s="6"/>
      <c r="S23" s="2"/>
      <c r="T23" s="2"/>
      <c r="U23" s="2"/>
      <c r="V23" s="6"/>
      <c r="W23" s="2"/>
      <c r="X23" s="2"/>
      <c r="Y23" s="2"/>
      <c r="Z23" s="6"/>
    </row>
    <row r="24" spans="1:26" s="63" customFormat="1" ht="15" customHeight="1" collapsed="1" x14ac:dyDescent="0.3">
      <c r="A24" s="11"/>
      <c r="B24" s="28" t="s">
        <v>291</v>
      </c>
      <c r="C24" s="11"/>
      <c r="D24" s="5" t="e">
        <f ca="1">SUM(_xll.ONESTOP.REPORTPLAYER.OSRFUNCTIONS.OSRREF(D25))</f>
        <v>#NAME?</v>
      </c>
      <c r="E24" s="5"/>
      <c r="F24" s="13" t="e">
        <f ca="1">IF(D$12=0,0,D24/D$12)</f>
        <v>#NAME?</v>
      </c>
      <c r="G24" s="5"/>
      <c r="H24" s="5" t="e">
        <f ca="1">SUM(_xll.ONESTOP.REPORTPLAYER.OSRFUNCTIONS.OSRREF(H25))</f>
        <v>#NAME?</v>
      </c>
      <c r="I24" s="5"/>
      <c r="J24" s="13" t="e">
        <f ca="1">IF(H$12=0,0,H24/H$12)</f>
        <v>#NAME?</v>
      </c>
      <c r="K24" s="5"/>
      <c r="L24" s="5" t="e">
        <f ca="1">+D24-H24</f>
        <v>#NAME?</v>
      </c>
      <c r="M24" s="5"/>
      <c r="N24" s="13" t="e">
        <f ca="1">IF(H24=0,0,L24/H24)</f>
        <v>#NAME?</v>
      </c>
      <c r="O24" s="11"/>
      <c r="P24" s="5" t="e">
        <f ca="1">SUM(_xll.ONESTOP.REPORTPLAYER.OSRFUNCTIONS.OSRREF(P25))</f>
        <v>#NAME?</v>
      </c>
      <c r="Q24" s="5"/>
      <c r="R24" s="13" t="e">
        <f ca="1">IF(P$12=0,0,P24/P$12)</f>
        <v>#NAME?</v>
      </c>
      <c r="S24" s="5"/>
      <c r="T24" s="5" t="e">
        <f ca="1">SUM(_xll.ONESTOP.REPORTPLAYER.OSRFUNCTIONS.OSRREF(T25))</f>
        <v>#NAME?</v>
      </c>
      <c r="U24" s="5"/>
      <c r="V24" s="13" t="e">
        <f ca="1">IF(T$12=0,0,T24/T$12)</f>
        <v>#NAME?</v>
      </c>
      <c r="W24" s="5"/>
      <c r="X24" s="5" t="e">
        <f ca="1">+P24-T24</f>
        <v>#NAME?</v>
      </c>
      <c r="Y24" s="5"/>
      <c r="Z24" s="13" t="e">
        <f ca="1">IF(T24=0,0,X24/T24)</f>
        <v>#NAME?</v>
      </c>
    </row>
    <row r="25" spans="1:26" s="70" customFormat="1" ht="15" hidden="1" customHeight="1" outlineLevel="1" x14ac:dyDescent="0.3">
      <c r="A25" s="42"/>
      <c r="B25" s="12" t="e">
        <f ca="1">CONCATENATE("          ",_xll.ONESTOP.REPORTPLAYER.OSRFUNCTIONS.OSRGET("d_Account","Code")," - ",_xll.ONESTOP.REPORTPLAYER.OSRFUNCTIONS.OSRGET("d_Account","Description"))</f>
        <v>#NAME?</v>
      </c>
      <c r="C25" s="12"/>
      <c r="D25" s="3" t="e">
        <f ca="1">-_xll.ONESTOP.REPORTPLAYER.OSRFUNCTIONS.OSRGET("GL_F_Trans","Value1")</f>
        <v>#NAME?</v>
      </c>
      <c r="E25" s="3"/>
      <c r="F25" s="20" t="e">
        <f ca="1">IF(D$12=0,0,D25/D$12)</f>
        <v>#NAME?</v>
      </c>
      <c r="G25" s="3"/>
      <c r="H25" s="3" t="e">
        <f ca="1">_xll.ONESTOP.REPORTPLAYER.OSRFUNCTIONS.OSRGET("GL_F_Trans","Value1")</f>
        <v>#NAME?</v>
      </c>
      <c r="I25" s="3"/>
      <c r="J25" s="20" t="e">
        <f ca="1">IF(H$12=0,0,H25/H$12)</f>
        <v>#NAME?</v>
      </c>
      <c r="K25" s="3"/>
      <c r="L25" s="3" t="e">
        <f ca="1">+D25-H25</f>
        <v>#NAME?</v>
      </c>
      <c r="M25" s="3"/>
      <c r="N25" s="20" t="e">
        <f ca="1">IF(H25=0,0,L25/H25)</f>
        <v>#NAME?</v>
      </c>
      <c r="O25" s="12"/>
      <c r="P25" s="3" t="e">
        <f ca="1">-_xll.ONESTOP.REPORTPLAYER.OSRFUNCTIONS.OSRGET("GL_F_Trans","Value1")</f>
        <v>#NAME?</v>
      </c>
      <c r="Q25" s="3"/>
      <c r="R25" s="20" t="e">
        <f ca="1">IF(P$12=0,0,P25/P$12)</f>
        <v>#NAME?</v>
      </c>
      <c r="S25" s="3"/>
      <c r="T25" s="3" t="e">
        <f ca="1">_xll.ONESTOP.REPORTPLAYER.OSRFUNCTIONS.OSRGET("GL_F_Trans","Value1")</f>
        <v>#NAME?</v>
      </c>
      <c r="U25" s="3"/>
      <c r="V25" s="20" t="e">
        <f ca="1">IF(T$12=0,0,T25/T$12)</f>
        <v>#NAME?</v>
      </c>
      <c r="W25" s="3"/>
      <c r="X25" s="3" t="e">
        <f ca="1">+P25-T25</f>
        <v>#NAME?</v>
      </c>
      <c r="Y25" s="3"/>
      <c r="Z25" s="20" t="e">
        <f ca="1">IF(T25=0,0,X25/T25)</f>
        <v>#NAME?</v>
      </c>
    </row>
    <row r="26" spans="1:26" ht="15" customHeight="1" x14ac:dyDescent="0.3">
      <c r="A26" s="10"/>
      <c r="B26" s="11"/>
      <c r="C26" s="11"/>
      <c r="D26" s="4"/>
      <c r="E26" s="4"/>
      <c r="F26" s="9"/>
      <c r="G26" s="4"/>
      <c r="H26" s="4"/>
      <c r="I26" s="4"/>
      <c r="J26" s="9"/>
      <c r="K26" s="4"/>
      <c r="L26" s="4"/>
      <c r="M26" s="4"/>
      <c r="N26" s="9"/>
      <c r="O26" s="11"/>
      <c r="P26" s="4"/>
      <c r="Q26" s="4"/>
      <c r="R26" s="9"/>
      <c r="S26" s="4"/>
      <c r="T26" s="4"/>
      <c r="U26" s="4"/>
      <c r="V26" s="9"/>
      <c r="W26" s="4"/>
      <c r="X26" s="4"/>
      <c r="Y26" s="4"/>
      <c r="Z26" s="9"/>
    </row>
    <row r="27" spans="1:26" s="63" customFormat="1" ht="15" customHeight="1" x14ac:dyDescent="0.3">
      <c r="A27" s="11"/>
      <c r="B27" s="27" t="s">
        <v>292</v>
      </c>
      <c r="C27" s="27"/>
      <c r="D27" s="21" t="e">
        <f ca="1">+D18-D20+D24</f>
        <v>#NAME?</v>
      </c>
      <c r="E27" s="15"/>
      <c r="F27" s="23" t="e">
        <f ca="1">IF(D$12=0,0,D27/D$12)</f>
        <v>#NAME?</v>
      </c>
      <c r="G27" s="15"/>
      <c r="H27" s="21" t="e">
        <f ca="1">+H18-H20+H24</f>
        <v>#NAME?</v>
      </c>
      <c r="I27" s="15"/>
      <c r="J27" s="23" t="e">
        <f ca="1">IF(H$12=0,0,H27/H$12)</f>
        <v>#NAME?</v>
      </c>
      <c r="K27" s="16"/>
      <c r="L27" s="21" t="e">
        <f ca="1">+D27-H27</f>
        <v>#NAME?</v>
      </c>
      <c r="M27" s="16"/>
      <c r="N27" s="23" t="e">
        <f ca="1">IF(H27=0,0,L27/H27)</f>
        <v>#NAME?</v>
      </c>
      <c r="O27" s="28"/>
      <c r="P27" s="21" t="e">
        <f ca="1">+P18-P20+P24</f>
        <v>#NAME?</v>
      </c>
      <c r="Q27" s="15"/>
      <c r="R27" s="23" t="e">
        <f ca="1">IF(P$12=0,0,P27/P$12)</f>
        <v>#NAME?</v>
      </c>
      <c r="S27" s="15"/>
      <c r="T27" s="21" t="e">
        <f ca="1">+T18-T20+T24</f>
        <v>#NAME?</v>
      </c>
      <c r="U27" s="15"/>
      <c r="V27" s="23" t="e">
        <f ca="1">IF(T$12=0,0,T27/T$12)</f>
        <v>#NAME?</v>
      </c>
      <c r="W27" s="16"/>
      <c r="X27" s="21" t="e">
        <f ca="1">+P27-T27</f>
        <v>#NAME?</v>
      </c>
      <c r="Y27" s="16"/>
      <c r="Z27" s="23" t="e">
        <f ca="1">IF(T27=0,0,X27/T27)</f>
        <v>#NAME?</v>
      </c>
    </row>
    <row r="28" spans="1:26" ht="15" customHeight="1" x14ac:dyDescent="0.3">
      <c r="A28" s="10"/>
      <c r="B28" s="11"/>
      <c r="C28" s="10"/>
      <c r="D28" s="4"/>
      <c r="E28" s="4"/>
      <c r="F28" s="9"/>
      <c r="G28" s="4"/>
      <c r="H28" s="4"/>
      <c r="I28" s="4"/>
      <c r="J28" s="9"/>
      <c r="K28" s="4"/>
      <c r="L28" s="4"/>
      <c r="M28" s="4"/>
      <c r="N28" s="9"/>
      <c r="P28" s="4"/>
      <c r="Q28" s="4"/>
      <c r="R28" s="9"/>
      <c r="S28" s="4"/>
      <c r="T28" s="4"/>
      <c r="U28" s="4"/>
      <c r="V28" s="9"/>
      <c r="W28" s="4"/>
      <c r="X28" s="4"/>
      <c r="Y28" s="4"/>
      <c r="Z28" s="9"/>
    </row>
    <row r="29" spans="1:26" s="63" customFormat="1" ht="15" customHeight="1" x14ac:dyDescent="0.3">
      <c r="A29" s="49"/>
      <c r="B29" s="11" t="s">
        <v>293</v>
      </c>
      <c r="C29" s="11"/>
      <c r="D29" s="5" t="e">
        <f ca="1">_xll.ONESTOP.REPORTPLAYER.OSRFUNCTIONS.OSRGET("GL_F_Trans","Value1")</f>
        <v>#NAME?</v>
      </c>
      <c r="E29" s="5"/>
      <c r="F29" s="13" t="e">
        <f ca="1">IF(D$12=0,0,D29/D$12)</f>
        <v>#NAME?</v>
      </c>
      <c r="G29" s="5"/>
      <c r="H29" s="5" t="e">
        <f ca="1">_xll.ONESTOP.REPORTPLAYER.OSRFUNCTIONS.OSRGET("GL_F_Trans","Value1")</f>
        <v>#NAME?</v>
      </c>
      <c r="I29" s="5"/>
      <c r="J29" s="13" t="e">
        <f ca="1">IF(H$12=0,0,H29/H$12)</f>
        <v>#NAME?</v>
      </c>
      <c r="K29" s="5"/>
      <c r="L29" s="5" t="e">
        <f ca="1">+D29-H29</f>
        <v>#NAME?</v>
      </c>
      <c r="M29" s="5"/>
      <c r="N29" s="13" t="e">
        <f ca="1">IF(H29=0,0,L29/H29)</f>
        <v>#NAME?</v>
      </c>
      <c r="O29" s="11"/>
      <c r="P29" s="5" t="e">
        <f ca="1">_xll.ONESTOP.REPORTPLAYER.OSRFUNCTIONS.OSRGET("GL_F_Trans","Value1")</f>
        <v>#NAME?</v>
      </c>
      <c r="Q29" s="5"/>
      <c r="R29" s="13" t="e">
        <f ca="1">IF(P$12=0,0,P29/P$12)</f>
        <v>#NAME?</v>
      </c>
      <c r="S29" s="5"/>
      <c r="T29" s="5" t="e">
        <f ca="1">_xll.ONESTOP.REPORTPLAYER.OSRFUNCTIONS.OSRGET("GL_F_Trans","Value1")</f>
        <v>#NAME?</v>
      </c>
      <c r="U29" s="5"/>
      <c r="V29" s="13" t="e">
        <f ca="1">IF(T$12=0,0,T29/T$12)</f>
        <v>#NAME?</v>
      </c>
      <c r="W29" s="5"/>
      <c r="X29" s="5" t="e">
        <f ca="1">+P29-T29</f>
        <v>#NAME?</v>
      </c>
      <c r="Y29" s="5"/>
      <c r="Z29" s="13" t="e">
        <f ca="1">IF(T29=0,0,X29/T29)</f>
        <v>#NAME?</v>
      </c>
    </row>
    <row r="30" spans="1:26" ht="15" customHeight="1" x14ac:dyDescent="0.3">
      <c r="A30" s="10"/>
      <c r="B30" s="11"/>
      <c r="C30" s="11"/>
      <c r="D30" s="4"/>
      <c r="E30" s="4"/>
      <c r="F30" s="9"/>
      <c r="G30" s="4"/>
      <c r="H30" s="4"/>
      <c r="I30" s="4"/>
      <c r="J30" s="9"/>
      <c r="K30" s="4"/>
      <c r="L30" s="4"/>
      <c r="M30" s="4"/>
      <c r="N30" s="9"/>
      <c r="O30" s="11"/>
      <c r="P30" s="4"/>
      <c r="Q30" s="4"/>
      <c r="R30" s="9"/>
      <c r="S30" s="4"/>
      <c r="T30" s="4"/>
      <c r="U30" s="4"/>
      <c r="V30" s="9"/>
      <c r="W30" s="4"/>
      <c r="X30" s="4"/>
      <c r="Y30" s="4"/>
      <c r="Z30" s="9"/>
    </row>
    <row r="31" spans="1:26" s="63" customFormat="1" ht="15" customHeight="1" x14ac:dyDescent="0.3">
      <c r="A31" s="11"/>
      <c r="B31" s="27" t="s">
        <v>294</v>
      </c>
      <c r="C31" s="27"/>
      <c r="D31" s="34" t="e">
        <f ca="1">+D27-D29</f>
        <v>#NAME?</v>
      </c>
      <c r="E31" s="15"/>
      <c r="F31" s="29" t="e">
        <f ca="1">IF(D$12=0,0,D31/D$12)</f>
        <v>#NAME?</v>
      </c>
      <c r="G31" s="15"/>
      <c r="H31" s="34" t="e">
        <f ca="1">+H27-H29</f>
        <v>#NAME?</v>
      </c>
      <c r="I31" s="15"/>
      <c r="J31" s="29" t="e">
        <f ca="1">IF(H$12=0,0,H31/H$12)</f>
        <v>#NAME?</v>
      </c>
      <c r="K31" s="16"/>
      <c r="L31" s="34" t="e">
        <f ca="1">D31-H31</f>
        <v>#NAME?</v>
      </c>
      <c r="M31" s="16"/>
      <c r="N31" s="29" t="e">
        <f ca="1">IF(H31=0,0,L31/H31)</f>
        <v>#NAME?</v>
      </c>
      <c r="O31" s="28"/>
      <c r="P31" s="34" t="e">
        <f ca="1">+P27-P29</f>
        <v>#NAME?</v>
      </c>
      <c r="Q31" s="15"/>
      <c r="R31" s="29" t="e">
        <f ca="1">IF(P$12=0,0,P31/P$12)</f>
        <v>#NAME?</v>
      </c>
      <c r="S31" s="15"/>
      <c r="T31" s="34" t="e">
        <f ca="1">+T27-T29</f>
        <v>#NAME?</v>
      </c>
      <c r="U31" s="15"/>
      <c r="V31" s="29" t="e">
        <f ca="1">IF(T$12=0,0,T31/T$12)</f>
        <v>#NAME?</v>
      </c>
      <c r="W31" s="16"/>
      <c r="X31" s="34" t="e">
        <f ca="1">P31-T31</f>
        <v>#NAME?</v>
      </c>
      <c r="Y31" s="16"/>
      <c r="Z31" s="29" t="e">
        <f ca="1">IF(T31=0,0,X31/T31)</f>
        <v>#NAME?</v>
      </c>
    </row>
    <row r="32" spans="1:26" ht="15" customHeight="1" x14ac:dyDescent="0.3">
      <c r="A32" s="10"/>
      <c r="B32" s="10"/>
      <c r="C32" s="10"/>
      <c r="D32" s="4"/>
      <c r="E32" s="4"/>
      <c r="F32" s="9"/>
      <c r="G32" s="4"/>
      <c r="H32" s="4"/>
      <c r="I32" s="4"/>
      <c r="J32" s="9"/>
      <c r="K32" s="4"/>
      <c r="L32" s="4"/>
      <c r="M32" s="4"/>
      <c r="N32" s="9"/>
      <c r="P32" s="4"/>
      <c r="Q32" s="4"/>
      <c r="R32" s="9"/>
      <c r="S32" s="4"/>
      <c r="T32" s="4"/>
      <c r="U32" s="4"/>
      <c r="V32" s="9"/>
      <c r="W32" s="4"/>
      <c r="X32" s="4"/>
      <c r="Y32" s="4"/>
      <c r="Z32" s="9"/>
    </row>
    <row r="33" spans="1:26" s="63" customFormat="1" ht="15" customHeight="1" x14ac:dyDescent="0.3">
      <c r="A33" s="49"/>
      <c r="B33" s="11" t="s">
        <v>295</v>
      </c>
      <c r="C33" s="11"/>
      <c r="D33" s="5" t="e">
        <f ca="1">-_xll.ONESTOP.REPORTPLAYER.OSRFUNCTIONS.OSRGET("GL_F_Trans","Value1")</f>
        <v>#NAME?</v>
      </c>
      <c r="E33" s="5"/>
      <c r="F33" s="13" t="e">
        <f ca="1">IF(D$12=0,0,D33/D$12)</f>
        <v>#NAME?</v>
      </c>
      <c r="G33" s="5"/>
      <c r="H33" s="5" t="e">
        <f ca="1">-_xll.ONESTOP.REPORTPLAYER.OSRFUNCTIONS.OSRGET("GL_F_Trans","Value1")</f>
        <v>#NAME?</v>
      </c>
      <c r="I33" s="5"/>
      <c r="J33" s="13" t="e">
        <f ca="1">IF(H$12=0,0,H33/H$12)</f>
        <v>#NAME?</v>
      </c>
      <c r="K33" s="5"/>
      <c r="L33" s="5" t="e">
        <f ca="1">+D33-H33</f>
        <v>#NAME?</v>
      </c>
      <c r="M33" s="5"/>
      <c r="N33" s="13" t="e">
        <f ca="1">IF(H33=0,0,L33/H33)</f>
        <v>#NAME?</v>
      </c>
      <c r="O33" s="11"/>
      <c r="P33" s="5" t="e">
        <f ca="1">-_xll.ONESTOP.REPORTPLAYER.OSRFUNCTIONS.OSRGET("GL_F_Trans","Value1")</f>
        <v>#NAME?</v>
      </c>
      <c r="Q33" s="5"/>
      <c r="R33" s="13" t="e">
        <f ca="1">IF(P$12=0,0,P33/P$12)</f>
        <v>#NAME?</v>
      </c>
      <c r="S33" s="5"/>
      <c r="T33" s="5" t="e">
        <f ca="1">-_xll.ONESTOP.REPORTPLAYER.OSRFUNCTIONS.OSRGET("GL_F_Trans","Value1")</f>
        <v>#NAME?</v>
      </c>
      <c r="U33" s="5"/>
      <c r="V33" s="13" t="e">
        <f ca="1">IF(T$12=0,0,T33/T$12)</f>
        <v>#NAME?</v>
      </c>
      <c r="W33" s="5"/>
      <c r="X33" s="5" t="e">
        <f ca="1">+P33-T33</f>
        <v>#NAME?</v>
      </c>
      <c r="Y33" s="5"/>
      <c r="Z33" s="13" t="e">
        <f ca="1">IF(T33=0,0,X33/T33)</f>
        <v>#NAME?</v>
      </c>
    </row>
    <row r="34" spans="1:26" s="63" customFormat="1" ht="15" customHeight="1" x14ac:dyDescent="0.3">
      <c r="A34" s="49"/>
      <c r="B34" s="11" t="s">
        <v>296</v>
      </c>
      <c r="C34" s="11"/>
      <c r="D34" s="5" t="e">
        <f ca="1">-_xll.ONESTOP.REPORTPLAYER.OSRFUNCTIONS.OSRGET("GL_F_Trans","Value1")</f>
        <v>#NAME?</v>
      </c>
      <c r="E34" s="5"/>
      <c r="F34" s="13" t="e">
        <f ca="1">IF(D$12=0,0,D34/D$12)</f>
        <v>#NAME?</v>
      </c>
      <c r="G34" s="5"/>
      <c r="H34" s="5" t="e">
        <f ca="1">-_xll.ONESTOP.REPORTPLAYER.OSRFUNCTIONS.OSRGET("GL_F_Trans","Value1")</f>
        <v>#NAME?</v>
      </c>
      <c r="I34" s="5"/>
      <c r="J34" s="13" t="e">
        <f ca="1">IF(H$12=0,0,H34/H$12)</f>
        <v>#NAME?</v>
      </c>
      <c r="K34" s="5"/>
      <c r="L34" s="5" t="e">
        <f ca="1">+D34-H34</f>
        <v>#NAME?</v>
      </c>
      <c r="M34" s="5"/>
      <c r="N34" s="13" t="e">
        <f ca="1">IF(H34=0,0,L34/H34)</f>
        <v>#NAME?</v>
      </c>
      <c r="O34" s="11"/>
      <c r="P34" s="5" t="e">
        <f ca="1">-_xll.ONESTOP.REPORTPLAYER.OSRFUNCTIONS.OSRGET("GL_F_Trans","Value1")</f>
        <v>#NAME?</v>
      </c>
      <c r="Q34" s="5"/>
      <c r="R34" s="13" t="e">
        <f ca="1">IF(P$12=0,0,P34/P$12)</f>
        <v>#NAME?</v>
      </c>
      <c r="S34" s="5"/>
      <c r="T34" s="5" t="e">
        <f ca="1">-_xll.ONESTOP.REPORTPLAYER.OSRFUNCTIONS.OSRGET("GL_F_Trans","Value1")</f>
        <v>#NAME?</v>
      </c>
      <c r="U34" s="5"/>
      <c r="V34" s="13" t="e">
        <f ca="1">IF(T$12=0,0,T34/T$12)</f>
        <v>#NAME?</v>
      </c>
      <c r="W34" s="5"/>
      <c r="X34" s="5" t="e">
        <f ca="1">+P34-T34</f>
        <v>#NAME?</v>
      </c>
      <c r="Y34" s="5"/>
      <c r="Z34" s="13" t="e">
        <f ca="1">IF(T34=0,0,X34/T34)</f>
        <v>#NAME?</v>
      </c>
    </row>
    <row r="35" spans="1:26" ht="15" customHeight="1" x14ac:dyDescent="0.3">
      <c r="A35" s="10"/>
      <c r="B35" s="10"/>
      <c r="C35" s="10"/>
      <c r="D35" s="4"/>
      <c r="E35" s="4"/>
      <c r="F35" s="9"/>
      <c r="G35" s="4"/>
      <c r="H35" s="4"/>
      <c r="I35" s="4"/>
      <c r="J35" s="9"/>
      <c r="K35" s="4"/>
      <c r="L35" s="4"/>
      <c r="M35" s="4"/>
      <c r="N35" s="9"/>
      <c r="P35" s="4"/>
      <c r="Q35" s="4"/>
      <c r="R35" s="9"/>
      <c r="S35" s="4"/>
      <c r="T35" s="4"/>
      <c r="U35" s="4"/>
      <c r="V35" s="9"/>
      <c r="W35" s="4"/>
      <c r="X35" s="4"/>
      <c r="Y35" s="4"/>
      <c r="Z35" s="9"/>
    </row>
    <row r="36" spans="1:26" s="63" customFormat="1" ht="15" customHeight="1" x14ac:dyDescent="0.3">
      <c r="A36" s="11"/>
      <c r="B36" s="27" t="s">
        <v>297</v>
      </c>
      <c r="C36" s="27"/>
      <c r="D36" s="32" t="e">
        <f ca="1">SUM(D31:D35)</f>
        <v>#NAME?</v>
      </c>
      <c r="E36" s="15"/>
      <c r="F36" s="31" t="e">
        <f ca="1">IF(D$12=0,0,D36/D$12)</f>
        <v>#NAME?</v>
      </c>
      <c r="G36" s="15"/>
      <c r="H36" s="32" t="e">
        <f ca="1">SUM(H31:H35)</f>
        <v>#NAME?</v>
      </c>
      <c r="I36" s="15"/>
      <c r="J36" s="31" t="e">
        <f ca="1">IF(H$12=0,0,H36/H$12)</f>
        <v>#NAME?</v>
      </c>
      <c r="K36" s="16"/>
      <c r="L36" s="32" t="e">
        <f ca="1">+D36-H36</f>
        <v>#NAME?</v>
      </c>
      <c r="M36" s="16"/>
      <c r="N36" s="31" t="e">
        <f ca="1">IF(H36=0,0,L36/H36)</f>
        <v>#NAME?</v>
      </c>
      <c r="O36" s="28"/>
      <c r="P36" s="32" t="e">
        <f ca="1">SUM(P31:P35)</f>
        <v>#NAME?</v>
      </c>
      <c r="Q36" s="15"/>
      <c r="R36" s="31" t="e">
        <f ca="1">IF(P$12=0,0,P36/P$12)</f>
        <v>#NAME?</v>
      </c>
      <c r="S36" s="15"/>
      <c r="T36" s="32" t="e">
        <f ca="1">SUM(T31:T35)</f>
        <v>#NAME?</v>
      </c>
      <c r="U36" s="15"/>
      <c r="V36" s="31" t="e">
        <f ca="1">IF(T$12=0,0,T36/T$12)</f>
        <v>#NAME?</v>
      </c>
      <c r="W36" s="16"/>
      <c r="X36" s="32" t="e">
        <f ca="1">+P36-T36</f>
        <v>#NAME?</v>
      </c>
      <c r="Y36" s="16"/>
      <c r="Z36" s="31" t="e">
        <f ca="1">IF(T36=0,0,X36/T36)</f>
        <v>#NAME?</v>
      </c>
    </row>
    <row r="37" spans="1:26" ht="15" customHeight="1" x14ac:dyDescent="0.3">
      <c r="A37" s="10"/>
      <c r="C37" s="10"/>
      <c r="D37" s="19"/>
      <c r="E37" s="19"/>
      <c r="G37" s="19"/>
      <c r="H37" s="19"/>
      <c r="I37" s="19"/>
      <c r="J37" s="40"/>
      <c r="K37" s="19"/>
      <c r="L37" s="19"/>
      <c r="M37" s="19"/>
      <c r="P37" s="19"/>
      <c r="Q37" s="19"/>
      <c r="R37" s="40"/>
      <c r="S37" s="19"/>
      <c r="T37" s="19"/>
      <c r="U37" s="19"/>
      <c r="V37" s="40"/>
      <c r="W37" s="19"/>
      <c r="X37" s="19"/>
    </row>
    <row r="38" spans="1:26" ht="15" customHeight="1" x14ac:dyDescent="0.3">
      <c r="A38" s="10"/>
      <c r="B38" s="51" t="e">
        <f ca="1">_xll.ONESTOP.REPORTPLAYER.OSRFUNCTIONS.OSRGET("CurrentDate","Date")</f>
        <v>#NAME?</v>
      </c>
      <c r="D38" s="19"/>
      <c r="E38" s="19"/>
      <c r="G38" s="19"/>
      <c r="H38" s="19"/>
      <c r="I38" s="19"/>
      <c r="J38" s="40"/>
      <c r="K38" s="19"/>
      <c r="L38" s="19"/>
      <c r="M38" s="19"/>
      <c r="P38" s="19"/>
      <c r="Q38" s="19"/>
      <c r="R38" s="40"/>
      <c r="S38" s="19"/>
      <c r="T38" s="19"/>
      <c r="U38" s="19"/>
      <c r="V38" s="40"/>
      <c r="W38" s="19"/>
      <c r="X38" s="19"/>
    </row>
    <row r="39" spans="1:26" ht="15" customHeight="1" x14ac:dyDescent="0.3">
      <c r="A39" s="10"/>
      <c r="B39" s="58" t="e">
        <f ca="1">_xll.ONESTOP.REPORTPLAYER.OSRFUNCTIONS.OSRGET("User","UserId")</f>
        <v>#NAME?</v>
      </c>
      <c r="D39" s="19"/>
      <c r="E39" s="19"/>
      <c r="G39" s="19"/>
      <c r="H39" s="19"/>
      <c r="I39" s="19"/>
      <c r="J39" s="40"/>
      <c r="K39" s="19"/>
      <c r="L39" s="19"/>
      <c r="M39" s="19"/>
      <c r="P39" s="19"/>
      <c r="Q39" s="19"/>
      <c r="R39" s="40"/>
      <c r="S39" s="19"/>
      <c r="T39" s="19"/>
      <c r="U39" s="19"/>
      <c r="V39" s="40"/>
      <c r="W39" s="19"/>
      <c r="X39" s="19"/>
    </row>
    <row r="40" spans="1:26" ht="15" customHeight="1" x14ac:dyDescent="0.3">
      <c r="A40" s="10"/>
      <c r="B40" s="50"/>
      <c r="D40" s="19"/>
      <c r="E40" s="19"/>
      <c r="G40" s="19"/>
      <c r="H40" s="19"/>
      <c r="I40" s="19"/>
      <c r="J40" s="40"/>
      <c r="K40" s="19"/>
      <c r="L40" s="19"/>
      <c r="M40" s="19"/>
      <c r="P40" s="19"/>
      <c r="Q40" s="19"/>
      <c r="R40" s="40"/>
      <c r="S40" s="19"/>
      <c r="T40" s="19"/>
      <c r="U40" s="19"/>
      <c r="V40" s="40"/>
      <c r="W40" s="19"/>
      <c r="X40" s="19"/>
    </row>
    <row r="41" spans="1:26" ht="15" customHeight="1" x14ac:dyDescent="0.3">
      <c r="D41" s="19"/>
      <c r="E41" s="19"/>
      <c r="G41" s="19"/>
      <c r="H41" s="19"/>
      <c r="I41" s="19"/>
      <c r="J41" s="40"/>
      <c r="K41" s="19"/>
      <c r="L41" s="19"/>
      <c r="M41" s="19"/>
      <c r="P41" s="19"/>
      <c r="Q41" s="19"/>
      <c r="R41" s="40"/>
      <c r="S41" s="19"/>
      <c r="T41" s="19"/>
      <c r="U41" s="19"/>
      <c r="V41" s="40"/>
      <c r="W41" s="19"/>
      <c r="X41" s="19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9E58C1-9D79-C7AB-EB06-B80D811F82F9}">
  <sheetPr>
    <tabColor rgb="FF92D050"/>
    <outlinePr summaryBelow="0" summaryRight="0"/>
  </sheetPr>
  <dimension ref="A2:Z65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6" customWidth="1"/>
    <col min="2" max="2" width="33.44140625" style="66" customWidth="1"/>
    <col min="3" max="3" width="1.88671875" style="66" customWidth="1"/>
    <col min="4" max="4" width="15" style="66" customWidth="1"/>
    <col min="5" max="5" width="1.88671875" style="66" customWidth="1" outlineLevel="1"/>
    <col min="6" max="6" width="15" style="67" customWidth="1" outlineLevel="1"/>
    <col min="7" max="7" width="1.88671875" style="66" customWidth="1" outlineLevel="1"/>
    <col min="8" max="8" width="15" style="66" customWidth="1" outlineLevel="1"/>
    <col min="9" max="9" width="1.88671875" style="66" customWidth="1" outlineLevel="1"/>
    <col min="10" max="10" width="15" style="68" customWidth="1" outlineLevel="1"/>
    <col min="11" max="11" width="1.88671875" style="66" customWidth="1" outlineLevel="1"/>
    <col min="12" max="12" width="15" style="66" customWidth="1" outlineLevel="1"/>
    <col min="13" max="13" width="1.88671875" style="66" customWidth="1" outlineLevel="1"/>
    <col min="14" max="14" width="15" style="67" customWidth="1" outlineLevel="1"/>
    <col min="15" max="15" width="1.88671875" style="64" customWidth="1"/>
    <col min="16" max="16" width="15" style="66" customWidth="1"/>
    <col min="17" max="17" width="1.88671875" style="66" customWidth="1" outlineLevel="1"/>
    <col min="18" max="18" width="15" style="68" customWidth="1" outlineLevel="1"/>
    <col min="19" max="19" width="1.88671875" style="66" customWidth="1" outlineLevel="1"/>
    <col min="20" max="20" width="15" style="66" customWidth="1" outlineLevel="1"/>
    <col min="21" max="21" width="1.88671875" style="66" customWidth="1" outlineLevel="1"/>
    <col min="22" max="22" width="15" style="68" customWidth="1" outlineLevel="1"/>
    <col min="23" max="23" width="1.88671875" style="66" customWidth="1" outlineLevel="1"/>
    <col min="24" max="24" width="15" style="66" customWidth="1" outlineLevel="1"/>
    <col min="25" max="25" width="1.88671875" style="66" customWidth="1" outlineLevel="1"/>
    <col min="26" max="26" width="15" style="68" customWidth="1" outlineLevel="1"/>
  </cols>
  <sheetData>
    <row r="2" spans="1:26" ht="15" customHeight="1" x14ac:dyDescent="0.3">
      <c r="D2" s="54" t="s">
        <v>276</v>
      </c>
    </row>
    <row r="3" spans="1:26" ht="15" customHeight="1" x14ac:dyDescent="0.3">
      <c r="D3" s="54" t="s">
        <v>277</v>
      </c>
      <c r="E3" s="18"/>
      <c r="F3" s="44"/>
      <c r="G3" s="18"/>
      <c r="H3" s="18"/>
      <c r="I3" s="18"/>
      <c r="J3" s="38"/>
      <c r="K3" s="18"/>
      <c r="L3" s="18"/>
      <c r="M3" s="18"/>
      <c r="N3" s="44"/>
      <c r="O3" s="53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ht="15" customHeight="1" x14ac:dyDescent="0.3">
      <c r="D4" s="54" t="str">
        <f>CONCATENATE("Period ",RIGHT(202209,2),", ",2022)</f>
        <v>Period 09, 2022</v>
      </c>
      <c r="E4" s="18"/>
      <c r="F4" s="44"/>
      <c r="G4" s="18"/>
      <c r="H4" s="18"/>
      <c r="I4" s="18"/>
      <c r="J4" s="38"/>
      <c r="K4" s="18"/>
      <c r="L4" s="18"/>
      <c r="M4" s="18"/>
      <c r="N4" s="44"/>
      <c r="O4" s="53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ht="15" customHeight="1" x14ac:dyDescent="0.3">
      <c r="A5" s="24"/>
      <c r="D5" s="60">
        <v>44646</v>
      </c>
      <c r="E5" s="18"/>
      <c r="F5" s="44"/>
      <c r="G5" s="18"/>
      <c r="H5" s="18"/>
      <c r="I5" s="18"/>
      <c r="J5" s="38"/>
      <c r="K5" s="18"/>
      <c r="L5" s="18"/>
      <c r="M5" s="18"/>
      <c r="N5" s="44"/>
      <c r="O5" s="53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ht="15" customHeight="1" x14ac:dyDescent="0.3">
      <c r="A6" s="24"/>
      <c r="B6" s="47"/>
      <c r="C6" s="47"/>
      <c r="D6" s="24" t="str">
        <f>CONCATENATE("Department ","423"," - ","Contract/Vending Revenue")</f>
        <v>Department 423 - Contract/Vending Revenue</v>
      </c>
      <c r="E6" s="18"/>
      <c r="F6" s="44"/>
      <c r="G6" s="18"/>
      <c r="H6" s="18"/>
      <c r="I6" s="18"/>
      <c r="J6" s="38"/>
      <c r="K6" s="18"/>
      <c r="L6" s="18"/>
      <c r="M6" s="18"/>
      <c r="N6" s="44"/>
      <c r="O6" s="59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ht="15" customHeight="1" x14ac:dyDescent="0.3">
      <c r="B7" s="52"/>
    </row>
    <row r="8" spans="1:26" ht="15" customHeight="1" x14ac:dyDescent="0.3">
      <c r="B8" s="52"/>
    </row>
    <row r="9" spans="1:26" ht="15" customHeight="1" x14ac:dyDescent="0.3">
      <c r="B9" s="10"/>
      <c r="C9" s="10"/>
      <c r="D9" s="17" t="s">
        <v>279</v>
      </c>
      <c r="E9" s="17"/>
      <c r="F9" s="36"/>
      <c r="G9" s="17"/>
      <c r="H9" s="17"/>
      <c r="I9" s="17"/>
      <c r="J9" s="43"/>
      <c r="K9" s="17"/>
      <c r="L9" s="17"/>
      <c r="M9" s="17"/>
      <c r="N9" s="36"/>
      <c r="P9" s="17" t="s">
        <v>280</v>
      </c>
      <c r="Q9" s="17"/>
      <c r="R9" s="36"/>
      <c r="S9" s="17"/>
      <c r="T9" s="17"/>
      <c r="U9" s="17"/>
      <c r="V9" s="43"/>
      <c r="W9" s="17"/>
      <c r="X9" s="17"/>
      <c r="Y9" s="17"/>
      <c r="Z9" s="36"/>
    </row>
    <row r="10" spans="1:26" ht="15" customHeight="1" x14ac:dyDescent="0.3">
      <c r="A10" s="11"/>
      <c r="B10" s="57"/>
      <c r="C10" s="11"/>
      <c r="D10" s="41" t="s">
        <v>281</v>
      </c>
      <c r="E10" s="33"/>
      <c r="F10" s="37" t="s">
        <v>282</v>
      </c>
      <c r="G10" s="33"/>
      <c r="H10" s="48" t="s">
        <v>283</v>
      </c>
      <c r="I10" s="33"/>
      <c r="J10" s="45" t="s">
        <v>284</v>
      </c>
      <c r="K10" s="11"/>
      <c r="L10" s="41" t="s">
        <v>285</v>
      </c>
      <c r="M10" s="11"/>
      <c r="N10" s="37" t="s">
        <v>286</v>
      </c>
      <c r="O10" s="11"/>
      <c r="P10" s="56" t="s">
        <v>281</v>
      </c>
      <c r="Q10" s="33"/>
      <c r="R10" s="37" t="s">
        <v>282</v>
      </c>
      <c r="S10" s="33"/>
      <c r="T10" s="48" t="s">
        <v>283</v>
      </c>
      <c r="U10" s="33"/>
      <c r="V10" s="45" t="s">
        <v>284</v>
      </c>
      <c r="W10" s="11"/>
      <c r="X10" s="41" t="s">
        <v>285</v>
      </c>
      <c r="Y10" s="11"/>
      <c r="Z10" s="37" t="s">
        <v>286</v>
      </c>
    </row>
    <row r="11" spans="1:26" ht="16.5" customHeight="1" x14ac:dyDescent="0.3">
      <c r="A11" s="10"/>
      <c r="B11" s="55"/>
      <c r="C11" s="10"/>
      <c r="D11" s="10"/>
      <c r="E11" s="10"/>
      <c r="F11" s="9"/>
      <c r="G11" s="10"/>
      <c r="H11" s="10"/>
      <c r="I11" s="10"/>
      <c r="J11" s="46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6"/>
      <c r="W11" s="10"/>
      <c r="X11" s="10"/>
      <c r="Y11" s="10"/>
      <c r="Z11" s="9"/>
    </row>
    <row r="12" spans="1:26" s="63" customFormat="1" ht="15" customHeight="1" x14ac:dyDescent="0.3">
      <c r="A12" s="11"/>
      <c r="B12" s="28" t="s">
        <v>287</v>
      </c>
      <c r="C12" s="11"/>
      <c r="D12" s="5">
        <f>SUM(0)</f>
        <v>0</v>
      </c>
      <c r="E12" s="5"/>
      <c r="F12" s="13"/>
      <c r="G12" s="5"/>
      <c r="H12" s="5">
        <f>SUM(0)</f>
        <v>0</v>
      </c>
      <c r="I12" s="5"/>
      <c r="J12" s="13"/>
      <c r="K12" s="5"/>
      <c r="L12" s="5">
        <f>+D12-H12</f>
        <v>0</v>
      </c>
      <c r="M12" s="5"/>
      <c r="N12" s="13">
        <f>IF(H12=0,0,L12/H12)</f>
        <v>0</v>
      </c>
      <c r="O12" s="11"/>
      <c r="P12" s="5">
        <f>SUM(0)</f>
        <v>0</v>
      </c>
      <c r="Q12" s="5"/>
      <c r="R12" s="13"/>
      <c r="S12" s="5"/>
      <c r="T12" s="5">
        <f>SUM(0)</f>
        <v>0</v>
      </c>
      <c r="U12" s="5"/>
      <c r="V12" s="13"/>
      <c r="W12" s="5"/>
      <c r="X12" s="5">
        <f>+P12-T12</f>
        <v>0</v>
      </c>
      <c r="Y12" s="5"/>
      <c r="Z12" s="13">
        <f>IF(T12=0,0,X12/T12)</f>
        <v>0</v>
      </c>
    </row>
    <row r="13" spans="1:26" ht="15" customHeight="1" x14ac:dyDescent="0.3">
      <c r="A13" s="10"/>
      <c r="B13" s="11"/>
      <c r="C13" s="10"/>
      <c r="D13" s="4"/>
      <c r="E13" s="4"/>
      <c r="F13" s="9"/>
      <c r="G13" s="4"/>
      <c r="H13" s="4"/>
      <c r="I13" s="4"/>
      <c r="J13" s="9"/>
      <c r="K13" s="4"/>
      <c r="L13" s="4"/>
      <c r="M13" s="4"/>
      <c r="N13" s="9"/>
      <c r="P13" s="4"/>
      <c r="Q13" s="4"/>
      <c r="R13" s="9"/>
      <c r="S13" s="4"/>
      <c r="T13" s="4"/>
      <c r="U13" s="4"/>
      <c r="V13" s="9"/>
      <c r="W13" s="4"/>
      <c r="X13" s="4"/>
      <c r="Y13" s="4"/>
      <c r="Z13" s="9"/>
    </row>
    <row r="14" spans="1:26" s="63" customFormat="1" ht="15" customHeight="1" x14ac:dyDescent="0.3">
      <c r="A14" s="11"/>
      <c r="B14" s="28" t="s">
        <v>288</v>
      </c>
      <c r="C14" s="11"/>
      <c r="D14" s="5">
        <f>SUM(0)</f>
        <v>0</v>
      </c>
      <c r="E14" s="5"/>
      <c r="F14" s="13">
        <f>IF(D$12=0,0,D14/D$12)</f>
        <v>0</v>
      </c>
      <c r="G14" s="5"/>
      <c r="H14" s="5">
        <f>SUM(0)</f>
        <v>0</v>
      </c>
      <c r="I14" s="5"/>
      <c r="J14" s="13">
        <f>IF(H$12=0,0,H14/H$12)</f>
        <v>0</v>
      </c>
      <c r="K14" s="5"/>
      <c r="L14" s="5">
        <f>+D14-H14</f>
        <v>0</v>
      </c>
      <c r="M14" s="5"/>
      <c r="N14" s="13">
        <f>IF(H14=0,0,L14/H14)</f>
        <v>0</v>
      </c>
      <c r="O14" s="11"/>
      <c r="P14" s="5">
        <f>SUM(0)</f>
        <v>0</v>
      </c>
      <c r="Q14" s="5"/>
      <c r="R14" s="13">
        <f>IF(P$12=0,0,P14/P$12)</f>
        <v>0</v>
      </c>
      <c r="S14" s="5"/>
      <c r="T14" s="5">
        <f>SUM(0)</f>
        <v>0</v>
      </c>
      <c r="U14" s="5"/>
      <c r="V14" s="13">
        <f>IF(T$12=0,0,T14/T$12)</f>
        <v>0</v>
      </c>
      <c r="W14" s="5"/>
      <c r="X14" s="5">
        <f>+P14-T14</f>
        <v>0</v>
      </c>
      <c r="Y14" s="5"/>
      <c r="Z14" s="13">
        <f>IF(T14=0,0,X14/T14)</f>
        <v>0</v>
      </c>
    </row>
    <row r="15" spans="1:26" ht="15" customHeight="1" x14ac:dyDescent="0.3">
      <c r="A15" s="10"/>
      <c r="B15" s="11"/>
      <c r="C15" s="11"/>
      <c r="D15" s="4"/>
      <c r="E15" s="4"/>
      <c r="F15" s="9"/>
      <c r="G15" s="4"/>
      <c r="H15" s="4"/>
      <c r="I15" s="4"/>
      <c r="J15" s="9"/>
      <c r="K15" s="4"/>
      <c r="L15" s="4"/>
      <c r="M15" s="4"/>
      <c r="N15" s="9"/>
      <c r="O15" s="11"/>
      <c r="P15" s="4"/>
      <c r="Q15" s="4"/>
      <c r="R15" s="9"/>
      <c r="S15" s="4"/>
      <c r="T15" s="4"/>
      <c r="U15" s="4"/>
      <c r="V15" s="9"/>
      <c r="W15" s="4"/>
      <c r="X15" s="4"/>
      <c r="Y15" s="4"/>
      <c r="Z15" s="9"/>
    </row>
    <row r="16" spans="1:26" s="63" customFormat="1" ht="15" customHeight="1" x14ac:dyDescent="0.3">
      <c r="A16" s="11"/>
      <c r="B16" s="27" t="s">
        <v>289</v>
      </c>
      <c r="C16" s="27"/>
      <c r="D16" s="21">
        <f>D12-D14</f>
        <v>0</v>
      </c>
      <c r="E16" s="15"/>
      <c r="F16" s="23">
        <f>IF(D$12=0,0,D16/D$12)</f>
        <v>0</v>
      </c>
      <c r="G16" s="15"/>
      <c r="H16" s="21">
        <f>H12-H14</f>
        <v>0</v>
      </c>
      <c r="I16" s="15"/>
      <c r="J16" s="23">
        <f>IF(H$12=0,0,H16/H$12)</f>
        <v>0</v>
      </c>
      <c r="K16" s="16"/>
      <c r="L16" s="21">
        <f>+D16-H16</f>
        <v>0</v>
      </c>
      <c r="M16" s="16"/>
      <c r="N16" s="23">
        <f>IF(H16=0,0,L16/H16)</f>
        <v>0</v>
      </c>
      <c r="O16" s="28"/>
      <c r="P16" s="21">
        <f>P12-P14</f>
        <v>0</v>
      </c>
      <c r="Q16" s="15"/>
      <c r="R16" s="23">
        <f>IF(P$12=0,0,P16/P$12)</f>
        <v>0</v>
      </c>
      <c r="S16" s="15"/>
      <c r="T16" s="21">
        <f>T12-T14</f>
        <v>0</v>
      </c>
      <c r="U16" s="15"/>
      <c r="V16" s="23">
        <f>IF(T$12=0,0,T16/T$12)</f>
        <v>0</v>
      </c>
      <c r="W16" s="16"/>
      <c r="X16" s="21">
        <f>+P16-T16</f>
        <v>0</v>
      </c>
      <c r="Y16" s="16"/>
      <c r="Z16" s="23">
        <f>IF(T16=0,0,X16/T16)</f>
        <v>0</v>
      </c>
    </row>
    <row r="17" spans="1:26" ht="15" customHeight="1" x14ac:dyDescent="0.3">
      <c r="A17" s="10"/>
      <c r="B17" s="11"/>
      <c r="C17" s="10"/>
      <c r="D17" s="2"/>
      <c r="E17" s="2"/>
      <c r="F17" s="6"/>
      <c r="G17" s="2"/>
      <c r="H17" s="2"/>
      <c r="I17" s="2"/>
      <c r="J17" s="6"/>
      <c r="K17" s="2"/>
      <c r="L17" s="2"/>
      <c r="M17" s="2"/>
      <c r="N17" s="6"/>
      <c r="O17" s="35"/>
      <c r="P17" s="2"/>
      <c r="Q17" s="2"/>
      <c r="R17" s="6"/>
      <c r="S17" s="2"/>
      <c r="T17" s="2"/>
      <c r="U17" s="2"/>
      <c r="V17" s="6"/>
      <c r="W17" s="2"/>
      <c r="X17" s="2"/>
      <c r="Y17" s="2"/>
      <c r="Z17" s="6"/>
    </row>
    <row r="18" spans="1:26" s="63" customFormat="1" ht="15" customHeight="1" x14ac:dyDescent="0.3">
      <c r="A18" s="11"/>
      <c r="B18" s="28" t="s">
        <v>290</v>
      </c>
      <c r="C18" s="11"/>
      <c r="D18" s="22" cm="1">
        <f t="array" ref="D18">SUM(OSRRefD22x_0)</f>
        <v>36</v>
      </c>
      <c r="E18" s="22"/>
      <c r="F18" s="30">
        <f t="shared" ref="F18:F46" si="0">IF(D$12=0,0,D18/D$12)</f>
        <v>0</v>
      </c>
      <c r="G18" s="22"/>
      <c r="H18" s="22" cm="1">
        <f t="array" ref="H18">SUM(OSRRefH22x_0)</f>
        <v>0</v>
      </c>
      <c r="I18" s="22"/>
      <c r="J18" s="30">
        <f t="shared" ref="J18:J46" si="1">IF(H$12=0,0,H18/H$12)</f>
        <v>0</v>
      </c>
      <c r="K18" s="5"/>
      <c r="L18" s="22">
        <f t="shared" ref="L18:L46" si="2">+D18-H18</f>
        <v>36</v>
      </c>
      <c r="M18" s="5"/>
      <c r="N18" s="30">
        <f t="shared" ref="N18:N46" si="3">IF(H18=0,0,L18/H18)</f>
        <v>0</v>
      </c>
      <c r="O18" s="11"/>
      <c r="P18" s="22" cm="1">
        <f t="array" ref="P18">SUM(OSRRefP22x_0)</f>
        <v>8861.64</v>
      </c>
      <c r="Q18" s="22"/>
      <c r="R18" s="30">
        <f t="shared" ref="R18:R46" si="4">IF(P$12=0,0,P18/P$12)</f>
        <v>0</v>
      </c>
      <c r="S18" s="22"/>
      <c r="T18" s="22" cm="1">
        <f t="array" ref="T18">SUM(OSRRefT22x_0)</f>
        <v>0</v>
      </c>
      <c r="U18" s="22"/>
      <c r="V18" s="30">
        <f t="shared" ref="V18:V46" si="5">IF(T$12=0,0,T18/T$12)</f>
        <v>0</v>
      </c>
      <c r="W18" s="5"/>
      <c r="X18" s="22">
        <f t="shared" ref="X18:X46" si="6">+P18-T18</f>
        <v>8861.64</v>
      </c>
      <c r="Y18" s="5"/>
      <c r="Z18" s="30">
        <f t="shared" ref="Z18:Z46" si="7">IF(T18=0,0,X18/T18)</f>
        <v>0</v>
      </c>
    </row>
    <row r="19" spans="1:26" s="69" customFormat="1" ht="15" customHeight="1" outlineLevel="1" collapsed="1" x14ac:dyDescent="0.3">
      <c r="A19" s="25"/>
      <c r="B19" s="14" t="str">
        <f>CONCATENATE("     ","*Benefits                                         ")</f>
        <v xml:space="preserve">     *Benefits                                         </v>
      </c>
      <c r="C19" s="14"/>
      <c r="D19" s="2">
        <f>SUM(OSRRefD22_0x_0)</f>
        <v>0</v>
      </c>
      <c r="E19" s="2"/>
      <c r="F19" s="6">
        <f t="shared" si="0"/>
        <v>0</v>
      </c>
      <c r="G19" s="2"/>
      <c r="H19" s="2">
        <f>SUM(OSRRefH22_0x_0)</f>
        <v>0</v>
      </c>
      <c r="I19" s="2"/>
      <c r="J19" s="6">
        <f t="shared" si="1"/>
        <v>0</v>
      </c>
      <c r="K19" s="2"/>
      <c r="L19" s="2">
        <f t="shared" si="2"/>
        <v>0</v>
      </c>
      <c r="M19" s="2"/>
      <c r="N19" s="6">
        <f t="shared" si="3"/>
        <v>0</v>
      </c>
      <c r="O19" s="14"/>
      <c r="P19" s="2">
        <f>SUM(OSRRefP22_0x_0)</f>
        <v>0</v>
      </c>
      <c r="Q19" s="2"/>
      <c r="R19" s="6">
        <f t="shared" si="4"/>
        <v>0</v>
      </c>
      <c r="S19" s="2"/>
      <c r="T19" s="2">
        <f>SUM(OSRRefT22_0x_0)</f>
        <v>0</v>
      </c>
      <c r="U19" s="2"/>
      <c r="V19" s="6">
        <f t="shared" si="5"/>
        <v>0</v>
      </c>
      <c r="W19" s="2"/>
      <c r="X19" s="2">
        <f t="shared" si="6"/>
        <v>0</v>
      </c>
      <c r="Y19" s="2"/>
      <c r="Z19" s="6">
        <f t="shared" si="7"/>
        <v>0</v>
      </c>
    </row>
    <row r="20" spans="1:26" s="70" customFormat="1" ht="15" hidden="1" customHeight="1" outlineLevel="2" x14ac:dyDescent="0.3">
      <c r="A20" s="26"/>
      <c r="B20" s="12" t="str">
        <f>CONCATENATE("          ","6111"," - ","F.I.C.A.")</f>
        <v xml:space="preserve">          6111 - F.I.C.A.</v>
      </c>
      <c r="C20" s="12"/>
      <c r="D20" s="7"/>
      <c r="E20" s="3"/>
      <c r="F20" s="8">
        <f t="shared" si="0"/>
        <v>0</v>
      </c>
      <c r="G20" s="3"/>
      <c r="H20" s="7">
        <v>0</v>
      </c>
      <c r="I20" s="3"/>
      <c r="J20" s="8">
        <f t="shared" si="1"/>
        <v>0</v>
      </c>
      <c r="K20" s="3"/>
      <c r="L20" s="7">
        <f t="shared" si="2"/>
        <v>0</v>
      </c>
      <c r="M20" s="3"/>
      <c r="N20" s="8">
        <f t="shared" si="3"/>
        <v>0</v>
      </c>
      <c r="O20" s="12"/>
      <c r="P20" s="7"/>
      <c r="Q20" s="3"/>
      <c r="R20" s="8">
        <f t="shared" si="4"/>
        <v>0</v>
      </c>
      <c r="S20" s="3"/>
      <c r="T20" s="7">
        <v>0</v>
      </c>
      <c r="U20" s="3"/>
      <c r="V20" s="8">
        <f t="shared" si="5"/>
        <v>0</v>
      </c>
      <c r="W20" s="3"/>
      <c r="X20" s="7">
        <f t="shared" si="6"/>
        <v>0</v>
      </c>
      <c r="Y20" s="3"/>
      <c r="Z20" s="8">
        <f t="shared" si="7"/>
        <v>0</v>
      </c>
    </row>
    <row r="21" spans="1:26" s="70" customFormat="1" ht="15" hidden="1" customHeight="1" outlineLevel="2" x14ac:dyDescent="0.3">
      <c r="A21" s="26"/>
      <c r="B21" s="12" t="str">
        <f>CONCATENATE("          ","6112"," - ","COMPENSATION INSURANCE")</f>
        <v xml:space="preserve">          6112 - COMPENSATION INSURANCE</v>
      </c>
      <c r="C21" s="12"/>
      <c r="D21" s="7"/>
      <c r="E21" s="3"/>
      <c r="F21" s="8">
        <f t="shared" si="0"/>
        <v>0</v>
      </c>
      <c r="G21" s="3"/>
      <c r="H21" s="7">
        <v>0</v>
      </c>
      <c r="I21" s="3"/>
      <c r="J21" s="8">
        <f t="shared" si="1"/>
        <v>0</v>
      </c>
      <c r="K21" s="3"/>
      <c r="L21" s="7">
        <f t="shared" si="2"/>
        <v>0</v>
      </c>
      <c r="M21" s="3"/>
      <c r="N21" s="8">
        <f t="shared" si="3"/>
        <v>0</v>
      </c>
      <c r="O21" s="12"/>
      <c r="P21" s="7"/>
      <c r="Q21" s="3"/>
      <c r="R21" s="8">
        <f t="shared" si="4"/>
        <v>0</v>
      </c>
      <c r="S21" s="3"/>
      <c r="T21" s="7">
        <v>0</v>
      </c>
      <c r="U21" s="3"/>
      <c r="V21" s="8">
        <f t="shared" si="5"/>
        <v>0</v>
      </c>
      <c r="W21" s="3"/>
      <c r="X21" s="7">
        <f t="shared" si="6"/>
        <v>0</v>
      </c>
      <c r="Y21" s="3"/>
      <c r="Z21" s="8">
        <f t="shared" si="7"/>
        <v>0</v>
      </c>
    </row>
    <row r="22" spans="1:26" s="70" customFormat="1" ht="15" hidden="1" customHeight="1" outlineLevel="2" x14ac:dyDescent="0.3">
      <c r="A22" s="26"/>
      <c r="B22" s="12" t="str">
        <f>CONCATENATE("          ","6113"," - ","GROUP INSURANCE")</f>
        <v xml:space="preserve">          6113 - GROUP INSURANCE</v>
      </c>
      <c r="C22" s="12"/>
      <c r="D22" s="7"/>
      <c r="E22" s="3"/>
      <c r="F22" s="8">
        <f t="shared" si="0"/>
        <v>0</v>
      </c>
      <c r="G22" s="3"/>
      <c r="H22" s="7">
        <v>0</v>
      </c>
      <c r="I22" s="3"/>
      <c r="J22" s="8">
        <f t="shared" si="1"/>
        <v>0</v>
      </c>
      <c r="K22" s="3"/>
      <c r="L22" s="7">
        <f t="shared" si="2"/>
        <v>0</v>
      </c>
      <c r="M22" s="3"/>
      <c r="N22" s="8">
        <f t="shared" si="3"/>
        <v>0</v>
      </c>
      <c r="O22" s="12"/>
      <c r="P22" s="7"/>
      <c r="Q22" s="3"/>
      <c r="R22" s="8">
        <f t="shared" si="4"/>
        <v>0</v>
      </c>
      <c r="S22" s="3"/>
      <c r="T22" s="7">
        <v>0</v>
      </c>
      <c r="U22" s="3"/>
      <c r="V22" s="8">
        <f t="shared" si="5"/>
        <v>0</v>
      </c>
      <c r="W22" s="3"/>
      <c r="X22" s="7">
        <f t="shared" si="6"/>
        <v>0</v>
      </c>
      <c r="Y22" s="3"/>
      <c r="Z22" s="8">
        <f t="shared" si="7"/>
        <v>0</v>
      </c>
    </row>
    <row r="23" spans="1:26" s="70" customFormat="1" ht="15" hidden="1" customHeight="1" outlineLevel="2" x14ac:dyDescent="0.3">
      <c r="A23" s="26"/>
      <c r="B23" s="12" t="str">
        <f>CONCATENATE("          ","6114"," - ","STATE UNEMPLOYMENT INSURANCE")</f>
        <v xml:space="preserve">          6114 - STATE UNEMPLOYMENT INSURANCE</v>
      </c>
      <c r="C23" s="12"/>
      <c r="D23" s="7"/>
      <c r="E23" s="3"/>
      <c r="F23" s="8">
        <f t="shared" si="0"/>
        <v>0</v>
      </c>
      <c r="G23" s="3"/>
      <c r="H23" s="7">
        <v>0</v>
      </c>
      <c r="I23" s="3"/>
      <c r="J23" s="8">
        <f t="shared" si="1"/>
        <v>0</v>
      </c>
      <c r="K23" s="3"/>
      <c r="L23" s="7">
        <f t="shared" si="2"/>
        <v>0</v>
      </c>
      <c r="M23" s="3"/>
      <c r="N23" s="8">
        <f t="shared" si="3"/>
        <v>0</v>
      </c>
      <c r="O23" s="12"/>
      <c r="P23" s="7"/>
      <c r="Q23" s="3"/>
      <c r="R23" s="8">
        <f t="shared" si="4"/>
        <v>0</v>
      </c>
      <c r="S23" s="3"/>
      <c r="T23" s="7">
        <v>0</v>
      </c>
      <c r="U23" s="3"/>
      <c r="V23" s="8">
        <f t="shared" si="5"/>
        <v>0</v>
      </c>
      <c r="W23" s="3"/>
      <c r="X23" s="7">
        <f t="shared" si="6"/>
        <v>0</v>
      </c>
      <c r="Y23" s="3"/>
      <c r="Z23" s="8">
        <f t="shared" si="7"/>
        <v>0</v>
      </c>
    </row>
    <row r="24" spans="1:26" s="70" customFormat="1" ht="15" hidden="1" customHeight="1" outlineLevel="2" x14ac:dyDescent="0.3">
      <c r="A24" s="26"/>
      <c r="B24" s="12" t="str">
        <f>CONCATENATE("          ","6115"," - ","P.E.R.S.")</f>
        <v xml:space="preserve">          6115 - P.E.R.S.</v>
      </c>
      <c r="C24" s="12"/>
      <c r="D24" s="7"/>
      <c r="E24" s="3"/>
      <c r="F24" s="8">
        <f t="shared" si="0"/>
        <v>0</v>
      </c>
      <c r="G24" s="3"/>
      <c r="H24" s="7">
        <v>0</v>
      </c>
      <c r="I24" s="3"/>
      <c r="J24" s="8">
        <f t="shared" si="1"/>
        <v>0</v>
      </c>
      <c r="K24" s="3"/>
      <c r="L24" s="7">
        <f t="shared" si="2"/>
        <v>0</v>
      </c>
      <c r="M24" s="3"/>
      <c r="N24" s="8">
        <f t="shared" si="3"/>
        <v>0</v>
      </c>
      <c r="O24" s="12"/>
      <c r="P24" s="7"/>
      <c r="Q24" s="3"/>
      <c r="R24" s="8">
        <f t="shared" si="4"/>
        <v>0</v>
      </c>
      <c r="S24" s="3"/>
      <c r="T24" s="7">
        <v>0</v>
      </c>
      <c r="U24" s="3"/>
      <c r="V24" s="8">
        <f t="shared" si="5"/>
        <v>0</v>
      </c>
      <c r="W24" s="3"/>
      <c r="X24" s="7">
        <f t="shared" si="6"/>
        <v>0</v>
      </c>
      <c r="Y24" s="3"/>
      <c r="Z24" s="8">
        <f t="shared" si="7"/>
        <v>0</v>
      </c>
    </row>
    <row r="25" spans="1:26" s="70" customFormat="1" ht="15" hidden="1" customHeight="1" outlineLevel="2" x14ac:dyDescent="0.3">
      <c r="A25" s="26"/>
      <c r="B25" s="12" t="str">
        <f>CONCATENATE("          ","6116"," - ","EDUCATIONAL BENEFITS")</f>
        <v xml:space="preserve">          6116 - EDUCATIONAL BENEFITS</v>
      </c>
      <c r="C25" s="12"/>
      <c r="D25" s="7"/>
      <c r="E25" s="3"/>
      <c r="F25" s="8">
        <f t="shared" si="0"/>
        <v>0</v>
      </c>
      <c r="G25" s="3"/>
      <c r="H25" s="7">
        <v>0</v>
      </c>
      <c r="I25" s="3"/>
      <c r="J25" s="8">
        <f t="shared" si="1"/>
        <v>0</v>
      </c>
      <c r="K25" s="3"/>
      <c r="L25" s="7">
        <f t="shared" si="2"/>
        <v>0</v>
      </c>
      <c r="M25" s="3"/>
      <c r="N25" s="8">
        <f t="shared" si="3"/>
        <v>0</v>
      </c>
      <c r="O25" s="12"/>
      <c r="P25" s="7"/>
      <c r="Q25" s="3"/>
      <c r="R25" s="8">
        <f t="shared" si="4"/>
        <v>0</v>
      </c>
      <c r="S25" s="3"/>
      <c r="T25" s="7">
        <v>0</v>
      </c>
      <c r="U25" s="3"/>
      <c r="V25" s="8">
        <f t="shared" si="5"/>
        <v>0</v>
      </c>
      <c r="W25" s="3"/>
      <c r="X25" s="7">
        <f t="shared" si="6"/>
        <v>0</v>
      </c>
      <c r="Y25" s="3"/>
      <c r="Z25" s="8">
        <f t="shared" si="7"/>
        <v>0</v>
      </c>
    </row>
    <row r="26" spans="1:26" s="70" customFormat="1" ht="15" hidden="1" customHeight="1" outlineLevel="2" x14ac:dyDescent="0.3">
      <c r="A26" s="26"/>
      <c r="B26" s="12" t="str">
        <f>CONCATENATE("          ","6118"," - ","VACATION")</f>
        <v xml:space="preserve">          6118 - VACATION</v>
      </c>
      <c r="C26" s="12"/>
      <c r="D26" s="7"/>
      <c r="E26" s="3"/>
      <c r="F26" s="8">
        <f t="shared" si="0"/>
        <v>0</v>
      </c>
      <c r="G26" s="3"/>
      <c r="H26" s="7">
        <v>0</v>
      </c>
      <c r="I26" s="3"/>
      <c r="J26" s="8">
        <f t="shared" si="1"/>
        <v>0</v>
      </c>
      <c r="K26" s="3"/>
      <c r="L26" s="7">
        <f t="shared" si="2"/>
        <v>0</v>
      </c>
      <c r="M26" s="3"/>
      <c r="N26" s="8">
        <f t="shared" si="3"/>
        <v>0</v>
      </c>
      <c r="O26" s="12"/>
      <c r="P26" s="7"/>
      <c r="Q26" s="3"/>
      <c r="R26" s="8">
        <f t="shared" si="4"/>
        <v>0</v>
      </c>
      <c r="S26" s="3"/>
      <c r="T26" s="7">
        <v>0</v>
      </c>
      <c r="U26" s="3"/>
      <c r="V26" s="8">
        <f t="shared" si="5"/>
        <v>0</v>
      </c>
      <c r="W26" s="3"/>
      <c r="X26" s="7">
        <f t="shared" si="6"/>
        <v>0</v>
      </c>
      <c r="Y26" s="3"/>
      <c r="Z26" s="8">
        <f t="shared" si="7"/>
        <v>0</v>
      </c>
    </row>
    <row r="27" spans="1:26" s="70" customFormat="1" ht="15" hidden="1" customHeight="1" outlineLevel="2" x14ac:dyDescent="0.3">
      <c r="A27" s="26"/>
      <c r="B27" s="12" t="str">
        <f>CONCATENATE("          ","6119"," - ","SICK LEAVE")</f>
        <v xml:space="preserve">          6119 - SICK LEAVE</v>
      </c>
      <c r="C27" s="12"/>
      <c r="D27" s="7"/>
      <c r="E27" s="3"/>
      <c r="F27" s="8">
        <f t="shared" si="0"/>
        <v>0</v>
      </c>
      <c r="G27" s="3"/>
      <c r="H27" s="7">
        <v>0</v>
      </c>
      <c r="I27" s="3"/>
      <c r="J27" s="8">
        <f t="shared" si="1"/>
        <v>0</v>
      </c>
      <c r="K27" s="3"/>
      <c r="L27" s="7">
        <f t="shared" si="2"/>
        <v>0</v>
      </c>
      <c r="M27" s="3"/>
      <c r="N27" s="8">
        <f t="shared" si="3"/>
        <v>0</v>
      </c>
      <c r="O27" s="12"/>
      <c r="P27" s="7"/>
      <c r="Q27" s="3"/>
      <c r="R27" s="8">
        <f t="shared" si="4"/>
        <v>0</v>
      </c>
      <c r="S27" s="3"/>
      <c r="T27" s="7">
        <v>0</v>
      </c>
      <c r="U27" s="3"/>
      <c r="V27" s="8">
        <f t="shared" si="5"/>
        <v>0</v>
      </c>
      <c r="W27" s="3"/>
      <c r="X27" s="7">
        <f t="shared" si="6"/>
        <v>0</v>
      </c>
      <c r="Y27" s="3"/>
      <c r="Z27" s="8">
        <f t="shared" si="7"/>
        <v>0</v>
      </c>
    </row>
    <row r="28" spans="1:26" s="69" customFormat="1" ht="15" customHeight="1" outlineLevel="1" collapsed="1" x14ac:dyDescent="0.3">
      <c r="A28" s="25"/>
      <c r="B28" s="14" t="str">
        <f>CONCATENATE("     ","*Payroll                                          ")</f>
        <v xml:space="preserve">     *Payroll                                          </v>
      </c>
      <c r="C28" s="14"/>
      <c r="D28" s="2">
        <f>SUM(OSRRefD22_1x_0)</f>
        <v>0</v>
      </c>
      <c r="E28" s="2"/>
      <c r="F28" s="6">
        <f t="shared" si="0"/>
        <v>0</v>
      </c>
      <c r="G28" s="2"/>
      <c r="H28" s="2">
        <f>SUM(OSRRefH22_1x_0)</f>
        <v>0</v>
      </c>
      <c r="I28" s="2"/>
      <c r="J28" s="6">
        <f t="shared" si="1"/>
        <v>0</v>
      </c>
      <c r="K28" s="2"/>
      <c r="L28" s="2">
        <f t="shared" si="2"/>
        <v>0</v>
      </c>
      <c r="M28" s="2"/>
      <c r="N28" s="6">
        <f t="shared" si="3"/>
        <v>0</v>
      </c>
      <c r="O28" s="14"/>
      <c r="P28" s="2">
        <f>SUM(OSRRefP22_1x_0)</f>
        <v>0</v>
      </c>
      <c r="Q28" s="2"/>
      <c r="R28" s="6">
        <f t="shared" si="4"/>
        <v>0</v>
      </c>
      <c r="S28" s="2"/>
      <c r="T28" s="2">
        <f>SUM(OSRRefT22_1x_0)</f>
        <v>0</v>
      </c>
      <c r="U28" s="2"/>
      <c r="V28" s="6">
        <f t="shared" si="5"/>
        <v>0</v>
      </c>
      <c r="W28" s="2"/>
      <c r="X28" s="2">
        <f t="shared" si="6"/>
        <v>0</v>
      </c>
      <c r="Y28" s="2"/>
      <c r="Z28" s="6">
        <f t="shared" si="7"/>
        <v>0</v>
      </c>
    </row>
    <row r="29" spans="1:26" s="70" customFormat="1" ht="15" hidden="1" customHeight="1" outlineLevel="2" x14ac:dyDescent="0.3">
      <c r="A29" s="26"/>
      <c r="B29" s="12" t="str">
        <f>CONCATENATE("          ","6001"," - ","ADMINISTRATIVE SALARIES")</f>
        <v xml:space="preserve">          6001 - ADMINISTRATIVE SALARIES</v>
      </c>
      <c r="C29" s="12"/>
      <c r="D29" s="7"/>
      <c r="E29" s="3"/>
      <c r="F29" s="8">
        <f t="shared" si="0"/>
        <v>0</v>
      </c>
      <c r="G29" s="3"/>
      <c r="H29" s="7">
        <v>0</v>
      </c>
      <c r="I29" s="3"/>
      <c r="J29" s="8">
        <f t="shared" si="1"/>
        <v>0</v>
      </c>
      <c r="K29" s="3"/>
      <c r="L29" s="7">
        <f t="shared" si="2"/>
        <v>0</v>
      </c>
      <c r="M29" s="3"/>
      <c r="N29" s="8">
        <f t="shared" si="3"/>
        <v>0</v>
      </c>
      <c r="O29" s="12"/>
      <c r="P29" s="7"/>
      <c r="Q29" s="3"/>
      <c r="R29" s="8">
        <f t="shared" si="4"/>
        <v>0</v>
      </c>
      <c r="S29" s="3"/>
      <c r="T29" s="7">
        <v>0</v>
      </c>
      <c r="U29" s="3"/>
      <c r="V29" s="8">
        <f t="shared" si="5"/>
        <v>0</v>
      </c>
      <c r="W29" s="3"/>
      <c r="X29" s="7">
        <f t="shared" si="6"/>
        <v>0</v>
      </c>
      <c r="Y29" s="3"/>
      <c r="Z29" s="8">
        <f t="shared" si="7"/>
        <v>0</v>
      </c>
    </row>
    <row r="30" spans="1:26" s="70" customFormat="1" ht="15" hidden="1" customHeight="1" outlineLevel="2" x14ac:dyDescent="0.3">
      <c r="A30" s="26"/>
      <c r="B30" s="12" t="str">
        <f>CONCATENATE("          ","6002"," - ","STAFF SALARIES")</f>
        <v xml:space="preserve">          6002 - STAFF SALARIES</v>
      </c>
      <c r="C30" s="12"/>
      <c r="D30" s="7"/>
      <c r="E30" s="3"/>
      <c r="F30" s="8">
        <f t="shared" si="0"/>
        <v>0</v>
      </c>
      <c r="G30" s="3"/>
      <c r="H30" s="7">
        <v>0</v>
      </c>
      <c r="I30" s="3"/>
      <c r="J30" s="8">
        <f t="shared" si="1"/>
        <v>0</v>
      </c>
      <c r="K30" s="3"/>
      <c r="L30" s="7">
        <f t="shared" si="2"/>
        <v>0</v>
      </c>
      <c r="M30" s="3"/>
      <c r="N30" s="8">
        <f t="shared" si="3"/>
        <v>0</v>
      </c>
      <c r="O30" s="12"/>
      <c r="P30" s="7"/>
      <c r="Q30" s="3"/>
      <c r="R30" s="8">
        <f t="shared" si="4"/>
        <v>0</v>
      </c>
      <c r="S30" s="3"/>
      <c r="T30" s="7">
        <v>0</v>
      </c>
      <c r="U30" s="3"/>
      <c r="V30" s="8">
        <f t="shared" si="5"/>
        <v>0</v>
      </c>
      <c r="W30" s="3"/>
      <c r="X30" s="7">
        <f t="shared" si="6"/>
        <v>0</v>
      </c>
      <c r="Y30" s="3"/>
      <c r="Z30" s="8">
        <f t="shared" si="7"/>
        <v>0</v>
      </c>
    </row>
    <row r="31" spans="1:26" s="70" customFormat="1" ht="15" hidden="1" customHeight="1" outlineLevel="2" x14ac:dyDescent="0.3">
      <c r="A31" s="26"/>
      <c r="B31" s="12" t="str">
        <f>CONCATENATE("          ","6003"," - ","STAFF HOURLY-9 MONTH")</f>
        <v xml:space="preserve">          6003 - STAFF HOURLY-9 MONTH</v>
      </c>
      <c r="C31" s="12"/>
      <c r="D31" s="7"/>
      <c r="E31" s="3"/>
      <c r="F31" s="8">
        <f t="shared" si="0"/>
        <v>0</v>
      </c>
      <c r="G31" s="3"/>
      <c r="H31" s="7">
        <v>0</v>
      </c>
      <c r="I31" s="3"/>
      <c r="J31" s="8">
        <f t="shared" si="1"/>
        <v>0</v>
      </c>
      <c r="K31" s="3"/>
      <c r="L31" s="7">
        <f t="shared" si="2"/>
        <v>0</v>
      </c>
      <c r="M31" s="3"/>
      <c r="N31" s="8">
        <f t="shared" si="3"/>
        <v>0</v>
      </c>
      <c r="O31" s="12"/>
      <c r="P31" s="7"/>
      <c r="Q31" s="3"/>
      <c r="R31" s="8">
        <f t="shared" si="4"/>
        <v>0</v>
      </c>
      <c r="S31" s="3"/>
      <c r="T31" s="7">
        <v>0</v>
      </c>
      <c r="U31" s="3"/>
      <c r="V31" s="8">
        <f t="shared" si="5"/>
        <v>0</v>
      </c>
      <c r="W31" s="3"/>
      <c r="X31" s="7">
        <f t="shared" si="6"/>
        <v>0</v>
      </c>
      <c r="Y31" s="3"/>
      <c r="Z31" s="8">
        <f t="shared" si="7"/>
        <v>0</v>
      </c>
    </row>
    <row r="32" spans="1:26" s="70" customFormat="1" ht="15" hidden="1" customHeight="1" outlineLevel="2" x14ac:dyDescent="0.3">
      <c r="A32" s="26"/>
      <c r="B32" s="12" t="str">
        <f>CONCATENATE("          ","6004"," - ","STAFF HOURLY")</f>
        <v xml:space="preserve">          6004 - STAFF HOURLY</v>
      </c>
      <c r="C32" s="12"/>
      <c r="D32" s="7"/>
      <c r="E32" s="3"/>
      <c r="F32" s="8">
        <f t="shared" si="0"/>
        <v>0</v>
      </c>
      <c r="G32" s="3"/>
      <c r="H32" s="7">
        <v>0</v>
      </c>
      <c r="I32" s="3"/>
      <c r="J32" s="8">
        <f t="shared" si="1"/>
        <v>0</v>
      </c>
      <c r="K32" s="3"/>
      <c r="L32" s="7">
        <f t="shared" si="2"/>
        <v>0</v>
      </c>
      <c r="M32" s="3"/>
      <c r="N32" s="8">
        <f t="shared" si="3"/>
        <v>0</v>
      </c>
      <c r="O32" s="12"/>
      <c r="P32" s="7"/>
      <c r="Q32" s="3"/>
      <c r="R32" s="8">
        <f t="shared" si="4"/>
        <v>0</v>
      </c>
      <c r="S32" s="3"/>
      <c r="T32" s="7">
        <v>0</v>
      </c>
      <c r="U32" s="3"/>
      <c r="V32" s="8">
        <f t="shared" si="5"/>
        <v>0</v>
      </c>
      <c r="W32" s="3"/>
      <c r="X32" s="7">
        <f t="shared" si="6"/>
        <v>0</v>
      </c>
      <c r="Y32" s="3"/>
      <c r="Z32" s="8">
        <f t="shared" si="7"/>
        <v>0</v>
      </c>
    </row>
    <row r="33" spans="1:26" s="70" customFormat="1" ht="15" hidden="1" customHeight="1" outlineLevel="2" x14ac:dyDescent="0.3">
      <c r="A33" s="26"/>
      <c r="B33" s="12" t="str">
        <f>CONCATENATE("          ","6005"," - ","TEMPORARY WAGES-HOURLY")</f>
        <v xml:space="preserve">          6005 - TEMPORARY WAGES-HOURLY</v>
      </c>
      <c r="C33" s="12"/>
      <c r="D33" s="7"/>
      <c r="E33" s="3"/>
      <c r="F33" s="8">
        <f t="shared" si="0"/>
        <v>0</v>
      </c>
      <c r="G33" s="3"/>
      <c r="H33" s="7">
        <v>0</v>
      </c>
      <c r="I33" s="3"/>
      <c r="J33" s="8">
        <f t="shared" si="1"/>
        <v>0</v>
      </c>
      <c r="K33" s="3"/>
      <c r="L33" s="7">
        <f t="shared" si="2"/>
        <v>0</v>
      </c>
      <c r="M33" s="3"/>
      <c r="N33" s="8">
        <f t="shared" si="3"/>
        <v>0</v>
      </c>
      <c r="O33" s="12"/>
      <c r="P33" s="7"/>
      <c r="Q33" s="3"/>
      <c r="R33" s="8">
        <f t="shared" si="4"/>
        <v>0</v>
      </c>
      <c r="S33" s="3"/>
      <c r="T33" s="7">
        <v>0</v>
      </c>
      <c r="U33" s="3"/>
      <c r="V33" s="8">
        <f t="shared" si="5"/>
        <v>0</v>
      </c>
      <c r="W33" s="3"/>
      <c r="X33" s="7">
        <f t="shared" si="6"/>
        <v>0</v>
      </c>
      <c r="Y33" s="3"/>
      <c r="Z33" s="8">
        <f t="shared" si="7"/>
        <v>0</v>
      </c>
    </row>
    <row r="34" spans="1:26" s="70" customFormat="1" ht="15" hidden="1" customHeight="1" outlineLevel="2" x14ac:dyDescent="0.3">
      <c r="A34" s="26"/>
      <c r="B34" s="12" t="str">
        <f>CONCATENATE("          ","6006"," - ","TEMPORARY PART TIME")</f>
        <v xml:space="preserve">          6006 - TEMPORARY PART TIME</v>
      </c>
      <c r="C34" s="12"/>
      <c r="D34" s="7"/>
      <c r="E34" s="3"/>
      <c r="F34" s="8">
        <f t="shared" si="0"/>
        <v>0</v>
      </c>
      <c r="G34" s="3"/>
      <c r="H34" s="7">
        <v>0</v>
      </c>
      <c r="I34" s="3"/>
      <c r="J34" s="8">
        <f t="shared" si="1"/>
        <v>0</v>
      </c>
      <c r="K34" s="3"/>
      <c r="L34" s="7">
        <f t="shared" si="2"/>
        <v>0</v>
      </c>
      <c r="M34" s="3"/>
      <c r="N34" s="8">
        <f t="shared" si="3"/>
        <v>0</v>
      </c>
      <c r="O34" s="12"/>
      <c r="P34" s="7"/>
      <c r="Q34" s="3"/>
      <c r="R34" s="8">
        <f t="shared" si="4"/>
        <v>0</v>
      </c>
      <c r="S34" s="3"/>
      <c r="T34" s="7">
        <v>0</v>
      </c>
      <c r="U34" s="3"/>
      <c r="V34" s="8">
        <f t="shared" si="5"/>
        <v>0</v>
      </c>
      <c r="W34" s="3"/>
      <c r="X34" s="7">
        <f t="shared" si="6"/>
        <v>0</v>
      </c>
      <c r="Y34" s="3"/>
      <c r="Z34" s="8">
        <f t="shared" si="7"/>
        <v>0</v>
      </c>
    </row>
    <row r="35" spans="1:26" s="70" customFormat="1" ht="15" hidden="1" customHeight="1" outlineLevel="2" x14ac:dyDescent="0.3">
      <c r="A35" s="26"/>
      <c r="B35" s="12" t="str">
        <f>CONCATENATE("          ","6007"," - ","STUDENT HOURLY")</f>
        <v xml:space="preserve">          6007 - STUDENT HOURLY</v>
      </c>
      <c r="C35" s="12"/>
      <c r="D35" s="7"/>
      <c r="E35" s="3"/>
      <c r="F35" s="8">
        <f t="shared" si="0"/>
        <v>0</v>
      </c>
      <c r="G35" s="3"/>
      <c r="H35" s="7">
        <v>0</v>
      </c>
      <c r="I35" s="3"/>
      <c r="J35" s="8">
        <f t="shared" si="1"/>
        <v>0</v>
      </c>
      <c r="K35" s="3"/>
      <c r="L35" s="7">
        <f t="shared" si="2"/>
        <v>0</v>
      </c>
      <c r="M35" s="3"/>
      <c r="N35" s="8">
        <f t="shared" si="3"/>
        <v>0</v>
      </c>
      <c r="O35" s="12"/>
      <c r="P35" s="7"/>
      <c r="Q35" s="3"/>
      <c r="R35" s="8">
        <f t="shared" si="4"/>
        <v>0</v>
      </c>
      <c r="S35" s="3"/>
      <c r="T35" s="7">
        <v>0</v>
      </c>
      <c r="U35" s="3"/>
      <c r="V35" s="8">
        <f t="shared" si="5"/>
        <v>0</v>
      </c>
      <c r="W35" s="3"/>
      <c r="X35" s="7">
        <f t="shared" si="6"/>
        <v>0</v>
      </c>
      <c r="Y35" s="3"/>
      <c r="Z35" s="8">
        <f t="shared" si="7"/>
        <v>0</v>
      </c>
    </row>
    <row r="36" spans="1:26" s="70" customFormat="1" ht="15" hidden="1" customHeight="1" outlineLevel="2" x14ac:dyDescent="0.3">
      <c r="A36" s="26"/>
      <c r="B36" s="12" t="str">
        <f>CONCATENATE("          ","6008"," - ","STUDENT HOURLY-FICA EXEMPT")</f>
        <v xml:space="preserve">          6008 - STUDENT HOURLY-FICA EXEMPT</v>
      </c>
      <c r="C36" s="12"/>
      <c r="D36" s="7"/>
      <c r="E36" s="3"/>
      <c r="F36" s="8">
        <f t="shared" si="0"/>
        <v>0</v>
      </c>
      <c r="G36" s="3"/>
      <c r="H36" s="7">
        <v>0</v>
      </c>
      <c r="I36" s="3"/>
      <c r="J36" s="8">
        <f t="shared" si="1"/>
        <v>0</v>
      </c>
      <c r="K36" s="3"/>
      <c r="L36" s="7">
        <f t="shared" si="2"/>
        <v>0</v>
      </c>
      <c r="M36" s="3"/>
      <c r="N36" s="8">
        <f t="shared" si="3"/>
        <v>0</v>
      </c>
      <c r="O36" s="12"/>
      <c r="P36" s="7"/>
      <c r="Q36" s="3"/>
      <c r="R36" s="8">
        <f t="shared" si="4"/>
        <v>0</v>
      </c>
      <c r="S36" s="3"/>
      <c r="T36" s="7">
        <v>0</v>
      </c>
      <c r="U36" s="3"/>
      <c r="V36" s="8">
        <f t="shared" si="5"/>
        <v>0</v>
      </c>
      <c r="W36" s="3"/>
      <c r="X36" s="7">
        <f t="shared" si="6"/>
        <v>0</v>
      </c>
      <c r="Y36" s="3"/>
      <c r="Z36" s="8">
        <f t="shared" si="7"/>
        <v>0</v>
      </c>
    </row>
    <row r="37" spans="1:26" s="70" customFormat="1" ht="15" hidden="1" customHeight="1" outlineLevel="2" x14ac:dyDescent="0.3">
      <c r="A37" s="26"/>
      <c r="B37" s="12" t="str">
        <f>CONCATENATE("          ","6009"," - ","TEMPORARY-SEASONAL")</f>
        <v xml:space="preserve">          6009 - TEMPORARY-SEASONAL</v>
      </c>
      <c r="C37" s="12"/>
      <c r="D37" s="7"/>
      <c r="E37" s="3"/>
      <c r="F37" s="8">
        <f t="shared" si="0"/>
        <v>0</v>
      </c>
      <c r="G37" s="3"/>
      <c r="H37" s="7">
        <v>0</v>
      </c>
      <c r="I37" s="3"/>
      <c r="J37" s="8">
        <f t="shared" si="1"/>
        <v>0</v>
      </c>
      <c r="K37" s="3"/>
      <c r="L37" s="7">
        <f t="shared" si="2"/>
        <v>0</v>
      </c>
      <c r="M37" s="3"/>
      <c r="N37" s="8">
        <f t="shared" si="3"/>
        <v>0</v>
      </c>
      <c r="O37" s="12"/>
      <c r="P37" s="7"/>
      <c r="Q37" s="3"/>
      <c r="R37" s="8">
        <f t="shared" si="4"/>
        <v>0</v>
      </c>
      <c r="S37" s="3"/>
      <c r="T37" s="7">
        <v>0</v>
      </c>
      <c r="U37" s="3"/>
      <c r="V37" s="8">
        <f t="shared" si="5"/>
        <v>0</v>
      </c>
      <c r="W37" s="3"/>
      <c r="X37" s="7">
        <f t="shared" si="6"/>
        <v>0</v>
      </c>
      <c r="Y37" s="3"/>
      <c r="Z37" s="8">
        <f t="shared" si="7"/>
        <v>0</v>
      </c>
    </row>
    <row r="38" spans="1:26" s="70" customFormat="1" ht="15" hidden="1" customHeight="1" outlineLevel="2" x14ac:dyDescent="0.3">
      <c r="A38" s="26"/>
      <c r="B38" s="12" t="str">
        <f>CONCATENATE("          ","6010"," - ","GRATUITY")</f>
        <v xml:space="preserve">          6010 - GRATUITY</v>
      </c>
      <c r="C38" s="12"/>
      <c r="D38" s="7"/>
      <c r="E38" s="3"/>
      <c r="F38" s="8">
        <f t="shared" si="0"/>
        <v>0</v>
      </c>
      <c r="G38" s="3"/>
      <c r="H38" s="7">
        <v>0</v>
      </c>
      <c r="I38" s="3"/>
      <c r="J38" s="8">
        <f t="shared" si="1"/>
        <v>0</v>
      </c>
      <c r="K38" s="3"/>
      <c r="L38" s="7">
        <f t="shared" si="2"/>
        <v>0</v>
      </c>
      <c r="M38" s="3"/>
      <c r="N38" s="8">
        <f t="shared" si="3"/>
        <v>0</v>
      </c>
      <c r="O38" s="12"/>
      <c r="P38" s="7"/>
      <c r="Q38" s="3"/>
      <c r="R38" s="8">
        <f t="shared" si="4"/>
        <v>0</v>
      </c>
      <c r="S38" s="3"/>
      <c r="T38" s="7">
        <v>0</v>
      </c>
      <c r="U38" s="3"/>
      <c r="V38" s="8">
        <f t="shared" si="5"/>
        <v>0</v>
      </c>
      <c r="W38" s="3"/>
      <c r="X38" s="7">
        <f t="shared" si="6"/>
        <v>0</v>
      </c>
      <c r="Y38" s="3"/>
      <c r="Z38" s="8">
        <f t="shared" si="7"/>
        <v>0</v>
      </c>
    </row>
    <row r="39" spans="1:26" s="69" customFormat="1" ht="15" customHeight="1" outlineLevel="1" collapsed="1" x14ac:dyDescent="0.3">
      <c r="A39" s="25"/>
      <c r="B39" s="14" t="str">
        <f>CONCATENATE("     ","General                                           ")</f>
        <v xml:space="preserve">     General                                           </v>
      </c>
      <c r="C39" s="14"/>
      <c r="D39" s="2">
        <f>SUM(OSRRefD22_2x_0)</f>
        <v>0</v>
      </c>
      <c r="E39" s="2"/>
      <c r="F39" s="6">
        <f t="shared" si="0"/>
        <v>0</v>
      </c>
      <c r="G39" s="2"/>
      <c r="H39" s="2">
        <f>SUM(OSRRefH22_2x_0)</f>
        <v>0</v>
      </c>
      <c r="I39" s="2"/>
      <c r="J39" s="6">
        <f t="shared" si="1"/>
        <v>0</v>
      </c>
      <c r="K39" s="2"/>
      <c r="L39" s="2">
        <f t="shared" si="2"/>
        <v>0</v>
      </c>
      <c r="M39" s="2"/>
      <c r="N39" s="6">
        <f t="shared" si="3"/>
        <v>0</v>
      </c>
      <c r="O39" s="14"/>
      <c r="P39" s="2">
        <f>SUM(OSRRefP22_2x_0)</f>
        <v>7816.11</v>
      </c>
      <c r="Q39" s="2"/>
      <c r="R39" s="6">
        <f t="shared" si="4"/>
        <v>0</v>
      </c>
      <c r="S39" s="2"/>
      <c r="T39" s="2">
        <f>SUM(OSRRefT22_2x_0)</f>
        <v>0</v>
      </c>
      <c r="U39" s="2"/>
      <c r="V39" s="6">
        <f t="shared" si="5"/>
        <v>0</v>
      </c>
      <c r="W39" s="2"/>
      <c r="X39" s="2">
        <f t="shared" si="6"/>
        <v>7816.11</v>
      </c>
      <c r="Y39" s="2"/>
      <c r="Z39" s="6">
        <f t="shared" si="7"/>
        <v>0</v>
      </c>
    </row>
    <row r="40" spans="1:26" s="70" customFormat="1" ht="15" hidden="1" customHeight="1" outlineLevel="2" x14ac:dyDescent="0.3">
      <c r="A40" s="26"/>
      <c r="B40" s="12" t="str">
        <f>CONCATENATE("          ","6279"," - ","GENERAL EXPENSE")</f>
        <v xml:space="preserve">          6279 - GENERAL EXPENSE</v>
      </c>
      <c r="C40" s="12"/>
      <c r="D40" s="7"/>
      <c r="E40" s="3"/>
      <c r="F40" s="8">
        <f t="shared" si="0"/>
        <v>0</v>
      </c>
      <c r="G40" s="3"/>
      <c r="H40" s="7"/>
      <c r="I40" s="3"/>
      <c r="J40" s="8">
        <f t="shared" si="1"/>
        <v>0</v>
      </c>
      <c r="K40" s="3"/>
      <c r="L40" s="7">
        <f t="shared" si="2"/>
        <v>0</v>
      </c>
      <c r="M40" s="3"/>
      <c r="N40" s="8">
        <f t="shared" si="3"/>
        <v>0</v>
      </c>
      <c r="O40" s="12"/>
      <c r="P40" s="7">
        <v>7816.11</v>
      </c>
      <c r="Q40" s="3"/>
      <c r="R40" s="8">
        <f t="shared" si="4"/>
        <v>0</v>
      </c>
      <c r="S40" s="3"/>
      <c r="T40" s="7"/>
      <c r="U40" s="3"/>
      <c r="V40" s="8">
        <f t="shared" si="5"/>
        <v>0</v>
      </c>
      <c r="W40" s="3"/>
      <c r="X40" s="7">
        <f t="shared" si="6"/>
        <v>7816.11</v>
      </c>
      <c r="Y40" s="3"/>
      <c r="Z40" s="8">
        <f t="shared" si="7"/>
        <v>0</v>
      </c>
    </row>
    <row r="41" spans="1:26" s="69" customFormat="1" ht="15" customHeight="1" outlineLevel="1" collapsed="1" x14ac:dyDescent="0.3">
      <c r="A41" s="25"/>
      <c r="B41" s="14" t="str">
        <f>CONCATENATE("     ","Services                                          ")</f>
        <v xml:space="preserve">     Services                                          </v>
      </c>
      <c r="C41" s="14"/>
      <c r="D41" s="2">
        <f>SUM(OSRRefD22_3x_0)</f>
        <v>0</v>
      </c>
      <c r="E41" s="2"/>
      <c r="F41" s="6">
        <f t="shared" si="0"/>
        <v>0</v>
      </c>
      <c r="G41" s="2"/>
      <c r="H41" s="2">
        <f>SUM(OSRRefH22_3x_0)</f>
        <v>0</v>
      </c>
      <c r="I41" s="2"/>
      <c r="J41" s="6">
        <f t="shared" si="1"/>
        <v>0</v>
      </c>
      <c r="K41" s="2"/>
      <c r="L41" s="2">
        <f t="shared" si="2"/>
        <v>0</v>
      </c>
      <c r="M41" s="2"/>
      <c r="N41" s="6">
        <f t="shared" si="3"/>
        <v>0</v>
      </c>
      <c r="O41" s="14"/>
      <c r="P41" s="2">
        <f>SUM(OSRRefP22_3x_0)</f>
        <v>0</v>
      </c>
      <c r="Q41" s="2"/>
      <c r="R41" s="6">
        <f t="shared" si="4"/>
        <v>0</v>
      </c>
      <c r="S41" s="2"/>
      <c r="T41" s="2">
        <f>SUM(OSRRefT22_3x_0)</f>
        <v>0</v>
      </c>
      <c r="U41" s="2"/>
      <c r="V41" s="6">
        <f t="shared" si="5"/>
        <v>0</v>
      </c>
      <c r="W41" s="2"/>
      <c r="X41" s="2">
        <f t="shared" si="6"/>
        <v>0</v>
      </c>
      <c r="Y41" s="2"/>
      <c r="Z41" s="6">
        <f t="shared" si="7"/>
        <v>0</v>
      </c>
    </row>
    <row r="42" spans="1:26" s="70" customFormat="1" ht="15" hidden="1" customHeight="1" outlineLevel="2" x14ac:dyDescent="0.3">
      <c r="A42" s="26"/>
      <c r="B42" s="12" t="str">
        <f>CONCATENATE("          ","6284"," - ","TRASH REMOVAL EXPENSE")</f>
        <v xml:space="preserve">          6284 - TRASH REMOVAL EXPENSE</v>
      </c>
      <c r="C42" s="12"/>
      <c r="D42" s="7"/>
      <c r="E42" s="3"/>
      <c r="F42" s="8">
        <f t="shared" si="0"/>
        <v>0</v>
      </c>
      <c r="G42" s="3"/>
      <c r="H42" s="7"/>
      <c r="I42" s="3"/>
      <c r="J42" s="8">
        <f t="shared" si="1"/>
        <v>0</v>
      </c>
      <c r="K42" s="3"/>
      <c r="L42" s="7">
        <f t="shared" si="2"/>
        <v>0</v>
      </c>
      <c r="M42" s="3"/>
      <c r="N42" s="8">
        <f t="shared" si="3"/>
        <v>0</v>
      </c>
      <c r="O42" s="12"/>
      <c r="P42" s="7"/>
      <c r="Q42" s="3"/>
      <c r="R42" s="8">
        <f t="shared" si="4"/>
        <v>0</v>
      </c>
      <c r="S42" s="3"/>
      <c r="T42" s="7">
        <v>0</v>
      </c>
      <c r="U42" s="3"/>
      <c r="V42" s="8">
        <f t="shared" si="5"/>
        <v>0</v>
      </c>
      <c r="W42" s="3"/>
      <c r="X42" s="7">
        <f t="shared" si="6"/>
        <v>0</v>
      </c>
      <c r="Y42" s="3"/>
      <c r="Z42" s="8">
        <f t="shared" si="7"/>
        <v>0</v>
      </c>
    </row>
    <row r="43" spans="1:26" s="69" customFormat="1" ht="15" customHeight="1" outlineLevel="1" collapsed="1" x14ac:dyDescent="0.3">
      <c r="A43" s="25"/>
      <c r="B43" s="14" t="str">
        <f>CONCATENATE("     ","Supplies                                          ")</f>
        <v xml:space="preserve">     Supplies                                          </v>
      </c>
      <c r="C43" s="14"/>
      <c r="D43" s="2">
        <f>SUM(OSRRefD22_4x_0)</f>
        <v>0</v>
      </c>
      <c r="E43" s="2"/>
      <c r="F43" s="6">
        <f t="shared" si="0"/>
        <v>0</v>
      </c>
      <c r="G43" s="2"/>
      <c r="H43" s="2">
        <f>SUM(OSRRefH22_4x_0)</f>
        <v>0</v>
      </c>
      <c r="I43" s="2"/>
      <c r="J43" s="6">
        <f t="shared" si="1"/>
        <v>0</v>
      </c>
      <c r="K43" s="2"/>
      <c r="L43" s="2">
        <f t="shared" si="2"/>
        <v>0</v>
      </c>
      <c r="M43" s="2"/>
      <c r="N43" s="6">
        <f t="shared" si="3"/>
        <v>0</v>
      </c>
      <c r="O43" s="14"/>
      <c r="P43" s="2">
        <f>SUM(OSRRefP22_4x_0)</f>
        <v>564.03</v>
      </c>
      <c r="Q43" s="2"/>
      <c r="R43" s="6">
        <f t="shared" si="4"/>
        <v>0</v>
      </c>
      <c r="S43" s="2"/>
      <c r="T43" s="2">
        <f>SUM(OSRRefT22_4x_0)</f>
        <v>0</v>
      </c>
      <c r="U43" s="2"/>
      <c r="V43" s="6">
        <f t="shared" si="5"/>
        <v>0</v>
      </c>
      <c r="W43" s="2"/>
      <c r="X43" s="2">
        <f t="shared" si="6"/>
        <v>564.03</v>
      </c>
      <c r="Y43" s="2"/>
      <c r="Z43" s="6">
        <f t="shared" si="7"/>
        <v>0</v>
      </c>
    </row>
    <row r="44" spans="1:26" s="70" customFormat="1" ht="15" hidden="1" customHeight="1" outlineLevel="2" x14ac:dyDescent="0.3">
      <c r="A44" s="26"/>
      <c r="B44" s="12" t="str">
        <f>CONCATENATE("          ","6241"," - ","OFFICE EXPENSE")</f>
        <v xml:space="preserve">          6241 - OFFICE EXPENSE</v>
      </c>
      <c r="C44" s="12"/>
      <c r="D44" s="7"/>
      <c r="E44" s="3"/>
      <c r="F44" s="8">
        <f t="shared" si="0"/>
        <v>0</v>
      </c>
      <c r="G44" s="3"/>
      <c r="H44" s="7"/>
      <c r="I44" s="3"/>
      <c r="J44" s="8">
        <f t="shared" si="1"/>
        <v>0</v>
      </c>
      <c r="K44" s="3"/>
      <c r="L44" s="7">
        <f t="shared" si="2"/>
        <v>0</v>
      </c>
      <c r="M44" s="3"/>
      <c r="N44" s="8">
        <f t="shared" si="3"/>
        <v>0</v>
      </c>
      <c r="O44" s="12"/>
      <c r="P44" s="7">
        <v>564.03</v>
      </c>
      <c r="Q44" s="3"/>
      <c r="R44" s="8">
        <f t="shared" si="4"/>
        <v>0</v>
      </c>
      <c r="S44" s="3"/>
      <c r="T44" s="7"/>
      <c r="U44" s="3"/>
      <c r="V44" s="8">
        <f t="shared" si="5"/>
        <v>0</v>
      </c>
      <c r="W44" s="3"/>
      <c r="X44" s="7">
        <f t="shared" si="6"/>
        <v>564.03</v>
      </c>
      <c r="Y44" s="3"/>
      <c r="Z44" s="8">
        <f t="shared" si="7"/>
        <v>0</v>
      </c>
    </row>
    <row r="45" spans="1:26" s="69" customFormat="1" ht="15" customHeight="1" outlineLevel="1" collapsed="1" x14ac:dyDescent="0.3">
      <c r="A45" s="25"/>
      <c r="B45" s="14" t="str">
        <f>CONCATENATE("     ","Telephone/Data Lines                              ")</f>
        <v xml:space="preserve">     Telephone/Data Lines                              </v>
      </c>
      <c r="C45" s="14"/>
      <c r="D45" s="2">
        <f>SUM(OSRRefD22_5x_0)</f>
        <v>36</v>
      </c>
      <c r="E45" s="2"/>
      <c r="F45" s="6">
        <f t="shared" si="0"/>
        <v>0</v>
      </c>
      <c r="G45" s="2"/>
      <c r="H45" s="2">
        <f>SUM(OSRRefH22_5x_0)</f>
        <v>0</v>
      </c>
      <c r="I45" s="2"/>
      <c r="J45" s="6">
        <f t="shared" si="1"/>
        <v>0</v>
      </c>
      <c r="K45" s="2"/>
      <c r="L45" s="2">
        <f t="shared" si="2"/>
        <v>36</v>
      </c>
      <c r="M45" s="2"/>
      <c r="N45" s="6">
        <f t="shared" si="3"/>
        <v>0</v>
      </c>
      <c r="O45" s="14"/>
      <c r="P45" s="2">
        <f>SUM(OSRRefP22_5x_0)</f>
        <v>481.5</v>
      </c>
      <c r="Q45" s="2"/>
      <c r="R45" s="6">
        <f t="shared" si="4"/>
        <v>0</v>
      </c>
      <c r="S45" s="2"/>
      <c r="T45" s="2">
        <f>SUM(OSRRefT22_5x_0)</f>
        <v>0</v>
      </c>
      <c r="U45" s="2"/>
      <c r="V45" s="6">
        <f t="shared" si="5"/>
        <v>0</v>
      </c>
      <c r="W45" s="2"/>
      <c r="X45" s="2">
        <f t="shared" si="6"/>
        <v>481.5</v>
      </c>
      <c r="Y45" s="2"/>
      <c r="Z45" s="6">
        <f t="shared" si="7"/>
        <v>0</v>
      </c>
    </row>
    <row r="46" spans="1:26" s="70" customFormat="1" ht="15" hidden="1" customHeight="1" outlineLevel="2" x14ac:dyDescent="0.3">
      <c r="A46" s="26"/>
      <c r="B46" s="12" t="str">
        <f>CONCATENATE("          ","6309"," - ","TELEPHONE")</f>
        <v xml:space="preserve">          6309 - TELEPHONE</v>
      </c>
      <c r="C46" s="12"/>
      <c r="D46" s="7">
        <v>36</v>
      </c>
      <c r="E46" s="3"/>
      <c r="F46" s="8">
        <f t="shared" si="0"/>
        <v>0</v>
      </c>
      <c r="G46" s="3"/>
      <c r="H46" s="7"/>
      <c r="I46" s="3"/>
      <c r="J46" s="8">
        <f t="shared" si="1"/>
        <v>0</v>
      </c>
      <c r="K46" s="3"/>
      <c r="L46" s="7">
        <f t="shared" si="2"/>
        <v>36</v>
      </c>
      <c r="M46" s="3"/>
      <c r="N46" s="8">
        <f t="shared" si="3"/>
        <v>0</v>
      </c>
      <c r="O46" s="12"/>
      <c r="P46" s="7">
        <v>481.5</v>
      </c>
      <c r="Q46" s="3"/>
      <c r="R46" s="8">
        <f t="shared" si="4"/>
        <v>0</v>
      </c>
      <c r="S46" s="3"/>
      <c r="T46" s="7"/>
      <c r="U46" s="3"/>
      <c r="V46" s="8">
        <f t="shared" si="5"/>
        <v>0</v>
      </c>
      <c r="W46" s="3"/>
      <c r="X46" s="7">
        <f t="shared" si="6"/>
        <v>481.5</v>
      </c>
      <c r="Y46" s="3"/>
      <c r="Z46" s="8">
        <f t="shared" si="7"/>
        <v>0</v>
      </c>
    </row>
    <row r="47" spans="1:26" s="65" customFormat="1" ht="15" customHeight="1" x14ac:dyDescent="0.3">
      <c r="A47" s="35"/>
      <c r="B47" s="35"/>
      <c r="C47" s="35"/>
      <c r="D47" s="2"/>
      <c r="E47" s="2"/>
      <c r="F47" s="6"/>
      <c r="G47" s="2"/>
      <c r="H47" s="2"/>
      <c r="I47" s="2"/>
      <c r="J47" s="6"/>
      <c r="K47" s="2"/>
      <c r="L47" s="2"/>
      <c r="M47" s="2"/>
      <c r="N47" s="6"/>
      <c r="O47" s="35"/>
      <c r="P47" s="2"/>
      <c r="Q47" s="2"/>
      <c r="R47" s="6"/>
      <c r="S47" s="2"/>
      <c r="T47" s="2"/>
      <c r="U47" s="2"/>
      <c r="V47" s="6"/>
      <c r="W47" s="2"/>
      <c r="X47" s="2"/>
      <c r="Y47" s="2"/>
      <c r="Z47" s="6"/>
    </row>
    <row r="48" spans="1:26" s="63" customFormat="1" ht="15" customHeight="1" collapsed="1" x14ac:dyDescent="0.3">
      <c r="A48" s="11"/>
      <c r="B48" s="28" t="s">
        <v>291</v>
      </c>
      <c r="C48" s="11"/>
      <c r="D48" s="5">
        <f>SUM(OSRRefD25x_0)</f>
        <v>5387.14</v>
      </c>
      <c r="E48" s="5"/>
      <c r="F48" s="13">
        <f>IF(D$12=0,0,D48/D$12)</f>
        <v>0</v>
      </c>
      <c r="G48" s="5"/>
      <c r="H48" s="5">
        <f>SUM(OSRRefH25x_0)</f>
        <v>21607.09</v>
      </c>
      <c r="I48" s="5"/>
      <c r="J48" s="13">
        <f>IF(H$12=0,0,H48/H$12)</f>
        <v>0</v>
      </c>
      <c r="K48" s="5"/>
      <c r="L48" s="5">
        <f>+D48-H48</f>
        <v>-16219.95</v>
      </c>
      <c r="M48" s="5"/>
      <c r="N48" s="13">
        <f>IF(H48=0,0,L48/H48)</f>
        <v>-0.75067720826821194</v>
      </c>
      <c r="O48" s="11"/>
      <c r="P48" s="5">
        <f>SUM(OSRRefP25x_0)</f>
        <v>133485.91</v>
      </c>
      <c r="Q48" s="5"/>
      <c r="R48" s="13">
        <f>IF(P$12=0,0,P48/P$12)</f>
        <v>0</v>
      </c>
      <c r="S48" s="5"/>
      <c r="T48" s="5">
        <f>SUM(OSRRefT25x_0)</f>
        <v>105980.4</v>
      </c>
      <c r="U48" s="5"/>
      <c r="V48" s="13">
        <f>IF(T$12=0,0,T48/T$12)</f>
        <v>0</v>
      </c>
      <c r="W48" s="5"/>
      <c r="X48" s="5">
        <f>+P48-T48</f>
        <v>27505.510000000009</v>
      </c>
      <c r="Y48" s="5"/>
      <c r="Z48" s="13">
        <f>IF(T48=0,0,X48/T48)</f>
        <v>0.2595339326894408</v>
      </c>
    </row>
    <row r="49" spans="1:26" s="70" customFormat="1" ht="15" hidden="1" customHeight="1" outlineLevel="1" x14ac:dyDescent="0.3">
      <c r="A49" s="42"/>
      <c r="B49" s="12" t="str">
        <f>CONCATENATE("          ","9150"," - ","MISC. INCOME")</f>
        <v xml:space="preserve">          9150 - MISC. INCOME</v>
      </c>
      <c r="C49" s="12"/>
      <c r="D49" s="3">
        <f>--5387.14</f>
        <v>5387.14</v>
      </c>
      <c r="E49" s="3"/>
      <c r="F49" s="20">
        <f>IF(D$12=0,0,D49/D$12)</f>
        <v>0</v>
      </c>
      <c r="G49" s="3"/>
      <c r="H49" s="3"/>
      <c r="I49" s="3"/>
      <c r="J49" s="20">
        <f>IF(H$12=0,0,H49/H$12)</f>
        <v>0</v>
      </c>
      <c r="K49" s="3"/>
      <c r="L49" s="3">
        <f>+D49-H49</f>
        <v>5387.14</v>
      </c>
      <c r="M49" s="3"/>
      <c r="N49" s="20">
        <f>IF(H49=0,0,L49/H49)</f>
        <v>0</v>
      </c>
      <c r="O49" s="12"/>
      <c r="P49" s="3">
        <f>--133485.91</f>
        <v>133485.91</v>
      </c>
      <c r="Q49" s="3"/>
      <c r="R49" s="20">
        <f>IF(P$12=0,0,P49/P$12)</f>
        <v>0</v>
      </c>
      <c r="S49" s="3"/>
      <c r="T49" s="3">
        <v>1000</v>
      </c>
      <c r="U49" s="3"/>
      <c r="V49" s="20">
        <f>IF(T$12=0,0,T49/T$12)</f>
        <v>0</v>
      </c>
      <c r="W49" s="3"/>
      <c r="X49" s="3">
        <f>+P49-T49</f>
        <v>132485.91</v>
      </c>
      <c r="Y49" s="3"/>
      <c r="Z49" s="20">
        <f>IF(T49=0,0,X49/T49)</f>
        <v>132.48590999999999</v>
      </c>
    </row>
    <row r="50" spans="1:26" s="70" customFormat="1" ht="15" hidden="1" customHeight="1" outlineLevel="1" x14ac:dyDescent="0.3">
      <c r="A50" s="42"/>
      <c r="B50" s="12" t="str">
        <f>CONCATENATE("          ","9151"," - ","MISC. INCOME")</f>
        <v xml:space="preserve">          9151 - MISC. INCOME</v>
      </c>
      <c r="C50" s="12"/>
      <c r="D50" s="3">
        <f>0</f>
        <v>0</v>
      </c>
      <c r="E50" s="3"/>
      <c r="F50" s="20">
        <f>IF(D$12=0,0,D50/D$12)</f>
        <v>0</v>
      </c>
      <c r="G50" s="3"/>
      <c r="H50" s="3">
        <v>11876.31</v>
      </c>
      <c r="I50" s="3"/>
      <c r="J50" s="20">
        <f>IF(H$12=0,0,H50/H$12)</f>
        <v>0</v>
      </c>
      <c r="K50" s="3"/>
      <c r="L50" s="3">
        <f>+D50-H50</f>
        <v>-11876.31</v>
      </c>
      <c r="M50" s="3"/>
      <c r="N50" s="20">
        <f>IF(H50=0,0,L50/H50)</f>
        <v>-1</v>
      </c>
      <c r="O50" s="12"/>
      <c r="P50" s="3">
        <f>0</f>
        <v>0</v>
      </c>
      <c r="Q50" s="3"/>
      <c r="R50" s="20">
        <f>IF(P$12=0,0,P50/P$12)</f>
        <v>0</v>
      </c>
      <c r="S50" s="3"/>
      <c r="T50" s="3">
        <v>44768.53</v>
      </c>
      <c r="U50" s="3"/>
      <c r="V50" s="20">
        <f>IF(T$12=0,0,T50/T$12)</f>
        <v>0</v>
      </c>
      <c r="W50" s="3"/>
      <c r="X50" s="3">
        <f>+P50-T50</f>
        <v>-44768.53</v>
      </c>
      <c r="Y50" s="3"/>
      <c r="Z50" s="20">
        <f>IF(T50=0,0,X50/T50)</f>
        <v>-1</v>
      </c>
    </row>
    <row r="51" spans="1:26" s="70" customFormat="1" ht="15" hidden="1" customHeight="1" outlineLevel="1" x14ac:dyDescent="0.3">
      <c r="A51" s="42"/>
      <c r="B51" s="12" t="str">
        <f>CONCATENATE("          ","9160"," - ","MISC. INCOME")</f>
        <v xml:space="preserve">          9160 - MISC. INCOME</v>
      </c>
      <c r="C51" s="12"/>
      <c r="D51" s="3">
        <f>0</f>
        <v>0</v>
      </c>
      <c r="E51" s="3"/>
      <c r="F51" s="20">
        <f>IF(D$12=0,0,D51/D$12)</f>
        <v>0</v>
      </c>
      <c r="G51" s="3"/>
      <c r="H51" s="3">
        <v>9730.7800000000007</v>
      </c>
      <c r="I51" s="3"/>
      <c r="J51" s="20">
        <f>IF(H$12=0,0,H51/H$12)</f>
        <v>0</v>
      </c>
      <c r="K51" s="3"/>
      <c r="L51" s="3">
        <f>+D51-H51</f>
        <v>-9730.7800000000007</v>
      </c>
      <c r="M51" s="3"/>
      <c r="N51" s="20">
        <f>IF(H51=0,0,L51/H51)</f>
        <v>-1</v>
      </c>
      <c r="O51" s="12"/>
      <c r="P51" s="3">
        <f>0</f>
        <v>0</v>
      </c>
      <c r="Q51" s="3"/>
      <c r="R51" s="20">
        <f>IF(P$12=0,0,P51/P$12)</f>
        <v>0</v>
      </c>
      <c r="S51" s="3"/>
      <c r="T51" s="3">
        <v>60211.87</v>
      </c>
      <c r="U51" s="3"/>
      <c r="V51" s="20">
        <f>IF(T$12=0,0,T51/T$12)</f>
        <v>0</v>
      </c>
      <c r="W51" s="3"/>
      <c r="X51" s="3">
        <f>+P51-T51</f>
        <v>-60211.87</v>
      </c>
      <c r="Y51" s="3"/>
      <c r="Z51" s="20">
        <f>IF(T51=0,0,X51/T51)</f>
        <v>-1</v>
      </c>
    </row>
    <row r="52" spans="1:26" ht="15" customHeight="1" x14ac:dyDescent="0.3">
      <c r="A52" s="10"/>
      <c r="B52" s="11"/>
      <c r="C52" s="11"/>
      <c r="D52" s="4"/>
      <c r="E52" s="4"/>
      <c r="F52" s="9"/>
      <c r="G52" s="4"/>
      <c r="H52" s="4"/>
      <c r="I52" s="4"/>
      <c r="J52" s="9"/>
      <c r="K52" s="4"/>
      <c r="L52" s="4"/>
      <c r="M52" s="4"/>
      <c r="N52" s="9"/>
      <c r="O52" s="11"/>
      <c r="P52" s="4"/>
      <c r="Q52" s="4"/>
      <c r="R52" s="9"/>
      <c r="S52" s="4"/>
      <c r="T52" s="4"/>
      <c r="U52" s="4"/>
      <c r="V52" s="9"/>
      <c r="W52" s="4"/>
      <c r="X52" s="4"/>
      <c r="Y52" s="4"/>
      <c r="Z52" s="9"/>
    </row>
    <row r="53" spans="1:26" s="63" customFormat="1" ht="15" customHeight="1" x14ac:dyDescent="0.3">
      <c r="A53" s="11"/>
      <c r="B53" s="27" t="s">
        <v>292</v>
      </c>
      <c r="C53" s="27"/>
      <c r="D53" s="21">
        <f>+D16-D18+D48</f>
        <v>5351.14</v>
      </c>
      <c r="E53" s="15"/>
      <c r="F53" s="23">
        <f>IF(D$12=0,0,D53/D$12)</f>
        <v>0</v>
      </c>
      <c r="G53" s="15"/>
      <c r="H53" s="21">
        <f>+H16-H18+H48</f>
        <v>21607.09</v>
      </c>
      <c r="I53" s="15"/>
      <c r="J53" s="23">
        <f>IF(H$12=0,0,H53/H$12)</f>
        <v>0</v>
      </c>
      <c r="K53" s="16"/>
      <c r="L53" s="21">
        <f>+D53-H53</f>
        <v>-16255.95</v>
      </c>
      <c r="M53" s="16"/>
      <c r="N53" s="23">
        <f>IF(H53=0,0,L53/H53)</f>
        <v>-0.75234332804648851</v>
      </c>
      <c r="O53" s="28"/>
      <c r="P53" s="21">
        <f>+P16-P18+P48</f>
        <v>124624.27</v>
      </c>
      <c r="Q53" s="15"/>
      <c r="R53" s="23">
        <f>IF(P$12=0,0,P53/P$12)</f>
        <v>0</v>
      </c>
      <c r="S53" s="15"/>
      <c r="T53" s="21">
        <f>+T16-T18+T48</f>
        <v>105980.4</v>
      </c>
      <c r="U53" s="15"/>
      <c r="V53" s="23">
        <f>IF(T$12=0,0,T53/T$12)</f>
        <v>0</v>
      </c>
      <c r="W53" s="16"/>
      <c r="X53" s="21">
        <f>+P53-T53</f>
        <v>18643.87000000001</v>
      </c>
      <c r="Y53" s="16"/>
      <c r="Z53" s="23">
        <f>IF(T53=0,0,X53/T53)</f>
        <v>0.1759180942891328</v>
      </c>
    </row>
    <row r="54" spans="1:26" ht="15" customHeight="1" x14ac:dyDescent="0.3">
      <c r="A54" s="10"/>
      <c r="B54" s="11"/>
      <c r="C54" s="10"/>
      <c r="D54" s="4"/>
      <c r="E54" s="4"/>
      <c r="F54" s="9"/>
      <c r="G54" s="4"/>
      <c r="H54" s="4"/>
      <c r="I54" s="4"/>
      <c r="J54" s="9"/>
      <c r="K54" s="4"/>
      <c r="L54" s="4"/>
      <c r="M54" s="4"/>
      <c r="N54" s="9"/>
      <c r="P54" s="4"/>
      <c r="Q54" s="4"/>
      <c r="R54" s="9"/>
      <c r="S54" s="4"/>
      <c r="T54" s="4"/>
      <c r="U54" s="4"/>
      <c r="V54" s="9"/>
      <c r="W54" s="4"/>
      <c r="X54" s="4"/>
      <c r="Y54" s="4"/>
      <c r="Z54" s="9"/>
    </row>
    <row r="55" spans="1:26" s="63" customFormat="1" ht="15" customHeight="1" x14ac:dyDescent="0.3">
      <c r="A55" s="49"/>
      <c r="B55" s="11" t="s">
        <v>293</v>
      </c>
      <c r="C55" s="11"/>
      <c r="D55" s="5"/>
      <c r="E55" s="5"/>
      <c r="F55" s="13">
        <f>IF(D$12=0,0,D55/D$12)</f>
        <v>0</v>
      </c>
      <c r="G55" s="5"/>
      <c r="H55" s="5"/>
      <c r="I55" s="5"/>
      <c r="J55" s="13">
        <f>IF(H$12=0,0,H55/H$12)</f>
        <v>0</v>
      </c>
      <c r="K55" s="5"/>
      <c r="L55" s="5">
        <f>+D55-H55</f>
        <v>0</v>
      </c>
      <c r="M55" s="5"/>
      <c r="N55" s="13">
        <f>IF(H55=0,0,L55/H55)</f>
        <v>0</v>
      </c>
      <c r="O55" s="11"/>
      <c r="P55" s="5"/>
      <c r="Q55" s="5"/>
      <c r="R55" s="13">
        <f>IF(P$12=0,0,P55/P$12)</f>
        <v>0</v>
      </c>
      <c r="S55" s="5"/>
      <c r="T55" s="5"/>
      <c r="U55" s="5"/>
      <c r="V55" s="13">
        <f>IF(T$12=0,0,T55/T$12)</f>
        <v>0</v>
      </c>
      <c r="W55" s="5"/>
      <c r="X55" s="5">
        <f>+P55-T55</f>
        <v>0</v>
      </c>
      <c r="Y55" s="5"/>
      <c r="Z55" s="13">
        <f>IF(T55=0,0,X55/T55)</f>
        <v>0</v>
      </c>
    </row>
    <row r="56" spans="1:26" ht="15" customHeight="1" x14ac:dyDescent="0.3">
      <c r="A56" s="10"/>
      <c r="B56" s="11"/>
      <c r="C56" s="11"/>
      <c r="D56" s="4"/>
      <c r="E56" s="4"/>
      <c r="F56" s="9"/>
      <c r="G56" s="4"/>
      <c r="H56" s="4"/>
      <c r="I56" s="4"/>
      <c r="J56" s="9"/>
      <c r="K56" s="4"/>
      <c r="L56" s="4"/>
      <c r="M56" s="4"/>
      <c r="N56" s="9"/>
      <c r="O56" s="11"/>
      <c r="P56" s="4"/>
      <c r="Q56" s="4"/>
      <c r="R56" s="9"/>
      <c r="S56" s="4"/>
      <c r="T56" s="4"/>
      <c r="U56" s="4"/>
      <c r="V56" s="9"/>
      <c r="W56" s="4"/>
      <c r="X56" s="4"/>
      <c r="Y56" s="4"/>
      <c r="Z56" s="9"/>
    </row>
    <row r="57" spans="1:26" s="63" customFormat="1" ht="15" customHeight="1" x14ac:dyDescent="0.3">
      <c r="A57" s="11"/>
      <c r="B57" s="27" t="s">
        <v>294</v>
      </c>
      <c r="C57" s="27"/>
      <c r="D57" s="34">
        <f>+D53-D55</f>
        <v>5351.14</v>
      </c>
      <c r="E57" s="15"/>
      <c r="F57" s="29">
        <f>IF(D$12=0,0,D57/D$12)</f>
        <v>0</v>
      </c>
      <c r="G57" s="15"/>
      <c r="H57" s="34">
        <f>+H53-H55</f>
        <v>21607.09</v>
      </c>
      <c r="I57" s="15"/>
      <c r="J57" s="29">
        <f>IF(H$12=0,0,H57/H$12)</f>
        <v>0</v>
      </c>
      <c r="K57" s="16"/>
      <c r="L57" s="34">
        <f>D57-H57</f>
        <v>-16255.95</v>
      </c>
      <c r="M57" s="16"/>
      <c r="N57" s="29">
        <f>IF(H57=0,0,L57/H57)</f>
        <v>-0.75234332804648851</v>
      </c>
      <c r="O57" s="28"/>
      <c r="P57" s="34">
        <f>+P53-P55</f>
        <v>124624.27</v>
      </c>
      <c r="Q57" s="15"/>
      <c r="R57" s="29">
        <f>IF(P$12=0,0,P57/P$12)</f>
        <v>0</v>
      </c>
      <c r="S57" s="15"/>
      <c r="T57" s="34">
        <f>+T53-T55</f>
        <v>105980.4</v>
      </c>
      <c r="U57" s="15"/>
      <c r="V57" s="29">
        <f>IF(T$12=0,0,T57/T$12)</f>
        <v>0</v>
      </c>
      <c r="W57" s="16"/>
      <c r="X57" s="34">
        <f>P57-T57</f>
        <v>18643.87000000001</v>
      </c>
      <c r="Y57" s="16"/>
      <c r="Z57" s="29">
        <f>IF(T57=0,0,X57/T57)</f>
        <v>0.1759180942891328</v>
      </c>
    </row>
    <row r="58" spans="1:26" ht="15" customHeight="1" x14ac:dyDescent="0.3">
      <c r="A58" s="10"/>
      <c r="B58" s="10"/>
      <c r="C58" s="10"/>
      <c r="D58" s="4"/>
      <c r="E58" s="4"/>
      <c r="F58" s="9"/>
      <c r="G58" s="4"/>
      <c r="H58" s="4"/>
      <c r="I58" s="4"/>
      <c r="J58" s="9"/>
      <c r="K58" s="4"/>
      <c r="L58" s="4"/>
      <c r="M58" s="4"/>
      <c r="N58" s="9"/>
      <c r="P58" s="4"/>
      <c r="Q58" s="4"/>
      <c r="R58" s="9"/>
      <c r="S58" s="4"/>
      <c r="T58" s="4"/>
      <c r="U58" s="4"/>
      <c r="V58" s="9"/>
      <c r="W58" s="4"/>
      <c r="X58" s="4"/>
      <c r="Y58" s="4"/>
      <c r="Z58" s="9"/>
    </row>
    <row r="59" spans="1:26" ht="15" customHeight="1" x14ac:dyDescent="0.3">
      <c r="A59" s="10"/>
      <c r="B59" s="10"/>
      <c r="C59" s="10"/>
      <c r="D59" s="4"/>
      <c r="E59" s="4"/>
      <c r="F59" s="9"/>
      <c r="G59" s="4"/>
      <c r="H59" s="4"/>
      <c r="I59" s="4"/>
      <c r="J59" s="9"/>
      <c r="K59" s="4"/>
      <c r="L59" s="4"/>
      <c r="M59" s="4"/>
      <c r="N59" s="9"/>
      <c r="P59" s="4"/>
      <c r="Q59" s="4"/>
      <c r="R59" s="9"/>
      <c r="S59" s="4"/>
      <c r="T59" s="4"/>
      <c r="U59" s="4"/>
      <c r="V59" s="9"/>
      <c r="W59" s="4"/>
      <c r="X59" s="4"/>
      <c r="Y59" s="4"/>
      <c r="Z59" s="9"/>
    </row>
    <row r="60" spans="1:26" s="63" customFormat="1" ht="15" customHeight="1" x14ac:dyDescent="0.3">
      <c r="A60" s="11"/>
      <c r="B60" s="27" t="s">
        <v>297</v>
      </c>
      <c r="C60" s="27"/>
      <c r="D60" s="32">
        <f>SUM(D57:D59)</f>
        <v>5351.14</v>
      </c>
      <c r="E60" s="15"/>
      <c r="F60" s="31">
        <f>IF(D$12=0,0,D60/D$12)</f>
        <v>0</v>
      </c>
      <c r="G60" s="15"/>
      <c r="H60" s="32">
        <f>SUM(H57:H59)</f>
        <v>21607.09</v>
      </c>
      <c r="I60" s="15"/>
      <c r="J60" s="31">
        <f>IF(H$12=0,0,H60/H$12)</f>
        <v>0</v>
      </c>
      <c r="K60" s="16"/>
      <c r="L60" s="32">
        <f>+D60-H60</f>
        <v>-16255.95</v>
      </c>
      <c r="M60" s="16"/>
      <c r="N60" s="31">
        <f>IF(H60=0,0,L60/H60)</f>
        <v>-0.75234332804648851</v>
      </c>
      <c r="O60" s="28"/>
      <c r="P60" s="32">
        <f>SUM(P57:P59)</f>
        <v>124624.27</v>
      </c>
      <c r="Q60" s="15"/>
      <c r="R60" s="31">
        <f>IF(P$12=0,0,P60/P$12)</f>
        <v>0</v>
      </c>
      <c r="S60" s="15"/>
      <c r="T60" s="32">
        <f>SUM(T57:T59)</f>
        <v>105980.4</v>
      </c>
      <c r="U60" s="15"/>
      <c r="V60" s="31">
        <f>IF(T$12=0,0,T60/T$12)</f>
        <v>0</v>
      </c>
      <c r="W60" s="16"/>
      <c r="X60" s="32">
        <f>+P60-T60</f>
        <v>18643.87000000001</v>
      </c>
      <c r="Y60" s="16"/>
      <c r="Z60" s="31">
        <f>IF(T60=0,0,X60/T60)</f>
        <v>0.1759180942891328</v>
      </c>
    </row>
    <row r="61" spans="1:26" ht="15" customHeight="1" x14ac:dyDescent="0.3">
      <c r="A61" s="10"/>
      <c r="C61" s="10"/>
      <c r="D61" s="19"/>
      <c r="E61" s="19"/>
      <c r="G61" s="19"/>
      <c r="H61" s="19"/>
      <c r="I61" s="19"/>
      <c r="J61" s="40"/>
      <c r="K61" s="19"/>
      <c r="L61" s="19"/>
      <c r="M61" s="19"/>
      <c r="P61" s="19"/>
      <c r="Q61" s="19"/>
      <c r="R61" s="40"/>
      <c r="S61" s="19"/>
      <c r="T61" s="19"/>
      <c r="U61" s="19"/>
      <c r="V61" s="40"/>
      <c r="W61" s="19"/>
      <c r="X61" s="19"/>
    </row>
    <row r="62" spans="1:26" ht="15" customHeight="1" x14ac:dyDescent="0.3">
      <c r="A62" s="10"/>
      <c r="B62" s="51">
        <v>44663.047665428239</v>
      </c>
      <c r="D62" s="19"/>
      <c r="E62" s="19"/>
      <c r="G62" s="19"/>
      <c r="H62" s="19"/>
      <c r="I62" s="19"/>
      <c r="J62" s="40"/>
      <c r="K62" s="19"/>
      <c r="L62" s="19"/>
      <c r="M62" s="19"/>
      <c r="P62" s="19"/>
      <c r="Q62" s="19"/>
      <c r="R62" s="40"/>
      <c r="S62" s="19"/>
      <c r="T62" s="19"/>
      <c r="U62" s="19"/>
      <c r="V62" s="40"/>
      <c r="W62" s="19"/>
      <c r="X62" s="19"/>
    </row>
    <row r="63" spans="1:26" ht="15" customHeight="1" x14ac:dyDescent="0.3">
      <c r="A63" s="10"/>
      <c r="B63" s="58" t="s">
        <v>298</v>
      </c>
      <c r="D63" s="19"/>
      <c r="E63" s="19"/>
      <c r="G63" s="19"/>
      <c r="H63" s="19"/>
      <c r="I63" s="19"/>
      <c r="J63" s="40"/>
      <c r="K63" s="19"/>
      <c r="L63" s="19"/>
      <c r="M63" s="19"/>
      <c r="P63" s="19"/>
      <c r="Q63" s="19"/>
      <c r="R63" s="40"/>
      <c r="S63" s="19"/>
      <c r="T63" s="19"/>
      <c r="U63" s="19"/>
      <c r="V63" s="40"/>
      <c r="W63" s="19"/>
      <c r="X63" s="19"/>
    </row>
    <row r="64" spans="1:26" ht="15" customHeight="1" x14ac:dyDescent="0.3">
      <c r="A64" s="10"/>
      <c r="B64" s="50"/>
      <c r="D64" s="19"/>
      <c r="E64" s="19"/>
      <c r="G64" s="19"/>
      <c r="H64" s="19"/>
      <c r="I64" s="19"/>
      <c r="J64" s="40"/>
      <c r="K64" s="19"/>
      <c r="L64" s="19"/>
      <c r="M64" s="19"/>
      <c r="P64" s="19"/>
      <c r="Q64" s="19"/>
      <c r="R64" s="40"/>
      <c r="S64" s="19"/>
      <c r="T64" s="19"/>
      <c r="U64" s="19"/>
      <c r="V64" s="40"/>
      <c r="W64" s="19"/>
      <c r="X64" s="19"/>
    </row>
    <row r="65" spans="4:24" ht="15" customHeight="1" x14ac:dyDescent="0.3">
      <c r="D65" s="19"/>
      <c r="E65" s="19"/>
      <c r="G65" s="19"/>
      <c r="H65" s="19"/>
      <c r="I65" s="19"/>
      <c r="J65" s="40"/>
      <c r="K65" s="19"/>
      <c r="L65" s="19"/>
      <c r="M65" s="19"/>
      <c r="P65" s="19"/>
      <c r="Q65" s="19"/>
      <c r="R65" s="40"/>
      <c r="S65" s="19"/>
      <c r="T65" s="19"/>
      <c r="U65" s="19"/>
      <c r="V65" s="40"/>
      <c r="W65" s="19"/>
      <c r="X65" s="19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FA34BF-A429-0301-43F9-594C1E71D822}">
  <sheetPr>
    <tabColor rgb="FF92D050"/>
    <outlinePr summaryBelow="0" summaryRight="0"/>
  </sheetPr>
  <dimension ref="A2:Z40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6" customWidth="1"/>
    <col min="2" max="2" width="33.44140625" style="66" customWidth="1"/>
    <col min="3" max="3" width="1.88671875" style="66" customWidth="1"/>
    <col min="4" max="4" width="15" style="66" customWidth="1"/>
    <col min="5" max="5" width="1.88671875" style="66" customWidth="1" outlineLevel="1"/>
    <col min="6" max="6" width="15" style="67" customWidth="1" outlineLevel="1"/>
    <col min="7" max="7" width="1.88671875" style="66" customWidth="1" outlineLevel="1"/>
    <col min="8" max="8" width="15" style="66" customWidth="1" outlineLevel="1"/>
    <col min="9" max="9" width="1.88671875" style="66" customWidth="1" outlineLevel="1"/>
    <col min="10" max="10" width="15" style="68" customWidth="1" outlineLevel="1"/>
    <col min="11" max="11" width="1.88671875" style="66" customWidth="1" outlineLevel="1"/>
    <col min="12" max="12" width="15" style="66" customWidth="1" outlineLevel="1"/>
    <col min="13" max="13" width="1.88671875" style="66" customWidth="1" outlineLevel="1"/>
    <col min="14" max="14" width="15" style="67" customWidth="1" outlineLevel="1"/>
    <col min="15" max="15" width="1.88671875" style="64" customWidth="1"/>
    <col min="16" max="16" width="15" style="66" customWidth="1"/>
    <col min="17" max="17" width="1.88671875" style="66" customWidth="1" outlineLevel="1"/>
    <col min="18" max="18" width="15" style="68" customWidth="1" outlineLevel="1"/>
    <col min="19" max="19" width="1.88671875" style="66" customWidth="1" outlineLevel="1"/>
    <col min="20" max="20" width="15" style="66" customWidth="1" outlineLevel="1"/>
    <col min="21" max="21" width="1.88671875" style="66" customWidth="1" outlineLevel="1"/>
    <col min="22" max="22" width="15" style="68" customWidth="1" outlineLevel="1"/>
    <col min="23" max="23" width="1.88671875" style="66" customWidth="1" outlineLevel="1"/>
    <col min="24" max="24" width="15" style="66" customWidth="1" outlineLevel="1"/>
    <col min="25" max="25" width="1.88671875" style="66" customWidth="1" outlineLevel="1"/>
    <col min="26" max="26" width="15" style="68" customWidth="1" outlineLevel="1"/>
  </cols>
  <sheetData>
    <row r="2" spans="1:26" ht="15" customHeight="1" x14ac:dyDescent="0.3">
      <c r="D2" s="54" t="s">
        <v>276</v>
      </c>
    </row>
    <row r="3" spans="1:26" ht="15" customHeight="1" x14ac:dyDescent="0.3">
      <c r="D3" s="54" t="s">
        <v>277</v>
      </c>
      <c r="E3" s="18"/>
      <c r="F3" s="44"/>
      <c r="G3" s="18"/>
      <c r="H3" s="18"/>
      <c r="I3" s="18"/>
      <c r="J3" s="38"/>
      <c r="K3" s="18"/>
      <c r="L3" s="18"/>
      <c r="M3" s="18"/>
      <c r="N3" s="44"/>
      <c r="O3" s="53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ht="15" customHeight="1" x14ac:dyDescent="0.3">
      <c r="D4" s="54" t="str">
        <f>CONCATENATE("Period ",RIGHT(202209,2),", ",2022)</f>
        <v>Period 09, 2022</v>
      </c>
      <c r="E4" s="18"/>
      <c r="F4" s="44"/>
      <c r="G4" s="18"/>
      <c r="H4" s="18"/>
      <c r="I4" s="18"/>
      <c r="J4" s="38"/>
      <c r="K4" s="18"/>
      <c r="L4" s="18"/>
      <c r="M4" s="18"/>
      <c r="N4" s="44"/>
      <c r="O4" s="53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ht="15" customHeight="1" x14ac:dyDescent="0.3">
      <c r="A5" s="24"/>
      <c r="D5" s="60">
        <v>44646</v>
      </c>
      <c r="E5" s="18"/>
      <c r="F5" s="44"/>
      <c r="G5" s="18"/>
      <c r="H5" s="18"/>
      <c r="I5" s="18"/>
      <c r="J5" s="38"/>
      <c r="K5" s="18"/>
      <c r="L5" s="18"/>
      <c r="M5" s="18"/>
      <c r="N5" s="44"/>
      <c r="O5" s="53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ht="15" customHeight="1" x14ac:dyDescent="0.3">
      <c r="A6" s="24"/>
      <c r="B6" s="47"/>
      <c r="C6" s="47"/>
      <c r="D6" s="24" t="str">
        <f>CONCATENATE("Department ","424"," - ","Blair Field")</f>
        <v>Department 424 - Blair Field</v>
      </c>
      <c r="E6" s="18"/>
      <c r="F6" s="44"/>
      <c r="G6" s="18"/>
      <c r="H6" s="18"/>
      <c r="I6" s="18"/>
      <c r="J6" s="38"/>
      <c r="K6" s="18"/>
      <c r="L6" s="18"/>
      <c r="M6" s="18"/>
      <c r="N6" s="44"/>
      <c r="O6" s="59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ht="15" customHeight="1" x14ac:dyDescent="0.3">
      <c r="B7" s="52"/>
    </row>
    <row r="8" spans="1:26" ht="15" customHeight="1" x14ac:dyDescent="0.3">
      <c r="B8" s="52"/>
    </row>
    <row r="9" spans="1:26" ht="15" customHeight="1" x14ac:dyDescent="0.3">
      <c r="B9" s="10"/>
      <c r="C9" s="10"/>
      <c r="D9" s="17" t="s">
        <v>279</v>
      </c>
      <c r="E9" s="17"/>
      <c r="F9" s="36"/>
      <c r="G9" s="17"/>
      <c r="H9" s="17"/>
      <c r="I9" s="17"/>
      <c r="J9" s="43"/>
      <c r="K9" s="17"/>
      <c r="L9" s="17"/>
      <c r="M9" s="17"/>
      <c r="N9" s="36"/>
      <c r="P9" s="17" t="s">
        <v>280</v>
      </c>
      <c r="Q9" s="17"/>
      <c r="R9" s="36"/>
      <c r="S9" s="17"/>
      <c r="T9" s="17"/>
      <c r="U9" s="17"/>
      <c r="V9" s="43"/>
      <c r="W9" s="17"/>
      <c r="X9" s="17"/>
      <c r="Y9" s="17"/>
      <c r="Z9" s="36"/>
    </row>
    <row r="10" spans="1:26" ht="15" customHeight="1" x14ac:dyDescent="0.3">
      <c r="A10" s="11"/>
      <c r="B10" s="57"/>
      <c r="C10" s="11"/>
      <c r="D10" s="41" t="s">
        <v>281</v>
      </c>
      <c r="E10" s="33"/>
      <c r="F10" s="37" t="s">
        <v>282</v>
      </c>
      <c r="G10" s="33"/>
      <c r="H10" s="48" t="s">
        <v>283</v>
      </c>
      <c r="I10" s="33"/>
      <c r="J10" s="45" t="s">
        <v>284</v>
      </c>
      <c r="K10" s="11"/>
      <c r="L10" s="41" t="s">
        <v>285</v>
      </c>
      <c r="M10" s="11"/>
      <c r="N10" s="37" t="s">
        <v>286</v>
      </c>
      <c r="O10" s="11"/>
      <c r="P10" s="56" t="s">
        <v>281</v>
      </c>
      <c r="Q10" s="33"/>
      <c r="R10" s="37" t="s">
        <v>282</v>
      </c>
      <c r="S10" s="33"/>
      <c r="T10" s="48" t="s">
        <v>283</v>
      </c>
      <c r="U10" s="33"/>
      <c r="V10" s="45" t="s">
        <v>284</v>
      </c>
      <c r="W10" s="11"/>
      <c r="X10" s="41" t="s">
        <v>285</v>
      </c>
      <c r="Y10" s="11"/>
      <c r="Z10" s="37" t="s">
        <v>286</v>
      </c>
    </row>
    <row r="11" spans="1:26" ht="16.5" customHeight="1" x14ac:dyDescent="0.3">
      <c r="A11" s="10"/>
      <c r="B11" s="55"/>
      <c r="C11" s="10"/>
      <c r="D11" s="10"/>
      <c r="E11" s="10"/>
      <c r="F11" s="9"/>
      <c r="G11" s="10"/>
      <c r="H11" s="10"/>
      <c r="I11" s="10"/>
      <c r="J11" s="46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6"/>
      <c r="W11" s="10"/>
      <c r="X11" s="10"/>
      <c r="Y11" s="10"/>
      <c r="Z11" s="9"/>
    </row>
    <row r="12" spans="1:26" s="63" customFormat="1" ht="15" customHeight="1" x14ac:dyDescent="0.3">
      <c r="A12" s="11"/>
      <c r="B12" s="28" t="s">
        <v>287</v>
      </c>
      <c r="C12" s="11"/>
      <c r="D12" s="5">
        <f>SUM(0)</f>
        <v>0</v>
      </c>
      <c r="E12" s="5"/>
      <c r="F12" s="13"/>
      <c r="G12" s="5"/>
      <c r="H12" s="5">
        <f>SUM(0)</f>
        <v>0</v>
      </c>
      <c r="I12" s="5"/>
      <c r="J12" s="13"/>
      <c r="K12" s="5"/>
      <c r="L12" s="5">
        <f>+D12-H12</f>
        <v>0</v>
      </c>
      <c r="M12" s="5"/>
      <c r="N12" s="13">
        <f>IF(H12=0,0,L12/H12)</f>
        <v>0</v>
      </c>
      <c r="O12" s="11"/>
      <c r="P12" s="5">
        <f>SUM(0)</f>
        <v>0</v>
      </c>
      <c r="Q12" s="5"/>
      <c r="R12" s="13"/>
      <c r="S12" s="5"/>
      <c r="T12" s="5">
        <f>SUM(0)</f>
        <v>0</v>
      </c>
      <c r="U12" s="5"/>
      <c r="V12" s="13"/>
      <c r="W12" s="5"/>
      <c r="X12" s="5">
        <f>+P12-T12</f>
        <v>0</v>
      </c>
      <c r="Y12" s="5"/>
      <c r="Z12" s="13">
        <f>IF(T12=0,0,X12/T12)</f>
        <v>0</v>
      </c>
    </row>
    <row r="13" spans="1:26" ht="15" customHeight="1" x14ac:dyDescent="0.3">
      <c r="A13" s="10"/>
      <c r="B13" s="11"/>
      <c r="C13" s="10"/>
      <c r="D13" s="4"/>
      <c r="E13" s="4"/>
      <c r="F13" s="9"/>
      <c r="G13" s="4"/>
      <c r="H13" s="4"/>
      <c r="I13" s="4"/>
      <c r="J13" s="9"/>
      <c r="K13" s="4"/>
      <c r="L13" s="4"/>
      <c r="M13" s="4"/>
      <c r="N13" s="9"/>
      <c r="P13" s="4"/>
      <c r="Q13" s="4"/>
      <c r="R13" s="9"/>
      <c r="S13" s="4"/>
      <c r="T13" s="4"/>
      <c r="U13" s="4"/>
      <c r="V13" s="9"/>
      <c r="W13" s="4"/>
      <c r="X13" s="4"/>
      <c r="Y13" s="4"/>
      <c r="Z13" s="9"/>
    </row>
    <row r="14" spans="1:26" s="63" customFormat="1" ht="15" customHeight="1" x14ac:dyDescent="0.3">
      <c r="A14" s="11"/>
      <c r="B14" s="28" t="s">
        <v>288</v>
      </c>
      <c r="C14" s="11"/>
      <c r="D14" s="5">
        <f>SUM(0)</f>
        <v>0</v>
      </c>
      <c r="E14" s="5"/>
      <c r="F14" s="13">
        <f>IF(D$12=0,0,D14/D$12)</f>
        <v>0</v>
      </c>
      <c r="G14" s="5"/>
      <c r="H14" s="5">
        <f>SUM(0)</f>
        <v>0</v>
      </c>
      <c r="I14" s="5"/>
      <c r="J14" s="13">
        <f>IF(H$12=0,0,H14/H$12)</f>
        <v>0</v>
      </c>
      <c r="K14" s="5"/>
      <c r="L14" s="5">
        <f>+D14-H14</f>
        <v>0</v>
      </c>
      <c r="M14" s="5"/>
      <c r="N14" s="13">
        <f>IF(H14=0,0,L14/H14)</f>
        <v>0</v>
      </c>
      <c r="O14" s="11"/>
      <c r="P14" s="5">
        <f>SUM(0)</f>
        <v>0</v>
      </c>
      <c r="Q14" s="5"/>
      <c r="R14" s="13">
        <f>IF(P$12=0,0,P14/P$12)</f>
        <v>0</v>
      </c>
      <c r="S14" s="5"/>
      <c r="T14" s="5">
        <f>SUM(0)</f>
        <v>0</v>
      </c>
      <c r="U14" s="5"/>
      <c r="V14" s="13">
        <f>IF(T$12=0,0,T14/T$12)</f>
        <v>0</v>
      </c>
      <c r="W14" s="5"/>
      <c r="X14" s="5">
        <f>+P14-T14</f>
        <v>0</v>
      </c>
      <c r="Y14" s="5"/>
      <c r="Z14" s="13">
        <f>IF(T14=0,0,X14/T14)</f>
        <v>0</v>
      </c>
    </row>
    <row r="15" spans="1:26" ht="15" customHeight="1" x14ac:dyDescent="0.3">
      <c r="A15" s="10"/>
      <c r="B15" s="11"/>
      <c r="C15" s="11"/>
      <c r="D15" s="4"/>
      <c r="E15" s="4"/>
      <c r="F15" s="9"/>
      <c r="G15" s="4"/>
      <c r="H15" s="4"/>
      <c r="I15" s="4"/>
      <c r="J15" s="9"/>
      <c r="K15" s="4"/>
      <c r="L15" s="4"/>
      <c r="M15" s="4"/>
      <c r="N15" s="9"/>
      <c r="O15" s="11"/>
      <c r="P15" s="4"/>
      <c r="Q15" s="4"/>
      <c r="R15" s="9"/>
      <c r="S15" s="4"/>
      <c r="T15" s="4"/>
      <c r="U15" s="4"/>
      <c r="V15" s="9"/>
      <c r="W15" s="4"/>
      <c r="X15" s="4"/>
      <c r="Y15" s="4"/>
      <c r="Z15" s="9"/>
    </row>
    <row r="16" spans="1:26" s="63" customFormat="1" ht="15" customHeight="1" x14ac:dyDescent="0.3">
      <c r="A16" s="11"/>
      <c r="B16" s="27" t="s">
        <v>289</v>
      </c>
      <c r="C16" s="27"/>
      <c r="D16" s="21">
        <f>D12-D14</f>
        <v>0</v>
      </c>
      <c r="E16" s="15"/>
      <c r="F16" s="23">
        <f>IF(D$12=0,0,D16/D$12)</f>
        <v>0</v>
      </c>
      <c r="G16" s="15"/>
      <c r="H16" s="21">
        <f>H12-H14</f>
        <v>0</v>
      </c>
      <c r="I16" s="15"/>
      <c r="J16" s="23">
        <f>IF(H$12=0,0,H16/H$12)</f>
        <v>0</v>
      </c>
      <c r="K16" s="16"/>
      <c r="L16" s="21">
        <f>+D16-H16</f>
        <v>0</v>
      </c>
      <c r="M16" s="16"/>
      <c r="N16" s="23">
        <f>IF(H16=0,0,L16/H16)</f>
        <v>0</v>
      </c>
      <c r="O16" s="28"/>
      <c r="P16" s="21">
        <f>P12-P14</f>
        <v>0</v>
      </c>
      <c r="Q16" s="15"/>
      <c r="R16" s="23">
        <f>IF(P$12=0,0,P16/P$12)</f>
        <v>0</v>
      </c>
      <c r="S16" s="15"/>
      <c r="T16" s="21">
        <f>T12-T14</f>
        <v>0</v>
      </c>
      <c r="U16" s="15"/>
      <c r="V16" s="23">
        <f>IF(T$12=0,0,T16/T$12)</f>
        <v>0</v>
      </c>
      <c r="W16" s="16"/>
      <c r="X16" s="21">
        <f>+P16-T16</f>
        <v>0</v>
      </c>
      <c r="Y16" s="16"/>
      <c r="Z16" s="23">
        <f>IF(T16=0,0,X16/T16)</f>
        <v>0</v>
      </c>
    </row>
    <row r="17" spans="1:26" ht="15" customHeight="1" x14ac:dyDescent="0.3">
      <c r="A17" s="10"/>
      <c r="B17" s="11"/>
      <c r="C17" s="10"/>
      <c r="D17" s="2"/>
      <c r="E17" s="2"/>
      <c r="F17" s="6"/>
      <c r="G17" s="2"/>
      <c r="H17" s="2"/>
      <c r="I17" s="2"/>
      <c r="J17" s="6"/>
      <c r="K17" s="2"/>
      <c r="L17" s="2"/>
      <c r="M17" s="2"/>
      <c r="N17" s="6"/>
      <c r="O17" s="35"/>
      <c r="P17" s="2"/>
      <c r="Q17" s="2"/>
      <c r="R17" s="6"/>
      <c r="S17" s="2"/>
      <c r="T17" s="2"/>
      <c r="U17" s="2"/>
      <c r="V17" s="6"/>
      <c r="W17" s="2"/>
      <c r="X17" s="2"/>
      <c r="Y17" s="2"/>
      <c r="Z17" s="6"/>
    </row>
    <row r="18" spans="1:26" s="63" customFormat="1" ht="15" customHeight="1" x14ac:dyDescent="0.3">
      <c r="A18" s="11"/>
      <c r="B18" s="28" t="s">
        <v>290</v>
      </c>
      <c r="C18" s="11"/>
      <c r="D18" s="22" cm="1">
        <f t="array" ref="D18">SUM(OSRRefD22x_0)</f>
        <v>479.29</v>
      </c>
      <c r="E18" s="22"/>
      <c r="F18" s="30">
        <f t="shared" ref="F18:F24" si="0">IF(D$12=0,0,D18/D$12)</f>
        <v>0</v>
      </c>
      <c r="G18" s="22"/>
      <c r="H18" s="22" cm="1">
        <f t="array" ref="H18">SUM(OSRRefH22x_0)</f>
        <v>479</v>
      </c>
      <c r="I18" s="22"/>
      <c r="J18" s="30">
        <f t="shared" ref="J18:J24" si="1">IF(H$12=0,0,H18/H$12)</f>
        <v>0</v>
      </c>
      <c r="K18" s="5"/>
      <c r="L18" s="22">
        <f t="shared" ref="L18:L24" si="2">+D18-H18</f>
        <v>0.29000000000002046</v>
      </c>
      <c r="M18" s="5"/>
      <c r="N18" s="30">
        <f t="shared" ref="N18:N24" si="3">IF(H18=0,0,L18/H18)</f>
        <v>6.054279749478506E-4</v>
      </c>
      <c r="O18" s="11"/>
      <c r="P18" s="22" cm="1">
        <f t="array" ref="P18">SUM(OSRRefP22x_0)</f>
        <v>4792.6099999999997</v>
      </c>
      <c r="Q18" s="22"/>
      <c r="R18" s="30">
        <f t="shared" ref="R18:R24" si="4">IF(P$12=0,0,P18/P$12)</f>
        <v>0</v>
      </c>
      <c r="S18" s="22"/>
      <c r="T18" s="22" cm="1">
        <f t="array" ref="T18">SUM(OSRRefT22x_0)</f>
        <v>4311</v>
      </c>
      <c r="U18" s="22"/>
      <c r="V18" s="30">
        <f t="shared" ref="V18:V24" si="5">IF(T$12=0,0,T18/T$12)</f>
        <v>0</v>
      </c>
      <c r="W18" s="5"/>
      <c r="X18" s="22">
        <f t="shared" ref="X18:X24" si="6">+P18-T18</f>
        <v>481.60999999999967</v>
      </c>
      <c r="Y18" s="5"/>
      <c r="Z18" s="30">
        <f t="shared" ref="Z18:Z24" si="7">IF(T18=0,0,X18/T18)</f>
        <v>0.11171653908605884</v>
      </c>
    </row>
    <row r="19" spans="1:26" s="69" customFormat="1" ht="15" customHeight="1" outlineLevel="1" collapsed="1" x14ac:dyDescent="0.3">
      <c r="A19" s="25"/>
      <c r="B19" s="14" t="str">
        <f>CONCATENATE("     ","Depreciation                                      ")</f>
        <v xml:space="preserve">     Depreciation                                      </v>
      </c>
      <c r="C19" s="14"/>
      <c r="D19" s="2">
        <f>SUM(OSRRefD22_0x_0)</f>
        <v>479.29</v>
      </c>
      <c r="E19" s="2"/>
      <c r="F19" s="6">
        <f t="shared" si="0"/>
        <v>0</v>
      </c>
      <c r="G19" s="2"/>
      <c r="H19" s="2">
        <f>SUM(OSRRefH22_0x_0)</f>
        <v>479</v>
      </c>
      <c r="I19" s="2"/>
      <c r="J19" s="6">
        <f t="shared" si="1"/>
        <v>0</v>
      </c>
      <c r="K19" s="2"/>
      <c r="L19" s="2">
        <f t="shared" si="2"/>
        <v>0.29000000000002046</v>
      </c>
      <c r="M19" s="2"/>
      <c r="N19" s="6">
        <f t="shared" si="3"/>
        <v>6.054279749478506E-4</v>
      </c>
      <c r="O19" s="14"/>
      <c r="P19" s="2">
        <f>SUM(OSRRefP22_0x_0)</f>
        <v>4313.6099999999997</v>
      </c>
      <c r="Q19" s="2"/>
      <c r="R19" s="6">
        <f t="shared" si="4"/>
        <v>0</v>
      </c>
      <c r="S19" s="2"/>
      <c r="T19" s="2">
        <f>SUM(OSRRefT22_0x_0)</f>
        <v>4311</v>
      </c>
      <c r="U19" s="2"/>
      <c r="V19" s="6">
        <f t="shared" si="5"/>
        <v>0</v>
      </c>
      <c r="W19" s="2"/>
      <c r="X19" s="2">
        <f t="shared" si="6"/>
        <v>2.6099999999996726</v>
      </c>
      <c r="Y19" s="2"/>
      <c r="Z19" s="6">
        <f t="shared" si="7"/>
        <v>6.0542797494773199E-4</v>
      </c>
    </row>
    <row r="20" spans="1:26" s="70" customFormat="1" ht="15" hidden="1" customHeight="1" outlineLevel="2" x14ac:dyDescent="0.3">
      <c r="A20" s="26"/>
      <c r="B20" s="12" t="str">
        <f>CONCATENATE("          ","6322"," - ","EQUIPMENT DEPRECIATION EXPENSE")</f>
        <v xml:space="preserve">          6322 - EQUIPMENT DEPRECIATION EXPENSE</v>
      </c>
      <c r="C20" s="12"/>
      <c r="D20" s="7">
        <v>479.29</v>
      </c>
      <c r="E20" s="3"/>
      <c r="F20" s="8">
        <f t="shared" si="0"/>
        <v>0</v>
      </c>
      <c r="G20" s="3"/>
      <c r="H20" s="7">
        <v>479</v>
      </c>
      <c r="I20" s="3"/>
      <c r="J20" s="8">
        <f t="shared" si="1"/>
        <v>0</v>
      </c>
      <c r="K20" s="3"/>
      <c r="L20" s="7">
        <f t="shared" si="2"/>
        <v>0.29000000000002046</v>
      </c>
      <c r="M20" s="3"/>
      <c r="N20" s="8">
        <f t="shared" si="3"/>
        <v>6.054279749478506E-4</v>
      </c>
      <c r="O20" s="12"/>
      <c r="P20" s="7">
        <v>4313.6099999999997</v>
      </c>
      <c r="Q20" s="3"/>
      <c r="R20" s="8">
        <f t="shared" si="4"/>
        <v>0</v>
      </c>
      <c r="S20" s="3"/>
      <c r="T20" s="7">
        <v>4311</v>
      </c>
      <c r="U20" s="3"/>
      <c r="V20" s="8">
        <f t="shared" si="5"/>
        <v>0</v>
      </c>
      <c r="W20" s="3"/>
      <c r="X20" s="7">
        <f t="shared" si="6"/>
        <v>2.6099999999996726</v>
      </c>
      <c r="Y20" s="3"/>
      <c r="Z20" s="8">
        <f t="shared" si="7"/>
        <v>6.0542797494773199E-4</v>
      </c>
    </row>
    <row r="21" spans="1:26" s="69" customFormat="1" ht="15" customHeight="1" outlineLevel="1" collapsed="1" x14ac:dyDescent="0.3">
      <c r="A21" s="25"/>
      <c r="B21" s="14" t="str">
        <f>CONCATENATE("     ","General                                           ")</f>
        <v xml:space="preserve">     General                                           </v>
      </c>
      <c r="C21" s="14"/>
      <c r="D21" s="2">
        <f>SUM(OSRRefD22_1x_0)</f>
        <v>0</v>
      </c>
      <c r="E21" s="2"/>
      <c r="F21" s="6">
        <f t="shared" si="0"/>
        <v>0</v>
      </c>
      <c r="G21" s="2"/>
      <c r="H21" s="2">
        <f>SUM(OSRRefH22_1x_0)</f>
        <v>0</v>
      </c>
      <c r="I21" s="2"/>
      <c r="J21" s="6">
        <f t="shared" si="1"/>
        <v>0</v>
      </c>
      <c r="K21" s="2"/>
      <c r="L21" s="2">
        <f t="shared" si="2"/>
        <v>0</v>
      </c>
      <c r="M21" s="2"/>
      <c r="N21" s="6">
        <f t="shared" si="3"/>
        <v>0</v>
      </c>
      <c r="O21" s="14"/>
      <c r="P21" s="2">
        <f>SUM(OSRRefP22_1x_0)</f>
        <v>479</v>
      </c>
      <c r="Q21" s="2"/>
      <c r="R21" s="6">
        <f t="shared" si="4"/>
        <v>0</v>
      </c>
      <c r="S21" s="2"/>
      <c r="T21" s="2">
        <f>SUM(OSRRefT22_1x_0)</f>
        <v>0</v>
      </c>
      <c r="U21" s="2"/>
      <c r="V21" s="6">
        <f t="shared" si="5"/>
        <v>0</v>
      </c>
      <c r="W21" s="2"/>
      <c r="X21" s="2">
        <f t="shared" si="6"/>
        <v>479</v>
      </c>
      <c r="Y21" s="2"/>
      <c r="Z21" s="6">
        <f t="shared" si="7"/>
        <v>0</v>
      </c>
    </row>
    <row r="22" spans="1:26" s="70" customFormat="1" ht="15" hidden="1" customHeight="1" outlineLevel="2" x14ac:dyDescent="0.3">
      <c r="A22" s="26"/>
      <c r="B22" s="12" t="str">
        <f>CONCATENATE("          ","6279"," - ","GENERAL EXPENSE")</f>
        <v xml:space="preserve">          6279 - GENERAL EXPENSE</v>
      </c>
      <c r="C22" s="12"/>
      <c r="D22" s="7"/>
      <c r="E22" s="3"/>
      <c r="F22" s="8">
        <f t="shared" si="0"/>
        <v>0</v>
      </c>
      <c r="G22" s="3"/>
      <c r="H22" s="7"/>
      <c r="I22" s="3"/>
      <c r="J22" s="8">
        <f t="shared" si="1"/>
        <v>0</v>
      </c>
      <c r="K22" s="3"/>
      <c r="L22" s="7">
        <f t="shared" si="2"/>
        <v>0</v>
      </c>
      <c r="M22" s="3"/>
      <c r="N22" s="8">
        <f t="shared" si="3"/>
        <v>0</v>
      </c>
      <c r="O22" s="12"/>
      <c r="P22" s="7">
        <v>479</v>
      </c>
      <c r="Q22" s="3"/>
      <c r="R22" s="8">
        <f t="shared" si="4"/>
        <v>0</v>
      </c>
      <c r="S22" s="3"/>
      <c r="T22" s="7"/>
      <c r="U22" s="3"/>
      <c r="V22" s="8">
        <f t="shared" si="5"/>
        <v>0</v>
      </c>
      <c r="W22" s="3"/>
      <c r="X22" s="7">
        <f t="shared" si="6"/>
        <v>479</v>
      </c>
      <c r="Y22" s="3"/>
      <c r="Z22" s="8">
        <f t="shared" si="7"/>
        <v>0</v>
      </c>
    </row>
    <row r="23" spans="1:26" s="69" customFormat="1" ht="15" customHeight="1" outlineLevel="1" collapsed="1" x14ac:dyDescent="0.3">
      <c r="A23" s="25"/>
      <c r="B23" s="14" t="str">
        <f>CONCATENATE("     ","Services                                          ")</f>
        <v xml:space="preserve">     Services                                          </v>
      </c>
      <c r="C23" s="14"/>
      <c r="D23" s="2">
        <f>SUM(OSRRefD22_2x_0)</f>
        <v>0</v>
      </c>
      <c r="E23" s="2"/>
      <c r="F23" s="6">
        <f t="shared" si="0"/>
        <v>0</v>
      </c>
      <c r="G23" s="2"/>
      <c r="H23" s="2">
        <f>SUM(OSRRefH22_2x_0)</f>
        <v>0</v>
      </c>
      <c r="I23" s="2"/>
      <c r="J23" s="6">
        <f t="shared" si="1"/>
        <v>0</v>
      </c>
      <c r="K23" s="2"/>
      <c r="L23" s="2">
        <f t="shared" si="2"/>
        <v>0</v>
      </c>
      <c r="M23" s="2"/>
      <c r="N23" s="6">
        <f t="shared" si="3"/>
        <v>0</v>
      </c>
      <c r="O23" s="14"/>
      <c r="P23" s="2">
        <f>SUM(OSRRefP22_2x_0)</f>
        <v>0</v>
      </c>
      <c r="Q23" s="2"/>
      <c r="R23" s="6">
        <f t="shared" si="4"/>
        <v>0</v>
      </c>
      <c r="S23" s="2"/>
      <c r="T23" s="2">
        <f>SUM(OSRRefT22_2x_0)</f>
        <v>0</v>
      </c>
      <c r="U23" s="2"/>
      <c r="V23" s="6">
        <f t="shared" si="5"/>
        <v>0</v>
      </c>
      <c r="W23" s="2"/>
      <c r="X23" s="2">
        <f t="shared" si="6"/>
        <v>0</v>
      </c>
      <c r="Y23" s="2"/>
      <c r="Z23" s="6">
        <f t="shared" si="7"/>
        <v>0</v>
      </c>
    </row>
    <row r="24" spans="1:26" s="70" customFormat="1" ht="15" hidden="1" customHeight="1" outlineLevel="2" x14ac:dyDescent="0.3">
      <c r="A24" s="26"/>
      <c r="B24" s="12" t="str">
        <f>CONCATENATE("          ","6284"," - ","TRASH REMOVAL EXPENSE")</f>
        <v xml:space="preserve">          6284 - TRASH REMOVAL EXPENSE</v>
      </c>
      <c r="C24" s="12"/>
      <c r="D24" s="7"/>
      <c r="E24" s="3"/>
      <c r="F24" s="8">
        <f t="shared" si="0"/>
        <v>0</v>
      </c>
      <c r="G24" s="3"/>
      <c r="H24" s="7"/>
      <c r="I24" s="3"/>
      <c r="J24" s="8">
        <f t="shared" si="1"/>
        <v>0</v>
      </c>
      <c r="K24" s="3"/>
      <c r="L24" s="7">
        <f t="shared" si="2"/>
        <v>0</v>
      </c>
      <c r="M24" s="3"/>
      <c r="N24" s="8">
        <f t="shared" si="3"/>
        <v>0</v>
      </c>
      <c r="O24" s="12"/>
      <c r="P24" s="7"/>
      <c r="Q24" s="3"/>
      <c r="R24" s="8">
        <f t="shared" si="4"/>
        <v>0</v>
      </c>
      <c r="S24" s="3"/>
      <c r="T24" s="7">
        <v>0</v>
      </c>
      <c r="U24" s="3"/>
      <c r="V24" s="8">
        <f t="shared" si="5"/>
        <v>0</v>
      </c>
      <c r="W24" s="3"/>
      <c r="X24" s="7">
        <f t="shared" si="6"/>
        <v>0</v>
      </c>
      <c r="Y24" s="3"/>
      <c r="Z24" s="8">
        <f t="shared" si="7"/>
        <v>0</v>
      </c>
    </row>
    <row r="25" spans="1:26" s="65" customFormat="1" ht="15" customHeight="1" x14ac:dyDescent="0.3">
      <c r="A25" s="35"/>
      <c r="B25" s="35"/>
      <c r="C25" s="35"/>
      <c r="D25" s="2"/>
      <c r="E25" s="2"/>
      <c r="F25" s="6"/>
      <c r="G25" s="2"/>
      <c r="H25" s="2"/>
      <c r="I25" s="2"/>
      <c r="J25" s="6"/>
      <c r="K25" s="2"/>
      <c r="L25" s="2"/>
      <c r="M25" s="2"/>
      <c r="N25" s="6"/>
      <c r="O25" s="35"/>
      <c r="P25" s="2"/>
      <c r="Q25" s="2"/>
      <c r="R25" s="6"/>
      <c r="S25" s="2"/>
      <c r="T25" s="2"/>
      <c r="U25" s="2"/>
      <c r="V25" s="6"/>
      <c r="W25" s="2"/>
      <c r="X25" s="2"/>
      <c r="Y25" s="2"/>
      <c r="Z25" s="6"/>
    </row>
    <row r="26" spans="1:26" s="63" customFormat="1" ht="15" customHeight="1" x14ac:dyDescent="0.3">
      <c r="A26" s="11"/>
      <c r="B26" s="28" t="s">
        <v>291</v>
      </c>
      <c r="C26" s="11"/>
      <c r="D26" s="5">
        <f>SUM(0)</f>
        <v>0</v>
      </c>
      <c r="E26" s="5"/>
      <c r="F26" s="13">
        <f>IF(D$12=0,0,D26/D$12)</f>
        <v>0</v>
      </c>
      <c r="G26" s="5"/>
      <c r="H26" s="5">
        <f>SUM(0)</f>
        <v>0</v>
      </c>
      <c r="I26" s="5"/>
      <c r="J26" s="13">
        <f>IF(H$12=0,0,H26/H$12)</f>
        <v>0</v>
      </c>
      <c r="K26" s="5"/>
      <c r="L26" s="5">
        <f>+D26-H26</f>
        <v>0</v>
      </c>
      <c r="M26" s="5"/>
      <c r="N26" s="13">
        <f>IF(H26=0,0,L26/H26)</f>
        <v>0</v>
      </c>
      <c r="O26" s="11"/>
      <c r="P26" s="5">
        <f>SUM(0)</f>
        <v>0</v>
      </c>
      <c r="Q26" s="5"/>
      <c r="R26" s="13">
        <f>IF(P$12=0,0,P26/P$12)</f>
        <v>0</v>
      </c>
      <c r="S26" s="5"/>
      <c r="T26" s="5">
        <f>SUM(0)</f>
        <v>0</v>
      </c>
      <c r="U26" s="5"/>
      <c r="V26" s="13">
        <f>IF(T$12=0,0,T26/T$12)</f>
        <v>0</v>
      </c>
      <c r="W26" s="5"/>
      <c r="X26" s="5">
        <f>+P26-T26</f>
        <v>0</v>
      </c>
      <c r="Y26" s="5"/>
      <c r="Z26" s="13">
        <f>IF(T26=0,0,X26/T26)</f>
        <v>0</v>
      </c>
    </row>
    <row r="27" spans="1:26" ht="15" customHeight="1" x14ac:dyDescent="0.3">
      <c r="A27" s="10"/>
      <c r="B27" s="11"/>
      <c r="C27" s="11"/>
      <c r="D27" s="4"/>
      <c r="E27" s="4"/>
      <c r="F27" s="9"/>
      <c r="G27" s="4"/>
      <c r="H27" s="4"/>
      <c r="I27" s="4"/>
      <c r="J27" s="9"/>
      <c r="K27" s="4"/>
      <c r="L27" s="4"/>
      <c r="M27" s="4"/>
      <c r="N27" s="9"/>
      <c r="O27" s="11"/>
      <c r="P27" s="4"/>
      <c r="Q27" s="4"/>
      <c r="R27" s="9"/>
      <c r="S27" s="4"/>
      <c r="T27" s="4"/>
      <c r="U27" s="4"/>
      <c r="V27" s="9"/>
      <c r="W27" s="4"/>
      <c r="X27" s="4"/>
      <c r="Y27" s="4"/>
      <c r="Z27" s="9"/>
    </row>
    <row r="28" spans="1:26" s="63" customFormat="1" ht="15" customHeight="1" x14ac:dyDescent="0.3">
      <c r="A28" s="11"/>
      <c r="B28" s="27" t="s">
        <v>292</v>
      </c>
      <c r="C28" s="27"/>
      <c r="D28" s="21">
        <f>+D16-D18+D26</f>
        <v>-479.29</v>
      </c>
      <c r="E28" s="15"/>
      <c r="F28" s="23">
        <f>IF(D$12=0,0,D28/D$12)</f>
        <v>0</v>
      </c>
      <c r="G28" s="15"/>
      <c r="H28" s="21">
        <f>+H16-H18+H26</f>
        <v>-479</v>
      </c>
      <c r="I28" s="15"/>
      <c r="J28" s="23">
        <f>IF(H$12=0,0,H28/H$12)</f>
        <v>0</v>
      </c>
      <c r="K28" s="16"/>
      <c r="L28" s="21">
        <f>+D28-H28</f>
        <v>-0.29000000000002046</v>
      </c>
      <c r="M28" s="16"/>
      <c r="N28" s="23">
        <f>IF(H28=0,0,L28/H28)</f>
        <v>6.054279749478506E-4</v>
      </c>
      <c r="O28" s="28"/>
      <c r="P28" s="21">
        <f>+P16-P18+P26</f>
        <v>-4792.6099999999997</v>
      </c>
      <c r="Q28" s="15"/>
      <c r="R28" s="23">
        <f>IF(P$12=0,0,P28/P$12)</f>
        <v>0</v>
      </c>
      <c r="S28" s="15"/>
      <c r="T28" s="21">
        <f>+T16-T18+T26</f>
        <v>-4311</v>
      </c>
      <c r="U28" s="15"/>
      <c r="V28" s="23">
        <f>IF(T$12=0,0,T28/T$12)</f>
        <v>0</v>
      </c>
      <c r="W28" s="16"/>
      <c r="X28" s="21">
        <f>+P28-T28</f>
        <v>-481.60999999999967</v>
      </c>
      <c r="Y28" s="16"/>
      <c r="Z28" s="23">
        <f>IF(T28=0,0,X28/T28)</f>
        <v>0.11171653908605884</v>
      </c>
    </row>
    <row r="29" spans="1:26" ht="15" customHeight="1" x14ac:dyDescent="0.3">
      <c r="A29" s="10"/>
      <c r="B29" s="11"/>
      <c r="C29" s="10"/>
      <c r="D29" s="4"/>
      <c r="E29" s="4"/>
      <c r="F29" s="9"/>
      <c r="G29" s="4"/>
      <c r="H29" s="4"/>
      <c r="I29" s="4"/>
      <c r="J29" s="9"/>
      <c r="K29" s="4"/>
      <c r="L29" s="4"/>
      <c r="M29" s="4"/>
      <c r="N29" s="9"/>
      <c r="P29" s="4"/>
      <c r="Q29" s="4"/>
      <c r="R29" s="9"/>
      <c r="S29" s="4"/>
      <c r="T29" s="4"/>
      <c r="U29" s="4"/>
      <c r="V29" s="9"/>
      <c r="W29" s="4"/>
      <c r="X29" s="4"/>
      <c r="Y29" s="4"/>
      <c r="Z29" s="9"/>
    </row>
    <row r="30" spans="1:26" s="63" customFormat="1" ht="15" customHeight="1" x14ac:dyDescent="0.3">
      <c r="A30" s="49"/>
      <c r="B30" s="11" t="s">
        <v>293</v>
      </c>
      <c r="C30" s="11"/>
      <c r="D30" s="5"/>
      <c r="E30" s="5"/>
      <c r="F30" s="13">
        <f>IF(D$12=0,0,D30/D$12)</f>
        <v>0</v>
      </c>
      <c r="G30" s="5"/>
      <c r="H30" s="5"/>
      <c r="I30" s="5"/>
      <c r="J30" s="13">
        <f>IF(H$12=0,0,H30/H$12)</f>
        <v>0</v>
      </c>
      <c r="K30" s="5"/>
      <c r="L30" s="5">
        <f>+D30-H30</f>
        <v>0</v>
      </c>
      <c r="M30" s="5"/>
      <c r="N30" s="13">
        <f>IF(H30=0,0,L30/H30)</f>
        <v>0</v>
      </c>
      <c r="O30" s="11"/>
      <c r="P30" s="5"/>
      <c r="Q30" s="5"/>
      <c r="R30" s="13">
        <f>IF(P$12=0,0,P30/P$12)</f>
        <v>0</v>
      </c>
      <c r="S30" s="5"/>
      <c r="T30" s="5"/>
      <c r="U30" s="5"/>
      <c r="V30" s="13">
        <f>IF(T$12=0,0,T30/T$12)</f>
        <v>0</v>
      </c>
      <c r="W30" s="5"/>
      <c r="X30" s="5">
        <f>+P30-T30</f>
        <v>0</v>
      </c>
      <c r="Y30" s="5"/>
      <c r="Z30" s="13">
        <f>IF(T30=0,0,X30/T30)</f>
        <v>0</v>
      </c>
    </row>
    <row r="31" spans="1:26" ht="15" customHeight="1" x14ac:dyDescent="0.3">
      <c r="A31" s="10"/>
      <c r="B31" s="11"/>
      <c r="C31" s="11"/>
      <c r="D31" s="4"/>
      <c r="E31" s="4"/>
      <c r="F31" s="9"/>
      <c r="G31" s="4"/>
      <c r="H31" s="4"/>
      <c r="I31" s="4"/>
      <c r="J31" s="9"/>
      <c r="K31" s="4"/>
      <c r="L31" s="4"/>
      <c r="M31" s="4"/>
      <c r="N31" s="9"/>
      <c r="O31" s="11"/>
      <c r="P31" s="4"/>
      <c r="Q31" s="4"/>
      <c r="R31" s="9"/>
      <c r="S31" s="4"/>
      <c r="T31" s="4"/>
      <c r="U31" s="4"/>
      <c r="V31" s="9"/>
      <c r="W31" s="4"/>
      <c r="X31" s="4"/>
      <c r="Y31" s="4"/>
      <c r="Z31" s="9"/>
    </row>
    <row r="32" spans="1:26" s="63" customFormat="1" ht="15" customHeight="1" x14ac:dyDescent="0.3">
      <c r="A32" s="11"/>
      <c r="B32" s="27" t="s">
        <v>294</v>
      </c>
      <c r="C32" s="27"/>
      <c r="D32" s="34">
        <f>+D28-D30</f>
        <v>-479.29</v>
      </c>
      <c r="E32" s="15"/>
      <c r="F32" s="29">
        <f>IF(D$12=0,0,D32/D$12)</f>
        <v>0</v>
      </c>
      <c r="G32" s="15"/>
      <c r="H32" s="34">
        <f>+H28-H30</f>
        <v>-479</v>
      </c>
      <c r="I32" s="15"/>
      <c r="J32" s="29">
        <f>IF(H$12=0,0,H32/H$12)</f>
        <v>0</v>
      </c>
      <c r="K32" s="16"/>
      <c r="L32" s="34">
        <f>D32-H32</f>
        <v>-0.29000000000002046</v>
      </c>
      <c r="M32" s="16"/>
      <c r="N32" s="29">
        <f>IF(H32=0,0,L32/H32)</f>
        <v>6.054279749478506E-4</v>
      </c>
      <c r="O32" s="28"/>
      <c r="P32" s="34">
        <f>+P28-P30</f>
        <v>-4792.6099999999997</v>
      </c>
      <c r="Q32" s="15"/>
      <c r="R32" s="29">
        <f>IF(P$12=0,0,P32/P$12)</f>
        <v>0</v>
      </c>
      <c r="S32" s="15"/>
      <c r="T32" s="34">
        <f>+T28-T30</f>
        <v>-4311</v>
      </c>
      <c r="U32" s="15"/>
      <c r="V32" s="29">
        <f>IF(T$12=0,0,T32/T$12)</f>
        <v>0</v>
      </c>
      <c r="W32" s="16"/>
      <c r="X32" s="34">
        <f>P32-T32</f>
        <v>-481.60999999999967</v>
      </c>
      <c r="Y32" s="16"/>
      <c r="Z32" s="29">
        <f>IF(T32=0,0,X32/T32)</f>
        <v>0.11171653908605884</v>
      </c>
    </row>
    <row r="33" spans="1:26" ht="15" customHeight="1" x14ac:dyDescent="0.3">
      <c r="A33" s="10"/>
      <c r="B33" s="10"/>
      <c r="C33" s="10"/>
      <c r="D33" s="4"/>
      <c r="E33" s="4"/>
      <c r="F33" s="9"/>
      <c r="G33" s="4"/>
      <c r="H33" s="4"/>
      <c r="I33" s="4"/>
      <c r="J33" s="9"/>
      <c r="K33" s="4"/>
      <c r="L33" s="4"/>
      <c r="M33" s="4"/>
      <c r="N33" s="9"/>
      <c r="P33" s="4"/>
      <c r="Q33" s="4"/>
      <c r="R33" s="9"/>
      <c r="S33" s="4"/>
      <c r="T33" s="4"/>
      <c r="U33" s="4"/>
      <c r="V33" s="9"/>
      <c r="W33" s="4"/>
      <c r="X33" s="4"/>
      <c r="Y33" s="4"/>
      <c r="Z33" s="9"/>
    </row>
    <row r="34" spans="1:26" ht="15" customHeight="1" x14ac:dyDescent="0.3">
      <c r="A34" s="10"/>
      <c r="B34" s="10"/>
      <c r="C34" s="10"/>
      <c r="D34" s="4"/>
      <c r="E34" s="4"/>
      <c r="F34" s="9"/>
      <c r="G34" s="4"/>
      <c r="H34" s="4"/>
      <c r="I34" s="4"/>
      <c r="J34" s="9"/>
      <c r="K34" s="4"/>
      <c r="L34" s="4"/>
      <c r="M34" s="4"/>
      <c r="N34" s="9"/>
      <c r="P34" s="4"/>
      <c r="Q34" s="4"/>
      <c r="R34" s="9"/>
      <c r="S34" s="4"/>
      <c r="T34" s="4"/>
      <c r="U34" s="4"/>
      <c r="V34" s="9"/>
      <c r="W34" s="4"/>
      <c r="X34" s="4"/>
      <c r="Y34" s="4"/>
      <c r="Z34" s="9"/>
    </row>
    <row r="35" spans="1:26" s="63" customFormat="1" ht="15" customHeight="1" x14ac:dyDescent="0.3">
      <c r="A35" s="11"/>
      <c r="B35" s="27" t="s">
        <v>297</v>
      </c>
      <c r="C35" s="27"/>
      <c r="D35" s="32">
        <f>SUM(D32:D34)</f>
        <v>-479.29</v>
      </c>
      <c r="E35" s="15"/>
      <c r="F35" s="31">
        <f>IF(D$12=0,0,D35/D$12)</f>
        <v>0</v>
      </c>
      <c r="G35" s="15"/>
      <c r="H35" s="32">
        <f>SUM(H32:H34)</f>
        <v>-479</v>
      </c>
      <c r="I35" s="15"/>
      <c r="J35" s="31">
        <f>IF(H$12=0,0,H35/H$12)</f>
        <v>0</v>
      </c>
      <c r="K35" s="16"/>
      <c r="L35" s="32">
        <f>+D35-H35</f>
        <v>-0.29000000000002046</v>
      </c>
      <c r="M35" s="16"/>
      <c r="N35" s="31">
        <f>IF(H35=0,0,L35/H35)</f>
        <v>6.054279749478506E-4</v>
      </c>
      <c r="O35" s="28"/>
      <c r="P35" s="32">
        <f>SUM(P32:P34)</f>
        <v>-4792.6099999999997</v>
      </c>
      <c r="Q35" s="15"/>
      <c r="R35" s="31">
        <f>IF(P$12=0,0,P35/P$12)</f>
        <v>0</v>
      </c>
      <c r="S35" s="15"/>
      <c r="T35" s="32">
        <f>SUM(T32:T34)</f>
        <v>-4311</v>
      </c>
      <c r="U35" s="15"/>
      <c r="V35" s="31">
        <f>IF(T$12=0,0,T35/T$12)</f>
        <v>0</v>
      </c>
      <c r="W35" s="16"/>
      <c r="X35" s="32">
        <f>+P35-T35</f>
        <v>-481.60999999999967</v>
      </c>
      <c r="Y35" s="16"/>
      <c r="Z35" s="31">
        <f>IF(T35=0,0,X35/T35)</f>
        <v>0.11171653908605884</v>
      </c>
    </row>
    <row r="36" spans="1:26" ht="15" customHeight="1" x14ac:dyDescent="0.3">
      <c r="A36" s="10"/>
      <c r="C36" s="10"/>
      <c r="D36" s="19"/>
      <c r="E36" s="19"/>
      <c r="G36" s="19"/>
      <c r="H36" s="19"/>
      <c r="I36" s="19"/>
      <c r="J36" s="40"/>
      <c r="K36" s="19"/>
      <c r="L36" s="19"/>
      <c r="M36" s="19"/>
      <c r="P36" s="19"/>
      <c r="Q36" s="19"/>
      <c r="R36" s="40"/>
      <c r="S36" s="19"/>
      <c r="T36" s="19"/>
      <c r="U36" s="19"/>
      <c r="V36" s="40"/>
      <c r="W36" s="19"/>
      <c r="X36" s="19"/>
    </row>
    <row r="37" spans="1:26" ht="15" customHeight="1" x14ac:dyDescent="0.3">
      <c r="A37" s="10"/>
      <c r="B37" s="51">
        <v>44663.047665428239</v>
      </c>
      <c r="D37" s="19"/>
      <c r="E37" s="19"/>
      <c r="G37" s="19"/>
      <c r="H37" s="19"/>
      <c r="I37" s="19"/>
      <c r="J37" s="40"/>
      <c r="K37" s="19"/>
      <c r="L37" s="19"/>
      <c r="M37" s="19"/>
      <c r="P37" s="19"/>
      <c r="Q37" s="19"/>
      <c r="R37" s="40"/>
      <c r="S37" s="19"/>
      <c r="T37" s="19"/>
      <c r="U37" s="19"/>
      <c r="V37" s="40"/>
      <c r="W37" s="19"/>
      <c r="X37" s="19"/>
    </row>
    <row r="38" spans="1:26" ht="15" customHeight="1" x14ac:dyDescent="0.3">
      <c r="A38" s="10"/>
      <c r="B38" s="58" t="s">
        <v>298</v>
      </c>
      <c r="D38" s="19"/>
      <c r="E38" s="19"/>
      <c r="G38" s="19"/>
      <c r="H38" s="19"/>
      <c r="I38" s="19"/>
      <c r="J38" s="40"/>
      <c r="K38" s="19"/>
      <c r="L38" s="19"/>
      <c r="M38" s="19"/>
      <c r="P38" s="19"/>
      <c r="Q38" s="19"/>
      <c r="R38" s="40"/>
      <c r="S38" s="19"/>
      <c r="T38" s="19"/>
      <c r="U38" s="19"/>
      <c r="V38" s="40"/>
      <c r="W38" s="19"/>
      <c r="X38" s="19"/>
    </row>
    <row r="39" spans="1:26" ht="15" customHeight="1" x14ac:dyDescent="0.3">
      <c r="A39" s="10"/>
      <c r="B39" s="50"/>
      <c r="D39" s="19"/>
      <c r="E39" s="19"/>
      <c r="G39" s="19"/>
      <c r="H39" s="19"/>
      <c r="I39" s="19"/>
      <c r="J39" s="40"/>
      <c r="K39" s="19"/>
      <c r="L39" s="19"/>
      <c r="M39" s="19"/>
      <c r="P39" s="19"/>
      <c r="Q39" s="19"/>
      <c r="R39" s="40"/>
      <c r="S39" s="19"/>
      <c r="T39" s="19"/>
      <c r="U39" s="19"/>
      <c r="V39" s="40"/>
      <c r="W39" s="19"/>
      <c r="X39" s="19"/>
    </row>
    <row r="40" spans="1:26" ht="15" customHeight="1" x14ac:dyDescent="0.3">
      <c r="D40" s="19"/>
      <c r="E40" s="19"/>
      <c r="G40" s="19"/>
      <c r="H40" s="19"/>
      <c r="I40" s="19"/>
      <c r="J40" s="40"/>
      <c r="K40" s="19"/>
      <c r="L40" s="19"/>
      <c r="M40" s="19"/>
      <c r="P40" s="19"/>
      <c r="Q40" s="19"/>
      <c r="R40" s="40"/>
      <c r="S40" s="19"/>
      <c r="T40" s="19"/>
      <c r="U40" s="19"/>
      <c r="V40" s="40"/>
      <c r="W40" s="19"/>
      <c r="X40" s="19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401439-CE9D-F774-4BAA-BF7B25379D0A}">
  <sheetPr>
    <tabColor rgb="FF92D050"/>
    <outlinePr summaryBelow="0" summaryRight="0"/>
  </sheetPr>
  <dimension ref="A2:Z48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6" customWidth="1"/>
    <col min="2" max="2" width="33.44140625" style="66" customWidth="1"/>
    <col min="3" max="3" width="1.88671875" style="66" customWidth="1"/>
    <col min="4" max="4" width="15" style="66" customWidth="1"/>
    <col min="5" max="5" width="1.88671875" style="66" customWidth="1" outlineLevel="1"/>
    <col min="6" max="6" width="15" style="67" customWidth="1" outlineLevel="1"/>
    <col min="7" max="7" width="1.88671875" style="66" customWidth="1" outlineLevel="1"/>
    <col min="8" max="8" width="15" style="66" customWidth="1" outlineLevel="1"/>
    <col min="9" max="9" width="1.88671875" style="66" customWidth="1" outlineLevel="1"/>
    <col min="10" max="10" width="15" style="68" customWidth="1" outlineLevel="1"/>
    <col min="11" max="11" width="1.88671875" style="66" customWidth="1" outlineLevel="1"/>
    <col min="12" max="12" width="15" style="66" customWidth="1" outlineLevel="1"/>
    <col min="13" max="13" width="1.88671875" style="66" customWidth="1" outlineLevel="1"/>
    <col min="14" max="14" width="15" style="67" customWidth="1" outlineLevel="1"/>
    <col min="15" max="15" width="1.88671875" style="64" customWidth="1"/>
    <col min="16" max="16" width="15" style="66" customWidth="1"/>
    <col min="17" max="17" width="1.88671875" style="66" customWidth="1" outlineLevel="1"/>
    <col min="18" max="18" width="15" style="68" customWidth="1" outlineLevel="1"/>
    <col min="19" max="19" width="1.88671875" style="66" customWidth="1" outlineLevel="1"/>
    <col min="20" max="20" width="15" style="66" customWidth="1" outlineLevel="1"/>
    <col min="21" max="21" width="1.88671875" style="66" customWidth="1" outlineLevel="1"/>
    <col min="22" max="22" width="15" style="68" customWidth="1" outlineLevel="1"/>
    <col min="23" max="23" width="1.88671875" style="66" customWidth="1" outlineLevel="1"/>
    <col min="24" max="24" width="15" style="66" customWidth="1" outlineLevel="1"/>
    <col min="25" max="25" width="1.88671875" style="66" customWidth="1" outlineLevel="1"/>
    <col min="26" max="26" width="15" style="68" customWidth="1" outlineLevel="1"/>
  </cols>
  <sheetData>
    <row r="2" spans="1:26" ht="15" customHeight="1" x14ac:dyDescent="0.3">
      <c r="D2" s="54" t="s">
        <v>276</v>
      </c>
    </row>
    <row r="3" spans="1:26" ht="15" customHeight="1" x14ac:dyDescent="0.3">
      <c r="D3" s="54" t="s">
        <v>277</v>
      </c>
      <c r="E3" s="18"/>
      <c r="F3" s="44"/>
      <c r="G3" s="18"/>
      <c r="H3" s="18"/>
      <c r="I3" s="18"/>
      <c r="J3" s="38"/>
      <c r="K3" s="18"/>
      <c r="L3" s="18"/>
      <c r="M3" s="18"/>
      <c r="N3" s="44"/>
      <c r="O3" s="53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ht="15" customHeight="1" x14ac:dyDescent="0.3">
      <c r="D4" s="54" t="str">
        <f>CONCATENATE("Period ",RIGHT(202209,2),", ",2022)</f>
        <v>Period 09, 2022</v>
      </c>
      <c r="E4" s="18"/>
      <c r="F4" s="44"/>
      <c r="G4" s="18"/>
      <c r="H4" s="18"/>
      <c r="I4" s="18"/>
      <c r="J4" s="38"/>
      <c r="K4" s="18"/>
      <c r="L4" s="18"/>
      <c r="M4" s="18"/>
      <c r="N4" s="44"/>
      <c r="O4" s="53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ht="15" customHeight="1" x14ac:dyDescent="0.3">
      <c r="A5" s="24"/>
      <c r="D5" s="60">
        <v>44646</v>
      </c>
      <c r="E5" s="18"/>
      <c r="F5" s="44"/>
      <c r="G5" s="18"/>
      <c r="H5" s="18"/>
      <c r="I5" s="18"/>
      <c r="J5" s="38"/>
      <c r="K5" s="18"/>
      <c r="L5" s="18"/>
      <c r="M5" s="18"/>
      <c r="N5" s="44"/>
      <c r="O5" s="53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ht="15" customHeight="1" x14ac:dyDescent="0.3">
      <c r="A6" s="24"/>
      <c r="B6" s="47"/>
      <c r="C6" s="47"/>
      <c r="D6" s="24" t="str">
        <f>CONCATENATE("Department ","425"," - ","Events Center")</f>
        <v>Department 425 - Events Center</v>
      </c>
      <c r="E6" s="18"/>
      <c r="F6" s="44"/>
      <c r="G6" s="18"/>
      <c r="H6" s="18"/>
      <c r="I6" s="18"/>
      <c r="J6" s="38"/>
      <c r="K6" s="18"/>
      <c r="L6" s="18"/>
      <c r="M6" s="18"/>
      <c r="N6" s="44"/>
      <c r="O6" s="59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ht="15" customHeight="1" x14ac:dyDescent="0.3">
      <c r="B7" s="52"/>
    </row>
    <row r="8" spans="1:26" ht="15" customHeight="1" x14ac:dyDescent="0.3">
      <c r="B8" s="52"/>
    </row>
    <row r="9" spans="1:26" ht="15" customHeight="1" x14ac:dyDescent="0.3">
      <c r="B9" s="10"/>
      <c r="C9" s="10"/>
      <c r="D9" s="17" t="s">
        <v>279</v>
      </c>
      <c r="E9" s="17"/>
      <c r="F9" s="36"/>
      <c r="G9" s="17"/>
      <c r="H9" s="17"/>
      <c r="I9" s="17"/>
      <c r="J9" s="43"/>
      <c r="K9" s="17"/>
      <c r="L9" s="17"/>
      <c r="M9" s="17"/>
      <c r="N9" s="36"/>
      <c r="P9" s="17" t="s">
        <v>280</v>
      </c>
      <c r="Q9" s="17"/>
      <c r="R9" s="36"/>
      <c r="S9" s="17"/>
      <c r="T9" s="17"/>
      <c r="U9" s="17"/>
      <c r="V9" s="43"/>
      <c r="W9" s="17"/>
      <c r="X9" s="17"/>
      <c r="Y9" s="17"/>
      <c r="Z9" s="36"/>
    </row>
    <row r="10" spans="1:26" ht="15" customHeight="1" x14ac:dyDescent="0.3">
      <c r="A10" s="11"/>
      <c r="B10" s="57"/>
      <c r="C10" s="11"/>
      <c r="D10" s="41" t="s">
        <v>281</v>
      </c>
      <c r="E10" s="33"/>
      <c r="F10" s="37" t="s">
        <v>282</v>
      </c>
      <c r="G10" s="33"/>
      <c r="H10" s="48" t="s">
        <v>283</v>
      </c>
      <c r="I10" s="33"/>
      <c r="J10" s="45" t="s">
        <v>284</v>
      </c>
      <c r="K10" s="11"/>
      <c r="L10" s="41" t="s">
        <v>285</v>
      </c>
      <c r="M10" s="11"/>
      <c r="N10" s="37" t="s">
        <v>286</v>
      </c>
      <c r="O10" s="11"/>
      <c r="P10" s="56" t="s">
        <v>281</v>
      </c>
      <c r="Q10" s="33"/>
      <c r="R10" s="37" t="s">
        <v>282</v>
      </c>
      <c r="S10" s="33"/>
      <c r="T10" s="48" t="s">
        <v>283</v>
      </c>
      <c r="U10" s="33"/>
      <c r="V10" s="45" t="s">
        <v>284</v>
      </c>
      <c r="W10" s="11"/>
      <c r="X10" s="41" t="s">
        <v>285</v>
      </c>
      <c r="Y10" s="11"/>
      <c r="Z10" s="37" t="s">
        <v>286</v>
      </c>
    </row>
    <row r="11" spans="1:26" ht="16.5" customHeight="1" x14ac:dyDescent="0.3">
      <c r="A11" s="10"/>
      <c r="B11" s="55"/>
      <c r="C11" s="10"/>
      <c r="D11" s="10"/>
      <c r="E11" s="10"/>
      <c r="F11" s="9"/>
      <c r="G11" s="10"/>
      <c r="H11" s="10"/>
      <c r="I11" s="10"/>
      <c r="J11" s="46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6"/>
      <c r="W11" s="10"/>
      <c r="X11" s="10"/>
      <c r="Y11" s="10"/>
      <c r="Z11" s="9"/>
    </row>
    <row r="12" spans="1:26" s="63" customFormat="1" ht="15" customHeight="1" collapsed="1" x14ac:dyDescent="0.3">
      <c r="A12" s="11"/>
      <c r="B12" s="28" t="s">
        <v>287</v>
      </c>
      <c r="C12" s="11"/>
      <c r="D12" s="5">
        <f>SUM(OSRRefD13x_0)</f>
        <v>2334.69</v>
      </c>
      <c r="E12" s="5"/>
      <c r="F12" s="13"/>
      <c r="G12" s="5"/>
      <c r="H12" s="5">
        <f>SUM(OSRRefH13x_0)</f>
        <v>0</v>
      </c>
      <c r="I12" s="5"/>
      <c r="J12" s="13"/>
      <c r="K12" s="5"/>
      <c r="L12" s="5">
        <f>+D12-H12</f>
        <v>2334.69</v>
      </c>
      <c r="M12" s="5"/>
      <c r="N12" s="13">
        <f>IF(H12=0,0,L12/H12)</f>
        <v>0</v>
      </c>
      <c r="O12" s="11"/>
      <c r="P12" s="5">
        <f>SUM(OSRRefP13x_0)</f>
        <v>16870.43</v>
      </c>
      <c r="Q12" s="5"/>
      <c r="R12" s="13"/>
      <c r="S12" s="5"/>
      <c r="T12" s="5">
        <f>SUM(OSRRefT13x_0)</f>
        <v>0</v>
      </c>
      <c r="U12" s="5"/>
      <c r="V12" s="13"/>
      <c r="W12" s="5"/>
      <c r="X12" s="5">
        <f>+P12-T12</f>
        <v>16870.43</v>
      </c>
      <c r="Y12" s="5"/>
      <c r="Z12" s="13">
        <f>IF(T12=0,0,X12/T12)</f>
        <v>0</v>
      </c>
    </row>
    <row r="13" spans="1:26" s="70" customFormat="1" ht="15" hidden="1" customHeight="1" outlineLevel="1" x14ac:dyDescent="0.3">
      <c r="A13" s="42"/>
      <c r="B13" s="12" t="str">
        <f>CONCATENATE("          ","4053"," - ","TAXABLE SALES-FOOD")</f>
        <v xml:space="preserve">          4053 - TAXABLE SALES-FOOD</v>
      </c>
      <c r="C13" s="12"/>
      <c r="D13" s="3">
        <f>--2334.69</f>
        <v>2334.69</v>
      </c>
      <c r="E13" s="3"/>
      <c r="F13" s="20"/>
      <c r="G13" s="3"/>
      <c r="H13" s="3"/>
      <c r="I13" s="3"/>
      <c r="J13" s="20"/>
      <c r="K13" s="3"/>
      <c r="L13" s="3">
        <f>+D13-H13</f>
        <v>2334.69</v>
      </c>
      <c r="M13" s="3"/>
      <c r="N13" s="20">
        <f>IF(H13=0,0,L13/H13)</f>
        <v>0</v>
      </c>
      <c r="O13" s="12"/>
      <c r="P13" s="3">
        <f>--16870.43</f>
        <v>16870.43</v>
      </c>
      <c r="Q13" s="3"/>
      <c r="R13" s="20"/>
      <c r="S13" s="3"/>
      <c r="T13" s="3"/>
      <c r="U13" s="3"/>
      <c r="V13" s="20"/>
      <c r="W13" s="3"/>
      <c r="X13" s="3">
        <f>+P13-T13</f>
        <v>16870.43</v>
      </c>
      <c r="Y13" s="3"/>
      <c r="Z13" s="20">
        <f>IF(T13=0,0,X13/T13)</f>
        <v>0</v>
      </c>
    </row>
    <row r="14" spans="1:26" ht="15" customHeight="1" x14ac:dyDescent="0.3">
      <c r="A14" s="10"/>
      <c r="B14" s="11"/>
      <c r="C14" s="10"/>
      <c r="D14" s="4"/>
      <c r="E14" s="4"/>
      <c r="F14" s="9"/>
      <c r="G14" s="4"/>
      <c r="H14" s="4"/>
      <c r="I14" s="4"/>
      <c r="J14" s="9"/>
      <c r="K14" s="4"/>
      <c r="L14" s="4"/>
      <c r="M14" s="4"/>
      <c r="N14" s="9"/>
      <c r="P14" s="4"/>
      <c r="Q14" s="4"/>
      <c r="R14" s="9"/>
      <c r="S14" s="4"/>
      <c r="T14" s="4"/>
      <c r="U14" s="4"/>
      <c r="V14" s="9"/>
      <c r="W14" s="4"/>
      <c r="X14" s="4"/>
      <c r="Y14" s="4"/>
      <c r="Z14" s="9"/>
    </row>
    <row r="15" spans="1:26" s="63" customFormat="1" ht="15" customHeight="1" collapsed="1" x14ac:dyDescent="0.3">
      <c r="A15" s="11"/>
      <c r="B15" s="28" t="s">
        <v>288</v>
      </c>
      <c r="C15" s="11"/>
      <c r="D15" s="5">
        <f>SUM(OSRRefD16x_0)</f>
        <v>-599</v>
      </c>
      <c r="E15" s="5"/>
      <c r="F15" s="13">
        <f>IF(D$12=0,0,D15/D$12)</f>
        <v>-0.25656511142806965</v>
      </c>
      <c r="G15" s="5"/>
      <c r="H15" s="5">
        <f>SUM(OSRRefH16x_0)</f>
        <v>0</v>
      </c>
      <c r="I15" s="5"/>
      <c r="J15" s="13">
        <f>IF(H$12=0,0,H15/H$12)</f>
        <v>0</v>
      </c>
      <c r="K15" s="5"/>
      <c r="L15" s="5">
        <f>+D15-H15</f>
        <v>-599</v>
      </c>
      <c r="M15" s="5"/>
      <c r="N15" s="13">
        <f>IF(H15=0,0,L15/H15)</f>
        <v>0</v>
      </c>
      <c r="O15" s="11"/>
      <c r="P15" s="5">
        <f>SUM(OSRRefP16x_0)</f>
        <v>7568.25</v>
      </c>
      <c r="Q15" s="5"/>
      <c r="R15" s="13">
        <f>IF(P$12=0,0,P15/P$12)</f>
        <v>0.44861037922566288</v>
      </c>
      <c r="S15" s="5"/>
      <c r="T15" s="5">
        <f>SUM(OSRRefT16x_0)</f>
        <v>0</v>
      </c>
      <c r="U15" s="5"/>
      <c r="V15" s="13">
        <f>IF(T$12=0,0,T15/T$12)</f>
        <v>0</v>
      </c>
      <c r="W15" s="5"/>
      <c r="X15" s="5">
        <f>+P15-T15</f>
        <v>7568.25</v>
      </c>
      <c r="Y15" s="5"/>
      <c r="Z15" s="13">
        <f>IF(T15=0,0,X15/T15)</f>
        <v>0</v>
      </c>
    </row>
    <row r="16" spans="1:26" s="70" customFormat="1" ht="15" hidden="1" customHeight="1" outlineLevel="1" x14ac:dyDescent="0.3">
      <c r="A16" s="42"/>
      <c r="B16" s="12" t="str">
        <f>CONCATENATE("          ","5053"," - ","PURCHASES @ COST-FOOD")</f>
        <v xml:space="preserve">          5053 - PURCHASES @ COST-FOOD</v>
      </c>
      <c r="C16" s="12"/>
      <c r="D16" s="3">
        <v>-599</v>
      </c>
      <c r="E16" s="3"/>
      <c r="F16" s="20">
        <f>IF(D$12=0,0,D16/D$12)</f>
        <v>-0.25656511142806965</v>
      </c>
      <c r="G16" s="3"/>
      <c r="H16" s="3"/>
      <c r="I16" s="3"/>
      <c r="J16" s="20">
        <f>IF(H$12=0,0,H16/H$12)</f>
        <v>0</v>
      </c>
      <c r="K16" s="3"/>
      <c r="L16" s="3">
        <f>+D16-H16</f>
        <v>-599</v>
      </c>
      <c r="M16" s="3"/>
      <c r="N16" s="20">
        <f>IF(H16=0,0,L16/H16)</f>
        <v>0</v>
      </c>
      <c r="O16" s="12"/>
      <c r="P16" s="3">
        <v>7568.25</v>
      </c>
      <c r="Q16" s="3"/>
      <c r="R16" s="20">
        <f>IF(P$12=0,0,P16/P$12)</f>
        <v>0.44861037922566288</v>
      </c>
      <c r="S16" s="3"/>
      <c r="T16" s="3"/>
      <c r="U16" s="3"/>
      <c r="V16" s="20">
        <f>IF(T$12=0,0,T16/T$12)</f>
        <v>0</v>
      </c>
      <c r="W16" s="3"/>
      <c r="X16" s="3">
        <f>+P16-T16</f>
        <v>7568.25</v>
      </c>
      <c r="Y16" s="3"/>
      <c r="Z16" s="20">
        <f>IF(T16=0,0,X16/T16)</f>
        <v>0</v>
      </c>
    </row>
    <row r="17" spans="1:26" ht="15" customHeight="1" x14ac:dyDescent="0.3">
      <c r="A17" s="10"/>
      <c r="B17" s="11"/>
      <c r="C17" s="11"/>
      <c r="D17" s="4"/>
      <c r="E17" s="4"/>
      <c r="F17" s="9"/>
      <c r="G17" s="4"/>
      <c r="H17" s="4"/>
      <c r="I17" s="4"/>
      <c r="J17" s="9"/>
      <c r="K17" s="4"/>
      <c r="L17" s="4"/>
      <c r="M17" s="4"/>
      <c r="N17" s="9"/>
      <c r="O17" s="11"/>
      <c r="P17" s="4"/>
      <c r="Q17" s="4"/>
      <c r="R17" s="9"/>
      <c r="S17" s="4"/>
      <c r="T17" s="4"/>
      <c r="U17" s="4"/>
      <c r="V17" s="9"/>
      <c r="W17" s="4"/>
      <c r="X17" s="4"/>
      <c r="Y17" s="4"/>
      <c r="Z17" s="9"/>
    </row>
    <row r="18" spans="1:26" s="63" customFormat="1" ht="15" customHeight="1" x14ac:dyDescent="0.3">
      <c r="A18" s="11"/>
      <c r="B18" s="27" t="s">
        <v>289</v>
      </c>
      <c r="C18" s="27"/>
      <c r="D18" s="21">
        <f>D12-D15</f>
        <v>2933.69</v>
      </c>
      <c r="E18" s="15"/>
      <c r="F18" s="23">
        <f>IF(D$12=0,0,D18/D$12)</f>
        <v>1.2565651114280696</v>
      </c>
      <c r="G18" s="15"/>
      <c r="H18" s="21">
        <f>H12-H15</f>
        <v>0</v>
      </c>
      <c r="I18" s="15"/>
      <c r="J18" s="23">
        <f>IF(H$12=0,0,H18/H$12)</f>
        <v>0</v>
      </c>
      <c r="K18" s="16"/>
      <c r="L18" s="21">
        <f>+D18-H18</f>
        <v>2933.69</v>
      </c>
      <c r="M18" s="16"/>
      <c r="N18" s="23">
        <f>IF(H18=0,0,L18/H18)</f>
        <v>0</v>
      </c>
      <c r="O18" s="28"/>
      <c r="P18" s="21">
        <f>P12-P15</f>
        <v>9302.18</v>
      </c>
      <c r="Q18" s="15"/>
      <c r="R18" s="23">
        <f>IF(P$12=0,0,P18/P$12)</f>
        <v>0.55138962077433706</v>
      </c>
      <c r="S18" s="15"/>
      <c r="T18" s="21">
        <f>T12-T15</f>
        <v>0</v>
      </c>
      <c r="U18" s="15"/>
      <c r="V18" s="23">
        <f>IF(T$12=0,0,T18/T$12)</f>
        <v>0</v>
      </c>
      <c r="W18" s="16"/>
      <c r="X18" s="21">
        <f>+P18-T18</f>
        <v>9302.18</v>
      </c>
      <c r="Y18" s="16"/>
      <c r="Z18" s="23">
        <f>IF(T18=0,0,X18/T18)</f>
        <v>0</v>
      </c>
    </row>
    <row r="19" spans="1:26" ht="15" customHeight="1" x14ac:dyDescent="0.3">
      <c r="A19" s="10"/>
      <c r="B19" s="11"/>
      <c r="C19" s="10"/>
      <c r="D19" s="2"/>
      <c r="E19" s="2"/>
      <c r="F19" s="6"/>
      <c r="G19" s="2"/>
      <c r="H19" s="2"/>
      <c r="I19" s="2"/>
      <c r="J19" s="6"/>
      <c r="K19" s="2"/>
      <c r="L19" s="2"/>
      <c r="M19" s="2"/>
      <c r="N19" s="6"/>
      <c r="O19" s="35"/>
      <c r="P19" s="2"/>
      <c r="Q19" s="2"/>
      <c r="R19" s="6"/>
      <c r="S19" s="2"/>
      <c r="T19" s="2"/>
      <c r="U19" s="2"/>
      <c r="V19" s="6"/>
      <c r="W19" s="2"/>
      <c r="X19" s="2"/>
      <c r="Y19" s="2"/>
      <c r="Z19" s="6"/>
    </row>
    <row r="20" spans="1:26" s="63" customFormat="1" ht="15" customHeight="1" x14ac:dyDescent="0.3">
      <c r="A20" s="11"/>
      <c r="B20" s="28" t="s">
        <v>290</v>
      </c>
      <c r="C20" s="11"/>
      <c r="D20" s="22" cm="1">
        <f t="array" ref="D20">SUM(OSRRefD22x_0)</f>
        <v>3019.7799999999997</v>
      </c>
      <c r="E20" s="22"/>
      <c r="F20" s="30">
        <f t="shared" ref="F20:F32" si="0">IF(D$12=0,0,D20/D$12)</f>
        <v>1.2934393859570219</v>
      </c>
      <c r="G20" s="22"/>
      <c r="H20" s="22" cm="1">
        <f t="array" ref="H20">SUM(OSRRefH22x_0)</f>
        <v>1001</v>
      </c>
      <c r="I20" s="22"/>
      <c r="J20" s="30">
        <f t="shared" ref="J20:J32" si="1">IF(H$12=0,0,H20/H$12)</f>
        <v>0</v>
      </c>
      <c r="K20" s="5"/>
      <c r="L20" s="22">
        <f t="shared" ref="L20:L32" si="2">+D20-H20</f>
        <v>2018.7799999999997</v>
      </c>
      <c r="M20" s="5"/>
      <c r="N20" s="30">
        <f t="shared" ref="N20:N32" si="3">IF(H20=0,0,L20/H20)</f>
        <v>2.0167632367632367</v>
      </c>
      <c r="O20" s="11"/>
      <c r="P20" s="22" cm="1">
        <f t="array" ref="P20">SUM(OSRRefP22x_0)</f>
        <v>18610.239999999998</v>
      </c>
      <c r="Q20" s="22"/>
      <c r="R20" s="30">
        <f t="shared" ref="R20:R32" si="4">IF(P$12=0,0,P20/P$12)</f>
        <v>1.1031277803825983</v>
      </c>
      <c r="S20" s="22"/>
      <c r="T20" s="22" cm="1">
        <f t="array" ref="T20">SUM(OSRRefT22x_0)</f>
        <v>9009</v>
      </c>
      <c r="U20" s="22"/>
      <c r="V20" s="30">
        <f t="shared" ref="V20:V32" si="5">IF(T$12=0,0,T20/T$12)</f>
        <v>0</v>
      </c>
      <c r="W20" s="5"/>
      <c r="X20" s="22">
        <f t="shared" ref="X20:X32" si="6">+P20-T20</f>
        <v>9601.239999999998</v>
      </c>
      <c r="Y20" s="5"/>
      <c r="Z20" s="30">
        <f t="shared" ref="Z20:Z32" si="7">IF(T20=0,0,X20/T20)</f>
        <v>1.0657387057387055</v>
      </c>
    </row>
    <row r="21" spans="1:26" s="69" customFormat="1" ht="15" customHeight="1" outlineLevel="1" collapsed="1" x14ac:dyDescent="0.3">
      <c r="A21" s="25"/>
      <c r="B21" s="14" t="str">
        <f>CONCATENATE("     ","Bank/card Fees                                    ")</f>
        <v xml:space="preserve">     Bank/card Fees                                    </v>
      </c>
      <c r="C21" s="14"/>
      <c r="D21" s="2">
        <f>SUM(OSRRefD22_0x_0)</f>
        <v>35.19</v>
      </c>
      <c r="E21" s="2"/>
      <c r="F21" s="6">
        <f t="shared" si="0"/>
        <v>1.5072664893411972E-2</v>
      </c>
      <c r="G21" s="2"/>
      <c r="H21" s="2">
        <f>SUM(OSRRefH22_0x_0)</f>
        <v>0</v>
      </c>
      <c r="I21" s="2"/>
      <c r="J21" s="6">
        <f t="shared" si="1"/>
        <v>0</v>
      </c>
      <c r="K21" s="2"/>
      <c r="L21" s="2">
        <f t="shared" si="2"/>
        <v>35.19</v>
      </c>
      <c r="M21" s="2"/>
      <c r="N21" s="6">
        <f t="shared" si="3"/>
        <v>0</v>
      </c>
      <c r="O21" s="14"/>
      <c r="P21" s="2">
        <f>SUM(OSRRefP22_0x_0)</f>
        <v>313.08</v>
      </c>
      <c r="Q21" s="2"/>
      <c r="R21" s="6">
        <f t="shared" si="4"/>
        <v>1.8557914647107394E-2</v>
      </c>
      <c r="S21" s="2"/>
      <c r="T21" s="2">
        <f>SUM(OSRRefT22_0x_0)</f>
        <v>0</v>
      </c>
      <c r="U21" s="2"/>
      <c r="V21" s="6">
        <f t="shared" si="5"/>
        <v>0</v>
      </c>
      <c r="W21" s="2"/>
      <c r="X21" s="2">
        <f t="shared" si="6"/>
        <v>313.08</v>
      </c>
      <c r="Y21" s="2"/>
      <c r="Z21" s="6">
        <f t="shared" si="7"/>
        <v>0</v>
      </c>
    </row>
    <row r="22" spans="1:26" s="70" customFormat="1" ht="15" hidden="1" customHeight="1" outlineLevel="2" x14ac:dyDescent="0.3">
      <c r="A22" s="26"/>
      <c r="B22" s="12" t="str">
        <f>CONCATENATE("          ","6381"," - ","BANK/CREDIT CARD FEES")</f>
        <v xml:space="preserve">          6381 - BANK/CREDIT CARD FEES</v>
      </c>
      <c r="C22" s="12"/>
      <c r="D22" s="7">
        <v>35.19</v>
      </c>
      <c r="E22" s="3"/>
      <c r="F22" s="8">
        <f t="shared" si="0"/>
        <v>1.5072664893411972E-2</v>
      </c>
      <c r="G22" s="3"/>
      <c r="H22" s="7"/>
      <c r="I22" s="3"/>
      <c r="J22" s="8">
        <f t="shared" si="1"/>
        <v>0</v>
      </c>
      <c r="K22" s="3"/>
      <c r="L22" s="7">
        <f t="shared" si="2"/>
        <v>35.19</v>
      </c>
      <c r="M22" s="3"/>
      <c r="N22" s="8">
        <f t="shared" si="3"/>
        <v>0</v>
      </c>
      <c r="O22" s="12"/>
      <c r="P22" s="7">
        <v>313.08</v>
      </c>
      <c r="Q22" s="3"/>
      <c r="R22" s="8">
        <f t="shared" si="4"/>
        <v>1.8557914647107394E-2</v>
      </c>
      <c r="S22" s="3"/>
      <c r="T22" s="7"/>
      <c r="U22" s="3"/>
      <c r="V22" s="8">
        <f t="shared" si="5"/>
        <v>0</v>
      </c>
      <c r="W22" s="3"/>
      <c r="X22" s="7">
        <f t="shared" si="6"/>
        <v>313.08</v>
      </c>
      <c r="Y22" s="3"/>
      <c r="Z22" s="8">
        <f t="shared" si="7"/>
        <v>0</v>
      </c>
    </row>
    <row r="23" spans="1:26" s="69" customFormat="1" ht="15" customHeight="1" outlineLevel="1" collapsed="1" x14ac:dyDescent="0.3">
      <c r="A23" s="25"/>
      <c r="B23" s="14" t="str">
        <f>CONCATENATE("     ","Depreciation                                      ")</f>
        <v xml:space="preserve">     Depreciation                                      </v>
      </c>
      <c r="C23" s="14"/>
      <c r="D23" s="2">
        <f>SUM(OSRRefD22_1x_0)</f>
        <v>1000.91</v>
      </c>
      <c r="E23" s="2"/>
      <c r="F23" s="6">
        <f t="shared" si="0"/>
        <v>0.42871216307090015</v>
      </c>
      <c r="G23" s="2"/>
      <c r="H23" s="2">
        <f>SUM(OSRRefH22_1x_0)</f>
        <v>1001</v>
      </c>
      <c r="I23" s="2"/>
      <c r="J23" s="6">
        <f t="shared" si="1"/>
        <v>0</v>
      </c>
      <c r="K23" s="2"/>
      <c r="L23" s="2">
        <f t="shared" si="2"/>
        <v>-9.0000000000031832E-2</v>
      </c>
      <c r="M23" s="2"/>
      <c r="N23" s="6">
        <f t="shared" si="3"/>
        <v>-8.9910089910121704E-5</v>
      </c>
      <c r="O23" s="14"/>
      <c r="P23" s="2">
        <f>SUM(OSRRefP22_1x_0)</f>
        <v>9008.19</v>
      </c>
      <c r="Q23" s="2"/>
      <c r="R23" s="6">
        <f t="shared" si="4"/>
        <v>0.53396327183124559</v>
      </c>
      <c r="S23" s="2"/>
      <c r="T23" s="2">
        <f>SUM(OSRRefT22_1x_0)</f>
        <v>9009</v>
      </c>
      <c r="U23" s="2"/>
      <c r="V23" s="6">
        <f t="shared" si="5"/>
        <v>0</v>
      </c>
      <c r="W23" s="2"/>
      <c r="X23" s="2">
        <f t="shared" si="6"/>
        <v>-0.80999999999949068</v>
      </c>
      <c r="Y23" s="2"/>
      <c r="Z23" s="6">
        <f t="shared" si="7"/>
        <v>-8.9910089910033382E-5</v>
      </c>
    </row>
    <row r="24" spans="1:26" s="70" customFormat="1" ht="15" hidden="1" customHeight="1" outlineLevel="2" x14ac:dyDescent="0.3">
      <c r="A24" s="26"/>
      <c r="B24" s="12" t="str">
        <f>CONCATENATE("          ","6322"," - ","EQUIPMENT DEPRECIATION EXPENSE")</f>
        <v xml:space="preserve">          6322 - EQUIPMENT DEPRECIATION EXPENSE</v>
      </c>
      <c r="C24" s="12"/>
      <c r="D24" s="7">
        <v>1000.91</v>
      </c>
      <c r="E24" s="3"/>
      <c r="F24" s="8">
        <f t="shared" si="0"/>
        <v>0.42871216307090015</v>
      </c>
      <c r="G24" s="3"/>
      <c r="H24" s="7">
        <v>1001</v>
      </c>
      <c r="I24" s="3"/>
      <c r="J24" s="8">
        <f t="shared" si="1"/>
        <v>0</v>
      </c>
      <c r="K24" s="3"/>
      <c r="L24" s="7">
        <f t="shared" si="2"/>
        <v>-9.0000000000031832E-2</v>
      </c>
      <c r="M24" s="3"/>
      <c r="N24" s="8">
        <f t="shared" si="3"/>
        <v>-8.9910089910121704E-5</v>
      </c>
      <c r="O24" s="12"/>
      <c r="P24" s="7">
        <v>9008.19</v>
      </c>
      <c r="Q24" s="3"/>
      <c r="R24" s="8">
        <f t="shared" si="4"/>
        <v>0.53396327183124559</v>
      </c>
      <c r="S24" s="3"/>
      <c r="T24" s="7">
        <v>9009</v>
      </c>
      <c r="U24" s="3"/>
      <c r="V24" s="8">
        <f t="shared" si="5"/>
        <v>0</v>
      </c>
      <c r="W24" s="3"/>
      <c r="X24" s="7">
        <f t="shared" si="6"/>
        <v>-0.80999999999949068</v>
      </c>
      <c r="Y24" s="3"/>
      <c r="Z24" s="8">
        <f t="shared" si="7"/>
        <v>-8.9910089910033382E-5</v>
      </c>
    </row>
    <row r="25" spans="1:26" s="69" customFormat="1" ht="15" customHeight="1" outlineLevel="1" collapsed="1" x14ac:dyDescent="0.3">
      <c r="A25" s="25"/>
      <c r="B25" s="14" t="str">
        <f>CONCATENATE("     ","General                                           ")</f>
        <v xml:space="preserve">     General                                           </v>
      </c>
      <c r="C25" s="14"/>
      <c r="D25" s="2">
        <f>SUM(OSRRefD22_2x_0)</f>
        <v>1400</v>
      </c>
      <c r="E25" s="2"/>
      <c r="F25" s="6">
        <f t="shared" si="0"/>
        <v>0.59965134557478716</v>
      </c>
      <c r="G25" s="2"/>
      <c r="H25" s="2">
        <f>SUM(OSRRefH22_2x_0)</f>
        <v>0</v>
      </c>
      <c r="I25" s="2"/>
      <c r="J25" s="6">
        <f t="shared" si="1"/>
        <v>0</v>
      </c>
      <c r="K25" s="2"/>
      <c r="L25" s="2">
        <f t="shared" si="2"/>
        <v>1400</v>
      </c>
      <c r="M25" s="2"/>
      <c r="N25" s="6">
        <f t="shared" si="3"/>
        <v>0</v>
      </c>
      <c r="O25" s="14"/>
      <c r="P25" s="2">
        <f>SUM(OSRRefP22_2x_0)</f>
        <v>4955</v>
      </c>
      <c r="Q25" s="2"/>
      <c r="R25" s="6">
        <f t="shared" si="4"/>
        <v>0.29370917042422745</v>
      </c>
      <c r="S25" s="2"/>
      <c r="T25" s="2">
        <f>SUM(OSRRefT22_2x_0)</f>
        <v>0</v>
      </c>
      <c r="U25" s="2"/>
      <c r="V25" s="6">
        <f t="shared" si="5"/>
        <v>0</v>
      </c>
      <c r="W25" s="2"/>
      <c r="X25" s="2">
        <f t="shared" si="6"/>
        <v>4955</v>
      </c>
      <c r="Y25" s="2"/>
      <c r="Z25" s="6">
        <f t="shared" si="7"/>
        <v>0</v>
      </c>
    </row>
    <row r="26" spans="1:26" s="70" customFormat="1" ht="15" hidden="1" customHeight="1" outlineLevel="2" x14ac:dyDescent="0.3">
      <c r="A26" s="26"/>
      <c r="B26" s="12" t="str">
        <f>CONCATENATE("          ","6279"," - ","GENERAL EXPENSE")</f>
        <v xml:space="preserve">          6279 - GENERAL EXPENSE</v>
      </c>
      <c r="C26" s="12"/>
      <c r="D26" s="7">
        <v>1400</v>
      </c>
      <c r="E26" s="3"/>
      <c r="F26" s="8">
        <f t="shared" si="0"/>
        <v>0.59965134557478716</v>
      </c>
      <c r="G26" s="3"/>
      <c r="H26" s="7"/>
      <c r="I26" s="3"/>
      <c r="J26" s="8">
        <f t="shared" si="1"/>
        <v>0</v>
      </c>
      <c r="K26" s="3"/>
      <c r="L26" s="7">
        <f t="shared" si="2"/>
        <v>1400</v>
      </c>
      <c r="M26" s="3"/>
      <c r="N26" s="8">
        <f t="shared" si="3"/>
        <v>0</v>
      </c>
      <c r="O26" s="12"/>
      <c r="P26" s="7">
        <v>4955</v>
      </c>
      <c r="Q26" s="3"/>
      <c r="R26" s="8">
        <f t="shared" si="4"/>
        <v>0.29370917042422745</v>
      </c>
      <c r="S26" s="3"/>
      <c r="T26" s="7"/>
      <c r="U26" s="3"/>
      <c r="V26" s="8">
        <f t="shared" si="5"/>
        <v>0</v>
      </c>
      <c r="W26" s="3"/>
      <c r="X26" s="7">
        <f t="shared" si="6"/>
        <v>4955</v>
      </c>
      <c r="Y26" s="3"/>
      <c r="Z26" s="8">
        <f t="shared" si="7"/>
        <v>0</v>
      </c>
    </row>
    <row r="27" spans="1:26" s="69" customFormat="1" ht="15" customHeight="1" outlineLevel="1" collapsed="1" x14ac:dyDescent="0.3">
      <c r="A27" s="25"/>
      <c r="B27" s="14" t="str">
        <f>CONCATENATE("     ","Royalty &amp; Commissions                             ")</f>
        <v xml:space="preserve">     Royalty &amp; Commissions                             </v>
      </c>
      <c r="C27" s="14"/>
      <c r="D27" s="2">
        <f>SUM(OSRRefD22_3x_0)</f>
        <v>583.67999999999995</v>
      </c>
      <c r="E27" s="2"/>
      <c r="F27" s="6">
        <f t="shared" si="0"/>
        <v>0.25000321241792267</v>
      </c>
      <c r="G27" s="2"/>
      <c r="H27" s="2">
        <f>SUM(OSRRefH22_3x_0)</f>
        <v>0</v>
      </c>
      <c r="I27" s="2"/>
      <c r="J27" s="6">
        <f t="shared" si="1"/>
        <v>0</v>
      </c>
      <c r="K27" s="2"/>
      <c r="L27" s="2">
        <f t="shared" si="2"/>
        <v>583.67999999999995</v>
      </c>
      <c r="M27" s="2"/>
      <c r="N27" s="6">
        <f t="shared" si="3"/>
        <v>0</v>
      </c>
      <c r="O27" s="14"/>
      <c r="P27" s="2">
        <f>SUM(OSRRefP22_3x_0)</f>
        <v>4217.71</v>
      </c>
      <c r="Q27" s="2"/>
      <c r="R27" s="6">
        <f t="shared" si="4"/>
        <v>0.25000607571946892</v>
      </c>
      <c r="S27" s="2"/>
      <c r="T27" s="2">
        <f>SUM(OSRRefT22_3x_0)</f>
        <v>0</v>
      </c>
      <c r="U27" s="2"/>
      <c r="V27" s="6">
        <f t="shared" si="5"/>
        <v>0</v>
      </c>
      <c r="W27" s="2"/>
      <c r="X27" s="2">
        <f t="shared" si="6"/>
        <v>4217.71</v>
      </c>
      <c r="Y27" s="2"/>
      <c r="Z27" s="6">
        <f t="shared" si="7"/>
        <v>0</v>
      </c>
    </row>
    <row r="28" spans="1:26" s="70" customFormat="1" ht="15" hidden="1" customHeight="1" outlineLevel="2" x14ac:dyDescent="0.3">
      <c r="A28" s="26"/>
      <c r="B28" s="12" t="str">
        <f>CONCATENATE("          ","6254"," - ","ROYALTY &amp; COMMISSIONS")</f>
        <v xml:space="preserve">          6254 - ROYALTY &amp; COMMISSIONS</v>
      </c>
      <c r="C28" s="12"/>
      <c r="D28" s="7">
        <v>583.67999999999995</v>
      </c>
      <c r="E28" s="3"/>
      <c r="F28" s="8">
        <f t="shared" si="0"/>
        <v>0.25000321241792267</v>
      </c>
      <c r="G28" s="3"/>
      <c r="H28" s="7"/>
      <c r="I28" s="3"/>
      <c r="J28" s="8">
        <f t="shared" si="1"/>
        <v>0</v>
      </c>
      <c r="K28" s="3"/>
      <c r="L28" s="7">
        <f t="shared" si="2"/>
        <v>583.67999999999995</v>
      </c>
      <c r="M28" s="3"/>
      <c r="N28" s="8">
        <f t="shared" si="3"/>
        <v>0</v>
      </c>
      <c r="O28" s="12"/>
      <c r="P28" s="7">
        <v>4217.71</v>
      </c>
      <c r="Q28" s="3"/>
      <c r="R28" s="8">
        <f t="shared" si="4"/>
        <v>0.25000607571946892</v>
      </c>
      <c r="S28" s="3"/>
      <c r="T28" s="7"/>
      <c r="U28" s="3"/>
      <c r="V28" s="8">
        <f t="shared" si="5"/>
        <v>0</v>
      </c>
      <c r="W28" s="3"/>
      <c r="X28" s="7">
        <f t="shared" si="6"/>
        <v>4217.71</v>
      </c>
      <c r="Y28" s="3"/>
      <c r="Z28" s="8">
        <f t="shared" si="7"/>
        <v>0</v>
      </c>
    </row>
    <row r="29" spans="1:26" s="69" customFormat="1" ht="15" customHeight="1" outlineLevel="1" collapsed="1" x14ac:dyDescent="0.3">
      <c r="A29" s="25"/>
      <c r="B29" s="14" t="str">
        <f>CONCATENATE("     ","Services                                          ")</f>
        <v xml:space="preserve">     Services                                          </v>
      </c>
      <c r="C29" s="14"/>
      <c r="D29" s="2">
        <f>SUM(OSRRefD22_4x_0)</f>
        <v>0</v>
      </c>
      <c r="E29" s="2"/>
      <c r="F29" s="6">
        <f t="shared" si="0"/>
        <v>0</v>
      </c>
      <c r="G29" s="2"/>
      <c r="H29" s="2">
        <f>SUM(OSRRefH22_4x_0)</f>
        <v>0</v>
      </c>
      <c r="I29" s="2"/>
      <c r="J29" s="6">
        <f t="shared" si="1"/>
        <v>0</v>
      </c>
      <c r="K29" s="2"/>
      <c r="L29" s="2">
        <f t="shared" si="2"/>
        <v>0</v>
      </c>
      <c r="M29" s="2"/>
      <c r="N29" s="6">
        <f t="shared" si="3"/>
        <v>0</v>
      </c>
      <c r="O29" s="14"/>
      <c r="P29" s="2">
        <f>SUM(OSRRefP22_4x_0)</f>
        <v>0</v>
      </c>
      <c r="Q29" s="2"/>
      <c r="R29" s="6">
        <f t="shared" si="4"/>
        <v>0</v>
      </c>
      <c r="S29" s="2"/>
      <c r="T29" s="2">
        <f>SUM(OSRRefT22_4x_0)</f>
        <v>0</v>
      </c>
      <c r="U29" s="2"/>
      <c r="V29" s="6">
        <f t="shared" si="5"/>
        <v>0</v>
      </c>
      <c r="W29" s="2"/>
      <c r="X29" s="2">
        <f t="shared" si="6"/>
        <v>0</v>
      </c>
      <c r="Y29" s="2"/>
      <c r="Z29" s="6">
        <f t="shared" si="7"/>
        <v>0</v>
      </c>
    </row>
    <row r="30" spans="1:26" s="70" customFormat="1" ht="15" hidden="1" customHeight="1" outlineLevel="2" x14ac:dyDescent="0.3">
      <c r="A30" s="26"/>
      <c r="B30" s="12" t="str">
        <f>CONCATENATE("          ","6284"," - ","TRASH REMOVAL EXPENSE")</f>
        <v xml:space="preserve">          6284 - TRASH REMOVAL EXPENSE</v>
      </c>
      <c r="C30" s="12"/>
      <c r="D30" s="7"/>
      <c r="E30" s="3"/>
      <c r="F30" s="8">
        <f t="shared" si="0"/>
        <v>0</v>
      </c>
      <c r="G30" s="3"/>
      <c r="H30" s="7"/>
      <c r="I30" s="3"/>
      <c r="J30" s="8">
        <f t="shared" si="1"/>
        <v>0</v>
      </c>
      <c r="K30" s="3"/>
      <c r="L30" s="7">
        <f t="shared" si="2"/>
        <v>0</v>
      </c>
      <c r="M30" s="3"/>
      <c r="N30" s="8">
        <f t="shared" si="3"/>
        <v>0</v>
      </c>
      <c r="O30" s="12"/>
      <c r="P30" s="7"/>
      <c r="Q30" s="3"/>
      <c r="R30" s="8">
        <f t="shared" si="4"/>
        <v>0</v>
      </c>
      <c r="S30" s="3"/>
      <c r="T30" s="7">
        <v>0</v>
      </c>
      <c r="U30" s="3"/>
      <c r="V30" s="8">
        <f t="shared" si="5"/>
        <v>0</v>
      </c>
      <c r="W30" s="3"/>
      <c r="X30" s="7">
        <f t="shared" si="6"/>
        <v>0</v>
      </c>
      <c r="Y30" s="3"/>
      <c r="Z30" s="8">
        <f t="shared" si="7"/>
        <v>0</v>
      </c>
    </row>
    <row r="31" spans="1:26" s="69" customFormat="1" ht="15" customHeight="1" outlineLevel="1" collapsed="1" x14ac:dyDescent="0.3">
      <c r="A31" s="25"/>
      <c r="B31" s="14" t="str">
        <f>CONCATENATE("     ","Supplies                                          ")</f>
        <v xml:space="preserve">     Supplies                                          </v>
      </c>
      <c r="C31" s="14"/>
      <c r="D31" s="2">
        <f>SUM(OSRRefD22_5x_0)</f>
        <v>0</v>
      </c>
      <c r="E31" s="2"/>
      <c r="F31" s="6">
        <f t="shared" si="0"/>
        <v>0</v>
      </c>
      <c r="G31" s="2"/>
      <c r="H31" s="2">
        <f>SUM(OSRRefH22_5x_0)</f>
        <v>0</v>
      </c>
      <c r="I31" s="2"/>
      <c r="J31" s="6">
        <f t="shared" si="1"/>
        <v>0</v>
      </c>
      <c r="K31" s="2"/>
      <c r="L31" s="2">
        <f t="shared" si="2"/>
        <v>0</v>
      </c>
      <c r="M31" s="2"/>
      <c r="N31" s="6">
        <f t="shared" si="3"/>
        <v>0</v>
      </c>
      <c r="O31" s="14"/>
      <c r="P31" s="2">
        <f>SUM(OSRRefP22_5x_0)</f>
        <v>116.26</v>
      </c>
      <c r="Q31" s="2"/>
      <c r="R31" s="6">
        <f t="shared" si="4"/>
        <v>6.8913477605490794E-3</v>
      </c>
      <c r="S31" s="2"/>
      <c r="T31" s="2">
        <f>SUM(OSRRefT22_5x_0)</f>
        <v>0</v>
      </c>
      <c r="U31" s="2"/>
      <c r="V31" s="6">
        <f t="shared" si="5"/>
        <v>0</v>
      </c>
      <c r="W31" s="2"/>
      <c r="X31" s="2">
        <f t="shared" si="6"/>
        <v>116.26</v>
      </c>
      <c r="Y31" s="2"/>
      <c r="Z31" s="6">
        <f t="shared" si="7"/>
        <v>0</v>
      </c>
    </row>
    <row r="32" spans="1:26" s="70" customFormat="1" ht="15" hidden="1" customHeight="1" outlineLevel="2" x14ac:dyDescent="0.3">
      <c r="A32" s="26"/>
      <c r="B32" s="12" t="str">
        <f>CONCATENATE("          ","6243"," - ","PAPER SUPPLIES")</f>
        <v xml:space="preserve">          6243 - PAPER SUPPLIES</v>
      </c>
      <c r="C32" s="12"/>
      <c r="D32" s="7"/>
      <c r="E32" s="3"/>
      <c r="F32" s="8">
        <f t="shared" si="0"/>
        <v>0</v>
      </c>
      <c r="G32" s="3"/>
      <c r="H32" s="7"/>
      <c r="I32" s="3"/>
      <c r="J32" s="8">
        <f t="shared" si="1"/>
        <v>0</v>
      </c>
      <c r="K32" s="3"/>
      <c r="L32" s="7">
        <f t="shared" si="2"/>
        <v>0</v>
      </c>
      <c r="M32" s="3"/>
      <c r="N32" s="8">
        <f t="shared" si="3"/>
        <v>0</v>
      </c>
      <c r="O32" s="12"/>
      <c r="P32" s="7">
        <v>116.26</v>
      </c>
      <c r="Q32" s="3"/>
      <c r="R32" s="8">
        <f t="shared" si="4"/>
        <v>6.8913477605490794E-3</v>
      </c>
      <c r="S32" s="3"/>
      <c r="T32" s="7"/>
      <c r="U32" s="3"/>
      <c r="V32" s="8">
        <f t="shared" si="5"/>
        <v>0</v>
      </c>
      <c r="W32" s="3"/>
      <c r="X32" s="7">
        <f t="shared" si="6"/>
        <v>116.26</v>
      </c>
      <c r="Y32" s="3"/>
      <c r="Z32" s="8">
        <f t="shared" si="7"/>
        <v>0</v>
      </c>
    </row>
    <row r="33" spans="1:26" s="65" customFormat="1" ht="15" customHeight="1" x14ac:dyDescent="0.3">
      <c r="A33" s="35"/>
      <c r="B33" s="35"/>
      <c r="C33" s="35"/>
      <c r="D33" s="2"/>
      <c r="E33" s="2"/>
      <c r="F33" s="6"/>
      <c r="G33" s="2"/>
      <c r="H33" s="2"/>
      <c r="I33" s="2"/>
      <c r="J33" s="6"/>
      <c r="K33" s="2"/>
      <c r="L33" s="2"/>
      <c r="M33" s="2"/>
      <c r="N33" s="6"/>
      <c r="O33" s="35"/>
      <c r="P33" s="2"/>
      <c r="Q33" s="2"/>
      <c r="R33" s="6"/>
      <c r="S33" s="2"/>
      <c r="T33" s="2"/>
      <c r="U33" s="2"/>
      <c r="V33" s="6"/>
      <c r="W33" s="2"/>
      <c r="X33" s="2"/>
      <c r="Y33" s="2"/>
      <c r="Z33" s="6"/>
    </row>
    <row r="34" spans="1:26" s="63" customFormat="1" ht="15" customHeight="1" x14ac:dyDescent="0.3">
      <c r="A34" s="11"/>
      <c r="B34" s="28" t="s">
        <v>291</v>
      </c>
      <c r="C34" s="11"/>
      <c r="D34" s="5">
        <f>SUM(0)</f>
        <v>0</v>
      </c>
      <c r="E34" s="5"/>
      <c r="F34" s="13">
        <f>IF(D$12=0,0,D34/D$12)</f>
        <v>0</v>
      </c>
      <c r="G34" s="5"/>
      <c r="H34" s="5">
        <f>SUM(0)</f>
        <v>0</v>
      </c>
      <c r="I34" s="5"/>
      <c r="J34" s="13">
        <f>IF(H$12=0,0,H34/H$12)</f>
        <v>0</v>
      </c>
      <c r="K34" s="5"/>
      <c r="L34" s="5">
        <f>+D34-H34</f>
        <v>0</v>
      </c>
      <c r="M34" s="5"/>
      <c r="N34" s="13">
        <f>IF(H34=0,0,L34/H34)</f>
        <v>0</v>
      </c>
      <c r="O34" s="11"/>
      <c r="P34" s="5">
        <f>SUM(0)</f>
        <v>0</v>
      </c>
      <c r="Q34" s="5"/>
      <c r="R34" s="13">
        <f>IF(P$12=0,0,P34/P$12)</f>
        <v>0</v>
      </c>
      <c r="S34" s="5"/>
      <c r="T34" s="5">
        <f>SUM(0)</f>
        <v>0</v>
      </c>
      <c r="U34" s="5"/>
      <c r="V34" s="13">
        <f>IF(T$12=0,0,T34/T$12)</f>
        <v>0</v>
      </c>
      <c r="W34" s="5"/>
      <c r="X34" s="5">
        <f>+P34-T34</f>
        <v>0</v>
      </c>
      <c r="Y34" s="5"/>
      <c r="Z34" s="13">
        <f>IF(T34=0,0,X34/T34)</f>
        <v>0</v>
      </c>
    </row>
    <row r="35" spans="1:26" ht="15" customHeight="1" x14ac:dyDescent="0.3">
      <c r="A35" s="10"/>
      <c r="B35" s="11"/>
      <c r="C35" s="11"/>
      <c r="D35" s="4"/>
      <c r="E35" s="4"/>
      <c r="F35" s="9"/>
      <c r="G35" s="4"/>
      <c r="H35" s="4"/>
      <c r="I35" s="4"/>
      <c r="J35" s="9"/>
      <c r="K35" s="4"/>
      <c r="L35" s="4"/>
      <c r="M35" s="4"/>
      <c r="N35" s="9"/>
      <c r="O35" s="11"/>
      <c r="P35" s="4"/>
      <c r="Q35" s="4"/>
      <c r="R35" s="9"/>
      <c r="S35" s="4"/>
      <c r="T35" s="4"/>
      <c r="U35" s="4"/>
      <c r="V35" s="9"/>
      <c r="W35" s="4"/>
      <c r="X35" s="4"/>
      <c r="Y35" s="4"/>
      <c r="Z35" s="9"/>
    </row>
    <row r="36" spans="1:26" s="63" customFormat="1" ht="15" customHeight="1" x14ac:dyDescent="0.3">
      <c r="A36" s="11"/>
      <c r="B36" s="27" t="s">
        <v>292</v>
      </c>
      <c r="C36" s="27"/>
      <c r="D36" s="21">
        <f>+D18-D20+D34</f>
        <v>-86.089999999999691</v>
      </c>
      <c r="E36" s="15"/>
      <c r="F36" s="23">
        <f>IF(D$12=0,0,D36/D$12)</f>
        <v>-3.6874274528952318E-2</v>
      </c>
      <c r="G36" s="15"/>
      <c r="H36" s="21">
        <f>+H18-H20+H34</f>
        <v>-1001</v>
      </c>
      <c r="I36" s="15"/>
      <c r="J36" s="23">
        <f>IF(H$12=0,0,H36/H$12)</f>
        <v>0</v>
      </c>
      <c r="K36" s="16"/>
      <c r="L36" s="21">
        <f>+D36-H36</f>
        <v>914.91000000000031</v>
      </c>
      <c r="M36" s="16"/>
      <c r="N36" s="23">
        <f>IF(H36=0,0,L36/H36)</f>
        <v>-0.91399600399600434</v>
      </c>
      <c r="O36" s="28"/>
      <c r="P36" s="21">
        <f>+P18-P20+P34</f>
        <v>-9308.0599999999977</v>
      </c>
      <c r="Q36" s="15"/>
      <c r="R36" s="23">
        <f>IF(P$12=0,0,P36/P$12)</f>
        <v>-0.55173815960826122</v>
      </c>
      <c r="S36" s="15"/>
      <c r="T36" s="21">
        <f>+T18-T20+T34</f>
        <v>-9009</v>
      </c>
      <c r="U36" s="15"/>
      <c r="V36" s="23">
        <f>IF(T$12=0,0,T36/T$12)</f>
        <v>0</v>
      </c>
      <c r="W36" s="16"/>
      <c r="X36" s="21">
        <f>+P36-T36</f>
        <v>-299.05999999999767</v>
      </c>
      <c r="Y36" s="16"/>
      <c r="Z36" s="23">
        <f>IF(T36=0,0,X36/T36)</f>
        <v>3.3195693195692939E-2</v>
      </c>
    </row>
    <row r="37" spans="1:26" ht="15" customHeight="1" x14ac:dyDescent="0.3">
      <c r="A37" s="10"/>
      <c r="B37" s="11"/>
      <c r="C37" s="10"/>
      <c r="D37" s="4"/>
      <c r="E37" s="4"/>
      <c r="F37" s="9"/>
      <c r="G37" s="4"/>
      <c r="H37" s="4"/>
      <c r="I37" s="4"/>
      <c r="J37" s="9"/>
      <c r="K37" s="4"/>
      <c r="L37" s="4"/>
      <c r="M37" s="4"/>
      <c r="N37" s="9"/>
      <c r="P37" s="4"/>
      <c r="Q37" s="4"/>
      <c r="R37" s="9"/>
      <c r="S37" s="4"/>
      <c r="T37" s="4"/>
      <c r="U37" s="4"/>
      <c r="V37" s="9"/>
      <c r="W37" s="4"/>
      <c r="X37" s="4"/>
      <c r="Y37" s="4"/>
      <c r="Z37" s="9"/>
    </row>
    <row r="38" spans="1:26" s="63" customFormat="1" ht="15" customHeight="1" x14ac:dyDescent="0.3">
      <c r="A38" s="49"/>
      <c r="B38" s="11" t="s">
        <v>293</v>
      </c>
      <c r="C38" s="11"/>
      <c r="D38" s="5">
        <v>199.05</v>
      </c>
      <c r="E38" s="5"/>
      <c r="F38" s="13">
        <f>IF(D$12=0,0,D38/D$12)</f>
        <v>8.5257571669043852E-2</v>
      </c>
      <c r="G38" s="5"/>
      <c r="H38" s="5"/>
      <c r="I38" s="5"/>
      <c r="J38" s="13">
        <f>IF(H$12=0,0,H38/H$12)</f>
        <v>0</v>
      </c>
      <c r="K38" s="5"/>
      <c r="L38" s="5">
        <f>+D38-H38</f>
        <v>199.05</v>
      </c>
      <c r="M38" s="5"/>
      <c r="N38" s="13">
        <f>IF(H38=0,0,L38/H38)</f>
        <v>0</v>
      </c>
      <c r="O38" s="11"/>
      <c r="P38" s="5">
        <v>2013.44</v>
      </c>
      <c r="Q38" s="5"/>
      <c r="R38" s="13">
        <f>IF(P$12=0,0,P38/P$12)</f>
        <v>0.11934728397557146</v>
      </c>
      <c r="S38" s="5"/>
      <c r="T38" s="5"/>
      <c r="U38" s="5"/>
      <c r="V38" s="13">
        <f>IF(T$12=0,0,T38/T$12)</f>
        <v>0</v>
      </c>
      <c r="W38" s="5"/>
      <c r="X38" s="5">
        <f>+P38-T38</f>
        <v>2013.44</v>
      </c>
      <c r="Y38" s="5"/>
      <c r="Z38" s="13">
        <f>IF(T38=0,0,X38/T38)</f>
        <v>0</v>
      </c>
    </row>
    <row r="39" spans="1:26" ht="15" customHeight="1" x14ac:dyDescent="0.3">
      <c r="A39" s="10"/>
      <c r="B39" s="11"/>
      <c r="C39" s="11"/>
      <c r="D39" s="4"/>
      <c r="E39" s="4"/>
      <c r="F39" s="9"/>
      <c r="G39" s="4"/>
      <c r="H39" s="4"/>
      <c r="I39" s="4"/>
      <c r="J39" s="9"/>
      <c r="K39" s="4"/>
      <c r="L39" s="4"/>
      <c r="M39" s="4"/>
      <c r="N39" s="9"/>
      <c r="O39" s="11"/>
      <c r="P39" s="4"/>
      <c r="Q39" s="4"/>
      <c r="R39" s="9"/>
      <c r="S39" s="4"/>
      <c r="T39" s="4"/>
      <c r="U39" s="4"/>
      <c r="V39" s="9"/>
      <c r="W39" s="4"/>
      <c r="X39" s="4"/>
      <c r="Y39" s="4"/>
      <c r="Z39" s="9"/>
    </row>
    <row r="40" spans="1:26" s="63" customFormat="1" ht="15" customHeight="1" x14ac:dyDescent="0.3">
      <c r="A40" s="11"/>
      <c r="B40" s="27" t="s">
        <v>294</v>
      </c>
      <c r="C40" s="27"/>
      <c r="D40" s="34">
        <f>+D36-D38</f>
        <v>-285.1399999999997</v>
      </c>
      <c r="E40" s="15"/>
      <c r="F40" s="29">
        <f>IF(D$12=0,0,D40/D$12)</f>
        <v>-0.12213184619799618</v>
      </c>
      <c r="G40" s="15"/>
      <c r="H40" s="34">
        <f>+H36-H38</f>
        <v>-1001</v>
      </c>
      <c r="I40" s="15"/>
      <c r="J40" s="29">
        <f>IF(H$12=0,0,H40/H$12)</f>
        <v>0</v>
      </c>
      <c r="K40" s="16"/>
      <c r="L40" s="34">
        <f>D40-H40</f>
        <v>715.86000000000035</v>
      </c>
      <c r="M40" s="16"/>
      <c r="N40" s="29">
        <f>IF(H40=0,0,L40/H40)</f>
        <v>-0.71514485514485548</v>
      </c>
      <c r="O40" s="28"/>
      <c r="P40" s="34">
        <f>+P36-P38</f>
        <v>-11321.499999999998</v>
      </c>
      <c r="Q40" s="15"/>
      <c r="R40" s="29">
        <f>IF(P$12=0,0,P40/P$12)</f>
        <v>-0.67108544358383271</v>
      </c>
      <c r="S40" s="15"/>
      <c r="T40" s="34">
        <f>+T36-T38</f>
        <v>-9009</v>
      </c>
      <c r="U40" s="15"/>
      <c r="V40" s="29">
        <f>IF(T$12=0,0,T40/T$12)</f>
        <v>0</v>
      </c>
      <c r="W40" s="16"/>
      <c r="X40" s="34">
        <f>P40-T40</f>
        <v>-2312.4999999999982</v>
      </c>
      <c r="Y40" s="16"/>
      <c r="Z40" s="29">
        <f>IF(T40=0,0,X40/T40)</f>
        <v>0.25668775668775651</v>
      </c>
    </row>
    <row r="41" spans="1:26" ht="15" customHeight="1" x14ac:dyDescent="0.3">
      <c r="A41" s="10"/>
      <c r="B41" s="10"/>
      <c r="C41" s="10"/>
      <c r="D41" s="4"/>
      <c r="E41" s="4"/>
      <c r="F41" s="9"/>
      <c r="G41" s="4"/>
      <c r="H41" s="4"/>
      <c r="I41" s="4"/>
      <c r="J41" s="9"/>
      <c r="K41" s="4"/>
      <c r="L41" s="4"/>
      <c r="M41" s="4"/>
      <c r="N41" s="9"/>
      <c r="P41" s="4"/>
      <c r="Q41" s="4"/>
      <c r="R41" s="9"/>
      <c r="S41" s="4"/>
      <c r="T41" s="4"/>
      <c r="U41" s="4"/>
      <c r="V41" s="9"/>
      <c r="W41" s="4"/>
      <c r="X41" s="4"/>
      <c r="Y41" s="4"/>
      <c r="Z41" s="9"/>
    </row>
    <row r="42" spans="1:26" ht="15" customHeight="1" x14ac:dyDescent="0.3">
      <c r="A42" s="10"/>
      <c r="B42" s="10"/>
      <c r="C42" s="10"/>
      <c r="D42" s="4"/>
      <c r="E42" s="4"/>
      <c r="F42" s="9"/>
      <c r="G42" s="4"/>
      <c r="H42" s="4"/>
      <c r="I42" s="4"/>
      <c r="J42" s="9"/>
      <c r="K42" s="4"/>
      <c r="L42" s="4"/>
      <c r="M42" s="4"/>
      <c r="N42" s="9"/>
      <c r="P42" s="4"/>
      <c r="Q42" s="4"/>
      <c r="R42" s="9"/>
      <c r="S42" s="4"/>
      <c r="T42" s="4"/>
      <c r="U42" s="4"/>
      <c r="V42" s="9"/>
      <c r="W42" s="4"/>
      <c r="X42" s="4"/>
      <c r="Y42" s="4"/>
      <c r="Z42" s="9"/>
    </row>
    <row r="43" spans="1:26" s="63" customFormat="1" ht="15" customHeight="1" x14ac:dyDescent="0.3">
      <c r="A43" s="11"/>
      <c r="B43" s="27" t="s">
        <v>297</v>
      </c>
      <c r="C43" s="27"/>
      <c r="D43" s="32">
        <f>SUM(D40:D42)</f>
        <v>-285.1399999999997</v>
      </c>
      <c r="E43" s="15"/>
      <c r="F43" s="31">
        <f>IF(D$12=0,0,D43/D$12)</f>
        <v>-0.12213184619799618</v>
      </c>
      <c r="G43" s="15"/>
      <c r="H43" s="32">
        <f>SUM(H40:H42)</f>
        <v>-1001</v>
      </c>
      <c r="I43" s="15"/>
      <c r="J43" s="31">
        <f>IF(H$12=0,0,H43/H$12)</f>
        <v>0</v>
      </c>
      <c r="K43" s="16"/>
      <c r="L43" s="32">
        <f>+D43-H43</f>
        <v>715.86000000000035</v>
      </c>
      <c r="M43" s="16"/>
      <c r="N43" s="31">
        <f>IF(H43=0,0,L43/H43)</f>
        <v>-0.71514485514485548</v>
      </c>
      <c r="O43" s="28"/>
      <c r="P43" s="32">
        <f>SUM(P40:P42)</f>
        <v>-11321.499999999998</v>
      </c>
      <c r="Q43" s="15"/>
      <c r="R43" s="31">
        <f>IF(P$12=0,0,P43/P$12)</f>
        <v>-0.67108544358383271</v>
      </c>
      <c r="S43" s="15"/>
      <c r="T43" s="32">
        <f>SUM(T40:T42)</f>
        <v>-9009</v>
      </c>
      <c r="U43" s="15"/>
      <c r="V43" s="31">
        <f>IF(T$12=0,0,T43/T$12)</f>
        <v>0</v>
      </c>
      <c r="W43" s="16"/>
      <c r="X43" s="32">
        <f>+P43-T43</f>
        <v>-2312.4999999999982</v>
      </c>
      <c r="Y43" s="16"/>
      <c r="Z43" s="31">
        <f>IF(T43=0,0,X43/T43)</f>
        <v>0.25668775668775651</v>
      </c>
    </row>
    <row r="44" spans="1:26" ht="15" customHeight="1" x14ac:dyDescent="0.3">
      <c r="A44" s="10"/>
      <c r="C44" s="10"/>
      <c r="D44" s="19"/>
      <c r="E44" s="19"/>
      <c r="G44" s="19"/>
      <c r="H44" s="19"/>
      <c r="I44" s="19"/>
      <c r="J44" s="40"/>
      <c r="K44" s="19"/>
      <c r="L44" s="19"/>
      <c r="M44" s="19"/>
      <c r="P44" s="19"/>
      <c r="Q44" s="19"/>
      <c r="R44" s="40"/>
      <c r="S44" s="19"/>
      <c r="T44" s="19"/>
      <c r="U44" s="19"/>
      <c r="V44" s="40"/>
      <c r="W44" s="19"/>
      <c r="X44" s="19"/>
    </row>
    <row r="45" spans="1:26" ht="15" customHeight="1" x14ac:dyDescent="0.3">
      <c r="A45" s="10"/>
      <c r="B45" s="51">
        <v>44663.047665428239</v>
      </c>
      <c r="D45" s="19"/>
      <c r="E45" s="19"/>
      <c r="G45" s="19"/>
      <c r="H45" s="19"/>
      <c r="I45" s="19"/>
      <c r="J45" s="40"/>
      <c r="K45" s="19"/>
      <c r="L45" s="19"/>
      <c r="M45" s="19"/>
      <c r="P45" s="19"/>
      <c r="Q45" s="19"/>
      <c r="R45" s="40"/>
      <c r="S45" s="19"/>
      <c r="T45" s="19"/>
      <c r="U45" s="19"/>
      <c r="V45" s="40"/>
      <c r="W45" s="19"/>
      <c r="X45" s="19"/>
    </row>
    <row r="46" spans="1:26" ht="15" customHeight="1" x14ac:dyDescent="0.3">
      <c r="A46" s="10"/>
      <c r="B46" s="58" t="s">
        <v>298</v>
      </c>
      <c r="D46" s="19"/>
      <c r="E46" s="19"/>
      <c r="G46" s="19"/>
      <c r="H46" s="19"/>
      <c r="I46" s="19"/>
      <c r="J46" s="40"/>
      <c r="K46" s="19"/>
      <c r="L46" s="19"/>
      <c r="M46" s="19"/>
      <c r="P46" s="19"/>
      <c r="Q46" s="19"/>
      <c r="R46" s="40"/>
      <c r="S46" s="19"/>
      <c r="T46" s="19"/>
      <c r="U46" s="19"/>
      <c r="V46" s="40"/>
      <c r="W46" s="19"/>
      <c r="X46" s="19"/>
    </row>
    <row r="47" spans="1:26" ht="15" customHeight="1" x14ac:dyDescent="0.3">
      <c r="A47" s="10"/>
      <c r="B47" s="50"/>
      <c r="D47" s="19"/>
      <c r="E47" s="19"/>
      <c r="G47" s="19"/>
      <c r="H47" s="19"/>
      <c r="I47" s="19"/>
      <c r="J47" s="40"/>
      <c r="K47" s="19"/>
      <c r="L47" s="19"/>
      <c r="M47" s="19"/>
      <c r="P47" s="19"/>
      <c r="Q47" s="19"/>
      <c r="R47" s="40"/>
      <c r="S47" s="19"/>
      <c r="T47" s="19"/>
      <c r="U47" s="19"/>
      <c r="V47" s="40"/>
      <c r="W47" s="19"/>
      <c r="X47" s="19"/>
    </row>
    <row r="48" spans="1:26" ht="15" customHeight="1" x14ac:dyDescent="0.3">
      <c r="D48" s="19"/>
      <c r="E48" s="19"/>
      <c r="G48" s="19"/>
      <c r="H48" s="19"/>
      <c r="I48" s="19"/>
      <c r="J48" s="40"/>
      <c r="K48" s="19"/>
      <c r="L48" s="19"/>
      <c r="M48" s="19"/>
      <c r="P48" s="19"/>
      <c r="Q48" s="19"/>
      <c r="R48" s="40"/>
      <c r="S48" s="19"/>
      <c r="T48" s="19"/>
      <c r="U48" s="19"/>
      <c r="V48" s="40"/>
      <c r="W48" s="19"/>
      <c r="X48" s="19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5696BA-0DA3-F95C-2A66-3FFF21ABE206}">
  <sheetPr>
    <tabColor rgb="FFFFFF00"/>
    <outlinePr summaryBelow="0" summaryRight="0"/>
  </sheetPr>
  <dimension ref="A2:Z114"/>
  <sheetViews>
    <sheetView showGridLines="0" defaultGridColor="0" colorId="8"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6" customWidth="1"/>
    <col min="2" max="2" width="33.44140625" style="66" customWidth="1"/>
    <col min="3" max="3" width="1.88671875" style="66" customWidth="1"/>
    <col min="4" max="4" width="15" style="66" customWidth="1"/>
    <col min="5" max="5" width="1.88671875" style="66" customWidth="1" outlineLevel="1"/>
    <col min="6" max="6" width="15" style="67" customWidth="1" outlineLevel="1"/>
    <col min="7" max="7" width="1.88671875" style="66" customWidth="1" outlineLevel="1"/>
    <col min="8" max="8" width="15" style="66" customWidth="1" outlineLevel="1"/>
    <col min="9" max="9" width="1.88671875" style="66" customWidth="1" outlineLevel="1"/>
    <col min="10" max="10" width="15" style="68" customWidth="1" outlineLevel="1"/>
    <col min="11" max="11" width="1.88671875" style="66" customWidth="1" outlineLevel="1"/>
    <col min="12" max="12" width="15" style="66" customWidth="1" outlineLevel="1"/>
    <col min="13" max="13" width="1.88671875" style="66" customWidth="1" outlineLevel="1"/>
    <col min="14" max="14" width="15" style="67" customWidth="1" outlineLevel="1"/>
    <col min="15" max="15" width="1.88671875" style="64" customWidth="1"/>
    <col min="16" max="16" width="15" style="66" customWidth="1"/>
    <col min="17" max="17" width="1.88671875" style="66" customWidth="1" outlineLevel="1"/>
    <col min="18" max="18" width="15" style="68" customWidth="1" outlineLevel="1"/>
    <col min="19" max="19" width="1.88671875" style="66" customWidth="1" outlineLevel="1"/>
    <col min="20" max="20" width="15" style="66" customWidth="1" outlineLevel="1"/>
    <col min="21" max="21" width="1.88671875" style="66" customWidth="1" outlineLevel="1"/>
    <col min="22" max="22" width="15" style="68" customWidth="1" outlineLevel="1"/>
    <col min="23" max="23" width="1.88671875" style="66" customWidth="1" outlineLevel="1"/>
    <col min="24" max="24" width="15" style="66" customWidth="1" outlineLevel="1"/>
    <col min="25" max="25" width="1.88671875" style="66" customWidth="1" outlineLevel="1"/>
    <col min="26" max="26" width="15" style="68" customWidth="1" outlineLevel="1"/>
  </cols>
  <sheetData>
    <row r="2" spans="1:26" ht="15" customHeight="1" x14ac:dyDescent="0.3">
      <c r="D2" s="54" t="s">
        <v>276</v>
      </c>
    </row>
    <row r="3" spans="1:26" ht="15" customHeight="1" x14ac:dyDescent="0.3">
      <c r="D3" s="54" t="s">
        <v>277</v>
      </c>
      <c r="E3" s="18"/>
      <c r="F3" s="44"/>
      <c r="G3" s="18"/>
      <c r="H3" s="18"/>
      <c r="I3" s="18"/>
      <c r="J3" s="38"/>
      <c r="K3" s="18"/>
      <c r="L3" s="18"/>
      <c r="M3" s="18"/>
      <c r="N3" s="44"/>
      <c r="O3" s="53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ht="15" customHeight="1" x14ac:dyDescent="0.3">
      <c r="D4" s="54" t="str">
        <f>CONCATENATE("Period ",RIGHT(202209,2),", ",2022)</f>
        <v>Period 09, 2022</v>
      </c>
      <c r="E4" s="18"/>
      <c r="F4" s="44"/>
      <c r="G4" s="18"/>
      <c r="H4" s="18"/>
      <c r="I4" s="18"/>
      <c r="J4" s="38"/>
      <c r="K4" s="18"/>
      <c r="L4" s="18"/>
      <c r="M4" s="18"/>
      <c r="N4" s="44"/>
      <c r="O4" s="53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ht="15" customHeight="1" x14ac:dyDescent="0.3">
      <c r="A5" s="24"/>
      <c r="D5" s="60">
        <v>44646</v>
      </c>
      <c r="E5" s="18"/>
      <c r="F5" s="44"/>
      <c r="G5" s="18"/>
      <c r="H5" s="18"/>
      <c r="I5" s="18"/>
      <c r="J5" s="38"/>
      <c r="K5" s="18"/>
      <c r="L5" s="18"/>
      <c r="M5" s="18"/>
      <c r="N5" s="44"/>
      <c r="O5" s="53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ht="15" customHeight="1" x14ac:dyDescent="0.3">
      <c r="A6" s="24"/>
      <c r="B6" s="47"/>
      <c r="C6" s="47"/>
      <c r="D6" s="24" t="s">
        <v>313</v>
      </c>
      <c r="E6" s="18"/>
      <c r="F6" s="44"/>
      <c r="G6" s="18"/>
      <c r="H6" s="18"/>
      <c r="I6" s="18"/>
      <c r="J6" s="38"/>
      <c r="K6" s="18"/>
      <c r="L6" s="18"/>
      <c r="M6" s="18"/>
      <c r="N6" s="44"/>
      <c r="O6" s="59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ht="15" customHeight="1" x14ac:dyDescent="0.3">
      <c r="B7" s="52"/>
    </row>
    <row r="8" spans="1:26" ht="15" customHeight="1" x14ac:dyDescent="0.3">
      <c r="B8" s="52"/>
    </row>
    <row r="9" spans="1:26" ht="15" customHeight="1" x14ac:dyDescent="0.3">
      <c r="B9" s="10"/>
      <c r="C9" s="10"/>
      <c r="D9" s="17" t="s">
        <v>279</v>
      </c>
      <c r="E9" s="17"/>
      <c r="F9" s="36"/>
      <c r="G9" s="17"/>
      <c r="H9" s="17"/>
      <c r="I9" s="17"/>
      <c r="J9" s="43"/>
      <c r="K9" s="17"/>
      <c r="L9" s="17"/>
      <c r="M9" s="17"/>
      <c r="N9" s="36"/>
      <c r="P9" s="17" t="s">
        <v>280</v>
      </c>
      <c r="Q9" s="17"/>
      <c r="R9" s="36"/>
      <c r="S9" s="17"/>
      <c r="T9" s="17"/>
      <c r="U9" s="17"/>
      <c r="V9" s="43"/>
      <c r="W9" s="17"/>
      <c r="X9" s="17"/>
      <c r="Y9" s="17"/>
      <c r="Z9" s="36"/>
    </row>
    <row r="10" spans="1:26" ht="15" customHeight="1" x14ac:dyDescent="0.3">
      <c r="A10" s="11"/>
      <c r="B10" s="57"/>
      <c r="C10" s="11"/>
      <c r="D10" s="41" t="s">
        <v>281</v>
      </c>
      <c r="E10" s="33"/>
      <c r="F10" s="37" t="s">
        <v>282</v>
      </c>
      <c r="G10" s="33"/>
      <c r="H10" s="48" t="s">
        <v>283</v>
      </c>
      <c r="I10" s="33"/>
      <c r="J10" s="45" t="s">
        <v>284</v>
      </c>
      <c r="K10" s="11"/>
      <c r="L10" s="41" t="s">
        <v>285</v>
      </c>
      <c r="M10" s="11"/>
      <c r="N10" s="37" t="s">
        <v>286</v>
      </c>
      <c r="O10" s="11"/>
      <c r="P10" s="56" t="s">
        <v>281</v>
      </c>
      <c r="Q10" s="33"/>
      <c r="R10" s="37" t="s">
        <v>282</v>
      </c>
      <c r="S10" s="33"/>
      <c r="T10" s="48" t="s">
        <v>283</v>
      </c>
      <c r="U10" s="33"/>
      <c r="V10" s="45" t="s">
        <v>284</v>
      </c>
      <c r="W10" s="11"/>
      <c r="X10" s="41" t="s">
        <v>285</v>
      </c>
      <c r="Y10" s="11"/>
      <c r="Z10" s="37" t="s">
        <v>286</v>
      </c>
    </row>
    <row r="11" spans="1:26" ht="16.5" customHeight="1" x14ac:dyDescent="0.3">
      <c r="A11" s="10"/>
      <c r="B11" s="55"/>
      <c r="C11" s="10"/>
      <c r="D11" s="10"/>
      <c r="E11" s="10"/>
      <c r="F11" s="9"/>
      <c r="G11" s="10"/>
      <c r="H11" s="10"/>
      <c r="I11" s="10"/>
      <c r="J11" s="46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6"/>
      <c r="W11" s="10"/>
      <c r="X11" s="10"/>
      <c r="Y11" s="10"/>
      <c r="Z11" s="9"/>
    </row>
    <row r="12" spans="1:26" s="63" customFormat="1" ht="15" customHeight="1" collapsed="1" x14ac:dyDescent="0.3">
      <c r="A12" s="11"/>
      <c r="B12" s="28" t="s">
        <v>287</v>
      </c>
      <c r="C12" s="11"/>
      <c r="D12" s="5">
        <f>SUM(OSRRefD13x_0)</f>
        <v>1386070.0299999998</v>
      </c>
      <c r="E12" s="5"/>
      <c r="F12" s="13"/>
      <c r="G12" s="5"/>
      <c r="H12" s="5">
        <f>SUM(OSRRefH13x_0)</f>
        <v>1088640</v>
      </c>
      <c r="I12" s="5"/>
      <c r="J12" s="13"/>
      <c r="K12" s="5"/>
      <c r="L12" s="5">
        <f t="shared" ref="L12:L18" si="0">+D12-H12</f>
        <v>297430.0299999998</v>
      </c>
      <c r="M12" s="5"/>
      <c r="N12" s="13">
        <f t="shared" ref="N12:N18" si="1">IF(H12=0,0,L12/H12)</f>
        <v>0.27321247611698984</v>
      </c>
      <c r="O12" s="11"/>
      <c r="P12" s="5">
        <f>SUM(OSRRefP13x_0)</f>
        <v>9203219.8900000025</v>
      </c>
      <c r="Q12" s="5"/>
      <c r="R12" s="13"/>
      <c r="S12" s="5"/>
      <c r="T12" s="5">
        <f>SUM(OSRRefT13x_0)</f>
        <v>7176960</v>
      </c>
      <c r="U12" s="5"/>
      <c r="V12" s="13"/>
      <c r="W12" s="5"/>
      <c r="X12" s="5">
        <f t="shared" ref="X12:X18" si="2">+P12-T12</f>
        <v>2026259.8900000025</v>
      </c>
      <c r="Y12" s="5"/>
      <c r="Z12" s="13">
        <f t="shared" ref="Z12:Z18" si="3">IF(T12=0,0,X12/T12)</f>
        <v>0.28232843571651539</v>
      </c>
    </row>
    <row r="13" spans="1:26" s="70" customFormat="1" ht="15" hidden="1" customHeight="1" outlineLevel="1" x14ac:dyDescent="0.3">
      <c r="A13" s="42"/>
      <c r="B13" s="12" t="str">
        <f>CONCATENATE("          ","4053"," - ","TAXABLE SALES-FOOD")</f>
        <v xml:space="preserve">          4053 - TAXABLE SALES-FOOD</v>
      </c>
      <c r="C13" s="12"/>
      <c r="D13" s="3">
        <f>--506.22</f>
        <v>506.22</v>
      </c>
      <c r="E13" s="3"/>
      <c r="F13" s="20"/>
      <c r="G13" s="3"/>
      <c r="H13" s="3"/>
      <c r="I13" s="3"/>
      <c r="J13" s="20"/>
      <c r="K13" s="3"/>
      <c r="L13" s="3">
        <f t="shared" si="0"/>
        <v>506.22</v>
      </c>
      <c r="M13" s="3"/>
      <c r="N13" s="20">
        <f t="shared" si="1"/>
        <v>0</v>
      </c>
      <c r="O13" s="12"/>
      <c r="P13" s="3">
        <f>--3618.46</f>
        <v>3618.46</v>
      </c>
      <c r="Q13" s="3"/>
      <c r="R13" s="20"/>
      <c r="S13" s="3"/>
      <c r="T13" s="3"/>
      <c r="U13" s="3"/>
      <c r="V13" s="20"/>
      <c r="W13" s="3"/>
      <c r="X13" s="3">
        <f t="shared" si="2"/>
        <v>3618.46</v>
      </c>
      <c r="Y13" s="3"/>
      <c r="Z13" s="20">
        <f t="shared" si="3"/>
        <v>0</v>
      </c>
    </row>
    <row r="14" spans="1:26" s="70" customFormat="1" ht="15" hidden="1" customHeight="1" outlineLevel="1" x14ac:dyDescent="0.3">
      <c r="A14" s="42"/>
      <c r="B14" s="12" t="str">
        <f>CONCATENATE("          ","4055"," - ","TAXABLE SALES-FOOD")</f>
        <v xml:space="preserve">          4055 - TAXABLE SALES-FOOD</v>
      </c>
      <c r="C14" s="12"/>
      <c r="D14" s="3">
        <f>--541.27</f>
        <v>541.27</v>
      </c>
      <c r="E14" s="3"/>
      <c r="F14" s="20"/>
      <c r="G14" s="3"/>
      <c r="H14" s="3"/>
      <c r="I14" s="3"/>
      <c r="J14" s="20"/>
      <c r="K14" s="3"/>
      <c r="L14" s="3">
        <f t="shared" si="0"/>
        <v>541.27</v>
      </c>
      <c r="M14" s="3"/>
      <c r="N14" s="20">
        <f t="shared" si="1"/>
        <v>0</v>
      </c>
      <c r="O14" s="12"/>
      <c r="P14" s="3">
        <f>--541.27</f>
        <v>541.27</v>
      </c>
      <c r="Q14" s="3"/>
      <c r="R14" s="20"/>
      <c r="S14" s="3"/>
      <c r="T14" s="3"/>
      <c r="U14" s="3"/>
      <c r="V14" s="20"/>
      <c r="W14" s="3"/>
      <c r="X14" s="3">
        <f t="shared" si="2"/>
        <v>541.27</v>
      </c>
      <c r="Y14" s="3"/>
      <c r="Z14" s="20">
        <f t="shared" si="3"/>
        <v>0</v>
      </c>
    </row>
    <row r="15" spans="1:26" s="70" customFormat="1" ht="15" hidden="1" customHeight="1" outlineLevel="1" x14ac:dyDescent="0.3">
      <c r="A15" s="42"/>
      <c r="B15" s="12" t="str">
        <f>CONCATENATE("          ","4100"," - ","NON-TAXABLE SALES")</f>
        <v xml:space="preserve">          4100 - NON-TAXABLE SALES</v>
      </c>
      <c r="C15" s="12"/>
      <c r="D15" s="3">
        <f>0</f>
        <v>0</v>
      </c>
      <c r="E15" s="3"/>
      <c r="F15" s="20"/>
      <c r="G15" s="3"/>
      <c r="H15" s="3">
        <v>1088640</v>
      </c>
      <c r="I15" s="3"/>
      <c r="J15" s="20"/>
      <c r="K15" s="3"/>
      <c r="L15" s="3">
        <f t="shared" si="0"/>
        <v>-1088640</v>
      </c>
      <c r="M15" s="3"/>
      <c r="N15" s="20">
        <f t="shared" si="1"/>
        <v>-1</v>
      </c>
      <c r="O15" s="12"/>
      <c r="P15" s="3">
        <f>0</f>
        <v>0</v>
      </c>
      <c r="Q15" s="3"/>
      <c r="R15" s="20"/>
      <c r="S15" s="3"/>
      <c r="T15" s="3">
        <v>7176960</v>
      </c>
      <c r="U15" s="3"/>
      <c r="V15" s="20"/>
      <c r="W15" s="3"/>
      <c r="X15" s="3">
        <f t="shared" si="2"/>
        <v>-7176960</v>
      </c>
      <c r="Y15" s="3"/>
      <c r="Z15" s="20">
        <f t="shared" si="3"/>
        <v>-1</v>
      </c>
    </row>
    <row r="16" spans="1:26" s="70" customFormat="1" ht="15" hidden="1" customHeight="1" outlineLevel="1" x14ac:dyDescent="0.3">
      <c r="A16" s="42"/>
      <c r="B16" s="12" t="str">
        <f>CONCATENATE("          ","4151"," - ","NON-TAXABLE SALES-FOOD")</f>
        <v xml:space="preserve">          4151 - NON-TAXABLE SALES-FOOD</v>
      </c>
      <c r="C16" s="12"/>
      <c r="D16" s="3">
        <f>--1367564.89</f>
        <v>1367564.89</v>
      </c>
      <c r="E16" s="3"/>
      <c r="F16" s="20"/>
      <c r="G16" s="3"/>
      <c r="H16" s="3"/>
      <c r="I16" s="3"/>
      <c r="J16" s="20"/>
      <c r="K16" s="3"/>
      <c r="L16" s="3">
        <f t="shared" si="0"/>
        <v>1367564.89</v>
      </c>
      <c r="M16" s="3"/>
      <c r="N16" s="20">
        <f t="shared" si="1"/>
        <v>0</v>
      </c>
      <c r="O16" s="12"/>
      <c r="P16" s="3">
        <f>--9100815.23</f>
        <v>9100815.2300000004</v>
      </c>
      <c r="Q16" s="3"/>
      <c r="R16" s="20"/>
      <c r="S16" s="3"/>
      <c r="T16" s="3"/>
      <c r="U16" s="3"/>
      <c r="V16" s="20"/>
      <c r="W16" s="3"/>
      <c r="X16" s="3">
        <f t="shared" si="2"/>
        <v>9100815.2300000004</v>
      </c>
      <c r="Y16" s="3"/>
      <c r="Z16" s="20">
        <f t="shared" si="3"/>
        <v>0</v>
      </c>
    </row>
    <row r="17" spans="1:26" s="70" customFormat="1" ht="15" hidden="1" customHeight="1" outlineLevel="1" x14ac:dyDescent="0.3">
      <c r="A17" s="42"/>
      <c r="B17" s="12" t="str">
        <f>CONCATENATE("          ","4153"," - ","NON-TAXABLE SALES-FOOD")</f>
        <v xml:space="preserve">          4153 - NON-TAXABLE SALES-FOOD</v>
      </c>
      <c r="C17" s="12"/>
      <c r="D17" s="3">
        <f>--15712.94</f>
        <v>15712.94</v>
      </c>
      <c r="E17" s="3"/>
      <c r="F17" s="20"/>
      <c r="G17" s="3"/>
      <c r="H17" s="3"/>
      <c r="I17" s="3"/>
      <c r="J17" s="20"/>
      <c r="K17" s="3"/>
      <c r="L17" s="3">
        <f t="shared" si="0"/>
        <v>15712.94</v>
      </c>
      <c r="M17" s="3"/>
      <c r="N17" s="20">
        <f t="shared" si="1"/>
        <v>0</v>
      </c>
      <c r="O17" s="12"/>
      <c r="P17" s="3">
        <f>--96500.22</f>
        <v>96500.22</v>
      </c>
      <c r="Q17" s="3"/>
      <c r="R17" s="20"/>
      <c r="S17" s="3"/>
      <c r="T17" s="3"/>
      <c r="U17" s="3"/>
      <c r="V17" s="20"/>
      <c r="W17" s="3"/>
      <c r="X17" s="3">
        <f t="shared" si="2"/>
        <v>96500.22</v>
      </c>
      <c r="Y17" s="3"/>
      <c r="Z17" s="20">
        <f t="shared" si="3"/>
        <v>0</v>
      </c>
    </row>
    <row r="18" spans="1:26" s="70" customFormat="1" ht="15" hidden="1" customHeight="1" outlineLevel="1" x14ac:dyDescent="0.3">
      <c r="A18" s="42"/>
      <c r="B18" s="12" t="str">
        <f>CONCATENATE("          ","4155"," - ","NON-TAXABLE SALES-FOOD")</f>
        <v xml:space="preserve">          4155 - NON-TAXABLE SALES-FOOD</v>
      </c>
      <c r="C18" s="12"/>
      <c r="D18" s="3">
        <f>--1744.71</f>
        <v>1744.71</v>
      </c>
      <c r="E18" s="3"/>
      <c r="F18" s="20"/>
      <c r="G18" s="3"/>
      <c r="H18" s="3"/>
      <c r="I18" s="3"/>
      <c r="J18" s="20"/>
      <c r="K18" s="3"/>
      <c r="L18" s="3">
        <f t="shared" si="0"/>
        <v>1744.71</v>
      </c>
      <c r="M18" s="3"/>
      <c r="N18" s="20">
        <f t="shared" si="1"/>
        <v>0</v>
      </c>
      <c r="O18" s="12"/>
      <c r="P18" s="3">
        <f>--1744.71</f>
        <v>1744.71</v>
      </c>
      <c r="Q18" s="3"/>
      <c r="R18" s="20"/>
      <c r="S18" s="3"/>
      <c r="T18" s="3"/>
      <c r="U18" s="3"/>
      <c r="V18" s="20"/>
      <c r="W18" s="3"/>
      <c r="X18" s="3">
        <f t="shared" si="2"/>
        <v>1744.71</v>
      </c>
      <c r="Y18" s="3"/>
      <c r="Z18" s="20">
        <f t="shared" si="3"/>
        <v>0</v>
      </c>
    </row>
    <row r="19" spans="1:26" ht="15" customHeight="1" x14ac:dyDescent="0.3">
      <c r="A19" s="10"/>
      <c r="B19" s="11"/>
      <c r="C19" s="10"/>
      <c r="D19" s="4"/>
      <c r="E19" s="4"/>
      <c r="F19" s="9"/>
      <c r="G19" s="4"/>
      <c r="H19" s="4"/>
      <c r="I19" s="4"/>
      <c r="J19" s="9"/>
      <c r="K19" s="4"/>
      <c r="L19" s="4"/>
      <c r="M19" s="4"/>
      <c r="N19" s="9"/>
      <c r="P19" s="4"/>
      <c r="Q19" s="4"/>
      <c r="R19" s="9"/>
      <c r="S19" s="4"/>
      <c r="T19" s="4"/>
      <c r="U19" s="4"/>
      <c r="V19" s="9"/>
      <c r="W19" s="4"/>
      <c r="X19" s="4"/>
      <c r="Y19" s="4"/>
      <c r="Z19" s="9"/>
    </row>
    <row r="20" spans="1:26" s="63" customFormat="1" ht="15" customHeight="1" collapsed="1" x14ac:dyDescent="0.3">
      <c r="A20" s="11"/>
      <c r="B20" s="28" t="s">
        <v>288</v>
      </c>
      <c r="C20" s="11"/>
      <c r="D20" s="5">
        <f>SUM(OSRRefD16x_0)</f>
        <v>327097.55</v>
      </c>
      <c r="E20" s="5"/>
      <c r="F20" s="13">
        <f>IF(D$12=0,0,D20/D$12)</f>
        <v>0.23598919457193662</v>
      </c>
      <c r="G20" s="5"/>
      <c r="H20" s="5">
        <f>SUM(OSRRefH16x_0)</f>
        <v>291406</v>
      </c>
      <c r="I20" s="5"/>
      <c r="J20" s="13">
        <f>IF(H$12=0,0,H20/H$12)</f>
        <v>0.2676789388594944</v>
      </c>
      <c r="K20" s="5"/>
      <c r="L20" s="5">
        <f>+D20-H20</f>
        <v>35691.549999999988</v>
      </c>
      <c r="M20" s="5"/>
      <c r="N20" s="13">
        <f>IF(H20=0,0,L20/H20)</f>
        <v>0.12248049113607815</v>
      </c>
      <c r="O20" s="11"/>
      <c r="P20" s="5">
        <f>SUM(OSRRefP16x_0)</f>
        <v>2238390.9300000002</v>
      </c>
      <c r="Q20" s="5"/>
      <c r="R20" s="13">
        <f>IF(P$12=0,0,P20/P$12)</f>
        <v>0.24321823848109747</v>
      </c>
      <c r="S20" s="5"/>
      <c r="T20" s="5">
        <f>SUM(OSRRefT16x_0)</f>
        <v>1999881</v>
      </c>
      <c r="U20" s="5"/>
      <c r="V20" s="13">
        <f>IF(T$12=0,0,T20/T$12)</f>
        <v>0.27865293940609953</v>
      </c>
      <c r="W20" s="5"/>
      <c r="X20" s="5">
        <f>+P20-T20</f>
        <v>238509.93000000017</v>
      </c>
      <c r="Y20" s="5"/>
      <c r="Z20" s="13">
        <f>IF(T20=0,0,X20/T20)</f>
        <v>0.1192620610926351</v>
      </c>
    </row>
    <row r="21" spans="1:26" s="70" customFormat="1" ht="15" hidden="1" customHeight="1" outlineLevel="1" x14ac:dyDescent="0.3">
      <c r="A21" s="42"/>
      <c r="B21" s="12" t="str">
        <f>CONCATENATE("          ","5000"," - ","PURCHASES @ COST")</f>
        <v xml:space="preserve">          5000 - PURCHASES @ COST</v>
      </c>
      <c r="C21" s="12"/>
      <c r="D21" s="3"/>
      <c r="E21" s="3"/>
      <c r="F21" s="20">
        <f>IF(D$12=0,0,D21/D$12)</f>
        <v>0</v>
      </c>
      <c r="G21" s="3"/>
      <c r="H21" s="3">
        <v>291406</v>
      </c>
      <c r="I21" s="3"/>
      <c r="J21" s="20">
        <f>IF(H$12=0,0,H21/H$12)</f>
        <v>0.2676789388594944</v>
      </c>
      <c r="K21" s="3"/>
      <c r="L21" s="3">
        <f>+D21-H21</f>
        <v>-291406</v>
      </c>
      <c r="M21" s="3"/>
      <c r="N21" s="20">
        <f>IF(H21=0,0,L21/H21)</f>
        <v>-1</v>
      </c>
      <c r="O21" s="12"/>
      <c r="P21" s="3"/>
      <c r="Q21" s="3"/>
      <c r="R21" s="20">
        <f>IF(P$12=0,0,P21/P$12)</f>
        <v>0</v>
      </c>
      <c r="S21" s="3"/>
      <c r="T21" s="3">
        <v>1999881</v>
      </c>
      <c r="U21" s="3"/>
      <c r="V21" s="20">
        <f>IF(T$12=0,0,T21/T$12)</f>
        <v>0.27865293940609953</v>
      </c>
      <c r="W21" s="3"/>
      <c r="X21" s="3">
        <f>+P21-T21</f>
        <v>-1999881</v>
      </c>
      <c r="Y21" s="3"/>
      <c r="Z21" s="20">
        <f>IF(T21=0,0,X21/T21)</f>
        <v>-1</v>
      </c>
    </row>
    <row r="22" spans="1:26" s="70" customFormat="1" ht="15" hidden="1" customHeight="1" outlineLevel="1" x14ac:dyDescent="0.3">
      <c r="A22" s="42"/>
      <c r="B22" s="12" t="str">
        <f>CONCATENATE("          ","5053"," - ","PURCHASES @ COST-FOOD")</f>
        <v xml:space="preserve">          5053 - PURCHASES @ COST-FOOD</v>
      </c>
      <c r="C22" s="12"/>
      <c r="D22" s="3">
        <v>315121.55</v>
      </c>
      <c r="E22" s="3"/>
      <c r="F22" s="20">
        <f>IF(D$12=0,0,D22/D$12)</f>
        <v>0.22734893849483206</v>
      </c>
      <c r="G22" s="3"/>
      <c r="H22" s="3"/>
      <c r="I22" s="3"/>
      <c r="J22" s="20">
        <f>IF(H$12=0,0,H22/H$12)</f>
        <v>0</v>
      </c>
      <c r="K22" s="3"/>
      <c r="L22" s="3">
        <f>+D22-H22</f>
        <v>315121.55</v>
      </c>
      <c r="M22" s="3"/>
      <c r="N22" s="20">
        <f>IF(H22=0,0,L22/H22)</f>
        <v>0</v>
      </c>
      <c r="O22" s="12"/>
      <c r="P22" s="3">
        <v>2280148.9900000002</v>
      </c>
      <c r="Q22" s="3"/>
      <c r="R22" s="20">
        <f>IF(P$12=0,0,P22/P$12)</f>
        <v>0.24775557003452187</v>
      </c>
      <c r="S22" s="3"/>
      <c r="T22" s="3"/>
      <c r="U22" s="3"/>
      <c r="V22" s="20">
        <f>IF(T$12=0,0,T22/T$12)</f>
        <v>0</v>
      </c>
      <c r="W22" s="3"/>
      <c r="X22" s="3">
        <f>+P22-T22</f>
        <v>2280148.9900000002</v>
      </c>
      <c r="Y22" s="3"/>
      <c r="Z22" s="20">
        <f>IF(T22=0,0,X22/T22)</f>
        <v>0</v>
      </c>
    </row>
    <row r="23" spans="1:26" s="70" customFormat="1" ht="15" hidden="1" customHeight="1" outlineLevel="1" x14ac:dyDescent="0.3">
      <c r="A23" s="42"/>
      <c r="B23" s="12" t="str">
        <f>CONCATENATE("          ","5059"," - ","PURCHASES @ COST-FOOD")</f>
        <v xml:space="preserve">          5059 - PURCHASES @ COST-FOOD</v>
      </c>
      <c r="C23" s="12"/>
      <c r="D23" s="3">
        <v>11976</v>
      </c>
      <c r="E23" s="3"/>
      <c r="F23" s="20">
        <f>IF(D$12=0,0,D23/D$12)</f>
        <v>8.6402560771045613E-3</v>
      </c>
      <c r="G23" s="3"/>
      <c r="H23" s="3"/>
      <c r="I23" s="3"/>
      <c r="J23" s="20">
        <f>IF(H$12=0,0,H23/H$12)</f>
        <v>0</v>
      </c>
      <c r="K23" s="3"/>
      <c r="L23" s="3">
        <f>+D23-H23</f>
        <v>11976</v>
      </c>
      <c r="M23" s="3"/>
      <c r="N23" s="20">
        <f>IF(H23=0,0,L23/H23)</f>
        <v>0</v>
      </c>
      <c r="O23" s="12"/>
      <c r="P23" s="3">
        <v>-41758.06</v>
      </c>
      <c r="Q23" s="3"/>
      <c r="R23" s="20">
        <f>IF(P$12=0,0,P23/P$12)</f>
        <v>-4.5373315534243943E-3</v>
      </c>
      <c r="S23" s="3"/>
      <c r="T23" s="3"/>
      <c r="U23" s="3"/>
      <c r="V23" s="20">
        <f>IF(T$12=0,0,T23/T$12)</f>
        <v>0</v>
      </c>
      <c r="W23" s="3"/>
      <c r="X23" s="3">
        <f>+P23-T23</f>
        <v>-41758.06</v>
      </c>
      <c r="Y23" s="3"/>
      <c r="Z23" s="20">
        <f>IF(T23=0,0,X23/T23)</f>
        <v>0</v>
      </c>
    </row>
    <row r="24" spans="1:26" ht="15" customHeight="1" x14ac:dyDescent="0.3">
      <c r="A24" s="10"/>
      <c r="B24" s="11"/>
      <c r="C24" s="11"/>
      <c r="D24" s="4"/>
      <c r="E24" s="4"/>
      <c r="F24" s="9"/>
      <c r="G24" s="4"/>
      <c r="H24" s="4"/>
      <c r="I24" s="4"/>
      <c r="J24" s="9"/>
      <c r="K24" s="4"/>
      <c r="L24" s="4"/>
      <c r="M24" s="4"/>
      <c r="N24" s="9"/>
      <c r="O24" s="11"/>
      <c r="P24" s="4"/>
      <c r="Q24" s="4"/>
      <c r="R24" s="9"/>
      <c r="S24" s="4"/>
      <c r="T24" s="4"/>
      <c r="U24" s="4"/>
      <c r="V24" s="9"/>
      <c r="W24" s="4"/>
      <c r="X24" s="4"/>
      <c r="Y24" s="4"/>
      <c r="Z24" s="9"/>
    </row>
    <row r="25" spans="1:26" s="63" customFormat="1" ht="15" customHeight="1" x14ac:dyDescent="0.3">
      <c r="A25" s="11"/>
      <c r="B25" s="27" t="s">
        <v>289</v>
      </c>
      <c r="C25" s="27"/>
      <c r="D25" s="21">
        <f>D12-D20</f>
        <v>1058972.4799999997</v>
      </c>
      <c r="E25" s="15"/>
      <c r="F25" s="23">
        <f>IF(D$12=0,0,D25/D$12)</f>
        <v>0.76401080542806332</v>
      </c>
      <c r="G25" s="15"/>
      <c r="H25" s="21">
        <f>H12-H20</f>
        <v>797234</v>
      </c>
      <c r="I25" s="15"/>
      <c r="J25" s="23">
        <f>IF(H$12=0,0,H25/H$12)</f>
        <v>0.73232106114050555</v>
      </c>
      <c r="K25" s="16"/>
      <c r="L25" s="21">
        <f>+D25-H25</f>
        <v>261738.47999999975</v>
      </c>
      <c r="M25" s="16"/>
      <c r="N25" s="23">
        <f>IF(H25=0,0,L25/H25)</f>
        <v>0.32830822569032397</v>
      </c>
      <c r="O25" s="28"/>
      <c r="P25" s="21">
        <f>P12-P20</f>
        <v>6964828.9600000028</v>
      </c>
      <c r="Q25" s="15"/>
      <c r="R25" s="23">
        <f>IF(P$12=0,0,P25/P$12)</f>
        <v>0.75678176151890264</v>
      </c>
      <c r="S25" s="15"/>
      <c r="T25" s="21">
        <f>T12-T20</f>
        <v>5177079</v>
      </c>
      <c r="U25" s="15"/>
      <c r="V25" s="23">
        <f>IF(T$12=0,0,T25/T$12)</f>
        <v>0.72134706059390052</v>
      </c>
      <c r="W25" s="16"/>
      <c r="X25" s="21">
        <f>+P25-T25</f>
        <v>1787749.9600000028</v>
      </c>
      <c r="Y25" s="16"/>
      <c r="Z25" s="23">
        <f>IF(T25=0,0,X25/T25)</f>
        <v>0.34532020083139597</v>
      </c>
    </row>
    <row r="26" spans="1:26" ht="15" customHeight="1" x14ac:dyDescent="0.3">
      <c r="A26" s="10"/>
      <c r="B26" s="11"/>
      <c r="C26" s="10"/>
      <c r="D26" s="2"/>
      <c r="E26" s="2"/>
      <c r="F26" s="6"/>
      <c r="G26" s="2"/>
      <c r="H26" s="2"/>
      <c r="I26" s="2"/>
      <c r="J26" s="6"/>
      <c r="K26" s="2"/>
      <c r="L26" s="2"/>
      <c r="M26" s="2"/>
      <c r="N26" s="6"/>
      <c r="O26" s="35"/>
      <c r="P26" s="2"/>
      <c r="Q26" s="2"/>
      <c r="R26" s="6"/>
      <c r="S26" s="2"/>
      <c r="T26" s="2"/>
      <c r="U26" s="2"/>
      <c r="V26" s="6"/>
      <c r="W26" s="2"/>
      <c r="X26" s="2"/>
      <c r="Y26" s="2"/>
      <c r="Z26" s="6"/>
    </row>
    <row r="27" spans="1:26" s="63" customFormat="1" ht="15" customHeight="1" x14ac:dyDescent="0.3">
      <c r="A27" s="11"/>
      <c r="B27" s="28" t="s">
        <v>290</v>
      </c>
      <c r="C27" s="11"/>
      <c r="D27" s="22" cm="1">
        <f t="array" ref="D27">SUM(OSRRefD22x_0)</f>
        <v>553462.25000000012</v>
      </c>
      <c r="E27" s="22"/>
      <c r="F27" s="30">
        <f t="shared" ref="F27:F58" si="4">IF(D$12=0,0,D27/D$12)</f>
        <v>0.39930323722532274</v>
      </c>
      <c r="G27" s="22"/>
      <c r="H27" s="22" cm="1">
        <f t="array" ref="H27">SUM(OSRRefH22x_0)</f>
        <v>558082.47823726607</v>
      </c>
      <c r="I27" s="22"/>
      <c r="J27" s="30">
        <f t="shared" ref="J27:J58" si="5">IF(H$12=0,0,H27/H$12)</f>
        <v>0.51264190020324996</v>
      </c>
      <c r="K27" s="5"/>
      <c r="L27" s="22">
        <f t="shared" ref="L27:L58" si="6">+D27-H27</f>
        <v>-4620.2282372659538</v>
      </c>
      <c r="M27" s="5"/>
      <c r="N27" s="30">
        <f t="shared" ref="N27:N58" si="7">IF(H27=0,0,L27/H27)</f>
        <v>-8.278755233203516E-3</v>
      </c>
      <c r="O27" s="11"/>
      <c r="P27" s="22" cm="1">
        <f t="array" ref="P27">SUM(OSRRefP22x_0)</f>
        <v>4141429.97</v>
      </c>
      <c r="Q27" s="22"/>
      <c r="R27" s="30">
        <f t="shared" ref="R27:R58" si="8">IF(P$12=0,0,P27/P$12)</f>
        <v>0.44999793762398077</v>
      </c>
      <c r="S27" s="22"/>
      <c r="T27" s="22" cm="1">
        <f t="array" ref="T27">SUM(OSRRefT22x_0)</f>
        <v>4617042.4453840442</v>
      </c>
      <c r="U27" s="22"/>
      <c r="V27" s="30">
        <f t="shared" ref="V27:V58" si="9">IF(T$12=0,0,T27/T$12)</f>
        <v>0.64331450159733983</v>
      </c>
      <c r="W27" s="5"/>
      <c r="X27" s="22">
        <f t="shared" ref="X27:X58" si="10">+P27-T27</f>
        <v>-475612.475384044</v>
      </c>
      <c r="Y27" s="5"/>
      <c r="Z27" s="30">
        <f t="shared" ref="Z27:Z58" si="11">IF(T27=0,0,X27/T27)</f>
        <v>-0.10301236798451886</v>
      </c>
    </row>
    <row r="28" spans="1:26" s="69" customFormat="1" ht="15" customHeight="1" outlineLevel="1" collapsed="1" x14ac:dyDescent="0.3">
      <c r="A28" s="25"/>
      <c r="B28" s="14" t="str">
        <f>CONCATENATE("     ","*Benefits                                         ")</f>
        <v xml:space="preserve">     *Benefits                                         </v>
      </c>
      <c r="C28" s="14"/>
      <c r="D28" s="2">
        <f>SUM(OSRRefD22_0x_0)</f>
        <v>86469.290000000023</v>
      </c>
      <c r="E28" s="2"/>
      <c r="F28" s="6">
        <f t="shared" si="4"/>
        <v>6.2384503039864467E-2</v>
      </c>
      <c r="G28" s="2"/>
      <c r="H28" s="2">
        <f>SUM(OSRRefH22_0x_0)</f>
        <v>108635.02928341995</v>
      </c>
      <c r="I28" s="2"/>
      <c r="J28" s="6">
        <f t="shared" si="5"/>
        <v>9.9789672695675291E-2</v>
      </c>
      <c r="K28" s="2"/>
      <c r="L28" s="2">
        <f t="shared" si="6"/>
        <v>-22165.739283419927</v>
      </c>
      <c r="M28" s="2"/>
      <c r="N28" s="6">
        <f t="shared" si="7"/>
        <v>-0.20403859997672866</v>
      </c>
      <c r="O28" s="14"/>
      <c r="P28" s="2">
        <f>SUM(OSRRefP22_0x_0)</f>
        <v>773762.85</v>
      </c>
      <c r="Q28" s="2"/>
      <c r="R28" s="6">
        <f t="shared" si="8"/>
        <v>8.4075232282644047E-2</v>
      </c>
      <c r="S28" s="2"/>
      <c r="T28" s="2">
        <f>SUM(OSRRefT22_0x_0)</f>
        <v>1014392.376584045</v>
      </c>
      <c r="U28" s="2"/>
      <c r="V28" s="6">
        <f t="shared" si="9"/>
        <v>0.14134011846018996</v>
      </c>
      <c r="W28" s="2"/>
      <c r="X28" s="2">
        <f t="shared" si="10"/>
        <v>-240629.52658404503</v>
      </c>
      <c r="Y28" s="2"/>
      <c r="Z28" s="6">
        <f t="shared" si="11"/>
        <v>-0.23721543274443985</v>
      </c>
    </row>
    <row r="29" spans="1:26" s="70" customFormat="1" ht="15" hidden="1" customHeight="1" outlineLevel="2" x14ac:dyDescent="0.3">
      <c r="A29" s="26"/>
      <c r="B29" s="12" t="str">
        <f>CONCATENATE("          ","6111"," - ","F.I.C.A.")</f>
        <v xml:space="preserve">          6111 - F.I.C.A.</v>
      </c>
      <c r="C29" s="12"/>
      <c r="D29" s="7">
        <v>12667.94</v>
      </c>
      <c r="E29" s="3"/>
      <c r="F29" s="8">
        <f t="shared" si="4"/>
        <v>9.1394660629088142E-3</v>
      </c>
      <c r="G29" s="3"/>
      <c r="H29" s="7">
        <v>11629.1890418815</v>
      </c>
      <c r="I29" s="3"/>
      <c r="J29" s="8">
        <f t="shared" si="5"/>
        <v>1.0682309158106904E-2</v>
      </c>
      <c r="K29" s="3"/>
      <c r="L29" s="7">
        <f t="shared" si="6"/>
        <v>1038.7509581185004</v>
      </c>
      <c r="M29" s="3"/>
      <c r="N29" s="8">
        <f t="shared" si="7"/>
        <v>8.9322733887765543E-2</v>
      </c>
      <c r="O29" s="12"/>
      <c r="P29" s="7">
        <v>106837.79</v>
      </c>
      <c r="Q29" s="3"/>
      <c r="R29" s="8">
        <f t="shared" si="8"/>
        <v>1.1608740340550525E-2</v>
      </c>
      <c r="S29" s="3"/>
      <c r="T29" s="7">
        <v>114678.194289045</v>
      </c>
      <c r="U29" s="3"/>
      <c r="V29" s="8">
        <f t="shared" si="9"/>
        <v>1.5978658692405279E-2</v>
      </c>
      <c r="W29" s="3"/>
      <c r="X29" s="7">
        <f t="shared" si="10"/>
        <v>-7840.4042890450073</v>
      </c>
      <c r="Y29" s="3"/>
      <c r="Z29" s="8">
        <f t="shared" si="11"/>
        <v>-6.8368745581076765E-2</v>
      </c>
    </row>
    <row r="30" spans="1:26" s="70" customFormat="1" ht="15" hidden="1" customHeight="1" outlineLevel="2" x14ac:dyDescent="0.3">
      <c r="A30" s="26"/>
      <c r="B30" s="12" t="str">
        <f>CONCATENATE("          ","6112"," - ","COMPENSATION INSURANCE")</f>
        <v xml:space="preserve">          6112 - COMPENSATION INSURANCE</v>
      </c>
      <c r="C30" s="12"/>
      <c r="D30" s="7">
        <v>10430.66</v>
      </c>
      <c r="E30" s="3"/>
      <c r="F30" s="8">
        <f t="shared" si="4"/>
        <v>7.5253484847370962E-3</v>
      </c>
      <c r="G30" s="3"/>
      <c r="H30" s="7">
        <v>11371.521778292299</v>
      </c>
      <c r="I30" s="3"/>
      <c r="J30" s="8">
        <f t="shared" si="5"/>
        <v>1.0445621856896953E-2</v>
      </c>
      <c r="K30" s="3"/>
      <c r="L30" s="7">
        <f t="shared" si="6"/>
        <v>-940.86177829229928</v>
      </c>
      <c r="M30" s="3"/>
      <c r="N30" s="8">
        <f t="shared" si="7"/>
        <v>-8.2738422933715014E-2</v>
      </c>
      <c r="O30" s="12"/>
      <c r="P30" s="7">
        <v>69157.210000000006</v>
      </c>
      <c r="Q30" s="3"/>
      <c r="R30" s="8">
        <f t="shared" si="8"/>
        <v>7.5144580729994909E-3</v>
      </c>
      <c r="S30" s="3"/>
      <c r="T30" s="7">
        <v>93369.387384350004</v>
      </c>
      <c r="U30" s="3"/>
      <c r="V30" s="8">
        <f t="shared" si="9"/>
        <v>1.3009601193868993E-2</v>
      </c>
      <c r="W30" s="3"/>
      <c r="X30" s="7">
        <f t="shared" si="10"/>
        <v>-24212.177384349998</v>
      </c>
      <c r="Y30" s="3"/>
      <c r="Z30" s="8">
        <f t="shared" si="11"/>
        <v>-0.25931601419512251</v>
      </c>
    </row>
    <row r="31" spans="1:26" s="70" customFormat="1" ht="15" hidden="1" customHeight="1" outlineLevel="2" x14ac:dyDescent="0.3">
      <c r="A31" s="26"/>
      <c r="B31" s="12" t="str">
        <f>CONCATENATE("          ","6113"," - ","GROUP INSURANCE")</f>
        <v xml:space="preserve">          6113 - GROUP INSURANCE</v>
      </c>
      <c r="C31" s="12"/>
      <c r="D31" s="7">
        <v>40860.07</v>
      </c>
      <c r="E31" s="3"/>
      <c r="F31" s="8">
        <f t="shared" si="4"/>
        <v>2.9479080505044903E-2</v>
      </c>
      <c r="G31" s="3"/>
      <c r="H31" s="7">
        <v>61886.692307692298</v>
      </c>
      <c r="I31" s="3"/>
      <c r="J31" s="8">
        <f t="shared" si="5"/>
        <v>5.684771118798896E-2</v>
      </c>
      <c r="K31" s="3"/>
      <c r="L31" s="7">
        <f t="shared" si="6"/>
        <v>-21026.622307692298</v>
      </c>
      <c r="M31" s="3"/>
      <c r="N31" s="8">
        <f t="shared" si="7"/>
        <v>-0.33975999562475828</v>
      </c>
      <c r="O31" s="12"/>
      <c r="P31" s="7">
        <v>384986.01</v>
      </c>
      <c r="Q31" s="3"/>
      <c r="R31" s="8">
        <f t="shared" si="8"/>
        <v>4.1831664852245522E-2</v>
      </c>
      <c r="S31" s="3"/>
      <c r="T31" s="7">
        <v>592965</v>
      </c>
      <c r="U31" s="3"/>
      <c r="V31" s="8">
        <f t="shared" si="9"/>
        <v>8.2620636035313E-2</v>
      </c>
      <c r="W31" s="3"/>
      <c r="X31" s="7">
        <f t="shared" si="10"/>
        <v>-207978.99</v>
      </c>
      <c r="Y31" s="3"/>
      <c r="Z31" s="8">
        <f t="shared" si="11"/>
        <v>-0.35074412486403073</v>
      </c>
    </row>
    <row r="32" spans="1:26" s="70" customFormat="1" ht="15" hidden="1" customHeight="1" outlineLevel="2" x14ac:dyDescent="0.3">
      <c r="A32" s="26"/>
      <c r="B32" s="12" t="str">
        <f>CONCATENATE("          ","6114"," - ","STATE UNEMPLOYMENT INSURANCE")</f>
        <v xml:space="preserve">          6114 - STATE UNEMPLOYMENT INSURANCE</v>
      </c>
      <c r="C32" s="12"/>
      <c r="D32" s="7">
        <v>753.3</v>
      </c>
      <c r="E32" s="3"/>
      <c r="F32" s="8">
        <f t="shared" si="4"/>
        <v>5.4347903330685253E-4</v>
      </c>
      <c r="G32" s="3"/>
      <c r="H32" s="7">
        <v>630.08432016923098</v>
      </c>
      <c r="I32" s="3"/>
      <c r="J32" s="8">
        <f t="shared" si="5"/>
        <v>5.7878115829772096E-4</v>
      </c>
      <c r="K32" s="3"/>
      <c r="L32" s="7">
        <f t="shared" si="6"/>
        <v>123.21567983076898</v>
      </c>
      <c r="M32" s="3"/>
      <c r="N32" s="8">
        <f t="shared" si="7"/>
        <v>0.19555427089135488</v>
      </c>
      <c r="O32" s="12"/>
      <c r="P32" s="7">
        <v>4994.68</v>
      </c>
      <c r="Q32" s="3"/>
      <c r="R32" s="8">
        <f t="shared" si="8"/>
        <v>5.4271005796863549E-4</v>
      </c>
      <c r="S32" s="3"/>
      <c r="T32" s="7">
        <v>5173.5016756499999</v>
      </c>
      <c r="U32" s="3"/>
      <c r="V32" s="8">
        <f t="shared" si="9"/>
        <v>7.2084861496371716E-4</v>
      </c>
      <c r="W32" s="3"/>
      <c r="X32" s="7">
        <f t="shared" si="10"/>
        <v>-178.82167564999963</v>
      </c>
      <c r="Y32" s="3"/>
      <c r="Z32" s="8">
        <f t="shared" si="11"/>
        <v>-3.4564920794682534E-2</v>
      </c>
    </row>
    <row r="33" spans="1:26" s="70" customFormat="1" ht="15" hidden="1" customHeight="1" outlineLevel="2" x14ac:dyDescent="0.3">
      <c r="A33" s="26"/>
      <c r="B33" s="12" t="str">
        <f>CONCATENATE("          ","6115"," - ","P.E.R.S.")</f>
        <v xml:space="preserve">          6115 - P.E.R.S.</v>
      </c>
      <c r="C33" s="12"/>
      <c r="D33" s="7">
        <v>4069.55</v>
      </c>
      <c r="E33" s="3"/>
      <c r="F33" s="8">
        <f t="shared" si="4"/>
        <v>2.936034913041155E-3</v>
      </c>
      <c r="G33" s="3"/>
      <c r="H33" s="7">
        <v>3855.08832769231</v>
      </c>
      <c r="I33" s="3"/>
      <c r="J33" s="8">
        <f t="shared" si="5"/>
        <v>3.5411966560959639E-3</v>
      </c>
      <c r="K33" s="3"/>
      <c r="L33" s="7">
        <f t="shared" si="6"/>
        <v>214.46167230769015</v>
      </c>
      <c r="M33" s="3"/>
      <c r="N33" s="8">
        <f t="shared" si="7"/>
        <v>5.5630806372747574E-2</v>
      </c>
      <c r="O33" s="12"/>
      <c r="P33" s="7">
        <v>37492.879999999997</v>
      </c>
      <c r="Q33" s="3"/>
      <c r="R33" s="8">
        <f t="shared" si="8"/>
        <v>4.0738872316567008E-3</v>
      </c>
      <c r="S33" s="3"/>
      <c r="T33" s="7">
        <v>37436.885535000001</v>
      </c>
      <c r="U33" s="3"/>
      <c r="V33" s="8">
        <f t="shared" si="9"/>
        <v>5.2162594657069287E-3</v>
      </c>
      <c r="W33" s="3"/>
      <c r="X33" s="7">
        <f t="shared" si="10"/>
        <v>55.994464999996126</v>
      </c>
      <c r="Y33" s="3"/>
      <c r="Z33" s="8">
        <f t="shared" si="11"/>
        <v>1.4957030799916974E-3</v>
      </c>
    </row>
    <row r="34" spans="1:26" s="70" customFormat="1" ht="15" hidden="1" customHeight="1" outlineLevel="2" x14ac:dyDescent="0.3">
      <c r="A34" s="26"/>
      <c r="B34" s="12" t="str">
        <f>CONCATENATE("          ","6116"," - ","EDUCATIONAL BENEFITS")</f>
        <v xml:space="preserve">          6116 - EDUCATIONAL BENEFITS</v>
      </c>
      <c r="C34" s="12"/>
      <c r="D34" s="7"/>
      <c r="E34" s="3"/>
      <c r="F34" s="8">
        <f t="shared" si="4"/>
        <v>0</v>
      </c>
      <c r="G34" s="3"/>
      <c r="H34" s="7">
        <v>0</v>
      </c>
      <c r="I34" s="3"/>
      <c r="J34" s="8">
        <f t="shared" si="5"/>
        <v>0</v>
      </c>
      <c r="K34" s="3"/>
      <c r="L34" s="7">
        <f t="shared" si="6"/>
        <v>0</v>
      </c>
      <c r="M34" s="3"/>
      <c r="N34" s="8">
        <f t="shared" si="7"/>
        <v>0</v>
      </c>
      <c r="O34" s="12"/>
      <c r="P34" s="7"/>
      <c r="Q34" s="3"/>
      <c r="R34" s="8">
        <f t="shared" si="8"/>
        <v>0</v>
      </c>
      <c r="S34" s="3"/>
      <c r="T34" s="7">
        <v>0</v>
      </c>
      <c r="U34" s="3"/>
      <c r="V34" s="8">
        <f t="shared" si="9"/>
        <v>0</v>
      </c>
      <c r="W34" s="3"/>
      <c r="X34" s="7">
        <f t="shared" si="10"/>
        <v>0</v>
      </c>
      <c r="Y34" s="3"/>
      <c r="Z34" s="8">
        <f t="shared" si="11"/>
        <v>0</v>
      </c>
    </row>
    <row r="35" spans="1:26" s="70" customFormat="1" ht="15" hidden="1" customHeight="1" outlineLevel="2" x14ac:dyDescent="0.3">
      <c r="A35" s="26"/>
      <c r="B35" s="12" t="str">
        <f>CONCATENATE("          ","6117"," - ","RETIREMENT STAFF HOURLY")</f>
        <v xml:space="preserve">          6117 - RETIREMENT STAFF HOURLY</v>
      </c>
      <c r="C35" s="12"/>
      <c r="D35" s="7">
        <v>1567.69</v>
      </c>
      <c r="E35" s="3"/>
      <c r="F35" s="8">
        <f t="shared" si="4"/>
        <v>1.1310323187638653E-3</v>
      </c>
      <c r="G35" s="3"/>
      <c r="H35" s="7"/>
      <c r="I35" s="3"/>
      <c r="J35" s="8">
        <f t="shared" si="5"/>
        <v>0</v>
      </c>
      <c r="K35" s="3"/>
      <c r="L35" s="7">
        <f t="shared" si="6"/>
        <v>1567.69</v>
      </c>
      <c r="M35" s="3"/>
      <c r="N35" s="8">
        <f t="shared" si="7"/>
        <v>0</v>
      </c>
      <c r="O35" s="12"/>
      <c r="P35" s="7">
        <v>15423.19</v>
      </c>
      <c r="Q35" s="3"/>
      <c r="R35" s="8">
        <f t="shared" si="8"/>
        <v>1.6758471691802636E-3</v>
      </c>
      <c r="S35" s="3"/>
      <c r="T35" s="7"/>
      <c r="U35" s="3"/>
      <c r="V35" s="8">
        <f t="shared" si="9"/>
        <v>0</v>
      </c>
      <c r="W35" s="3"/>
      <c r="X35" s="7">
        <f t="shared" si="10"/>
        <v>15423.19</v>
      </c>
      <c r="Y35" s="3"/>
      <c r="Z35" s="8">
        <f t="shared" si="11"/>
        <v>0</v>
      </c>
    </row>
    <row r="36" spans="1:26" s="70" customFormat="1" ht="15" hidden="1" customHeight="1" outlineLevel="2" x14ac:dyDescent="0.3">
      <c r="A36" s="26"/>
      <c r="B36" s="12" t="str">
        <f>CONCATENATE("          ","6118"," - ","VACATION")</f>
        <v xml:space="preserve">          6118 - VACATION</v>
      </c>
      <c r="C36" s="12"/>
      <c r="D36" s="7">
        <v>6757.46</v>
      </c>
      <c r="E36" s="3"/>
      <c r="F36" s="8">
        <f t="shared" si="4"/>
        <v>4.8752659344347858E-3</v>
      </c>
      <c r="G36" s="3"/>
      <c r="H36" s="7">
        <v>5681.2654538461502</v>
      </c>
      <c r="I36" s="3"/>
      <c r="J36" s="8">
        <f t="shared" si="5"/>
        <v>5.2186815235947146E-3</v>
      </c>
      <c r="K36" s="3"/>
      <c r="L36" s="7">
        <f t="shared" si="6"/>
        <v>1076.1945461538498</v>
      </c>
      <c r="M36" s="3"/>
      <c r="N36" s="8">
        <f t="shared" si="7"/>
        <v>0.18942866776719239</v>
      </c>
      <c r="O36" s="12"/>
      <c r="P36" s="7">
        <v>70515.009999999995</v>
      </c>
      <c r="Q36" s="3"/>
      <c r="R36" s="8">
        <f t="shared" si="8"/>
        <v>7.6619933939229149E-3</v>
      </c>
      <c r="S36" s="3"/>
      <c r="T36" s="7">
        <v>55339.933875000002</v>
      </c>
      <c r="U36" s="3"/>
      <c r="V36" s="8">
        <f t="shared" si="9"/>
        <v>7.710776411600455E-3</v>
      </c>
      <c r="W36" s="3"/>
      <c r="X36" s="7">
        <f t="shared" si="10"/>
        <v>15175.076124999992</v>
      </c>
      <c r="Y36" s="3"/>
      <c r="Z36" s="8">
        <f t="shared" si="11"/>
        <v>0.27421565337025788</v>
      </c>
    </row>
    <row r="37" spans="1:26" s="70" customFormat="1" ht="15" hidden="1" customHeight="1" outlineLevel="2" x14ac:dyDescent="0.3">
      <c r="A37" s="26"/>
      <c r="B37" s="12" t="str">
        <f>CONCATENATE("          ","6119"," - ","SICK LEAVE")</f>
        <v xml:space="preserve">          6119 - SICK LEAVE</v>
      </c>
      <c r="C37" s="12"/>
      <c r="D37" s="7">
        <v>5328.71</v>
      </c>
      <c r="E37" s="3"/>
      <c r="F37" s="8">
        <f t="shared" si="4"/>
        <v>3.8444738611078696E-3</v>
      </c>
      <c r="G37" s="3"/>
      <c r="H37" s="7">
        <v>9381.1880538461501</v>
      </c>
      <c r="I37" s="3"/>
      <c r="J37" s="8">
        <f t="shared" si="5"/>
        <v>8.6173464633360428E-3</v>
      </c>
      <c r="K37" s="3"/>
      <c r="L37" s="7">
        <f t="shared" si="6"/>
        <v>-4052.47805384615</v>
      </c>
      <c r="M37" s="3"/>
      <c r="N37" s="8">
        <f t="shared" si="7"/>
        <v>-0.43197919395557721</v>
      </c>
      <c r="O37" s="12"/>
      <c r="P37" s="7">
        <v>54510.62</v>
      </c>
      <c r="Q37" s="3"/>
      <c r="R37" s="8">
        <f t="shared" si="8"/>
        <v>5.9229944140778311E-3</v>
      </c>
      <c r="S37" s="3"/>
      <c r="T37" s="7">
        <v>77629.473824999994</v>
      </c>
      <c r="U37" s="3"/>
      <c r="V37" s="8">
        <f t="shared" si="9"/>
        <v>1.0816484113747324E-2</v>
      </c>
      <c r="W37" s="3"/>
      <c r="X37" s="7">
        <f t="shared" si="10"/>
        <v>-23118.853824999991</v>
      </c>
      <c r="Y37" s="3"/>
      <c r="Z37" s="8">
        <f t="shared" si="11"/>
        <v>-0.29781026053476528</v>
      </c>
    </row>
    <row r="38" spans="1:26" s="70" customFormat="1" ht="15" hidden="1" customHeight="1" outlineLevel="2" x14ac:dyDescent="0.3">
      <c r="A38" s="26"/>
      <c r="B38" s="12" t="str">
        <f>CONCATENATE("          ","6156"," - ","EMPLOYEE MEALS")</f>
        <v xml:space="preserve">          6156 - EMPLOYEE MEALS</v>
      </c>
      <c r="C38" s="12"/>
      <c r="D38" s="7">
        <v>4033.91</v>
      </c>
      <c r="E38" s="3"/>
      <c r="F38" s="8">
        <f t="shared" si="4"/>
        <v>2.9103219265191097E-3</v>
      </c>
      <c r="G38" s="3"/>
      <c r="H38" s="7">
        <v>4200</v>
      </c>
      <c r="I38" s="3"/>
      <c r="J38" s="8">
        <f t="shared" si="5"/>
        <v>3.8580246913580245E-3</v>
      </c>
      <c r="K38" s="3"/>
      <c r="L38" s="7">
        <f t="shared" si="6"/>
        <v>-166.09000000000015</v>
      </c>
      <c r="M38" s="3"/>
      <c r="N38" s="8">
        <f t="shared" si="7"/>
        <v>-3.9545238095238133E-2</v>
      </c>
      <c r="O38" s="12"/>
      <c r="P38" s="7">
        <v>29845.46</v>
      </c>
      <c r="Q38" s="3"/>
      <c r="R38" s="8">
        <f t="shared" si="8"/>
        <v>3.242936750042163E-3</v>
      </c>
      <c r="S38" s="3"/>
      <c r="T38" s="7">
        <v>37800</v>
      </c>
      <c r="U38" s="3"/>
      <c r="V38" s="8">
        <f t="shared" si="9"/>
        <v>5.2668539325842695E-3</v>
      </c>
      <c r="W38" s="3"/>
      <c r="X38" s="7">
        <f t="shared" si="10"/>
        <v>-7954.5400000000009</v>
      </c>
      <c r="Y38" s="3"/>
      <c r="Z38" s="8">
        <f t="shared" si="11"/>
        <v>-0.21043756613756617</v>
      </c>
    </row>
    <row r="39" spans="1:26" s="69" customFormat="1" ht="15" customHeight="1" outlineLevel="1" collapsed="1" x14ac:dyDescent="0.3">
      <c r="A39" s="25"/>
      <c r="B39" s="14" t="str">
        <f>CONCATENATE("     ","*Payroll                                          ")</f>
        <v xml:space="preserve">     *Payroll                                          </v>
      </c>
      <c r="C39" s="14"/>
      <c r="D39" s="2">
        <f>SUM(OSRRefD22_1x_0)</f>
        <v>288996.98</v>
      </c>
      <c r="E39" s="2"/>
      <c r="F39" s="6">
        <f t="shared" si="4"/>
        <v>0.2085009947152526</v>
      </c>
      <c r="G39" s="2"/>
      <c r="H39" s="2">
        <f>SUM(OSRRefH22_1x_0)</f>
        <v>286151.44895384612</v>
      </c>
      <c r="I39" s="2"/>
      <c r="J39" s="6">
        <f t="shared" si="5"/>
        <v>0.2628522275075747</v>
      </c>
      <c r="K39" s="2"/>
      <c r="L39" s="2">
        <f t="shared" si="6"/>
        <v>2845.5310461538611</v>
      </c>
      <c r="M39" s="2"/>
      <c r="N39" s="6">
        <f t="shared" si="7"/>
        <v>9.944143412717165E-3</v>
      </c>
      <c r="O39" s="14"/>
      <c r="P39" s="2">
        <f>SUM(OSRRefP22_1x_0)</f>
        <v>2072541.6800000002</v>
      </c>
      <c r="Q39" s="2"/>
      <c r="R39" s="6">
        <f t="shared" si="8"/>
        <v>0.22519745314919337</v>
      </c>
      <c r="S39" s="2"/>
      <c r="T39" s="2">
        <f>SUM(OSRRefT22_1x_0)</f>
        <v>2340010.0687999991</v>
      </c>
      <c r="U39" s="2"/>
      <c r="V39" s="6">
        <f t="shared" si="9"/>
        <v>0.3260447416176207</v>
      </c>
      <c r="W39" s="2"/>
      <c r="X39" s="2">
        <f t="shared" si="10"/>
        <v>-267468.38879999891</v>
      </c>
      <c r="Y39" s="2"/>
      <c r="Z39" s="6">
        <f t="shared" si="11"/>
        <v>-0.11430223842462425</v>
      </c>
    </row>
    <row r="40" spans="1:26" s="70" customFormat="1" ht="15" hidden="1" customHeight="1" outlineLevel="2" x14ac:dyDescent="0.3">
      <c r="A40" s="26"/>
      <c r="B40" s="12" t="str">
        <f>CONCATENATE("          ","6001"," - ","ADMINISTRATIVE SALARIES")</f>
        <v xml:space="preserve">          6001 - ADMINISTRATIVE SALARIES</v>
      </c>
      <c r="C40" s="12"/>
      <c r="D40" s="7">
        <v>9317.92</v>
      </c>
      <c r="E40" s="3"/>
      <c r="F40" s="8">
        <f t="shared" si="4"/>
        <v>6.7225463348341797E-3</v>
      </c>
      <c r="G40" s="3"/>
      <c r="H40" s="7">
        <v>0</v>
      </c>
      <c r="I40" s="3"/>
      <c r="J40" s="8">
        <f t="shared" si="5"/>
        <v>0</v>
      </c>
      <c r="K40" s="3"/>
      <c r="L40" s="7">
        <f t="shared" si="6"/>
        <v>9317.92</v>
      </c>
      <c r="M40" s="3"/>
      <c r="N40" s="8">
        <f t="shared" si="7"/>
        <v>0</v>
      </c>
      <c r="O40" s="12"/>
      <c r="P40" s="7">
        <v>84165.37</v>
      </c>
      <c r="Q40" s="3"/>
      <c r="R40" s="8">
        <f t="shared" si="8"/>
        <v>9.1452090687795112E-3</v>
      </c>
      <c r="S40" s="3"/>
      <c r="T40" s="7">
        <v>0</v>
      </c>
      <c r="U40" s="3"/>
      <c r="V40" s="8">
        <f t="shared" si="9"/>
        <v>0</v>
      </c>
      <c r="W40" s="3"/>
      <c r="X40" s="7">
        <f t="shared" si="10"/>
        <v>84165.37</v>
      </c>
      <c r="Y40" s="3"/>
      <c r="Z40" s="8">
        <f t="shared" si="11"/>
        <v>0</v>
      </c>
    </row>
    <row r="41" spans="1:26" s="70" customFormat="1" ht="15" hidden="1" customHeight="1" outlineLevel="2" x14ac:dyDescent="0.3">
      <c r="A41" s="26"/>
      <c r="B41" s="12" t="str">
        <f>CONCATENATE("          ","6002"," - ","STAFF SALARIES")</f>
        <v xml:space="preserve">          6002 - STAFF SALARIES</v>
      </c>
      <c r="C41" s="12"/>
      <c r="D41" s="7">
        <v>40225.07</v>
      </c>
      <c r="E41" s="3"/>
      <c r="F41" s="8">
        <f t="shared" si="4"/>
        <v>2.9020950694677385E-2</v>
      </c>
      <c r="G41" s="3"/>
      <c r="H41" s="7">
        <v>42229.279353846097</v>
      </c>
      <c r="I41" s="3"/>
      <c r="J41" s="8">
        <f t="shared" si="5"/>
        <v>3.8790857725093782E-2</v>
      </c>
      <c r="K41" s="3"/>
      <c r="L41" s="7">
        <f t="shared" si="6"/>
        <v>-2004.2093538460977</v>
      </c>
      <c r="M41" s="3"/>
      <c r="N41" s="8">
        <f t="shared" si="7"/>
        <v>-4.7460183657232154E-2</v>
      </c>
      <c r="O41" s="12"/>
      <c r="P41" s="7">
        <v>337970.61</v>
      </c>
      <c r="Q41" s="3"/>
      <c r="R41" s="8">
        <f t="shared" si="8"/>
        <v>3.6723083229515216E-2</v>
      </c>
      <c r="S41" s="3"/>
      <c r="T41" s="7">
        <v>410076.00419999898</v>
      </c>
      <c r="U41" s="3"/>
      <c r="V41" s="8">
        <f t="shared" si="9"/>
        <v>5.7137841676698629E-2</v>
      </c>
      <c r="W41" s="3"/>
      <c r="X41" s="7">
        <f t="shared" si="10"/>
        <v>-72105.394199998991</v>
      </c>
      <c r="Y41" s="3"/>
      <c r="Z41" s="8">
        <f t="shared" si="11"/>
        <v>-0.17583421966049084</v>
      </c>
    </row>
    <row r="42" spans="1:26" s="70" customFormat="1" ht="15" hidden="1" customHeight="1" outlineLevel="2" x14ac:dyDescent="0.3">
      <c r="A42" s="26"/>
      <c r="B42" s="12" t="str">
        <f>CONCATENATE("          ","6003"," - ","STAFF HOURLY-9 MONTH")</f>
        <v xml:space="preserve">          6003 - STAFF HOURLY-9 MONTH</v>
      </c>
      <c r="C42" s="12"/>
      <c r="D42" s="7"/>
      <c r="E42" s="3"/>
      <c r="F42" s="8">
        <f t="shared" si="4"/>
        <v>0</v>
      </c>
      <c r="G42" s="3"/>
      <c r="H42" s="7">
        <v>0</v>
      </c>
      <c r="I42" s="3"/>
      <c r="J42" s="8">
        <f t="shared" si="5"/>
        <v>0</v>
      </c>
      <c r="K42" s="3"/>
      <c r="L42" s="7">
        <f t="shared" si="6"/>
        <v>0</v>
      </c>
      <c r="M42" s="3"/>
      <c r="N42" s="8">
        <f t="shared" si="7"/>
        <v>0</v>
      </c>
      <c r="O42" s="12"/>
      <c r="P42" s="7"/>
      <c r="Q42" s="3"/>
      <c r="R42" s="8">
        <f t="shared" si="8"/>
        <v>0</v>
      </c>
      <c r="S42" s="3"/>
      <c r="T42" s="7">
        <v>0</v>
      </c>
      <c r="U42" s="3"/>
      <c r="V42" s="8">
        <f t="shared" si="9"/>
        <v>0</v>
      </c>
      <c r="W42" s="3"/>
      <c r="X42" s="7">
        <f t="shared" si="10"/>
        <v>0</v>
      </c>
      <c r="Y42" s="3"/>
      <c r="Z42" s="8">
        <f t="shared" si="11"/>
        <v>0</v>
      </c>
    </row>
    <row r="43" spans="1:26" s="70" customFormat="1" ht="15" hidden="1" customHeight="1" outlineLevel="2" x14ac:dyDescent="0.3">
      <c r="A43" s="26"/>
      <c r="B43" s="12" t="str">
        <f>CONCATENATE("          ","6004"," - ","STAFF HOURLY")</f>
        <v xml:space="preserve">          6004 - STAFF HOURLY</v>
      </c>
      <c r="C43" s="12"/>
      <c r="D43" s="7">
        <v>62157.46</v>
      </c>
      <c r="E43" s="3"/>
      <c r="F43" s="8">
        <f t="shared" si="4"/>
        <v>4.484438639799463E-2</v>
      </c>
      <c r="G43" s="3"/>
      <c r="H43" s="7">
        <v>99718.745599999995</v>
      </c>
      <c r="I43" s="3"/>
      <c r="J43" s="8">
        <f t="shared" si="5"/>
        <v>9.1599376837154606E-2</v>
      </c>
      <c r="K43" s="3"/>
      <c r="L43" s="7">
        <f t="shared" si="6"/>
        <v>-37561.285599999996</v>
      </c>
      <c r="M43" s="3"/>
      <c r="N43" s="8">
        <f t="shared" si="7"/>
        <v>-0.3766722633141506</v>
      </c>
      <c r="O43" s="12"/>
      <c r="P43" s="7">
        <v>674162.48</v>
      </c>
      <c r="Q43" s="3"/>
      <c r="R43" s="8">
        <f t="shared" si="8"/>
        <v>7.3252892798153044E-2</v>
      </c>
      <c r="S43" s="3"/>
      <c r="T43" s="7">
        <v>946757.7696</v>
      </c>
      <c r="U43" s="3"/>
      <c r="V43" s="8">
        <f t="shared" si="9"/>
        <v>0.1319162667201712</v>
      </c>
      <c r="W43" s="3"/>
      <c r="X43" s="7">
        <f t="shared" si="10"/>
        <v>-272595.28960000002</v>
      </c>
      <c r="Y43" s="3"/>
      <c r="Z43" s="8">
        <f t="shared" si="11"/>
        <v>-0.28792506209393987</v>
      </c>
    </row>
    <row r="44" spans="1:26" s="70" customFormat="1" ht="15" hidden="1" customHeight="1" outlineLevel="2" x14ac:dyDescent="0.3">
      <c r="A44" s="26"/>
      <c r="B44" s="12" t="str">
        <f>CONCATENATE("          ","6005"," - ","TEMPORARY WAGES-HOURLY")</f>
        <v xml:space="preserve">          6005 - TEMPORARY WAGES-HOURLY</v>
      </c>
      <c r="C44" s="12"/>
      <c r="D44" s="7">
        <v>25954.73</v>
      </c>
      <c r="E44" s="3"/>
      <c r="F44" s="8">
        <f t="shared" si="4"/>
        <v>1.8725410288252177E-2</v>
      </c>
      <c r="G44" s="3"/>
      <c r="H44" s="7">
        <v>25594.42</v>
      </c>
      <c r="I44" s="3"/>
      <c r="J44" s="8">
        <f t="shared" si="5"/>
        <v>2.3510453409758963E-2</v>
      </c>
      <c r="K44" s="3"/>
      <c r="L44" s="7">
        <f t="shared" si="6"/>
        <v>360.31000000000131</v>
      </c>
      <c r="M44" s="3"/>
      <c r="N44" s="8">
        <f t="shared" si="7"/>
        <v>1.4077677868848027E-2</v>
      </c>
      <c r="O44" s="12"/>
      <c r="P44" s="7">
        <v>331609.59999999998</v>
      </c>
      <c r="Q44" s="3"/>
      <c r="R44" s="8">
        <f t="shared" si="8"/>
        <v>3.6031911001096366E-2</v>
      </c>
      <c r="S44" s="3"/>
      <c r="T44" s="7">
        <v>185547.905</v>
      </c>
      <c r="U44" s="3"/>
      <c r="V44" s="8">
        <f t="shared" si="9"/>
        <v>2.5853272834180489E-2</v>
      </c>
      <c r="W44" s="3"/>
      <c r="X44" s="7">
        <f t="shared" si="10"/>
        <v>146061.69499999998</v>
      </c>
      <c r="Y44" s="3"/>
      <c r="Z44" s="8">
        <f t="shared" si="11"/>
        <v>0.78719129165053081</v>
      </c>
    </row>
    <row r="45" spans="1:26" s="70" customFormat="1" ht="15" hidden="1" customHeight="1" outlineLevel="2" x14ac:dyDescent="0.3">
      <c r="A45" s="26"/>
      <c r="B45" s="12" t="str">
        <f>CONCATENATE("          ","6006"," - ","TEMPORARY PART TIME")</f>
        <v xml:space="preserve">          6006 - TEMPORARY PART TIME</v>
      </c>
      <c r="C45" s="12"/>
      <c r="D45" s="7">
        <v>2919.2</v>
      </c>
      <c r="E45" s="3"/>
      <c r="F45" s="8">
        <f t="shared" si="4"/>
        <v>2.1060984920076515E-3</v>
      </c>
      <c r="G45" s="3"/>
      <c r="H45" s="7">
        <v>0</v>
      </c>
      <c r="I45" s="3"/>
      <c r="J45" s="8">
        <f t="shared" si="5"/>
        <v>0</v>
      </c>
      <c r="K45" s="3"/>
      <c r="L45" s="7">
        <f t="shared" si="6"/>
        <v>2919.2</v>
      </c>
      <c r="M45" s="3"/>
      <c r="N45" s="8">
        <f t="shared" si="7"/>
        <v>0</v>
      </c>
      <c r="O45" s="12"/>
      <c r="P45" s="7">
        <v>3563.8</v>
      </c>
      <c r="Q45" s="3"/>
      <c r="R45" s="8">
        <f t="shared" si="8"/>
        <v>3.8723403793408651E-4</v>
      </c>
      <c r="S45" s="3"/>
      <c r="T45" s="7">
        <v>0</v>
      </c>
      <c r="U45" s="3"/>
      <c r="V45" s="8">
        <f t="shared" si="9"/>
        <v>0</v>
      </c>
      <c r="W45" s="3"/>
      <c r="X45" s="7">
        <f t="shared" si="10"/>
        <v>3563.8</v>
      </c>
      <c r="Y45" s="3"/>
      <c r="Z45" s="8">
        <f t="shared" si="11"/>
        <v>0</v>
      </c>
    </row>
    <row r="46" spans="1:26" s="70" customFormat="1" ht="15" hidden="1" customHeight="1" outlineLevel="2" x14ac:dyDescent="0.3">
      <c r="A46" s="26"/>
      <c r="B46" s="12" t="str">
        <f>CONCATENATE("          ","6007"," - ","STUDENT HOURLY")</f>
        <v xml:space="preserve">          6007 - STUDENT HOURLY</v>
      </c>
      <c r="C46" s="12"/>
      <c r="D46" s="7">
        <v>115342.32</v>
      </c>
      <c r="E46" s="3"/>
      <c r="F46" s="8">
        <f t="shared" si="4"/>
        <v>8.3215362502282814E-2</v>
      </c>
      <c r="G46" s="3"/>
      <c r="H46" s="7">
        <v>0</v>
      </c>
      <c r="I46" s="3"/>
      <c r="J46" s="8">
        <f t="shared" si="5"/>
        <v>0</v>
      </c>
      <c r="K46" s="3"/>
      <c r="L46" s="7">
        <f t="shared" si="6"/>
        <v>115342.32</v>
      </c>
      <c r="M46" s="3"/>
      <c r="N46" s="8">
        <f t="shared" si="7"/>
        <v>0</v>
      </c>
      <c r="O46" s="12"/>
      <c r="P46" s="7">
        <v>473910.29</v>
      </c>
      <c r="Q46" s="3"/>
      <c r="R46" s="8">
        <f t="shared" si="8"/>
        <v>5.1493965771147066E-2</v>
      </c>
      <c r="S46" s="3"/>
      <c r="T46" s="7">
        <v>42825.5</v>
      </c>
      <c r="U46" s="3"/>
      <c r="V46" s="8">
        <f t="shared" si="9"/>
        <v>5.9670807695737472E-3</v>
      </c>
      <c r="W46" s="3"/>
      <c r="X46" s="7">
        <f t="shared" si="10"/>
        <v>431084.79</v>
      </c>
      <c r="Y46" s="3"/>
      <c r="Z46" s="8">
        <f t="shared" si="11"/>
        <v>10.06607722034769</v>
      </c>
    </row>
    <row r="47" spans="1:26" s="70" customFormat="1" ht="15" hidden="1" customHeight="1" outlineLevel="2" x14ac:dyDescent="0.3">
      <c r="A47" s="26"/>
      <c r="B47" s="12" t="str">
        <f>CONCATENATE("          ","6008"," - ","STUDENT HOURLY-FICA EXEMPT")</f>
        <v xml:space="preserve">          6008 - STUDENT HOURLY-FICA EXEMPT</v>
      </c>
      <c r="C47" s="12"/>
      <c r="D47" s="7">
        <v>33080.28</v>
      </c>
      <c r="E47" s="3"/>
      <c r="F47" s="8">
        <f t="shared" si="4"/>
        <v>2.3866240005203779E-2</v>
      </c>
      <c r="G47" s="3"/>
      <c r="H47" s="7">
        <v>118609.004</v>
      </c>
      <c r="I47" s="3"/>
      <c r="J47" s="8">
        <f t="shared" si="5"/>
        <v>0.10895153953556731</v>
      </c>
      <c r="K47" s="3"/>
      <c r="L47" s="7">
        <f t="shared" si="6"/>
        <v>-85528.724000000002</v>
      </c>
      <c r="M47" s="3"/>
      <c r="N47" s="8">
        <f t="shared" si="7"/>
        <v>-0.72109807110428148</v>
      </c>
      <c r="O47" s="12"/>
      <c r="P47" s="7">
        <v>167159.53</v>
      </c>
      <c r="Q47" s="3"/>
      <c r="R47" s="8">
        <f t="shared" si="8"/>
        <v>1.8163157242568062E-2</v>
      </c>
      <c r="S47" s="3"/>
      <c r="T47" s="7">
        <v>754802.89</v>
      </c>
      <c r="U47" s="3"/>
      <c r="V47" s="8">
        <f t="shared" si="9"/>
        <v>0.10517027961699661</v>
      </c>
      <c r="W47" s="3"/>
      <c r="X47" s="7">
        <f t="shared" si="10"/>
        <v>-587643.36</v>
      </c>
      <c r="Y47" s="3"/>
      <c r="Z47" s="8">
        <f t="shared" si="11"/>
        <v>-0.7785388315087135</v>
      </c>
    </row>
    <row r="48" spans="1:26" s="70" customFormat="1" ht="15" hidden="1" customHeight="1" outlineLevel="2" x14ac:dyDescent="0.3">
      <c r="A48" s="26"/>
      <c r="B48" s="12" t="str">
        <f>CONCATENATE("          ","6009"," - ","TEMPORARY-SEASONAL")</f>
        <v xml:space="preserve">          6009 - TEMPORARY-SEASONAL</v>
      </c>
      <c r="C48" s="12"/>
      <c r="D48" s="7"/>
      <c r="E48" s="3"/>
      <c r="F48" s="8">
        <f t="shared" si="4"/>
        <v>0</v>
      </c>
      <c r="G48" s="3"/>
      <c r="H48" s="7">
        <v>0</v>
      </c>
      <c r="I48" s="3"/>
      <c r="J48" s="8">
        <f t="shared" si="5"/>
        <v>0</v>
      </c>
      <c r="K48" s="3"/>
      <c r="L48" s="7">
        <f t="shared" si="6"/>
        <v>0</v>
      </c>
      <c r="M48" s="3"/>
      <c r="N48" s="8">
        <f t="shared" si="7"/>
        <v>0</v>
      </c>
      <c r="O48" s="12"/>
      <c r="P48" s="7"/>
      <c r="Q48" s="3"/>
      <c r="R48" s="8">
        <f t="shared" si="8"/>
        <v>0</v>
      </c>
      <c r="S48" s="3"/>
      <c r="T48" s="7">
        <v>0</v>
      </c>
      <c r="U48" s="3"/>
      <c r="V48" s="8">
        <f t="shared" si="9"/>
        <v>0</v>
      </c>
      <c r="W48" s="3"/>
      <c r="X48" s="7">
        <f t="shared" si="10"/>
        <v>0</v>
      </c>
      <c r="Y48" s="3"/>
      <c r="Z48" s="8">
        <f t="shared" si="11"/>
        <v>0</v>
      </c>
    </row>
    <row r="49" spans="1:26" s="70" customFormat="1" ht="15" hidden="1" customHeight="1" outlineLevel="2" x14ac:dyDescent="0.3">
      <c r="A49" s="26"/>
      <c r="B49" s="12" t="str">
        <f>CONCATENATE("          ","6010"," - ","GRATUITY")</f>
        <v xml:space="preserve">          6010 - GRATUITY</v>
      </c>
      <c r="C49" s="12"/>
      <c r="D49" s="7"/>
      <c r="E49" s="3"/>
      <c r="F49" s="8">
        <f t="shared" si="4"/>
        <v>0</v>
      </c>
      <c r="G49" s="3"/>
      <c r="H49" s="7">
        <v>0</v>
      </c>
      <c r="I49" s="3"/>
      <c r="J49" s="8">
        <f t="shared" si="5"/>
        <v>0</v>
      </c>
      <c r="K49" s="3"/>
      <c r="L49" s="7">
        <f t="shared" si="6"/>
        <v>0</v>
      </c>
      <c r="M49" s="3"/>
      <c r="N49" s="8">
        <f t="shared" si="7"/>
        <v>0</v>
      </c>
      <c r="O49" s="12"/>
      <c r="P49" s="7"/>
      <c r="Q49" s="3"/>
      <c r="R49" s="8">
        <f t="shared" si="8"/>
        <v>0</v>
      </c>
      <c r="S49" s="3"/>
      <c r="T49" s="7">
        <v>0</v>
      </c>
      <c r="U49" s="3"/>
      <c r="V49" s="8">
        <f t="shared" si="9"/>
        <v>0</v>
      </c>
      <c r="W49" s="3"/>
      <c r="X49" s="7">
        <f t="shared" si="10"/>
        <v>0</v>
      </c>
      <c r="Y49" s="3"/>
      <c r="Z49" s="8">
        <f t="shared" si="11"/>
        <v>0</v>
      </c>
    </row>
    <row r="50" spans="1:26" s="69" customFormat="1" ht="15" customHeight="1" outlineLevel="1" collapsed="1" x14ac:dyDescent="0.3">
      <c r="A50" s="25"/>
      <c r="B50" s="14" t="str">
        <f>CONCATENATE("     ","Advertising/Promo                                 ")</f>
        <v xml:space="preserve">     Advertising/Promo                                 </v>
      </c>
      <c r="C50" s="14"/>
      <c r="D50" s="2">
        <f>SUM(OSRRefD22_2x_0)</f>
        <v>205.32</v>
      </c>
      <c r="E50" s="2"/>
      <c r="F50" s="6">
        <f t="shared" si="4"/>
        <v>1.4813104356639184E-4</v>
      </c>
      <c r="G50" s="2"/>
      <c r="H50" s="2">
        <f>SUM(OSRRefH22_2x_0)</f>
        <v>1319</v>
      </c>
      <c r="I50" s="2"/>
      <c r="J50" s="6">
        <f t="shared" si="5"/>
        <v>1.211603468547913E-3</v>
      </c>
      <c r="K50" s="2"/>
      <c r="L50" s="2">
        <f t="shared" si="6"/>
        <v>-1113.68</v>
      </c>
      <c r="M50" s="2"/>
      <c r="N50" s="6">
        <f t="shared" si="7"/>
        <v>-0.84433661865049281</v>
      </c>
      <c r="O50" s="14"/>
      <c r="P50" s="2">
        <f>SUM(OSRRefP22_2x_0)</f>
        <v>3626.39</v>
      </c>
      <c r="Q50" s="2"/>
      <c r="R50" s="6">
        <f t="shared" si="8"/>
        <v>3.9403491857674161E-4</v>
      </c>
      <c r="S50" s="2"/>
      <c r="T50" s="2">
        <f>SUM(OSRRefT22_2x_0)</f>
        <v>11871</v>
      </c>
      <c r="U50" s="2"/>
      <c r="V50" s="6">
        <f t="shared" si="9"/>
        <v>1.654042937399679E-3</v>
      </c>
      <c r="W50" s="2"/>
      <c r="X50" s="2">
        <f t="shared" si="10"/>
        <v>-8244.61</v>
      </c>
      <c r="Y50" s="2"/>
      <c r="Z50" s="6">
        <f t="shared" si="11"/>
        <v>-0.6945168898997558</v>
      </c>
    </row>
    <row r="51" spans="1:26" s="70" customFormat="1" ht="15" hidden="1" customHeight="1" outlineLevel="2" x14ac:dyDescent="0.3">
      <c r="A51" s="26"/>
      <c r="B51" s="12" t="str">
        <f>CONCATENATE("          ","6362"," - ","ADVERTISING EXPENSE")</f>
        <v xml:space="preserve">          6362 - ADVERTISING EXPENSE</v>
      </c>
      <c r="C51" s="12"/>
      <c r="D51" s="7">
        <v>205.32</v>
      </c>
      <c r="E51" s="3"/>
      <c r="F51" s="8">
        <f t="shared" si="4"/>
        <v>1.4813104356639184E-4</v>
      </c>
      <c r="G51" s="3"/>
      <c r="H51" s="7">
        <v>1319</v>
      </c>
      <c r="I51" s="3"/>
      <c r="J51" s="8">
        <f t="shared" si="5"/>
        <v>1.211603468547913E-3</v>
      </c>
      <c r="K51" s="3"/>
      <c r="L51" s="7">
        <f t="shared" si="6"/>
        <v>-1113.68</v>
      </c>
      <c r="M51" s="3"/>
      <c r="N51" s="8">
        <f t="shared" si="7"/>
        <v>-0.84433661865049281</v>
      </c>
      <c r="O51" s="12"/>
      <c r="P51" s="7">
        <v>3626.39</v>
      </c>
      <c r="Q51" s="3"/>
      <c r="R51" s="8">
        <f t="shared" si="8"/>
        <v>3.9403491857674161E-4</v>
      </c>
      <c r="S51" s="3"/>
      <c r="T51" s="7">
        <v>11871</v>
      </c>
      <c r="U51" s="3"/>
      <c r="V51" s="8">
        <f t="shared" si="9"/>
        <v>1.654042937399679E-3</v>
      </c>
      <c r="W51" s="3"/>
      <c r="X51" s="7">
        <f t="shared" si="10"/>
        <v>-8244.61</v>
      </c>
      <c r="Y51" s="3"/>
      <c r="Z51" s="8">
        <f t="shared" si="11"/>
        <v>-0.6945168898997558</v>
      </c>
    </row>
    <row r="52" spans="1:26" s="69" customFormat="1" ht="15" customHeight="1" outlineLevel="1" collapsed="1" x14ac:dyDescent="0.3">
      <c r="A52" s="25"/>
      <c r="B52" s="14" t="str">
        <f>CONCATENATE("     ","Bad Debts/Over/Short                              ")</f>
        <v xml:space="preserve">     Bad Debts/Over/Short                              </v>
      </c>
      <c r="C52" s="14"/>
      <c r="D52" s="2">
        <f>SUM(OSRRefD22_3x_0)</f>
        <v>0</v>
      </c>
      <c r="E52" s="2"/>
      <c r="F52" s="6">
        <f t="shared" si="4"/>
        <v>0</v>
      </c>
      <c r="G52" s="2"/>
      <c r="H52" s="2">
        <f>SUM(OSRRefH22_3x_0)</f>
        <v>33</v>
      </c>
      <c r="I52" s="2"/>
      <c r="J52" s="6">
        <f t="shared" si="5"/>
        <v>3.031305114638448E-5</v>
      </c>
      <c r="K52" s="2"/>
      <c r="L52" s="2">
        <f t="shared" si="6"/>
        <v>-33</v>
      </c>
      <c r="M52" s="2"/>
      <c r="N52" s="6">
        <f t="shared" si="7"/>
        <v>-1</v>
      </c>
      <c r="O52" s="14"/>
      <c r="P52" s="2">
        <f>SUM(OSRRefP22_3x_0)</f>
        <v>-15.9</v>
      </c>
      <c r="Q52" s="2"/>
      <c r="R52" s="6">
        <f t="shared" si="8"/>
        <v>-1.7276562105482842E-6</v>
      </c>
      <c r="S52" s="2"/>
      <c r="T52" s="2">
        <f>SUM(OSRRefT22_3x_0)</f>
        <v>279</v>
      </c>
      <c r="U52" s="2"/>
      <c r="V52" s="6">
        <f t="shared" si="9"/>
        <v>3.8874398073836278E-5</v>
      </c>
      <c r="W52" s="2"/>
      <c r="X52" s="2">
        <f t="shared" si="10"/>
        <v>-294.89999999999998</v>
      </c>
      <c r="Y52" s="2"/>
      <c r="Z52" s="6">
        <f t="shared" si="11"/>
        <v>-1.0569892473118279</v>
      </c>
    </row>
    <row r="53" spans="1:26" s="70" customFormat="1" ht="15" hidden="1" customHeight="1" outlineLevel="2" x14ac:dyDescent="0.3">
      <c r="A53" s="26"/>
      <c r="B53" s="12" t="str">
        <f>CONCATENATE("          ","6272"," - ","CASH (OVER/SHORT)")</f>
        <v xml:space="preserve">          6272 - CASH (OVER/SHORT)</v>
      </c>
      <c r="C53" s="12"/>
      <c r="D53" s="7">
        <v>0</v>
      </c>
      <c r="E53" s="3"/>
      <c r="F53" s="8">
        <f t="shared" si="4"/>
        <v>0</v>
      </c>
      <c r="G53" s="3"/>
      <c r="H53" s="7">
        <v>33</v>
      </c>
      <c r="I53" s="3"/>
      <c r="J53" s="8">
        <f t="shared" si="5"/>
        <v>3.031305114638448E-5</v>
      </c>
      <c r="K53" s="3"/>
      <c r="L53" s="7">
        <f t="shared" si="6"/>
        <v>-33</v>
      </c>
      <c r="M53" s="3"/>
      <c r="N53" s="8">
        <f t="shared" si="7"/>
        <v>-1</v>
      </c>
      <c r="O53" s="12"/>
      <c r="P53" s="7">
        <v>-15.9</v>
      </c>
      <c r="Q53" s="3"/>
      <c r="R53" s="8">
        <f t="shared" si="8"/>
        <v>-1.7276562105482842E-6</v>
      </c>
      <c r="S53" s="3"/>
      <c r="T53" s="7">
        <v>279</v>
      </c>
      <c r="U53" s="3"/>
      <c r="V53" s="8">
        <f t="shared" si="9"/>
        <v>3.8874398073836278E-5</v>
      </c>
      <c r="W53" s="3"/>
      <c r="X53" s="7">
        <f t="shared" si="10"/>
        <v>-294.89999999999998</v>
      </c>
      <c r="Y53" s="3"/>
      <c r="Z53" s="8">
        <f t="shared" si="11"/>
        <v>-1.0569892473118279</v>
      </c>
    </row>
    <row r="54" spans="1:26" s="69" customFormat="1" ht="15" customHeight="1" outlineLevel="1" collapsed="1" x14ac:dyDescent="0.3">
      <c r="A54" s="25"/>
      <c r="B54" s="14" t="str">
        <f>CONCATENATE("     ","Bank/card Fees                                    ")</f>
        <v xml:space="preserve">     Bank/card Fees                                    </v>
      </c>
      <c r="C54" s="14"/>
      <c r="D54" s="2">
        <f>SUM(OSRRefD22_4x_0)</f>
        <v>273.58999999999997</v>
      </c>
      <c r="E54" s="2"/>
      <c r="F54" s="6">
        <f t="shared" si="4"/>
        <v>1.9738540916291222E-4</v>
      </c>
      <c r="G54" s="2"/>
      <c r="H54" s="2">
        <f>SUM(OSRRefH22_4x_0)</f>
        <v>410</v>
      </c>
      <c r="I54" s="2"/>
      <c r="J54" s="6">
        <f t="shared" si="5"/>
        <v>3.766166960611405E-4</v>
      </c>
      <c r="K54" s="2"/>
      <c r="L54" s="2">
        <f t="shared" si="6"/>
        <v>-136.41000000000003</v>
      </c>
      <c r="M54" s="2"/>
      <c r="N54" s="6">
        <f t="shared" si="7"/>
        <v>-0.33270731707317081</v>
      </c>
      <c r="O54" s="14"/>
      <c r="P54" s="2">
        <f>SUM(OSRRefP22_4x_0)</f>
        <v>1394.78</v>
      </c>
      <c r="Q54" s="2"/>
      <c r="R54" s="6">
        <f t="shared" si="8"/>
        <v>1.5155347983324125E-4</v>
      </c>
      <c r="S54" s="2"/>
      <c r="T54" s="2">
        <f>SUM(OSRRefT22_4x_0)</f>
        <v>3665</v>
      </c>
      <c r="U54" s="2"/>
      <c r="V54" s="6">
        <f t="shared" si="9"/>
        <v>5.1066189584448012E-4</v>
      </c>
      <c r="W54" s="2"/>
      <c r="X54" s="2">
        <f t="shared" si="10"/>
        <v>-2270.2200000000003</v>
      </c>
      <c r="Y54" s="2"/>
      <c r="Z54" s="6">
        <f t="shared" si="11"/>
        <v>-0.61943246930422924</v>
      </c>
    </row>
    <row r="55" spans="1:26" s="70" customFormat="1" ht="15" hidden="1" customHeight="1" outlineLevel="2" x14ac:dyDescent="0.3">
      <c r="A55" s="26"/>
      <c r="B55" s="12" t="str">
        <f>CONCATENATE("          ","6381"," - ","BANK/CREDIT CARD FEES")</f>
        <v xml:space="preserve">          6381 - BANK/CREDIT CARD FEES</v>
      </c>
      <c r="C55" s="12"/>
      <c r="D55" s="7">
        <v>273.58999999999997</v>
      </c>
      <c r="E55" s="3"/>
      <c r="F55" s="8">
        <f t="shared" si="4"/>
        <v>1.9738540916291222E-4</v>
      </c>
      <c r="G55" s="3"/>
      <c r="H55" s="7">
        <v>410</v>
      </c>
      <c r="I55" s="3"/>
      <c r="J55" s="8">
        <f t="shared" si="5"/>
        <v>3.766166960611405E-4</v>
      </c>
      <c r="K55" s="3"/>
      <c r="L55" s="7">
        <f t="shared" si="6"/>
        <v>-136.41000000000003</v>
      </c>
      <c r="M55" s="3"/>
      <c r="N55" s="8">
        <f t="shared" si="7"/>
        <v>-0.33270731707317081</v>
      </c>
      <c r="O55" s="12"/>
      <c r="P55" s="7">
        <v>1394.78</v>
      </c>
      <c r="Q55" s="3"/>
      <c r="R55" s="8">
        <f t="shared" si="8"/>
        <v>1.5155347983324125E-4</v>
      </c>
      <c r="S55" s="3"/>
      <c r="T55" s="7">
        <v>3665</v>
      </c>
      <c r="U55" s="3"/>
      <c r="V55" s="8">
        <f t="shared" si="9"/>
        <v>5.1066189584448012E-4</v>
      </c>
      <c r="W55" s="3"/>
      <c r="X55" s="7">
        <f t="shared" si="10"/>
        <v>-2270.2200000000003</v>
      </c>
      <c r="Y55" s="3"/>
      <c r="Z55" s="8">
        <f t="shared" si="11"/>
        <v>-0.61943246930422924</v>
      </c>
    </row>
    <row r="56" spans="1:26" s="69" customFormat="1" ht="15" customHeight="1" outlineLevel="1" collapsed="1" x14ac:dyDescent="0.3">
      <c r="A56" s="25"/>
      <c r="B56" s="14" t="str">
        <f>CONCATENATE("     ","Depreciation                                      ")</f>
        <v xml:space="preserve">     Depreciation                                      </v>
      </c>
      <c r="C56" s="14"/>
      <c r="D56" s="2">
        <f>SUM(OSRRefD22_5x_0)</f>
        <v>760.04</v>
      </c>
      <c r="E56" s="2"/>
      <c r="F56" s="6">
        <f t="shared" si="4"/>
        <v>5.4834170247516282E-4</v>
      </c>
      <c r="G56" s="2"/>
      <c r="H56" s="2">
        <f>SUM(OSRRefH22_5x_0)</f>
        <v>486</v>
      </c>
      <c r="I56" s="2"/>
      <c r="J56" s="6">
        <f t="shared" si="5"/>
        <v>4.4642857142857141E-4</v>
      </c>
      <c r="K56" s="2"/>
      <c r="L56" s="2">
        <f t="shared" si="6"/>
        <v>274.03999999999996</v>
      </c>
      <c r="M56" s="2"/>
      <c r="N56" s="6">
        <f t="shared" si="7"/>
        <v>0.56386831275720162</v>
      </c>
      <c r="O56" s="14"/>
      <c r="P56" s="2">
        <f>SUM(OSRRefP22_5x_0)</f>
        <v>6840.36</v>
      </c>
      <c r="Q56" s="2"/>
      <c r="R56" s="6">
        <f t="shared" si="8"/>
        <v>7.4325726015006663E-4</v>
      </c>
      <c r="S56" s="2"/>
      <c r="T56" s="2">
        <f>SUM(OSRRefT22_5x_0)</f>
        <v>4374</v>
      </c>
      <c r="U56" s="2"/>
      <c r="V56" s="6">
        <f t="shared" si="9"/>
        <v>6.0945024077046551E-4</v>
      </c>
      <c r="W56" s="2"/>
      <c r="X56" s="2">
        <f t="shared" si="10"/>
        <v>2466.3599999999997</v>
      </c>
      <c r="Y56" s="2"/>
      <c r="Z56" s="6">
        <f t="shared" si="11"/>
        <v>0.56386831275720162</v>
      </c>
    </row>
    <row r="57" spans="1:26" s="70" customFormat="1" ht="15" hidden="1" customHeight="1" outlineLevel="2" x14ac:dyDescent="0.3">
      <c r="A57" s="26"/>
      <c r="B57" s="12" t="str">
        <f>CONCATENATE("          ","6322"," - ","EQUIPMENT DEPRECIATION EXPENSE")</f>
        <v xml:space="preserve">          6322 - EQUIPMENT DEPRECIATION EXPENSE</v>
      </c>
      <c r="C57" s="12"/>
      <c r="D57" s="7">
        <v>760.04</v>
      </c>
      <c r="E57" s="3"/>
      <c r="F57" s="8">
        <f t="shared" si="4"/>
        <v>5.4834170247516282E-4</v>
      </c>
      <c r="G57" s="3"/>
      <c r="H57" s="7">
        <v>486</v>
      </c>
      <c r="I57" s="3"/>
      <c r="J57" s="8">
        <f t="shared" si="5"/>
        <v>4.4642857142857141E-4</v>
      </c>
      <c r="K57" s="3"/>
      <c r="L57" s="7">
        <f t="shared" si="6"/>
        <v>274.03999999999996</v>
      </c>
      <c r="M57" s="3"/>
      <c r="N57" s="8">
        <f t="shared" si="7"/>
        <v>0.56386831275720162</v>
      </c>
      <c r="O57" s="12"/>
      <c r="P57" s="7">
        <v>6840.36</v>
      </c>
      <c r="Q57" s="3"/>
      <c r="R57" s="8">
        <f t="shared" si="8"/>
        <v>7.4325726015006663E-4</v>
      </c>
      <c r="S57" s="3"/>
      <c r="T57" s="7">
        <v>4374</v>
      </c>
      <c r="U57" s="3"/>
      <c r="V57" s="8">
        <f t="shared" si="9"/>
        <v>6.0945024077046551E-4</v>
      </c>
      <c r="W57" s="3"/>
      <c r="X57" s="7">
        <f t="shared" si="10"/>
        <v>2466.3599999999997</v>
      </c>
      <c r="Y57" s="3"/>
      <c r="Z57" s="8">
        <f t="shared" si="11"/>
        <v>0.56386831275720162</v>
      </c>
    </row>
    <row r="58" spans="1:26" s="69" customFormat="1" ht="15" customHeight="1" outlineLevel="1" collapsed="1" x14ac:dyDescent="0.3">
      <c r="A58" s="25"/>
      <c r="B58" s="14" t="str">
        <f>CONCATENATE("     ","Donations                                         ")</f>
        <v xml:space="preserve">     Donations                                         </v>
      </c>
      <c r="C58" s="14"/>
      <c r="D58" s="2">
        <f>SUM(OSRRefD22_6x_0)</f>
        <v>7724.92</v>
      </c>
      <c r="E58" s="2"/>
      <c r="F58" s="6">
        <f t="shared" si="4"/>
        <v>5.5732537554397605E-3</v>
      </c>
      <c r="G58" s="2"/>
      <c r="H58" s="2">
        <f>SUM(OSRRefH22_6x_0)</f>
        <v>15500</v>
      </c>
      <c r="I58" s="2"/>
      <c r="J58" s="6">
        <f t="shared" si="5"/>
        <v>1.4237948265726044E-2</v>
      </c>
      <c r="K58" s="2"/>
      <c r="L58" s="2">
        <f t="shared" si="6"/>
        <v>-7775.08</v>
      </c>
      <c r="M58" s="2"/>
      <c r="N58" s="6">
        <f t="shared" si="7"/>
        <v>-0.501618064516129</v>
      </c>
      <c r="O58" s="14"/>
      <c r="P58" s="2">
        <f>SUM(OSRRefP22_6x_0)</f>
        <v>57035.13</v>
      </c>
      <c r="Q58" s="2"/>
      <c r="R58" s="6">
        <f t="shared" si="8"/>
        <v>6.197301670687343E-3</v>
      </c>
      <c r="S58" s="2"/>
      <c r="T58" s="2">
        <f>SUM(OSRRefT22_6x_0)</f>
        <v>124000</v>
      </c>
      <c r="U58" s="2"/>
      <c r="V58" s="6">
        <f t="shared" si="9"/>
        <v>1.7277510255038344E-2</v>
      </c>
      <c r="W58" s="2"/>
      <c r="X58" s="2">
        <f t="shared" si="10"/>
        <v>-66964.87</v>
      </c>
      <c r="Y58" s="2"/>
      <c r="Z58" s="6">
        <f t="shared" si="11"/>
        <v>-0.54003927419354836</v>
      </c>
    </row>
    <row r="59" spans="1:26" s="70" customFormat="1" ht="15" hidden="1" customHeight="1" outlineLevel="2" x14ac:dyDescent="0.3">
      <c r="A59" s="26"/>
      <c r="B59" s="12" t="str">
        <f>CONCATENATE("          ","6399"," - ","DONATION-ON CAMPUS")</f>
        <v xml:space="preserve">          6399 - DONATION-ON CAMPUS</v>
      </c>
      <c r="C59" s="12"/>
      <c r="D59" s="7">
        <v>7724.92</v>
      </c>
      <c r="E59" s="3"/>
      <c r="F59" s="8">
        <f t="shared" ref="F59:F90" si="12">IF(D$12=0,0,D59/D$12)</f>
        <v>5.5732537554397605E-3</v>
      </c>
      <c r="G59" s="3"/>
      <c r="H59" s="7">
        <v>15500</v>
      </c>
      <c r="I59" s="3"/>
      <c r="J59" s="8">
        <f t="shared" ref="J59:J90" si="13">IF(H$12=0,0,H59/H$12)</f>
        <v>1.4237948265726044E-2</v>
      </c>
      <c r="K59" s="3"/>
      <c r="L59" s="7">
        <f t="shared" ref="L59:L90" si="14">+D59-H59</f>
        <v>-7775.08</v>
      </c>
      <c r="M59" s="3"/>
      <c r="N59" s="8">
        <f t="shared" ref="N59:N90" si="15">IF(H59=0,0,L59/H59)</f>
        <v>-0.501618064516129</v>
      </c>
      <c r="O59" s="12"/>
      <c r="P59" s="7">
        <v>57035.13</v>
      </c>
      <c r="Q59" s="3"/>
      <c r="R59" s="8">
        <f t="shared" ref="R59:R90" si="16">IF(P$12=0,0,P59/P$12)</f>
        <v>6.197301670687343E-3</v>
      </c>
      <c r="S59" s="3"/>
      <c r="T59" s="7">
        <v>124000</v>
      </c>
      <c r="U59" s="3"/>
      <c r="V59" s="8">
        <f t="shared" ref="V59:V90" si="17">IF(T$12=0,0,T59/T$12)</f>
        <v>1.7277510255038344E-2</v>
      </c>
      <c r="W59" s="3"/>
      <c r="X59" s="7">
        <f t="shared" ref="X59:X90" si="18">+P59-T59</f>
        <v>-66964.87</v>
      </c>
      <c r="Y59" s="3"/>
      <c r="Z59" s="8">
        <f t="shared" ref="Z59:Z90" si="19">IF(T59=0,0,X59/T59)</f>
        <v>-0.54003927419354836</v>
      </c>
    </row>
    <row r="60" spans="1:26" s="69" customFormat="1" ht="15" customHeight="1" outlineLevel="1" collapsed="1" x14ac:dyDescent="0.3">
      <c r="A60" s="25"/>
      <c r="B60" s="14" t="str">
        <f>CONCATENATE("     ","Employees' Appreciation                           ")</f>
        <v xml:space="preserve">     Employees' Appreciation                           </v>
      </c>
      <c r="C60" s="14"/>
      <c r="D60" s="2">
        <f>SUM(OSRRefD22_7x_0)</f>
        <v>0</v>
      </c>
      <c r="E60" s="2"/>
      <c r="F60" s="6">
        <f t="shared" si="12"/>
        <v>0</v>
      </c>
      <c r="G60" s="2"/>
      <c r="H60" s="2">
        <f>SUM(OSRRefH22_7x_0)</f>
        <v>200</v>
      </c>
      <c r="I60" s="2"/>
      <c r="J60" s="6">
        <f t="shared" si="13"/>
        <v>1.8371546149323928E-4</v>
      </c>
      <c r="K60" s="2"/>
      <c r="L60" s="2">
        <f t="shared" si="14"/>
        <v>-200</v>
      </c>
      <c r="M60" s="2"/>
      <c r="N60" s="6">
        <f t="shared" si="15"/>
        <v>-1</v>
      </c>
      <c r="O60" s="14"/>
      <c r="P60" s="2">
        <f>SUM(OSRRefP22_7x_0)</f>
        <v>325.70999999999998</v>
      </c>
      <c r="Q60" s="2"/>
      <c r="R60" s="6">
        <f t="shared" si="16"/>
        <v>3.5390874486646641E-5</v>
      </c>
      <c r="S60" s="2"/>
      <c r="T60" s="2">
        <f>SUM(OSRRefT22_7x_0)</f>
        <v>2300</v>
      </c>
      <c r="U60" s="2"/>
      <c r="V60" s="6">
        <f t="shared" si="17"/>
        <v>3.2046994827893702E-4</v>
      </c>
      <c r="W60" s="2"/>
      <c r="X60" s="2">
        <f t="shared" si="18"/>
        <v>-1974.29</v>
      </c>
      <c r="Y60" s="2"/>
      <c r="Z60" s="6">
        <f t="shared" si="19"/>
        <v>-0.85838695652173913</v>
      </c>
    </row>
    <row r="61" spans="1:26" s="70" customFormat="1" ht="15" hidden="1" customHeight="1" outlineLevel="2" x14ac:dyDescent="0.3">
      <c r="A61" s="26"/>
      <c r="B61" s="12" t="str">
        <f>CONCATENATE("          ","6277"," - ","EMPLOYEE APPRECIATION")</f>
        <v xml:space="preserve">          6277 - EMPLOYEE APPRECIATION</v>
      </c>
      <c r="C61" s="12"/>
      <c r="D61" s="7"/>
      <c r="E61" s="3"/>
      <c r="F61" s="8">
        <f t="shared" si="12"/>
        <v>0</v>
      </c>
      <c r="G61" s="3"/>
      <c r="H61" s="7">
        <v>200</v>
      </c>
      <c r="I61" s="3"/>
      <c r="J61" s="8">
        <f t="shared" si="13"/>
        <v>1.8371546149323928E-4</v>
      </c>
      <c r="K61" s="3"/>
      <c r="L61" s="7">
        <f t="shared" si="14"/>
        <v>-200</v>
      </c>
      <c r="M61" s="3"/>
      <c r="N61" s="8">
        <f t="shared" si="15"/>
        <v>-1</v>
      </c>
      <c r="O61" s="12"/>
      <c r="P61" s="7">
        <v>325.70999999999998</v>
      </c>
      <c r="Q61" s="3"/>
      <c r="R61" s="8">
        <f t="shared" si="16"/>
        <v>3.5390874486646641E-5</v>
      </c>
      <c r="S61" s="3"/>
      <c r="T61" s="7">
        <v>2300</v>
      </c>
      <c r="U61" s="3"/>
      <c r="V61" s="8">
        <f t="shared" si="17"/>
        <v>3.2046994827893702E-4</v>
      </c>
      <c r="W61" s="3"/>
      <c r="X61" s="7">
        <f t="shared" si="18"/>
        <v>-1974.29</v>
      </c>
      <c r="Y61" s="3"/>
      <c r="Z61" s="8">
        <f t="shared" si="19"/>
        <v>-0.85838695652173913</v>
      </c>
    </row>
    <row r="62" spans="1:26" s="69" customFormat="1" ht="15" customHeight="1" outlineLevel="1" collapsed="1" x14ac:dyDescent="0.3">
      <c r="A62" s="25"/>
      <c r="B62" s="14" t="str">
        <f>CONCATENATE("     ","Equipment Rental                                  ")</f>
        <v xml:space="preserve">     Equipment Rental                                  </v>
      </c>
      <c r="C62" s="14"/>
      <c r="D62" s="2">
        <f>SUM(OSRRefD22_8x_0)</f>
        <v>490.12</v>
      </c>
      <c r="E62" s="2"/>
      <c r="F62" s="6">
        <f t="shared" si="12"/>
        <v>3.536040671768944E-4</v>
      </c>
      <c r="G62" s="2"/>
      <c r="H62" s="2">
        <f>SUM(OSRRefH22_8x_0)</f>
        <v>795</v>
      </c>
      <c r="I62" s="2"/>
      <c r="J62" s="6">
        <f t="shared" si="13"/>
        <v>7.3026895943562606E-4</v>
      </c>
      <c r="K62" s="2"/>
      <c r="L62" s="2">
        <f t="shared" si="14"/>
        <v>-304.88</v>
      </c>
      <c r="M62" s="2"/>
      <c r="N62" s="6">
        <f t="shared" si="15"/>
        <v>-0.38349685534591194</v>
      </c>
      <c r="O62" s="14"/>
      <c r="P62" s="2">
        <f>SUM(OSRRefP22_8x_0)</f>
        <v>9619.3700000000008</v>
      </c>
      <c r="Q62" s="2"/>
      <c r="R62" s="6">
        <f t="shared" si="16"/>
        <v>1.0452178818906822E-3</v>
      </c>
      <c r="S62" s="2"/>
      <c r="T62" s="2">
        <f>SUM(OSRRefT22_8x_0)</f>
        <v>7155</v>
      </c>
      <c r="U62" s="2"/>
      <c r="V62" s="6">
        <f t="shared" si="17"/>
        <v>9.9694020866773671E-4</v>
      </c>
      <c r="W62" s="2"/>
      <c r="X62" s="2">
        <f t="shared" si="18"/>
        <v>2464.3700000000008</v>
      </c>
      <c r="Y62" s="2"/>
      <c r="Z62" s="6">
        <f t="shared" si="19"/>
        <v>0.34442627533193582</v>
      </c>
    </row>
    <row r="63" spans="1:26" s="70" customFormat="1" ht="15" hidden="1" customHeight="1" outlineLevel="2" x14ac:dyDescent="0.3">
      <c r="A63" s="26"/>
      <c r="B63" s="12" t="str">
        <f>CONCATENATE("          ","6351"," - ","EQUIPMENT RENTAL")</f>
        <v xml:space="preserve">          6351 - EQUIPMENT RENTAL</v>
      </c>
      <c r="C63" s="12"/>
      <c r="D63" s="7">
        <v>490.12</v>
      </c>
      <c r="E63" s="3"/>
      <c r="F63" s="8">
        <f t="shared" si="12"/>
        <v>3.536040671768944E-4</v>
      </c>
      <c r="G63" s="3"/>
      <c r="H63" s="7">
        <v>795</v>
      </c>
      <c r="I63" s="3"/>
      <c r="J63" s="8">
        <f t="shared" si="13"/>
        <v>7.3026895943562606E-4</v>
      </c>
      <c r="K63" s="3"/>
      <c r="L63" s="7">
        <f t="shared" si="14"/>
        <v>-304.88</v>
      </c>
      <c r="M63" s="3"/>
      <c r="N63" s="8">
        <f t="shared" si="15"/>
        <v>-0.38349685534591194</v>
      </c>
      <c r="O63" s="12"/>
      <c r="P63" s="7">
        <v>9619.3700000000008</v>
      </c>
      <c r="Q63" s="3"/>
      <c r="R63" s="8">
        <f t="shared" si="16"/>
        <v>1.0452178818906822E-3</v>
      </c>
      <c r="S63" s="3"/>
      <c r="T63" s="7">
        <v>7155</v>
      </c>
      <c r="U63" s="3"/>
      <c r="V63" s="8">
        <f t="shared" si="17"/>
        <v>9.9694020866773671E-4</v>
      </c>
      <c r="W63" s="3"/>
      <c r="X63" s="7">
        <f t="shared" si="18"/>
        <v>2464.3700000000008</v>
      </c>
      <c r="Y63" s="3"/>
      <c r="Z63" s="8">
        <f t="shared" si="19"/>
        <v>0.34442627533193582</v>
      </c>
    </row>
    <row r="64" spans="1:26" s="69" customFormat="1" ht="15" customHeight="1" outlineLevel="1" collapsed="1" x14ac:dyDescent="0.3">
      <c r="A64" s="25"/>
      <c r="B64" s="14" t="str">
        <f>CONCATENATE("     ","General                                           ")</f>
        <v xml:space="preserve">     General                                           </v>
      </c>
      <c r="C64" s="14"/>
      <c r="D64" s="2">
        <f>SUM(OSRRefD22_9x_0)</f>
        <v>2116.59</v>
      </c>
      <c r="E64" s="2"/>
      <c r="F64" s="6">
        <f t="shared" si="12"/>
        <v>1.5270440556311576E-3</v>
      </c>
      <c r="G64" s="2"/>
      <c r="H64" s="2">
        <f>SUM(OSRRefH22_9x_0)</f>
        <v>1140</v>
      </c>
      <c r="I64" s="2"/>
      <c r="J64" s="6">
        <f t="shared" si="13"/>
        <v>1.0471781305114638E-3</v>
      </c>
      <c r="K64" s="2"/>
      <c r="L64" s="2">
        <f t="shared" si="14"/>
        <v>976.59000000000015</v>
      </c>
      <c r="M64" s="2"/>
      <c r="N64" s="6">
        <f t="shared" si="15"/>
        <v>0.85665789473684228</v>
      </c>
      <c r="O64" s="14"/>
      <c r="P64" s="2">
        <f>SUM(OSRRefP22_9x_0)</f>
        <v>14482.43</v>
      </c>
      <c r="Q64" s="2"/>
      <c r="R64" s="6">
        <f t="shared" si="16"/>
        <v>1.5736264234799237E-3</v>
      </c>
      <c r="S64" s="2"/>
      <c r="T64" s="2">
        <f>SUM(OSRRefT22_9x_0)</f>
        <v>10330</v>
      </c>
      <c r="U64" s="2"/>
      <c r="V64" s="6">
        <f t="shared" si="17"/>
        <v>1.4393280720527912E-3</v>
      </c>
      <c r="W64" s="2"/>
      <c r="X64" s="2">
        <f t="shared" si="18"/>
        <v>4152.43</v>
      </c>
      <c r="Y64" s="2"/>
      <c r="Z64" s="6">
        <f t="shared" si="19"/>
        <v>0.40197773475314619</v>
      </c>
    </row>
    <row r="65" spans="1:26" s="70" customFormat="1" ht="15" hidden="1" customHeight="1" outlineLevel="2" x14ac:dyDescent="0.3">
      <c r="A65" s="26"/>
      <c r="B65" s="12" t="str">
        <f>CONCATENATE("          ","6279"," - ","GENERAL EXPENSE")</f>
        <v xml:space="preserve">          6279 - GENERAL EXPENSE</v>
      </c>
      <c r="C65" s="12"/>
      <c r="D65" s="7">
        <v>2116.59</v>
      </c>
      <c r="E65" s="3"/>
      <c r="F65" s="8">
        <f t="shared" si="12"/>
        <v>1.5270440556311576E-3</v>
      </c>
      <c r="G65" s="3"/>
      <c r="H65" s="7">
        <v>1140</v>
      </c>
      <c r="I65" s="3"/>
      <c r="J65" s="8">
        <f t="shared" si="13"/>
        <v>1.0471781305114638E-3</v>
      </c>
      <c r="K65" s="3"/>
      <c r="L65" s="7">
        <f t="shared" si="14"/>
        <v>976.59000000000015</v>
      </c>
      <c r="M65" s="3"/>
      <c r="N65" s="8">
        <f t="shared" si="15"/>
        <v>0.85665789473684228</v>
      </c>
      <c r="O65" s="12"/>
      <c r="P65" s="7">
        <v>14482.43</v>
      </c>
      <c r="Q65" s="3"/>
      <c r="R65" s="8">
        <f t="shared" si="16"/>
        <v>1.5736264234799237E-3</v>
      </c>
      <c r="S65" s="3"/>
      <c r="T65" s="7">
        <v>10330</v>
      </c>
      <c r="U65" s="3"/>
      <c r="V65" s="8">
        <f t="shared" si="17"/>
        <v>1.4393280720527912E-3</v>
      </c>
      <c r="W65" s="3"/>
      <c r="X65" s="7">
        <f t="shared" si="18"/>
        <v>4152.43</v>
      </c>
      <c r="Y65" s="3"/>
      <c r="Z65" s="8">
        <f t="shared" si="19"/>
        <v>0.40197773475314619</v>
      </c>
    </row>
    <row r="66" spans="1:26" s="69" customFormat="1" ht="15" customHeight="1" outlineLevel="1" collapsed="1" x14ac:dyDescent="0.3">
      <c r="A66" s="25"/>
      <c r="B66" s="14" t="str">
        <f>CONCATENATE("     ","Insurance                                         ")</f>
        <v xml:space="preserve">     Insurance                                         </v>
      </c>
      <c r="C66" s="14"/>
      <c r="D66" s="2">
        <f>SUM(OSRRefD22_10x_0)</f>
        <v>5.21</v>
      </c>
      <c r="E66" s="2"/>
      <c r="F66" s="6">
        <f t="shared" si="12"/>
        <v>3.7588288378185343E-6</v>
      </c>
      <c r="G66" s="2"/>
      <c r="H66" s="2">
        <f>SUM(OSRRefH22_10x_0)</f>
        <v>10</v>
      </c>
      <c r="I66" s="2"/>
      <c r="J66" s="6">
        <f t="shared" si="13"/>
        <v>9.1857730746619636E-6</v>
      </c>
      <c r="K66" s="2"/>
      <c r="L66" s="2">
        <f t="shared" si="14"/>
        <v>-4.79</v>
      </c>
      <c r="M66" s="2"/>
      <c r="N66" s="6">
        <f t="shared" si="15"/>
        <v>-0.47899999999999998</v>
      </c>
      <c r="O66" s="14"/>
      <c r="P66" s="2">
        <f>SUM(OSRRefP22_10x_0)</f>
        <v>46.9</v>
      </c>
      <c r="Q66" s="2"/>
      <c r="R66" s="6">
        <f t="shared" si="16"/>
        <v>5.0960425330009131E-6</v>
      </c>
      <c r="S66" s="2"/>
      <c r="T66" s="2">
        <f>SUM(OSRRefT22_10x_0)</f>
        <v>90</v>
      </c>
      <c r="U66" s="2"/>
      <c r="V66" s="6">
        <f t="shared" si="17"/>
        <v>1.2540128410914928E-5</v>
      </c>
      <c r="W66" s="2"/>
      <c r="X66" s="2">
        <f t="shared" si="18"/>
        <v>-43.1</v>
      </c>
      <c r="Y66" s="2"/>
      <c r="Z66" s="6">
        <f t="shared" si="19"/>
        <v>-0.47888888888888892</v>
      </c>
    </row>
    <row r="67" spans="1:26" s="70" customFormat="1" ht="15" hidden="1" customHeight="1" outlineLevel="2" x14ac:dyDescent="0.3">
      <c r="A67" s="26"/>
      <c r="B67" s="12" t="str">
        <f>CONCATENATE("          ","6314"," - ","LIABILITY INSURANCE")</f>
        <v xml:space="preserve">          6314 - LIABILITY INSURANCE</v>
      </c>
      <c r="C67" s="12"/>
      <c r="D67" s="7">
        <v>5.21</v>
      </c>
      <c r="E67" s="3"/>
      <c r="F67" s="8">
        <f t="shared" si="12"/>
        <v>3.7588288378185343E-6</v>
      </c>
      <c r="G67" s="3"/>
      <c r="H67" s="7">
        <v>10</v>
      </c>
      <c r="I67" s="3"/>
      <c r="J67" s="8">
        <f t="shared" si="13"/>
        <v>9.1857730746619636E-6</v>
      </c>
      <c r="K67" s="3"/>
      <c r="L67" s="7">
        <f t="shared" si="14"/>
        <v>-4.79</v>
      </c>
      <c r="M67" s="3"/>
      <c r="N67" s="8">
        <f t="shared" si="15"/>
        <v>-0.47899999999999998</v>
      </c>
      <c r="O67" s="12"/>
      <c r="P67" s="7">
        <v>46.9</v>
      </c>
      <c r="Q67" s="3"/>
      <c r="R67" s="8">
        <f t="shared" si="16"/>
        <v>5.0960425330009131E-6</v>
      </c>
      <c r="S67" s="3"/>
      <c r="T67" s="7">
        <v>90</v>
      </c>
      <c r="U67" s="3"/>
      <c r="V67" s="8">
        <f t="shared" si="17"/>
        <v>1.2540128410914928E-5</v>
      </c>
      <c r="W67" s="3"/>
      <c r="X67" s="7">
        <f t="shared" si="18"/>
        <v>-43.1</v>
      </c>
      <c r="Y67" s="3"/>
      <c r="Z67" s="8">
        <f t="shared" si="19"/>
        <v>-0.47888888888888892</v>
      </c>
    </row>
    <row r="68" spans="1:26" s="69" customFormat="1" ht="15" customHeight="1" outlineLevel="1" collapsed="1" x14ac:dyDescent="0.3">
      <c r="A68" s="25"/>
      <c r="B68" s="14" t="str">
        <f>CONCATENATE("     ","R/H Commissions                                   ")</f>
        <v xml:space="preserve">     R/H Commissions                                   </v>
      </c>
      <c r="C68" s="14"/>
      <c r="D68" s="2">
        <f>SUM(OSRRefD22_11x_0)</f>
        <v>111663.48</v>
      </c>
      <c r="E68" s="2"/>
      <c r="F68" s="6">
        <f t="shared" si="12"/>
        <v>8.0561210893507318E-2</v>
      </c>
      <c r="G68" s="2"/>
      <c r="H68" s="2">
        <f>SUM(OSRRefH22_11x_0)</f>
        <v>87091</v>
      </c>
      <c r="I68" s="2"/>
      <c r="J68" s="6">
        <f t="shared" si="13"/>
        <v>7.9999816284538505E-2</v>
      </c>
      <c r="K68" s="2"/>
      <c r="L68" s="2">
        <f t="shared" si="14"/>
        <v>24572.479999999996</v>
      </c>
      <c r="M68" s="2"/>
      <c r="N68" s="6">
        <f t="shared" si="15"/>
        <v>0.28214717938707784</v>
      </c>
      <c r="O68" s="14"/>
      <c r="P68" s="2">
        <f>SUM(OSRRefP22_11x_0)</f>
        <v>720692.17</v>
      </c>
      <c r="Q68" s="2"/>
      <c r="R68" s="6">
        <f t="shared" si="16"/>
        <v>7.8308698326667911E-2</v>
      </c>
      <c r="S68" s="2"/>
      <c r="T68" s="2">
        <f>SUM(OSRRefT22_11x_0)</f>
        <v>571997</v>
      </c>
      <c r="U68" s="2"/>
      <c r="V68" s="6">
        <f t="shared" si="17"/>
        <v>7.9699064785090062E-2</v>
      </c>
      <c r="W68" s="2"/>
      <c r="X68" s="2">
        <f t="shared" si="18"/>
        <v>148695.17000000004</v>
      </c>
      <c r="Y68" s="2"/>
      <c r="Z68" s="6">
        <f t="shared" si="19"/>
        <v>0.25995795432493535</v>
      </c>
    </row>
    <row r="69" spans="1:26" s="70" customFormat="1" ht="15" hidden="1" customHeight="1" outlineLevel="2" x14ac:dyDescent="0.3">
      <c r="A69" s="26"/>
      <c r="B69" s="12" t="str">
        <f>CONCATENATE("          ","6387"," - ","COMMISSION DUE HOUSING")</f>
        <v xml:space="preserve">          6387 - COMMISSION DUE HOUSING</v>
      </c>
      <c r="C69" s="12"/>
      <c r="D69" s="7">
        <v>111663.48</v>
      </c>
      <c r="E69" s="3"/>
      <c r="F69" s="8">
        <f t="shared" si="12"/>
        <v>8.0561210893507318E-2</v>
      </c>
      <c r="G69" s="3"/>
      <c r="H69" s="7">
        <v>87091</v>
      </c>
      <c r="I69" s="3"/>
      <c r="J69" s="8">
        <f t="shared" si="13"/>
        <v>7.9999816284538505E-2</v>
      </c>
      <c r="K69" s="3"/>
      <c r="L69" s="7">
        <f t="shared" si="14"/>
        <v>24572.479999999996</v>
      </c>
      <c r="M69" s="3"/>
      <c r="N69" s="8">
        <f t="shared" si="15"/>
        <v>0.28214717938707784</v>
      </c>
      <c r="O69" s="12"/>
      <c r="P69" s="7">
        <v>720692.17</v>
      </c>
      <c r="Q69" s="3"/>
      <c r="R69" s="8">
        <f t="shared" si="16"/>
        <v>7.8308698326667911E-2</v>
      </c>
      <c r="S69" s="3"/>
      <c r="T69" s="7">
        <v>571997</v>
      </c>
      <c r="U69" s="3"/>
      <c r="V69" s="8">
        <f t="shared" si="17"/>
        <v>7.9699064785090062E-2</v>
      </c>
      <c r="W69" s="3"/>
      <c r="X69" s="7">
        <f t="shared" si="18"/>
        <v>148695.17000000004</v>
      </c>
      <c r="Y69" s="3"/>
      <c r="Z69" s="8">
        <f t="shared" si="19"/>
        <v>0.25995795432493535</v>
      </c>
    </row>
    <row r="70" spans="1:26" s="69" customFormat="1" ht="15" customHeight="1" outlineLevel="1" collapsed="1" x14ac:dyDescent="0.3">
      <c r="A70" s="25"/>
      <c r="B70" s="14" t="str">
        <f>CONCATENATE("     ","Repair and Maintenance                            ")</f>
        <v xml:space="preserve">     Repair and Maintenance                            </v>
      </c>
      <c r="C70" s="14"/>
      <c r="D70" s="2">
        <f>SUM(OSRRefD22_12x_0)</f>
        <v>8874.1</v>
      </c>
      <c r="E70" s="2"/>
      <c r="F70" s="6">
        <f t="shared" si="12"/>
        <v>6.402346063279358E-3</v>
      </c>
      <c r="G70" s="2"/>
      <c r="H70" s="2">
        <f>SUM(OSRRefH22_12x_0)</f>
        <v>4050</v>
      </c>
      <c r="I70" s="2"/>
      <c r="J70" s="6">
        <f t="shared" si="13"/>
        <v>3.720238095238095E-3</v>
      </c>
      <c r="K70" s="2"/>
      <c r="L70" s="2">
        <f t="shared" si="14"/>
        <v>4824.1000000000004</v>
      </c>
      <c r="M70" s="2"/>
      <c r="N70" s="6">
        <f t="shared" si="15"/>
        <v>1.1911358024691359</v>
      </c>
      <c r="O70" s="14"/>
      <c r="P70" s="2">
        <f>SUM(OSRRefP22_12x_0)</f>
        <v>42841.7</v>
      </c>
      <c r="Q70" s="2"/>
      <c r="R70" s="6">
        <f t="shared" si="16"/>
        <v>4.6550773003425422E-3</v>
      </c>
      <c r="S70" s="2"/>
      <c r="T70" s="2">
        <f>SUM(OSRRefT22_12x_0)</f>
        <v>48850</v>
      </c>
      <c r="U70" s="2"/>
      <c r="V70" s="6">
        <f t="shared" si="17"/>
        <v>6.80650303192438E-3</v>
      </c>
      <c r="W70" s="2"/>
      <c r="X70" s="2">
        <f t="shared" si="18"/>
        <v>-6008.3000000000029</v>
      </c>
      <c r="Y70" s="2"/>
      <c r="Z70" s="6">
        <f t="shared" si="19"/>
        <v>-0.12299488229273292</v>
      </c>
    </row>
    <row r="71" spans="1:26" s="70" customFormat="1" ht="15" hidden="1" customHeight="1" outlineLevel="2" x14ac:dyDescent="0.3">
      <c r="A71" s="26"/>
      <c r="B71" s="12" t="str">
        <f>CONCATENATE("          ","6371"," - ","COMPUTER SOFTWARE MAINTENANCE")</f>
        <v xml:space="preserve">          6371 - COMPUTER SOFTWARE MAINTENANCE</v>
      </c>
      <c r="C71" s="12"/>
      <c r="D71" s="7">
        <v>3500</v>
      </c>
      <c r="E71" s="3"/>
      <c r="F71" s="8">
        <f t="shared" si="12"/>
        <v>2.5251249390335641E-3</v>
      </c>
      <c r="G71" s="3"/>
      <c r="H71" s="7">
        <v>3500</v>
      </c>
      <c r="I71" s="3"/>
      <c r="J71" s="8">
        <f t="shared" si="13"/>
        <v>3.2150205761316874E-3</v>
      </c>
      <c r="K71" s="3"/>
      <c r="L71" s="7">
        <f t="shared" si="14"/>
        <v>0</v>
      </c>
      <c r="M71" s="3"/>
      <c r="N71" s="8">
        <f t="shared" si="15"/>
        <v>0</v>
      </c>
      <c r="O71" s="12"/>
      <c r="P71" s="7">
        <v>31500</v>
      </c>
      <c r="Q71" s="3"/>
      <c r="R71" s="8">
        <f t="shared" si="16"/>
        <v>3.422715134105091E-3</v>
      </c>
      <c r="S71" s="3"/>
      <c r="T71" s="7">
        <v>31500</v>
      </c>
      <c r="U71" s="3"/>
      <c r="V71" s="8">
        <f t="shared" si="17"/>
        <v>4.389044943820225E-3</v>
      </c>
      <c r="W71" s="3"/>
      <c r="X71" s="7">
        <f t="shared" si="18"/>
        <v>0</v>
      </c>
      <c r="Y71" s="3"/>
      <c r="Z71" s="8">
        <f t="shared" si="19"/>
        <v>0</v>
      </c>
    </row>
    <row r="72" spans="1:26" s="70" customFormat="1" ht="15" hidden="1" customHeight="1" outlineLevel="2" x14ac:dyDescent="0.3">
      <c r="A72" s="26"/>
      <c r="B72" s="12" t="str">
        <f>CONCATENATE("          ","6373"," - ","MAINTENANCE CONTRACTS")</f>
        <v xml:space="preserve">          6373 - MAINTENANCE CONTRACTS</v>
      </c>
      <c r="C72" s="12"/>
      <c r="D72" s="7">
        <v>3859.53</v>
      </c>
      <c r="E72" s="3"/>
      <c r="F72" s="8">
        <f t="shared" si="12"/>
        <v>2.7845129874137751E-3</v>
      </c>
      <c r="G72" s="3"/>
      <c r="H72" s="7"/>
      <c r="I72" s="3"/>
      <c r="J72" s="8">
        <f t="shared" si="13"/>
        <v>0</v>
      </c>
      <c r="K72" s="3"/>
      <c r="L72" s="7">
        <f t="shared" si="14"/>
        <v>3859.53</v>
      </c>
      <c r="M72" s="3"/>
      <c r="N72" s="8">
        <f t="shared" si="15"/>
        <v>0</v>
      </c>
      <c r="O72" s="12"/>
      <c r="P72" s="7">
        <v>4481.2</v>
      </c>
      <c r="Q72" s="3"/>
      <c r="R72" s="8">
        <f t="shared" si="16"/>
        <v>4.869165415540233E-4</v>
      </c>
      <c r="S72" s="3"/>
      <c r="T72" s="7">
        <v>12400</v>
      </c>
      <c r="U72" s="3"/>
      <c r="V72" s="8">
        <f t="shared" si="17"/>
        <v>1.7277510255038345E-3</v>
      </c>
      <c r="W72" s="3"/>
      <c r="X72" s="7">
        <f t="shared" si="18"/>
        <v>-7918.8</v>
      </c>
      <c r="Y72" s="3"/>
      <c r="Z72" s="8">
        <f t="shared" si="19"/>
        <v>-0.63861290322580644</v>
      </c>
    </row>
    <row r="73" spans="1:26" s="70" customFormat="1" ht="15" hidden="1" customHeight="1" outlineLevel="2" x14ac:dyDescent="0.3">
      <c r="A73" s="26"/>
      <c r="B73" s="12" t="str">
        <f>CONCATENATE("          ","6375"," - ","OUTSIDE REPAIRS &amp; MAINTENANCE")</f>
        <v xml:space="preserve">          6375 - OUTSIDE REPAIRS &amp; MAINTENANCE</v>
      </c>
      <c r="C73" s="12"/>
      <c r="D73" s="7">
        <v>1514.57</v>
      </c>
      <c r="E73" s="3"/>
      <c r="F73" s="8">
        <f t="shared" si="12"/>
        <v>1.0927081368320185E-3</v>
      </c>
      <c r="G73" s="3"/>
      <c r="H73" s="7">
        <v>550</v>
      </c>
      <c r="I73" s="3"/>
      <c r="J73" s="8">
        <f t="shared" si="13"/>
        <v>5.05217519106408E-4</v>
      </c>
      <c r="K73" s="3"/>
      <c r="L73" s="7">
        <f t="shared" si="14"/>
        <v>964.56999999999994</v>
      </c>
      <c r="M73" s="3"/>
      <c r="N73" s="8">
        <f t="shared" si="15"/>
        <v>1.7537636363636362</v>
      </c>
      <c r="O73" s="12"/>
      <c r="P73" s="7">
        <v>6860.5</v>
      </c>
      <c r="Q73" s="3"/>
      <c r="R73" s="8">
        <f t="shared" si="16"/>
        <v>7.4544562468342789E-4</v>
      </c>
      <c r="S73" s="3"/>
      <c r="T73" s="7">
        <v>4950</v>
      </c>
      <c r="U73" s="3"/>
      <c r="V73" s="8">
        <f t="shared" si="17"/>
        <v>6.8970706260032099E-4</v>
      </c>
      <c r="W73" s="3"/>
      <c r="X73" s="7">
        <f t="shared" si="18"/>
        <v>1910.5</v>
      </c>
      <c r="Y73" s="3"/>
      <c r="Z73" s="8">
        <f t="shared" si="19"/>
        <v>0.38595959595959595</v>
      </c>
    </row>
    <row r="74" spans="1:26" s="69" customFormat="1" ht="15" customHeight="1" outlineLevel="1" collapsed="1" x14ac:dyDescent="0.3">
      <c r="A74" s="25"/>
      <c r="B74" s="14" t="str">
        <f>CONCATENATE("     ","Services                                          ")</f>
        <v xml:space="preserve">     Services                                          </v>
      </c>
      <c r="C74" s="14"/>
      <c r="D74" s="2">
        <f>SUM(OSRRefD22_13x_0)</f>
        <v>21188.89</v>
      </c>
      <c r="E74" s="2"/>
      <c r="F74" s="6">
        <f t="shared" si="12"/>
        <v>1.5287027019839685E-2</v>
      </c>
      <c r="G74" s="2"/>
      <c r="H74" s="2">
        <f>SUM(OSRRefH22_13x_0)</f>
        <v>21796</v>
      </c>
      <c r="I74" s="2"/>
      <c r="J74" s="6">
        <f t="shared" si="13"/>
        <v>2.0021310993533215E-2</v>
      </c>
      <c r="K74" s="2"/>
      <c r="L74" s="2">
        <f t="shared" si="14"/>
        <v>-607.11000000000058</v>
      </c>
      <c r="M74" s="2"/>
      <c r="N74" s="6">
        <f t="shared" si="15"/>
        <v>-2.7854193429987181E-2</v>
      </c>
      <c r="O74" s="14"/>
      <c r="P74" s="2">
        <f>SUM(OSRRefP22_13x_0)</f>
        <v>155494.29999999999</v>
      </c>
      <c r="Q74" s="2"/>
      <c r="R74" s="6">
        <f t="shared" si="16"/>
        <v>1.6895641075462767E-2</v>
      </c>
      <c r="S74" s="2"/>
      <c r="T74" s="2">
        <f>SUM(OSRRefT22_13x_0)</f>
        <v>191420</v>
      </c>
      <c r="U74" s="2"/>
      <c r="V74" s="6">
        <f t="shared" si="17"/>
        <v>2.6671459782414839E-2</v>
      </c>
      <c r="W74" s="2"/>
      <c r="X74" s="2">
        <f t="shared" si="18"/>
        <v>-35925.700000000012</v>
      </c>
      <c r="Y74" s="2"/>
      <c r="Z74" s="6">
        <f t="shared" si="19"/>
        <v>-0.18767997074495879</v>
      </c>
    </row>
    <row r="75" spans="1:26" s="70" customFormat="1" ht="15" hidden="1" customHeight="1" outlineLevel="2" x14ac:dyDescent="0.3">
      <c r="A75" s="26"/>
      <c r="B75" s="12" t="str">
        <f>CONCATENATE("          ","6282"," - ","JANITORIAL/EXTERMINATOR EXPENS")</f>
        <v xml:space="preserve">          6282 - JANITORIAL/EXTERMINATOR EXPENS</v>
      </c>
      <c r="C75" s="12"/>
      <c r="D75" s="7">
        <v>2829.05</v>
      </c>
      <c r="E75" s="3"/>
      <c r="F75" s="8">
        <f t="shared" si="12"/>
        <v>2.0410584882208302E-3</v>
      </c>
      <c r="G75" s="3"/>
      <c r="H75" s="7">
        <v>1570</v>
      </c>
      <c r="I75" s="3"/>
      <c r="J75" s="8">
        <f t="shared" si="13"/>
        <v>1.4421663727219283E-3</v>
      </c>
      <c r="K75" s="3"/>
      <c r="L75" s="7">
        <f t="shared" si="14"/>
        <v>1259.0500000000002</v>
      </c>
      <c r="M75" s="3"/>
      <c r="N75" s="8">
        <f t="shared" si="15"/>
        <v>0.80194267515923578</v>
      </c>
      <c r="O75" s="12"/>
      <c r="P75" s="7">
        <v>15968.97</v>
      </c>
      <c r="Q75" s="3"/>
      <c r="R75" s="8">
        <f t="shared" si="16"/>
        <v>1.7351503268276246E-3</v>
      </c>
      <c r="S75" s="3"/>
      <c r="T75" s="7">
        <v>14130</v>
      </c>
      <c r="U75" s="3"/>
      <c r="V75" s="8">
        <f t="shared" si="17"/>
        <v>1.9688001605136438E-3</v>
      </c>
      <c r="W75" s="3"/>
      <c r="X75" s="7">
        <f t="shared" si="18"/>
        <v>1838.9699999999993</v>
      </c>
      <c r="Y75" s="3"/>
      <c r="Z75" s="8">
        <f t="shared" si="19"/>
        <v>0.13014649681528659</v>
      </c>
    </row>
    <row r="76" spans="1:26" s="70" customFormat="1" ht="15" hidden="1" customHeight="1" outlineLevel="2" x14ac:dyDescent="0.3">
      <c r="A76" s="26"/>
      <c r="B76" s="12" t="str">
        <f>CONCATENATE("          ","6284"," - ","TRASH REMOVAL EXPENSE")</f>
        <v xml:space="preserve">          6284 - TRASH REMOVAL EXPENSE</v>
      </c>
      <c r="C76" s="12"/>
      <c r="D76" s="7"/>
      <c r="E76" s="3"/>
      <c r="F76" s="8">
        <f t="shared" si="12"/>
        <v>0</v>
      </c>
      <c r="G76" s="3"/>
      <c r="H76" s="7">
        <v>600</v>
      </c>
      <c r="I76" s="3"/>
      <c r="J76" s="8">
        <f t="shared" si="13"/>
        <v>5.5114638447971778E-4</v>
      </c>
      <c r="K76" s="3"/>
      <c r="L76" s="7">
        <f t="shared" si="14"/>
        <v>-600</v>
      </c>
      <c r="M76" s="3"/>
      <c r="N76" s="8">
        <f t="shared" si="15"/>
        <v>-1</v>
      </c>
      <c r="O76" s="12"/>
      <c r="P76" s="7"/>
      <c r="Q76" s="3"/>
      <c r="R76" s="8">
        <f t="shared" si="16"/>
        <v>0</v>
      </c>
      <c r="S76" s="3"/>
      <c r="T76" s="7">
        <v>5400</v>
      </c>
      <c r="U76" s="3"/>
      <c r="V76" s="8">
        <f t="shared" si="17"/>
        <v>7.5240770465489571E-4</v>
      </c>
      <c r="W76" s="3"/>
      <c r="X76" s="7">
        <f t="shared" si="18"/>
        <v>-5400</v>
      </c>
      <c r="Y76" s="3"/>
      <c r="Z76" s="8">
        <f t="shared" si="19"/>
        <v>-1</v>
      </c>
    </row>
    <row r="77" spans="1:26" s="70" customFormat="1" ht="15" hidden="1" customHeight="1" outlineLevel="2" x14ac:dyDescent="0.3">
      <c r="A77" s="26"/>
      <c r="B77" s="12" t="str">
        <f>CONCATENATE("          ","6285"," - ","JANITORIAL SERVICES")</f>
        <v xml:space="preserve">          6285 - JANITORIAL SERVICES</v>
      </c>
      <c r="C77" s="12"/>
      <c r="D77" s="7">
        <v>14178.13</v>
      </c>
      <c r="E77" s="3"/>
      <c r="F77" s="8">
        <f t="shared" si="12"/>
        <v>1.0229014186245699E-2</v>
      </c>
      <c r="G77" s="3"/>
      <c r="H77" s="7">
        <v>14859</v>
      </c>
      <c r="I77" s="3"/>
      <c r="J77" s="8">
        <f t="shared" si="13"/>
        <v>1.3649140211640211E-2</v>
      </c>
      <c r="K77" s="3"/>
      <c r="L77" s="7">
        <f t="shared" si="14"/>
        <v>-680.8700000000008</v>
      </c>
      <c r="M77" s="3"/>
      <c r="N77" s="8">
        <f t="shared" si="15"/>
        <v>-4.5822060703950521E-2</v>
      </c>
      <c r="O77" s="12"/>
      <c r="P77" s="7">
        <v>115040.39</v>
      </c>
      <c r="Q77" s="3"/>
      <c r="R77" s="8">
        <f t="shared" si="16"/>
        <v>1.2500015361471491E-2</v>
      </c>
      <c r="S77" s="3"/>
      <c r="T77" s="7">
        <v>130587</v>
      </c>
      <c r="U77" s="3"/>
      <c r="V77" s="8">
        <f t="shared" si="17"/>
        <v>1.8195308319957196E-2</v>
      </c>
      <c r="W77" s="3"/>
      <c r="X77" s="7">
        <f t="shared" si="18"/>
        <v>-15546.61</v>
      </c>
      <c r="Y77" s="3"/>
      <c r="Z77" s="8">
        <f t="shared" si="19"/>
        <v>-0.11905174328225628</v>
      </c>
    </row>
    <row r="78" spans="1:26" s="70" customFormat="1" ht="15" hidden="1" customHeight="1" outlineLevel="2" x14ac:dyDescent="0.3">
      <c r="A78" s="26"/>
      <c r="B78" s="12" t="str">
        <f>CONCATENATE("          ","6286"," - ","LAUNDRY EXPENSE")</f>
        <v xml:space="preserve">          6286 - LAUNDRY EXPENSE</v>
      </c>
      <c r="C78" s="12"/>
      <c r="D78" s="7">
        <v>4181.71</v>
      </c>
      <c r="E78" s="3"/>
      <c r="F78" s="8">
        <f t="shared" si="12"/>
        <v>3.0169543453731559E-3</v>
      </c>
      <c r="G78" s="3"/>
      <c r="H78" s="7">
        <v>4767</v>
      </c>
      <c r="I78" s="3"/>
      <c r="J78" s="8">
        <f t="shared" si="13"/>
        <v>4.3788580246913577E-3</v>
      </c>
      <c r="K78" s="3"/>
      <c r="L78" s="7">
        <f t="shared" si="14"/>
        <v>-585.29</v>
      </c>
      <c r="M78" s="3"/>
      <c r="N78" s="8">
        <f t="shared" si="15"/>
        <v>-0.1227795259072792</v>
      </c>
      <c r="O78" s="12"/>
      <c r="P78" s="7">
        <v>24484.94</v>
      </c>
      <c r="Q78" s="3"/>
      <c r="R78" s="8">
        <f t="shared" si="16"/>
        <v>2.6604753871636543E-3</v>
      </c>
      <c r="S78" s="3"/>
      <c r="T78" s="7">
        <v>41303</v>
      </c>
      <c r="U78" s="3"/>
      <c r="V78" s="8">
        <f t="shared" si="17"/>
        <v>5.7549435972891029E-3</v>
      </c>
      <c r="W78" s="3"/>
      <c r="X78" s="7">
        <f t="shared" si="18"/>
        <v>-16818.060000000001</v>
      </c>
      <c r="Y78" s="3"/>
      <c r="Z78" s="8">
        <f t="shared" si="19"/>
        <v>-0.40718737137738181</v>
      </c>
    </row>
    <row r="79" spans="1:26" s="69" customFormat="1" ht="15" customHeight="1" outlineLevel="1" collapsed="1" x14ac:dyDescent="0.3">
      <c r="A79" s="25"/>
      <c r="B79" s="14" t="str">
        <f>CONCATENATE("     ","Subscriptions &amp; Dues                              ")</f>
        <v xml:space="preserve">     Subscriptions &amp; Dues                              </v>
      </c>
      <c r="C79" s="14"/>
      <c r="D79" s="2">
        <f>SUM(OSRRefD22_14x_0)</f>
        <v>0</v>
      </c>
      <c r="E79" s="2"/>
      <c r="F79" s="6">
        <f t="shared" si="12"/>
        <v>0</v>
      </c>
      <c r="G79" s="2"/>
      <c r="H79" s="2">
        <f>SUM(OSRRefH22_14x_0)</f>
        <v>0</v>
      </c>
      <c r="I79" s="2"/>
      <c r="J79" s="6">
        <f t="shared" si="13"/>
        <v>0</v>
      </c>
      <c r="K79" s="2"/>
      <c r="L79" s="2">
        <f t="shared" si="14"/>
        <v>0</v>
      </c>
      <c r="M79" s="2"/>
      <c r="N79" s="6">
        <f t="shared" si="15"/>
        <v>0</v>
      </c>
      <c r="O79" s="14"/>
      <c r="P79" s="2">
        <f>SUM(OSRRefP22_14x_0)</f>
        <v>0</v>
      </c>
      <c r="Q79" s="2"/>
      <c r="R79" s="6">
        <f t="shared" si="16"/>
        <v>0</v>
      </c>
      <c r="S79" s="2"/>
      <c r="T79" s="2">
        <f>SUM(OSRRefT22_14x_0)</f>
        <v>795</v>
      </c>
      <c r="U79" s="2"/>
      <c r="V79" s="6">
        <f t="shared" si="17"/>
        <v>1.1077113429641519E-4</v>
      </c>
      <c r="W79" s="2"/>
      <c r="X79" s="2">
        <f t="shared" si="18"/>
        <v>-795</v>
      </c>
      <c r="Y79" s="2"/>
      <c r="Z79" s="6">
        <f t="shared" si="19"/>
        <v>-1</v>
      </c>
    </row>
    <row r="80" spans="1:26" s="70" customFormat="1" ht="15" hidden="1" customHeight="1" outlineLevel="2" x14ac:dyDescent="0.3">
      <c r="A80" s="26"/>
      <c r="B80" s="12" t="str">
        <f>CONCATENATE("          ","6258"," - ","MEMBERSHIP DUES")</f>
        <v xml:space="preserve">          6258 - MEMBERSHIP DUES</v>
      </c>
      <c r="C80" s="12"/>
      <c r="D80" s="7"/>
      <c r="E80" s="3"/>
      <c r="F80" s="8">
        <f t="shared" si="12"/>
        <v>0</v>
      </c>
      <c r="G80" s="3"/>
      <c r="H80" s="7"/>
      <c r="I80" s="3"/>
      <c r="J80" s="8">
        <f t="shared" si="13"/>
        <v>0</v>
      </c>
      <c r="K80" s="3"/>
      <c r="L80" s="7">
        <f t="shared" si="14"/>
        <v>0</v>
      </c>
      <c r="M80" s="3"/>
      <c r="N80" s="8">
        <f t="shared" si="15"/>
        <v>0</v>
      </c>
      <c r="O80" s="12"/>
      <c r="P80" s="7"/>
      <c r="Q80" s="3"/>
      <c r="R80" s="8">
        <f t="shared" si="16"/>
        <v>0</v>
      </c>
      <c r="S80" s="3"/>
      <c r="T80" s="7">
        <v>795</v>
      </c>
      <c r="U80" s="3"/>
      <c r="V80" s="8">
        <f t="shared" si="17"/>
        <v>1.1077113429641519E-4</v>
      </c>
      <c r="W80" s="3"/>
      <c r="X80" s="7">
        <f t="shared" si="18"/>
        <v>-795</v>
      </c>
      <c r="Y80" s="3"/>
      <c r="Z80" s="8">
        <f t="shared" si="19"/>
        <v>-1</v>
      </c>
    </row>
    <row r="81" spans="1:26" s="69" customFormat="1" ht="15" customHeight="1" outlineLevel="1" collapsed="1" x14ac:dyDescent="0.3">
      <c r="A81" s="25"/>
      <c r="B81" s="14" t="str">
        <f>CONCATENATE("     ","Supplies                                          ")</f>
        <v xml:space="preserve">     Supplies                                          </v>
      </c>
      <c r="C81" s="14"/>
      <c r="D81" s="2">
        <f>SUM(OSRRefD22_15x_0)</f>
        <v>21359.600000000002</v>
      </c>
      <c r="E81" s="2"/>
      <c r="F81" s="6">
        <f t="shared" si="12"/>
        <v>1.5410188185080378E-2</v>
      </c>
      <c r="G81" s="2"/>
      <c r="H81" s="2">
        <f>SUM(OSRRefH22_15x_0)</f>
        <v>29250</v>
      </c>
      <c r="I81" s="2"/>
      <c r="J81" s="6">
        <f t="shared" si="13"/>
        <v>2.6868386243386243E-2</v>
      </c>
      <c r="K81" s="2"/>
      <c r="L81" s="2">
        <f t="shared" si="14"/>
        <v>-7890.3999999999978</v>
      </c>
      <c r="M81" s="2"/>
      <c r="N81" s="6">
        <f t="shared" si="15"/>
        <v>-0.26975726495726488</v>
      </c>
      <c r="O81" s="14"/>
      <c r="P81" s="2">
        <f>SUM(OSRRefP22_15x_0)</f>
        <v>267561.24</v>
      </c>
      <c r="Q81" s="2"/>
      <c r="R81" s="6">
        <f t="shared" si="16"/>
        <v>2.9072568426918237E-2</v>
      </c>
      <c r="S81" s="2"/>
      <c r="T81" s="2">
        <f>SUM(OSRRefT22_15x_0)</f>
        <v>273350</v>
      </c>
      <c r="U81" s="2"/>
      <c r="V81" s="6">
        <f t="shared" si="17"/>
        <v>3.8087156679151059E-2</v>
      </c>
      <c r="W81" s="2"/>
      <c r="X81" s="2">
        <f t="shared" si="18"/>
        <v>-5788.7600000000093</v>
      </c>
      <c r="Y81" s="2"/>
      <c r="Z81" s="6">
        <f t="shared" si="19"/>
        <v>-2.117709895738068E-2</v>
      </c>
    </row>
    <row r="82" spans="1:26" s="70" customFormat="1" ht="15" hidden="1" customHeight="1" outlineLevel="2" x14ac:dyDescent="0.3">
      <c r="A82" s="26"/>
      <c r="B82" s="12" t="str">
        <f>CONCATENATE("          ","6234"," - ","EXPENDABLE SUPPLIES &amp; EQUIPMEN")</f>
        <v xml:space="preserve">          6234 - EXPENDABLE SUPPLIES &amp; EQUIPMEN</v>
      </c>
      <c r="C82" s="12"/>
      <c r="D82" s="7"/>
      <c r="E82" s="3"/>
      <c r="F82" s="8">
        <f t="shared" si="12"/>
        <v>0</v>
      </c>
      <c r="G82" s="3"/>
      <c r="H82" s="7">
        <v>342</v>
      </c>
      <c r="I82" s="3"/>
      <c r="J82" s="8">
        <f t="shared" si="13"/>
        <v>3.1415343915343916E-4</v>
      </c>
      <c r="K82" s="3"/>
      <c r="L82" s="7">
        <f t="shared" si="14"/>
        <v>-342</v>
      </c>
      <c r="M82" s="3"/>
      <c r="N82" s="8">
        <f t="shared" si="15"/>
        <v>-1</v>
      </c>
      <c r="O82" s="12"/>
      <c r="P82" s="7">
        <v>336.98</v>
      </c>
      <c r="Q82" s="3"/>
      <c r="R82" s="8">
        <f t="shared" si="16"/>
        <v>3.6615445901293131E-5</v>
      </c>
      <c r="S82" s="3"/>
      <c r="T82" s="7">
        <v>3078</v>
      </c>
      <c r="U82" s="3"/>
      <c r="V82" s="8">
        <f t="shared" si="17"/>
        <v>4.2887239165329054E-4</v>
      </c>
      <c r="W82" s="3"/>
      <c r="X82" s="7">
        <f t="shared" si="18"/>
        <v>-2741.02</v>
      </c>
      <c r="Y82" s="3"/>
      <c r="Z82" s="8">
        <f t="shared" si="19"/>
        <v>-0.89051981806367775</v>
      </c>
    </row>
    <row r="83" spans="1:26" s="70" customFormat="1" ht="15" hidden="1" customHeight="1" outlineLevel="2" x14ac:dyDescent="0.3">
      <c r="A83" s="26"/>
      <c r="B83" s="12" t="str">
        <f>CONCATENATE("          ","6235"," - ","COVID-19 EXPENSES")</f>
        <v xml:space="preserve">          6235 - COVID-19 EXPENSES</v>
      </c>
      <c r="C83" s="12"/>
      <c r="D83" s="7"/>
      <c r="E83" s="3"/>
      <c r="F83" s="8">
        <f t="shared" si="12"/>
        <v>0</v>
      </c>
      <c r="G83" s="3"/>
      <c r="H83" s="7"/>
      <c r="I83" s="3"/>
      <c r="J83" s="8">
        <f t="shared" si="13"/>
        <v>0</v>
      </c>
      <c r="K83" s="3"/>
      <c r="L83" s="7">
        <f t="shared" si="14"/>
        <v>0</v>
      </c>
      <c r="M83" s="3"/>
      <c r="N83" s="8">
        <f t="shared" si="15"/>
        <v>0</v>
      </c>
      <c r="O83" s="12"/>
      <c r="P83" s="7">
        <v>158.76</v>
      </c>
      <c r="Q83" s="3"/>
      <c r="R83" s="8">
        <f t="shared" si="16"/>
        <v>1.7250484275889659E-5</v>
      </c>
      <c r="S83" s="3"/>
      <c r="T83" s="7"/>
      <c r="U83" s="3"/>
      <c r="V83" s="8">
        <f t="shared" si="17"/>
        <v>0</v>
      </c>
      <c r="W83" s="3"/>
      <c r="X83" s="7">
        <f t="shared" si="18"/>
        <v>158.76</v>
      </c>
      <c r="Y83" s="3"/>
      <c r="Z83" s="8">
        <f t="shared" si="19"/>
        <v>0</v>
      </c>
    </row>
    <row r="84" spans="1:26" s="70" customFormat="1" ht="15" hidden="1" customHeight="1" outlineLevel="2" x14ac:dyDescent="0.3">
      <c r="A84" s="26"/>
      <c r="B84" s="12" t="str">
        <f>CONCATENATE("          ","6237"," - ","JANITORIAL SUPPLIES")</f>
        <v xml:space="preserve">          6237 - JANITORIAL SUPPLIES</v>
      </c>
      <c r="C84" s="12"/>
      <c r="D84" s="7">
        <v>5855.81</v>
      </c>
      <c r="E84" s="3"/>
      <c r="F84" s="8">
        <f t="shared" si="12"/>
        <v>4.2247576769263249E-3</v>
      </c>
      <c r="G84" s="3"/>
      <c r="H84" s="7">
        <v>9750</v>
      </c>
      <c r="I84" s="3"/>
      <c r="J84" s="8">
        <f t="shared" si="13"/>
        <v>8.9561287477954148E-3</v>
      </c>
      <c r="K84" s="3"/>
      <c r="L84" s="7">
        <f t="shared" si="14"/>
        <v>-3894.1899999999996</v>
      </c>
      <c r="M84" s="3"/>
      <c r="N84" s="8">
        <f t="shared" si="15"/>
        <v>-0.39940410256410253</v>
      </c>
      <c r="O84" s="12"/>
      <c r="P84" s="7">
        <v>48945.8</v>
      </c>
      <c r="Q84" s="3"/>
      <c r="R84" s="8">
        <f t="shared" si="16"/>
        <v>5.318334298758126E-3</v>
      </c>
      <c r="S84" s="3"/>
      <c r="T84" s="7">
        <v>90750</v>
      </c>
      <c r="U84" s="3"/>
      <c r="V84" s="8">
        <f t="shared" si="17"/>
        <v>1.2644629481005885E-2</v>
      </c>
      <c r="W84" s="3"/>
      <c r="X84" s="7">
        <f t="shared" si="18"/>
        <v>-41804.199999999997</v>
      </c>
      <c r="Y84" s="3"/>
      <c r="Z84" s="8">
        <f t="shared" si="19"/>
        <v>-0.46065234159779611</v>
      </c>
    </row>
    <row r="85" spans="1:26" s="70" customFormat="1" ht="15" hidden="1" customHeight="1" outlineLevel="2" x14ac:dyDescent="0.3">
      <c r="A85" s="26"/>
      <c r="B85" s="12" t="str">
        <f>CONCATENATE("          ","6239"," - ","KITCHEN SUPPLIES")</f>
        <v xml:space="preserve">          6239 - KITCHEN SUPPLIES</v>
      </c>
      <c r="C85" s="12"/>
      <c r="D85" s="7">
        <v>1417.68</v>
      </c>
      <c r="E85" s="3"/>
      <c r="F85" s="8">
        <f t="shared" si="12"/>
        <v>1.0228054638768867E-3</v>
      </c>
      <c r="G85" s="3"/>
      <c r="H85" s="7">
        <v>3300</v>
      </c>
      <c r="I85" s="3"/>
      <c r="J85" s="8">
        <f t="shared" si="13"/>
        <v>3.0313051146384478E-3</v>
      </c>
      <c r="K85" s="3"/>
      <c r="L85" s="7">
        <f t="shared" si="14"/>
        <v>-1882.32</v>
      </c>
      <c r="M85" s="3"/>
      <c r="N85" s="8">
        <f t="shared" si="15"/>
        <v>-0.57040000000000002</v>
      </c>
      <c r="O85" s="12"/>
      <c r="P85" s="7">
        <v>29317.93</v>
      </c>
      <c r="Q85" s="3"/>
      <c r="R85" s="8">
        <f t="shared" si="16"/>
        <v>3.1856165940201166E-3</v>
      </c>
      <c r="S85" s="3"/>
      <c r="T85" s="7">
        <v>38800</v>
      </c>
      <c r="U85" s="3"/>
      <c r="V85" s="8">
        <f t="shared" si="17"/>
        <v>5.4061886927055467E-3</v>
      </c>
      <c r="W85" s="3"/>
      <c r="X85" s="7">
        <f t="shared" si="18"/>
        <v>-9482.07</v>
      </c>
      <c r="Y85" s="3"/>
      <c r="Z85" s="8">
        <f t="shared" si="19"/>
        <v>-0.24438324742268042</v>
      </c>
    </row>
    <row r="86" spans="1:26" s="70" customFormat="1" ht="15" hidden="1" customHeight="1" outlineLevel="2" x14ac:dyDescent="0.3">
      <c r="A86" s="26"/>
      <c r="B86" s="12" t="str">
        <f>CONCATENATE("          ","6241"," - ","OFFICE EXPENSE")</f>
        <v xml:space="preserve">          6241 - OFFICE EXPENSE</v>
      </c>
      <c r="C86" s="12"/>
      <c r="D86" s="7">
        <v>958.24</v>
      </c>
      <c r="E86" s="3"/>
      <c r="F86" s="8">
        <f t="shared" si="12"/>
        <v>6.9133592045129218E-4</v>
      </c>
      <c r="G86" s="3"/>
      <c r="H86" s="7">
        <v>1445</v>
      </c>
      <c r="I86" s="3"/>
      <c r="J86" s="8">
        <f t="shared" si="13"/>
        <v>1.3273442092886537E-3</v>
      </c>
      <c r="K86" s="3"/>
      <c r="L86" s="7">
        <f t="shared" si="14"/>
        <v>-486.76</v>
      </c>
      <c r="M86" s="3"/>
      <c r="N86" s="8">
        <f t="shared" si="15"/>
        <v>-0.33685813148788929</v>
      </c>
      <c r="O86" s="12"/>
      <c r="P86" s="7">
        <v>16956.93</v>
      </c>
      <c r="Q86" s="3"/>
      <c r="R86" s="8">
        <f t="shared" si="16"/>
        <v>1.8424997123479569E-3</v>
      </c>
      <c r="S86" s="3"/>
      <c r="T86" s="7">
        <v>13005</v>
      </c>
      <c r="U86" s="3"/>
      <c r="V86" s="8">
        <f t="shared" si="17"/>
        <v>1.812048555377207E-3</v>
      </c>
      <c r="W86" s="3"/>
      <c r="X86" s="7">
        <f t="shared" si="18"/>
        <v>3951.9300000000003</v>
      </c>
      <c r="Y86" s="3"/>
      <c r="Z86" s="8">
        <f t="shared" si="19"/>
        <v>0.30387773933102658</v>
      </c>
    </row>
    <row r="87" spans="1:26" s="70" customFormat="1" ht="15" hidden="1" customHeight="1" outlineLevel="2" x14ac:dyDescent="0.3">
      <c r="A87" s="26"/>
      <c r="B87" s="12" t="str">
        <f>CONCATENATE("          ","6243"," - ","PAPER SUPPLIES")</f>
        <v xml:space="preserve">          6243 - PAPER SUPPLIES</v>
      </c>
      <c r="C87" s="12"/>
      <c r="D87" s="7">
        <v>12116.33</v>
      </c>
      <c r="E87" s="3"/>
      <c r="F87" s="8">
        <f t="shared" si="12"/>
        <v>8.7414991578744407E-3</v>
      </c>
      <c r="G87" s="3"/>
      <c r="H87" s="7">
        <v>13300</v>
      </c>
      <c r="I87" s="3"/>
      <c r="J87" s="8">
        <f t="shared" si="13"/>
        <v>1.2217078189300411E-2</v>
      </c>
      <c r="K87" s="3"/>
      <c r="L87" s="7">
        <f t="shared" si="14"/>
        <v>-1183.67</v>
      </c>
      <c r="M87" s="3"/>
      <c r="N87" s="8">
        <f t="shared" si="15"/>
        <v>-8.8997744360902256E-2</v>
      </c>
      <c r="O87" s="12"/>
      <c r="P87" s="7">
        <v>163607.9</v>
      </c>
      <c r="Q87" s="3"/>
      <c r="R87" s="8">
        <f t="shared" si="16"/>
        <v>1.7777245567909598E-2</v>
      </c>
      <c r="S87" s="3"/>
      <c r="T87" s="7">
        <v>117700</v>
      </c>
      <c r="U87" s="3"/>
      <c r="V87" s="8">
        <f t="shared" si="17"/>
        <v>1.63997012662743E-2</v>
      </c>
      <c r="W87" s="3"/>
      <c r="X87" s="7">
        <f t="shared" si="18"/>
        <v>45907.899999999994</v>
      </c>
      <c r="Y87" s="3"/>
      <c r="Z87" s="8">
        <f t="shared" si="19"/>
        <v>0.39004163126593028</v>
      </c>
    </row>
    <row r="88" spans="1:26" s="70" customFormat="1" ht="15" hidden="1" customHeight="1" outlineLevel="2" x14ac:dyDescent="0.3">
      <c r="A88" s="26"/>
      <c r="B88" s="12" t="str">
        <f>CONCATENATE("          ","6244"," - ","SAFETY SUPPLY EXPENSE")</f>
        <v xml:space="preserve">          6244 - SAFETY SUPPLY EXPENSE</v>
      </c>
      <c r="C88" s="12"/>
      <c r="D88" s="7"/>
      <c r="E88" s="3"/>
      <c r="F88" s="8">
        <f t="shared" si="12"/>
        <v>0</v>
      </c>
      <c r="G88" s="3"/>
      <c r="H88" s="7">
        <v>525</v>
      </c>
      <c r="I88" s="3"/>
      <c r="J88" s="8">
        <f t="shared" si="13"/>
        <v>4.8225308641975306E-4</v>
      </c>
      <c r="K88" s="3"/>
      <c r="L88" s="7">
        <f t="shared" si="14"/>
        <v>-525</v>
      </c>
      <c r="M88" s="3"/>
      <c r="N88" s="8">
        <f t="shared" si="15"/>
        <v>-1</v>
      </c>
      <c r="O88" s="12"/>
      <c r="P88" s="7"/>
      <c r="Q88" s="3"/>
      <c r="R88" s="8">
        <f t="shared" si="16"/>
        <v>0</v>
      </c>
      <c r="S88" s="3"/>
      <c r="T88" s="7">
        <v>4725</v>
      </c>
      <c r="U88" s="3"/>
      <c r="V88" s="8">
        <f t="shared" si="17"/>
        <v>6.5835674157303369E-4</v>
      </c>
      <c r="W88" s="3"/>
      <c r="X88" s="7">
        <f t="shared" si="18"/>
        <v>-4725</v>
      </c>
      <c r="Y88" s="3"/>
      <c r="Z88" s="8">
        <f t="shared" si="19"/>
        <v>-1</v>
      </c>
    </row>
    <row r="89" spans="1:26" s="70" customFormat="1" ht="15" hidden="1" customHeight="1" outlineLevel="2" x14ac:dyDescent="0.3">
      <c r="A89" s="26"/>
      <c r="B89" s="12" t="str">
        <f>CONCATENATE("          ","6247"," - ","STORE SUPPLIES")</f>
        <v xml:space="preserve">          6247 - STORE SUPPLIES</v>
      </c>
      <c r="C89" s="12"/>
      <c r="D89" s="7">
        <v>79.38</v>
      </c>
      <c r="E89" s="3"/>
      <c r="F89" s="8">
        <f t="shared" si="12"/>
        <v>5.7269833617281232E-5</v>
      </c>
      <c r="G89" s="3"/>
      <c r="H89" s="7"/>
      <c r="I89" s="3"/>
      <c r="J89" s="8">
        <f t="shared" si="13"/>
        <v>0</v>
      </c>
      <c r="K89" s="3"/>
      <c r="L89" s="7">
        <f t="shared" si="14"/>
        <v>79.38</v>
      </c>
      <c r="M89" s="3"/>
      <c r="N89" s="8">
        <f t="shared" si="15"/>
        <v>0</v>
      </c>
      <c r="O89" s="12"/>
      <c r="P89" s="7">
        <v>1693.55</v>
      </c>
      <c r="Q89" s="3"/>
      <c r="R89" s="8">
        <f t="shared" si="16"/>
        <v>1.8401711794805323E-4</v>
      </c>
      <c r="S89" s="3"/>
      <c r="T89" s="7"/>
      <c r="U89" s="3"/>
      <c r="V89" s="8">
        <f t="shared" si="17"/>
        <v>0</v>
      </c>
      <c r="W89" s="3"/>
      <c r="X89" s="7">
        <f t="shared" si="18"/>
        <v>1693.55</v>
      </c>
      <c r="Y89" s="3"/>
      <c r="Z89" s="8">
        <f t="shared" si="19"/>
        <v>0</v>
      </c>
    </row>
    <row r="90" spans="1:26" s="70" customFormat="1" ht="15" hidden="1" customHeight="1" outlineLevel="2" x14ac:dyDescent="0.3">
      <c r="A90" s="26"/>
      <c r="B90" s="12" t="str">
        <f>CONCATENATE("          ","6248"," - ","UNIFORMS")</f>
        <v xml:space="preserve">          6248 - UNIFORMS</v>
      </c>
      <c r="C90" s="12"/>
      <c r="D90" s="7">
        <v>932.16</v>
      </c>
      <c r="E90" s="3"/>
      <c r="F90" s="8">
        <f t="shared" si="12"/>
        <v>6.725201323341506E-4</v>
      </c>
      <c r="G90" s="3"/>
      <c r="H90" s="7">
        <v>588</v>
      </c>
      <c r="I90" s="3"/>
      <c r="J90" s="8">
        <f t="shared" si="13"/>
        <v>5.4012345679012341E-4</v>
      </c>
      <c r="K90" s="3"/>
      <c r="L90" s="7">
        <f t="shared" si="14"/>
        <v>344.15999999999997</v>
      </c>
      <c r="M90" s="3"/>
      <c r="N90" s="8">
        <f t="shared" si="15"/>
        <v>0.5853061224489795</v>
      </c>
      <c r="O90" s="12"/>
      <c r="P90" s="7">
        <v>6543.39</v>
      </c>
      <c r="Q90" s="3"/>
      <c r="R90" s="8">
        <f t="shared" si="16"/>
        <v>7.1098920575720357E-4</v>
      </c>
      <c r="S90" s="3"/>
      <c r="T90" s="7">
        <v>5292</v>
      </c>
      <c r="U90" s="3"/>
      <c r="V90" s="8">
        <f t="shared" si="17"/>
        <v>7.373595505617978E-4</v>
      </c>
      <c r="W90" s="3"/>
      <c r="X90" s="7">
        <f t="shared" si="18"/>
        <v>1251.3900000000003</v>
      </c>
      <c r="Y90" s="3"/>
      <c r="Z90" s="8">
        <f t="shared" si="19"/>
        <v>0.23646825396825402</v>
      </c>
    </row>
    <row r="91" spans="1:26" s="69" customFormat="1" ht="15" customHeight="1" outlineLevel="1" collapsed="1" x14ac:dyDescent="0.3">
      <c r="A91" s="25"/>
      <c r="B91" s="14" t="str">
        <f>CONCATENATE("     ","Telephone/Data Lines                              ")</f>
        <v xml:space="preserve">     Telephone/Data Lines                              </v>
      </c>
      <c r="C91" s="14"/>
      <c r="D91" s="2">
        <f>SUM(OSRRefD22_16x_0)</f>
        <v>734</v>
      </c>
      <c r="E91" s="2"/>
      <c r="F91" s="6">
        <f t="shared" ref="F91:F98" si="20">IF(D$12=0,0,D91/D$12)</f>
        <v>5.2955477292875323E-4</v>
      </c>
      <c r="G91" s="2"/>
      <c r="H91" s="2">
        <f>SUM(OSRRefH22_16x_0)</f>
        <v>601</v>
      </c>
      <c r="I91" s="2"/>
      <c r="J91" s="6">
        <f t="shared" ref="J91:J98" si="21">IF(H$12=0,0,H91/H$12)</f>
        <v>5.5206496178718397E-4</v>
      </c>
      <c r="K91" s="2"/>
      <c r="L91" s="2">
        <f t="shared" ref="L91:L98" si="22">+D91-H91</f>
        <v>133</v>
      </c>
      <c r="M91" s="2"/>
      <c r="N91" s="6">
        <f t="shared" ref="N91:N98" si="23">IF(H91=0,0,L91/H91)</f>
        <v>0.22129783693843594</v>
      </c>
      <c r="O91" s="14"/>
      <c r="P91" s="2">
        <f>SUM(OSRRefP22_16x_0)</f>
        <v>6487.85</v>
      </c>
      <c r="Q91" s="2"/>
      <c r="R91" s="6">
        <f t="shared" ref="R91:R98" si="24">IF(P$12=0,0,P91/P$12)</f>
        <v>7.0495436135884816E-4</v>
      </c>
      <c r="S91" s="2"/>
      <c r="T91" s="2">
        <f>SUM(OSRRefT22_16x_0)</f>
        <v>5409</v>
      </c>
      <c r="U91" s="2"/>
      <c r="V91" s="6">
        <f t="shared" ref="V91:V98" si="25">IF(T$12=0,0,T91/T$12)</f>
        <v>7.5366171749598719E-4</v>
      </c>
      <c r="W91" s="2"/>
      <c r="X91" s="2">
        <f t="shared" ref="X91:X98" si="26">+P91-T91</f>
        <v>1078.8500000000004</v>
      </c>
      <c r="Y91" s="2"/>
      <c r="Z91" s="6">
        <f t="shared" ref="Z91:Z98" si="27">IF(T91=0,0,X91/T91)</f>
        <v>0.19945461268256617</v>
      </c>
    </row>
    <row r="92" spans="1:26" s="70" customFormat="1" ht="15" hidden="1" customHeight="1" outlineLevel="2" x14ac:dyDescent="0.3">
      <c r="A92" s="26"/>
      <c r="B92" s="12" t="str">
        <f>CONCATENATE("          ","6303"," - ","DATA PHONE LINES")</f>
        <v xml:space="preserve">          6303 - DATA PHONE LINES</v>
      </c>
      <c r="C92" s="12"/>
      <c r="D92" s="7"/>
      <c r="E92" s="3"/>
      <c r="F92" s="8">
        <f t="shared" si="20"/>
        <v>0</v>
      </c>
      <c r="G92" s="3"/>
      <c r="H92" s="7">
        <v>58</v>
      </c>
      <c r="I92" s="3"/>
      <c r="J92" s="8">
        <f t="shared" si="21"/>
        <v>5.3277483833039387E-5</v>
      </c>
      <c r="K92" s="3"/>
      <c r="L92" s="7">
        <f t="shared" si="22"/>
        <v>-58</v>
      </c>
      <c r="M92" s="3"/>
      <c r="N92" s="8">
        <f t="shared" si="23"/>
        <v>-1</v>
      </c>
      <c r="O92" s="12"/>
      <c r="P92" s="7"/>
      <c r="Q92" s="3"/>
      <c r="R92" s="8">
        <f t="shared" si="24"/>
        <v>0</v>
      </c>
      <c r="S92" s="3"/>
      <c r="T92" s="7">
        <v>522</v>
      </c>
      <c r="U92" s="3"/>
      <c r="V92" s="8">
        <f t="shared" si="25"/>
        <v>7.2732744783306582E-5</v>
      </c>
      <c r="W92" s="3"/>
      <c r="X92" s="7">
        <f t="shared" si="26"/>
        <v>-522</v>
      </c>
      <c r="Y92" s="3"/>
      <c r="Z92" s="8">
        <f t="shared" si="27"/>
        <v>-1</v>
      </c>
    </row>
    <row r="93" spans="1:26" s="70" customFormat="1" ht="15" hidden="1" customHeight="1" outlineLevel="2" x14ac:dyDescent="0.3">
      <c r="A93" s="26"/>
      <c r="B93" s="12" t="str">
        <f>CONCATENATE("          ","6309"," - ","TELEPHONE")</f>
        <v xml:space="preserve">          6309 - TELEPHONE</v>
      </c>
      <c r="C93" s="12"/>
      <c r="D93" s="7">
        <v>734</v>
      </c>
      <c r="E93" s="3"/>
      <c r="F93" s="8">
        <f t="shared" si="20"/>
        <v>5.2955477292875323E-4</v>
      </c>
      <c r="G93" s="3"/>
      <c r="H93" s="7">
        <v>543</v>
      </c>
      <c r="I93" s="3"/>
      <c r="J93" s="8">
        <f t="shared" si="21"/>
        <v>4.9878747795414457E-4</v>
      </c>
      <c r="K93" s="3"/>
      <c r="L93" s="7">
        <f t="shared" si="22"/>
        <v>191</v>
      </c>
      <c r="M93" s="3"/>
      <c r="N93" s="8">
        <f t="shared" si="23"/>
        <v>0.35174953959484345</v>
      </c>
      <c r="O93" s="12"/>
      <c r="P93" s="7">
        <v>6487.85</v>
      </c>
      <c r="Q93" s="3"/>
      <c r="R93" s="8">
        <f t="shared" si="24"/>
        <v>7.0495436135884816E-4</v>
      </c>
      <c r="S93" s="3"/>
      <c r="T93" s="7">
        <v>4887</v>
      </c>
      <c r="U93" s="3"/>
      <c r="V93" s="8">
        <f t="shared" si="25"/>
        <v>6.8092897271268061E-4</v>
      </c>
      <c r="W93" s="3"/>
      <c r="X93" s="7">
        <f t="shared" si="26"/>
        <v>1600.8500000000004</v>
      </c>
      <c r="Y93" s="3"/>
      <c r="Z93" s="8">
        <f t="shared" si="27"/>
        <v>0.32757315326376107</v>
      </c>
    </row>
    <row r="94" spans="1:26" s="69" customFormat="1" ht="15" customHeight="1" outlineLevel="1" collapsed="1" x14ac:dyDescent="0.3">
      <c r="A94" s="25"/>
      <c r="B94" s="14" t="str">
        <f>CONCATENATE("     ","Training                                          ")</f>
        <v xml:space="preserve">     Training                                          </v>
      </c>
      <c r="C94" s="14"/>
      <c r="D94" s="2">
        <f>SUM(OSRRefD22_17x_0)</f>
        <v>2465.1</v>
      </c>
      <c r="E94" s="2"/>
      <c r="F94" s="6">
        <f t="shared" si="20"/>
        <v>1.778481567774754E-3</v>
      </c>
      <c r="G94" s="2"/>
      <c r="H94" s="2">
        <f>SUM(OSRRefH22_17x_0)</f>
        <v>615</v>
      </c>
      <c r="I94" s="2"/>
      <c r="J94" s="6">
        <f t="shared" si="21"/>
        <v>5.6492504409171073E-4</v>
      </c>
      <c r="K94" s="2"/>
      <c r="L94" s="2">
        <f t="shared" si="22"/>
        <v>1850.1</v>
      </c>
      <c r="M94" s="2"/>
      <c r="N94" s="6">
        <f t="shared" si="23"/>
        <v>3.0082926829268293</v>
      </c>
      <c r="O94" s="14"/>
      <c r="P94" s="2">
        <f>SUM(OSRRefP22_17x_0)</f>
        <v>7858.97</v>
      </c>
      <c r="Q94" s="2"/>
      <c r="R94" s="6">
        <f t="shared" si="24"/>
        <v>8.5393700182469483E-4</v>
      </c>
      <c r="S94" s="2"/>
      <c r="T94" s="2">
        <f>SUM(OSRRefT22_17x_0)</f>
        <v>6755</v>
      </c>
      <c r="U94" s="2"/>
      <c r="V94" s="6">
        <f t="shared" si="25"/>
        <v>9.4120630461922599E-4</v>
      </c>
      <c r="W94" s="2"/>
      <c r="X94" s="2">
        <f t="shared" si="26"/>
        <v>1103.9700000000003</v>
      </c>
      <c r="Y94" s="2"/>
      <c r="Z94" s="6">
        <f t="shared" si="27"/>
        <v>0.16343005181347153</v>
      </c>
    </row>
    <row r="95" spans="1:26" s="70" customFormat="1" ht="15" hidden="1" customHeight="1" outlineLevel="2" x14ac:dyDescent="0.3">
      <c r="A95" s="26"/>
      <c r="B95" s="12" t="str">
        <f>CONCATENATE("          ","6376"," - ","TRAINING")</f>
        <v xml:space="preserve">          6376 - TRAINING</v>
      </c>
      <c r="C95" s="12"/>
      <c r="D95" s="7">
        <v>2465.1</v>
      </c>
      <c r="E95" s="3"/>
      <c r="F95" s="8">
        <f t="shared" si="20"/>
        <v>1.778481567774754E-3</v>
      </c>
      <c r="G95" s="3"/>
      <c r="H95" s="7">
        <v>615</v>
      </c>
      <c r="I95" s="3"/>
      <c r="J95" s="8">
        <f t="shared" si="21"/>
        <v>5.6492504409171073E-4</v>
      </c>
      <c r="K95" s="3"/>
      <c r="L95" s="7">
        <f t="shared" si="22"/>
        <v>1850.1</v>
      </c>
      <c r="M95" s="3"/>
      <c r="N95" s="8">
        <f t="shared" si="23"/>
        <v>3.0082926829268293</v>
      </c>
      <c r="O95" s="12"/>
      <c r="P95" s="7">
        <v>7858.97</v>
      </c>
      <c r="Q95" s="3"/>
      <c r="R95" s="8">
        <f t="shared" si="24"/>
        <v>8.5393700182469483E-4</v>
      </c>
      <c r="S95" s="3"/>
      <c r="T95" s="7">
        <v>6755</v>
      </c>
      <c r="U95" s="3"/>
      <c r="V95" s="8">
        <f t="shared" si="25"/>
        <v>9.4120630461922599E-4</v>
      </c>
      <c r="W95" s="3"/>
      <c r="X95" s="7">
        <f t="shared" si="26"/>
        <v>1103.9700000000003</v>
      </c>
      <c r="Y95" s="3"/>
      <c r="Z95" s="8">
        <f t="shared" si="27"/>
        <v>0.16343005181347153</v>
      </c>
    </row>
    <row r="96" spans="1:26" s="69" customFormat="1" ht="15" customHeight="1" outlineLevel="1" collapsed="1" x14ac:dyDescent="0.3">
      <c r="A96" s="25"/>
      <c r="B96" s="14" t="str">
        <f>CONCATENATE("     ","Travel                                            ")</f>
        <v xml:space="preserve">     Travel                                            </v>
      </c>
      <c r="C96" s="14"/>
      <c r="D96" s="2">
        <f>SUM(OSRRefD22_18x_0)</f>
        <v>135.02000000000001</v>
      </c>
      <c r="E96" s="2"/>
      <c r="F96" s="6">
        <f t="shared" si="20"/>
        <v>9.741210550523196E-5</v>
      </c>
      <c r="G96" s="2"/>
      <c r="H96" s="2">
        <f>SUM(OSRRefH22_18x_0)</f>
        <v>0</v>
      </c>
      <c r="I96" s="2"/>
      <c r="J96" s="6">
        <f t="shared" si="21"/>
        <v>0</v>
      </c>
      <c r="K96" s="2"/>
      <c r="L96" s="2">
        <f t="shared" si="22"/>
        <v>135.02000000000001</v>
      </c>
      <c r="M96" s="2"/>
      <c r="N96" s="6">
        <f t="shared" si="23"/>
        <v>0</v>
      </c>
      <c r="O96" s="14"/>
      <c r="P96" s="2">
        <f>SUM(OSRRefP22_18x_0)</f>
        <v>834.04</v>
      </c>
      <c r="Q96" s="2"/>
      <c r="R96" s="6">
        <f t="shared" si="24"/>
        <v>9.0624804141238412E-5</v>
      </c>
      <c r="S96" s="2"/>
      <c r="T96" s="2">
        <f>SUM(OSRRefT22_18x_0)</f>
        <v>0</v>
      </c>
      <c r="U96" s="2"/>
      <c r="V96" s="6">
        <f t="shared" si="25"/>
        <v>0</v>
      </c>
      <c r="W96" s="2"/>
      <c r="X96" s="2">
        <f t="shared" si="26"/>
        <v>834.04</v>
      </c>
      <c r="Y96" s="2"/>
      <c r="Z96" s="6">
        <f t="shared" si="27"/>
        <v>0</v>
      </c>
    </row>
    <row r="97" spans="1:26" s="70" customFormat="1" ht="15" hidden="1" customHeight="1" outlineLevel="2" x14ac:dyDescent="0.3">
      <c r="A97" s="26"/>
      <c r="B97" s="12" t="str">
        <f>CONCATENATE("          ","6292"," - ","TRAVEL/CONFERENCE")</f>
        <v xml:space="preserve">          6292 - TRAVEL/CONFERENCE</v>
      </c>
      <c r="C97" s="12"/>
      <c r="D97" s="7"/>
      <c r="E97" s="3"/>
      <c r="F97" s="8">
        <f t="shared" si="20"/>
        <v>0</v>
      </c>
      <c r="G97" s="3"/>
      <c r="H97" s="7"/>
      <c r="I97" s="3"/>
      <c r="J97" s="8">
        <f t="shared" si="21"/>
        <v>0</v>
      </c>
      <c r="K97" s="3"/>
      <c r="L97" s="7">
        <f t="shared" si="22"/>
        <v>0</v>
      </c>
      <c r="M97" s="3"/>
      <c r="N97" s="8">
        <f t="shared" si="23"/>
        <v>0</v>
      </c>
      <c r="O97" s="12"/>
      <c r="P97" s="7">
        <v>595</v>
      </c>
      <c r="Q97" s="3"/>
      <c r="R97" s="8">
        <f t="shared" si="24"/>
        <v>6.4651285866429501E-5</v>
      </c>
      <c r="S97" s="3"/>
      <c r="T97" s="7"/>
      <c r="U97" s="3"/>
      <c r="V97" s="8">
        <f t="shared" si="25"/>
        <v>0</v>
      </c>
      <c r="W97" s="3"/>
      <c r="X97" s="7">
        <f t="shared" si="26"/>
        <v>595</v>
      </c>
      <c r="Y97" s="3"/>
      <c r="Z97" s="8">
        <f t="shared" si="27"/>
        <v>0</v>
      </c>
    </row>
    <row r="98" spans="1:26" s="70" customFormat="1" ht="15" hidden="1" customHeight="1" outlineLevel="2" x14ac:dyDescent="0.3">
      <c r="A98" s="26"/>
      <c r="B98" s="12" t="str">
        <f>CONCATENATE("          ","6298"," - ","VEHICLE MILEAGE")</f>
        <v xml:space="preserve">          6298 - VEHICLE MILEAGE</v>
      </c>
      <c r="C98" s="12"/>
      <c r="D98" s="7">
        <v>135.02000000000001</v>
      </c>
      <c r="E98" s="3"/>
      <c r="F98" s="8">
        <f t="shared" si="20"/>
        <v>9.741210550523196E-5</v>
      </c>
      <c r="G98" s="3"/>
      <c r="H98" s="7"/>
      <c r="I98" s="3"/>
      <c r="J98" s="8">
        <f t="shared" si="21"/>
        <v>0</v>
      </c>
      <c r="K98" s="3"/>
      <c r="L98" s="7">
        <f t="shared" si="22"/>
        <v>135.02000000000001</v>
      </c>
      <c r="M98" s="3"/>
      <c r="N98" s="8">
        <f t="shared" si="23"/>
        <v>0</v>
      </c>
      <c r="O98" s="12"/>
      <c r="P98" s="7">
        <v>239.04</v>
      </c>
      <c r="Q98" s="3"/>
      <c r="R98" s="8">
        <f t="shared" si="24"/>
        <v>2.597351827480892E-5</v>
      </c>
      <c r="S98" s="3"/>
      <c r="T98" s="7"/>
      <c r="U98" s="3"/>
      <c r="V98" s="8">
        <f t="shared" si="25"/>
        <v>0</v>
      </c>
      <c r="W98" s="3"/>
      <c r="X98" s="7">
        <f t="shared" si="26"/>
        <v>239.04</v>
      </c>
      <c r="Y98" s="3"/>
      <c r="Z98" s="8">
        <f t="shared" si="27"/>
        <v>0</v>
      </c>
    </row>
    <row r="99" spans="1:26" s="65" customFormat="1" ht="15" customHeight="1" x14ac:dyDescent="0.3">
      <c r="A99" s="35"/>
      <c r="B99" s="35"/>
      <c r="C99" s="35"/>
      <c r="D99" s="2"/>
      <c r="E99" s="2"/>
      <c r="F99" s="6"/>
      <c r="G99" s="2"/>
      <c r="H99" s="2"/>
      <c r="I99" s="2"/>
      <c r="J99" s="6"/>
      <c r="K99" s="2"/>
      <c r="L99" s="2"/>
      <c r="M99" s="2"/>
      <c r="N99" s="6"/>
      <c r="O99" s="35"/>
      <c r="P99" s="2"/>
      <c r="Q99" s="2"/>
      <c r="R99" s="6"/>
      <c r="S99" s="2"/>
      <c r="T99" s="2"/>
      <c r="U99" s="2"/>
      <c r="V99" s="6"/>
      <c r="W99" s="2"/>
      <c r="X99" s="2"/>
      <c r="Y99" s="2"/>
      <c r="Z99" s="6"/>
    </row>
    <row r="100" spans="1:26" s="63" customFormat="1" ht="15" customHeight="1" x14ac:dyDescent="0.3">
      <c r="A100" s="11"/>
      <c r="B100" s="28" t="s">
        <v>291</v>
      </c>
      <c r="C100" s="11"/>
      <c r="D100" s="5">
        <f>SUM(0)</f>
        <v>0</v>
      </c>
      <c r="E100" s="5"/>
      <c r="F100" s="13">
        <f>IF(D$12=0,0,D100/D$12)</f>
        <v>0</v>
      </c>
      <c r="G100" s="5"/>
      <c r="H100" s="5">
        <f>SUM(0)</f>
        <v>0</v>
      </c>
      <c r="I100" s="5"/>
      <c r="J100" s="13">
        <f>IF(H$12=0,0,H100/H$12)</f>
        <v>0</v>
      </c>
      <c r="K100" s="5"/>
      <c r="L100" s="5">
        <f>+D100-H100</f>
        <v>0</v>
      </c>
      <c r="M100" s="5"/>
      <c r="N100" s="13">
        <f>IF(H100=0,0,L100/H100)</f>
        <v>0</v>
      </c>
      <c r="O100" s="11"/>
      <c r="P100" s="5">
        <f>SUM(0)</f>
        <v>0</v>
      </c>
      <c r="Q100" s="5"/>
      <c r="R100" s="13">
        <f>IF(P$12=0,0,P100/P$12)</f>
        <v>0</v>
      </c>
      <c r="S100" s="5"/>
      <c r="T100" s="5">
        <f>SUM(0)</f>
        <v>0</v>
      </c>
      <c r="U100" s="5"/>
      <c r="V100" s="13">
        <f>IF(T$12=0,0,T100/T$12)</f>
        <v>0</v>
      </c>
      <c r="W100" s="5"/>
      <c r="X100" s="5">
        <f>+P100-T100</f>
        <v>0</v>
      </c>
      <c r="Y100" s="5"/>
      <c r="Z100" s="13">
        <f>IF(T100=0,0,X100/T100)</f>
        <v>0</v>
      </c>
    </row>
    <row r="101" spans="1:26" ht="15" customHeight="1" x14ac:dyDescent="0.3">
      <c r="A101" s="10"/>
      <c r="B101" s="11"/>
      <c r="C101" s="11"/>
      <c r="D101" s="4"/>
      <c r="E101" s="4"/>
      <c r="F101" s="9"/>
      <c r="G101" s="4"/>
      <c r="H101" s="4"/>
      <c r="I101" s="4"/>
      <c r="J101" s="9"/>
      <c r="K101" s="4"/>
      <c r="L101" s="4"/>
      <c r="M101" s="4"/>
      <c r="N101" s="9"/>
      <c r="O101" s="11"/>
      <c r="P101" s="4"/>
      <c r="Q101" s="4"/>
      <c r="R101" s="9"/>
      <c r="S101" s="4"/>
      <c r="T101" s="4"/>
      <c r="U101" s="4"/>
      <c r="V101" s="9"/>
      <c r="W101" s="4"/>
      <c r="X101" s="4"/>
      <c r="Y101" s="4"/>
      <c r="Z101" s="9"/>
    </row>
    <row r="102" spans="1:26" s="63" customFormat="1" ht="15" customHeight="1" x14ac:dyDescent="0.3">
      <c r="A102" s="11"/>
      <c r="B102" s="27" t="s">
        <v>292</v>
      </c>
      <c r="C102" s="27"/>
      <c r="D102" s="21">
        <f>+D25-D27+D100</f>
        <v>505510.22999999963</v>
      </c>
      <c r="E102" s="15"/>
      <c r="F102" s="23">
        <f>IF(D$12=0,0,D102/D$12)</f>
        <v>0.36470756820274058</v>
      </c>
      <c r="G102" s="15"/>
      <c r="H102" s="21">
        <f>+H25-H27+H100</f>
        <v>239151.52176273393</v>
      </c>
      <c r="I102" s="15"/>
      <c r="J102" s="23">
        <f>IF(H$12=0,0,H102/H$12)</f>
        <v>0.21967916093725559</v>
      </c>
      <c r="K102" s="16"/>
      <c r="L102" s="21">
        <f>+D102-H102</f>
        <v>266358.7082372657</v>
      </c>
      <c r="M102" s="16"/>
      <c r="N102" s="23">
        <f>IF(H102=0,0,L102/H102)</f>
        <v>1.113765475017652</v>
      </c>
      <c r="O102" s="28"/>
      <c r="P102" s="21">
        <f>+P25-P27+P100</f>
        <v>2823398.9900000026</v>
      </c>
      <c r="Q102" s="15"/>
      <c r="R102" s="23">
        <f>IF(P$12=0,0,P102/P$12)</f>
        <v>0.30678382389492181</v>
      </c>
      <c r="S102" s="15"/>
      <c r="T102" s="21">
        <f>+T25-T27+T100</f>
        <v>560036.5546159558</v>
      </c>
      <c r="U102" s="15"/>
      <c r="V102" s="23">
        <f>IF(T$12=0,0,T102/T$12)</f>
        <v>7.8032558996560628E-2</v>
      </c>
      <c r="W102" s="16"/>
      <c r="X102" s="21">
        <f>+P102-T102</f>
        <v>2263362.4353840468</v>
      </c>
      <c r="Y102" s="16"/>
      <c r="Z102" s="23">
        <f>IF(T102=0,0,X102/T102)</f>
        <v>4.041454824205438</v>
      </c>
    </row>
    <row r="103" spans="1:26" ht="15" customHeight="1" x14ac:dyDescent="0.3">
      <c r="A103" s="10"/>
      <c r="B103" s="11"/>
      <c r="C103" s="10"/>
      <c r="D103" s="4"/>
      <c r="E103" s="4"/>
      <c r="F103" s="9"/>
      <c r="G103" s="4"/>
      <c r="H103" s="4"/>
      <c r="I103" s="4"/>
      <c r="J103" s="9"/>
      <c r="K103" s="4"/>
      <c r="L103" s="4"/>
      <c r="M103" s="4"/>
      <c r="N103" s="9"/>
      <c r="P103" s="4"/>
      <c r="Q103" s="4"/>
      <c r="R103" s="9"/>
      <c r="S103" s="4"/>
      <c r="T103" s="4"/>
      <c r="U103" s="4"/>
      <c r="V103" s="9"/>
      <c r="W103" s="4"/>
      <c r="X103" s="4"/>
      <c r="Y103" s="4"/>
      <c r="Z103" s="9"/>
    </row>
    <row r="104" spans="1:26" s="63" customFormat="1" ht="15" customHeight="1" x14ac:dyDescent="0.3">
      <c r="A104" s="49"/>
      <c r="B104" s="11" t="s">
        <v>293</v>
      </c>
      <c r="C104" s="11"/>
      <c r="D104" s="5">
        <v>122623.97</v>
      </c>
      <c r="E104" s="5"/>
      <c r="F104" s="13">
        <f>IF(D$12=0,0,D104/D$12)</f>
        <v>8.8468812791515319E-2</v>
      </c>
      <c r="G104" s="5"/>
      <c r="H104" s="5">
        <v>129739</v>
      </c>
      <c r="I104" s="5"/>
      <c r="J104" s="13">
        <f>IF(H$12=0,0,H104/H$12)</f>
        <v>0.11917530129335685</v>
      </c>
      <c r="K104" s="5"/>
      <c r="L104" s="5">
        <f>+D104-H104</f>
        <v>-7115.0299999999988</v>
      </c>
      <c r="M104" s="5"/>
      <c r="N104" s="13">
        <f>IF(H104=0,0,L104/H104)</f>
        <v>-5.4841104062772171E-2</v>
      </c>
      <c r="O104" s="11"/>
      <c r="P104" s="5">
        <v>1098381.73</v>
      </c>
      <c r="Q104" s="5"/>
      <c r="R104" s="13">
        <f>IF(P$12=0,0,P104/P$12)</f>
        <v>0.11934754826335021</v>
      </c>
      <c r="S104" s="5"/>
      <c r="T104" s="5">
        <v>874021</v>
      </c>
      <c r="U104" s="5"/>
      <c r="V104" s="13">
        <f>IF(T$12=0,0,T104/T$12)</f>
        <v>0.12178150637595862</v>
      </c>
      <c r="W104" s="5"/>
      <c r="X104" s="5">
        <f>+P104-T104</f>
        <v>224360.72999999998</v>
      </c>
      <c r="Y104" s="5"/>
      <c r="Z104" s="13">
        <f>IF(T104=0,0,X104/T104)</f>
        <v>0.25669947289596012</v>
      </c>
    </row>
    <row r="105" spans="1:26" ht="15" customHeight="1" x14ac:dyDescent="0.3">
      <c r="A105" s="10"/>
      <c r="B105" s="11"/>
      <c r="C105" s="11"/>
      <c r="D105" s="4"/>
      <c r="E105" s="4"/>
      <c r="F105" s="9"/>
      <c r="G105" s="4"/>
      <c r="H105" s="4"/>
      <c r="I105" s="4"/>
      <c r="J105" s="9"/>
      <c r="K105" s="4"/>
      <c r="L105" s="4"/>
      <c r="M105" s="4"/>
      <c r="N105" s="9"/>
      <c r="O105" s="11"/>
      <c r="P105" s="4"/>
      <c r="Q105" s="4"/>
      <c r="R105" s="9"/>
      <c r="S105" s="4"/>
      <c r="T105" s="4"/>
      <c r="U105" s="4"/>
      <c r="V105" s="9"/>
      <c r="W105" s="4"/>
      <c r="X105" s="4"/>
      <c r="Y105" s="4"/>
      <c r="Z105" s="9"/>
    </row>
    <row r="106" spans="1:26" s="63" customFormat="1" ht="15" customHeight="1" x14ac:dyDescent="0.3">
      <c r="A106" s="11"/>
      <c r="B106" s="27" t="s">
        <v>294</v>
      </c>
      <c r="C106" s="27"/>
      <c r="D106" s="34">
        <f>+D102-D104</f>
        <v>382886.25999999966</v>
      </c>
      <c r="E106" s="15"/>
      <c r="F106" s="29">
        <f>IF(D$12=0,0,D106/D$12)</f>
        <v>0.27623875541122528</v>
      </c>
      <c r="G106" s="15"/>
      <c r="H106" s="34">
        <f>+H102-H104</f>
        <v>109412.52176273393</v>
      </c>
      <c r="I106" s="15"/>
      <c r="J106" s="29">
        <f>IF(H$12=0,0,H106/H$12)</f>
        <v>0.10050385964389874</v>
      </c>
      <c r="K106" s="16"/>
      <c r="L106" s="34">
        <f>D106-H106</f>
        <v>273473.73823726573</v>
      </c>
      <c r="M106" s="16"/>
      <c r="N106" s="29">
        <f>IF(H106=0,0,L106/H106)</f>
        <v>2.4994738612304914</v>
      </c>
      <c r="O106" s="28"/>
      <c r="P106" s="34">
        <f>+P102-P104</f>
        <v>1725017.2600000026</v>
      </c>
      <c r="Q106" s="15"/>
      <c r="R106" s="29">
        <f>IF(P$12=0,0,P106/P$12)</f>
        <v>0.18743627563157161</v>
      </c>
      <c r="S106" s="15"/>
      <c r="T106" s="34">
        <f>+T102-T104</f>
        <v>-313984.4453840442</v>
      </c>
      <c r="U106" s="15"/>
      <c r="V106" s="29">
        <f>IF(T$12=0,0,T106/T$12)</f>
        <v>-4.3748947379397989E-2</v>
      </c>
      <c r="W106" s="16"/>
      <c r="X106" s="34">
        <f>P106-T106</f>
        <v>2039001.7053840468</v>
      </c>
      <c r="Y106" s="16"/>
      <c r="Z106" s="29">
        <f>IF(T106=0,0,X106/T106)</f>
        <v>-6.4939576955478797</v>
      </c>
    </row>
    <row r="107" spans="1:26" ht="15" customHeight="1" x14ac:dyDescent="0.3">
      <c r="A107" s="10"/>
      <c r="B107" s="10"/>
      <c r="C107" s="10"/>
      <c r="D107" s="4"/>
      <c r="E107" s="4"/>
      <c r="F107" s="9"/>
      <c r="G107" s="4"/>
      <c r="H107" s="4"/>
      <c r="I107" s="4"/>
      <c r="J107" s="9"/>
      <c r="K107" s="4"/>
      <c r="L107" s="4"/>
      <c r="M107" s="4"/>
      <c r="N107" s="9"/>
      <c r="P107" s="4"/>
      <c r="Q107" s="4"/>
      <c r="R107" s="9"/>
      <c r="S107" s="4"/>
      <c r="T107" s="4"/>
      <c r="U107" s="4"/>
      <c r="V107" s="9"/>
      <c r="W107" s="4"/>
      <c r="X107" s="4"/>
      <c r="Y107" s="4"/>
      <c r="Z107" s="9"/>
    </row>
    <row r="108" spans="1:26" ht="15" customHeight="1" x14ac:dyDescent="0.3">
      <c r="A108" s="10"/>
      <c r="B108" s="10"/>
      <c r="C108" s="10"/>
      <c r="D108" s="4"/>
      <c r="E108" s="4"/>
      <c r="F108" s="9"/>
      <c r="G108" s="4"/>
      <c r="H108" s="4"/>
      <c r="I108" s="4"/>
      <c r="J108" s="9"/>
      <c r="K108" s="4"/>
      <c r="L108" s="4"/>
      <c r="M108" s="4"/>
      <c r="N108" s="9"/>
      <c r="P108" s="4"/>
      <c r="Q108" s="4"/>
      <c r="R108" s="9"/>
      <c r="S108" s="4"/>
      <c r="T108" s="4"/>
      <c r="U108" s="4"/>
      <c r="V108" s="9"/>
      <c r="W108" s="4"/>
      <c r="X108" s="4"/>
      <c r="Y108" s="4"/>
      <c r="Z108" s="9"/>
    </row>
    <row r="109" spans="1:26" s="63" customFormat="1" ht="15" customHeight="1" x14ac:dyDescent="0.3">
      <c r="A109" s="11"/>
      <c r="B109" s="27" t="s">
        <v>297</v>
      </c>
      <c r="C109" s="27"/>
      <c r="D109" s="32">
        <f>SUM(D106:D108)</f>
        <v>382886.25999999966</v>
      </c>
      <c r="E109" s="15"/>
      <c r="F109" s="31">
        <f>IF(D$12=0,0,D109/D$12)</f>
        <v>0.27623875541122528</v>
      </c>
      <c r="G109" s="15"/>
      <c r="H109" s="32">
        <f>SUM(H106:H108)</f>
        <v>109412.52176273393</v>
      </c>
      <c r="I109" s="15"/>
      <c r="J109" s="31">
        <f>IF(H$12=0,0,H109/H$12)</f>
        <v>0.10050385964389874</v>
      </c>
      <c r="K109" s="16"/>
      <c r="L109" s="32">
        <f>+D109-H109</f>
        <v>273473.73823726573</v>
      </c>
      <c r="M109" s="16"/>
      <c r="N109" s="31">
        <f>IF(H109=0,0,L109/H109)</f>
        <v>2.4994738612304914</v>
      </c>
      <c r="O109" s="28"/>
      <c r="P109" s="32">
        <f>SUM(P106:P108)</f>
        <v>1725017.2600000026</v>
      </c>
      <c r="Q109" s="15"/>
      <c r="R109" s="31">
        <f>IF(P$12=0,0,P109/P$12)</f>
        <v>0.18743627563157161</v>
      </c>
      <c r="S109" s="15"/>
      <c r="T109" s="32">
        <f>SUM(T106:T108)</f>
        <v>-313984.4453840442</v>
      </c>
      <c r="U109" s="15"/>
      <c r="V109" s="31">
        <f>IF(T$12=0,0,T109/T$12)</f>
        <v>-4.3748947379397989E-2</v>
      </c>
      <c r="W109" s="16"/>
      <c r="X109" s="32">
        <f>+P109-T109</f>
        <v>2039001.7053840468</v>
      </c>
      <c r="Y109" s="16"/>
      <c r="Z109" s="31">
        <f>IF(T109=0,0,X109/T109)</f>
        <v>-6.4939576955478797</v>
      </c>
    </row>
    <row r="110" spans="1:26" ht="15" customHeight="1" x14ac:dyDescent="0.3">
      <c r="A110" s="10"/>
      <c r="C110" s="10"/>
      <c r="D110" s="19"/>
      <c r="E110" s="19"/>
      <c r="G110" s="19"/>
      <c r="H110" s="19"/>
      <c r="I110" s="19"/>
      <c r="J110" s="40"/>
      <c r="K110" s="19"/>
      <c r="L110" s="19"/>
      <c r="M110" s="19"/>
      <c r="P110" s="19"/>
      <c r="Q110" s="19"/>
      <c r="R110" s="40"/>
      <c r="S110" s="19"/>
      <c r="T110" s="19"/>
      <c r="U110" s="19"/>
      <c r="V110" s="40"/>
      <c r="W110" s="19"/>
      <c r="X110" s="19"/>
    </row>
    <row r="111" spans="1:26" ht="15" customHeight="1" x14ac:dyDescent="0.3">
      <c r="A111" s="10"/>
      <c r="B111" s="51">
        <v>44663.047611956019</v>
      </c>
      <c r="D111" s="19"/>
      <c r="E111" s="19"/>
      <c r="G111" s="19"/>
      <c r="H111" s="19"/>
      <c r="I111" s="19"/>
      <c r="J111" s="40"/>
      <c r="K111" s="19"/>
      <c r="L111" s="19"/>
      <c r="M111" s="19"/>
      <c r="P111" s="19"/>
      <c r="Q111" s="19"/>
      <c r="R111" s="40"/>
      <c r="S111" s="19"/>
      <c r="T111" s="19"/>
      <c r="U111" s="19"/>
      <c r="V111" s="40"/>
      <c r="W111" s="19"/>
      <c r="X111" s="19"/>
    </row>
    <row r="112" spans="1:26" ht="15" customHeight="1" x14ac:dyDescent="0.3">
      <c r="A112" s="10"/>
      <c r="B112" s="58" t="s">
        <v>298</v>
      </c>
      <c r="D112" s="19"/>
      <c r="E112" s="19"/>
      <c r="G112" s="19"/>
      <c r="H112" s="19"/>
      <c r="I112" s="19"/>
      <c r="J112" s="40"/>
      <c r="K112" s="19"/>
      <c r="L112" s="19"/>
      <c r="M112" s="19"/>
      <c r="P112" s="19"/>
      <c r="Q112" s="19"/>
      <c r="R112" s="40"/>
      <c r="S112" s="19"/>
      <c r="T112" s="19"/>
      <c r="U112" s="19"/>
      <c r="V112" s="40"/>
      <c r="W112" s="19"/>
      <c r="X112" s="19"/>
    </row>
    <row r="113" spans="1:24" ht="15" customHeight="1" x14ac:dyDescent="0.3">
      <c r="A113" s="10"/>
      <c r="B113" s="50"/>
      <c r="D113" s="19"/>
      <c r="E113" s="19"/>
      <c r="G113" s="19"/>
      <c r="H113" s="19"/>
      <c r="I113" s="19"/>
      <c r="J113" s="40"/>
      <c r="K113" s="19"/>
      <c r="L113" s="19"/>
      <c r="M113" s="19"/>
      <c r="P113" s="19"/>
      <c r="Q113" s="19"/>
      <c r="R113" s="40"/>
      <c r="S113" s="19"/>
      <c r="T113" s="19"/>
      <c r="U113" s="19"/>
      <c r="V113" s="40"/>
      <c r="W113" s="19"/>
      <c r="X113" s="19"/>
    </row>
    <row r="114" spans="1:24" ht="15" customHeight="1" x14ac:dyDescent="0.3">
      <c r="D114" s="19"/>
      <c r="E114" s="19"/>
      <c r="G114" s="19"/>
      <c r="H114" s="19"/>
      <c r="I114" s="19"/>
      <c r="J114" s="40"/>
      <c r="K114" s="19"/>
      <c r="L114" s="19"/>
      <c r="M114" s="19"/>
      <c r="P114" s="19"/>
      <c r="Q114" s="19"/>
      <c r="R114" s="40"/>
      <c r="S114" s="19"/>
      <c r="T114" s="19"/>
      <c r="U114" s="19"/>
      <c r="V114" s="40"/>
      <c r="W114" s="19"/>
      <c r="X114" s="19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E3C7DD-25D7-7AC7-AA89-840865F19488}">
  <sheetPr>
    <tabColor rgb="FF92D050"/>
    <outlinePr summaryBelow="0" summaryRight="0"/>
  </sheetPr>
  <dimension ref="A2:Z71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6" customWidth="1"/>
    <col min="2" max="2" width="33.44140625" style="66" customWidth="1"/>
    <col min="3" max="3" width="1.88671875" style="66" customWidth="1"/>
    <col min="4" max="4" width="15" style="66" customWidth="1"/>
    <col min="5" max="5" width="1.88671875" style="66" customWidth="1" outlineLevel="1"/>
    <col min="6" max="6" width="15" style="67" customWidth="1" outlineLevel="1"/>
    <col min="7" max="7" width="1.88671875" style="66" customWidth="1" outlineLevel="1"/>
    <col min="8" max="8" width="15" style="66" customWidth="1" outlineLevel="1"/>
    <col min="9" max="9" width="1.88671875" style="66" customWidth="1" outlineLevel="1"/>
    <col min="10" max="10" width="15" style="68" customWidth="1" outlineLevel="1"/>
    <col min="11" max="11" width="1.88671875" style="66" customWidth="1" outlineLevel="1"/>
    <col min="12" max="12" width="15" style="66" customWidth="1" outlineLevel="1"/>
    <col min="13" max="13" width="1.88671875" style="66" customWidth="1" outlineLevel="1"/>
    <col min="14" max="14" width="15" style="67" customWidth="1" outlineLevel="1"/>
    <col min="15" max="15" width="1.88671875" style="64" customWidth="1"/>
    <col min="16" max="16" width="15" style="66" customWidth="1"/>
    <col min="17" max="17" width="1.88671875" style="66" customWidth="1" outlineLevel="1"/>
    <col min="18" max="18" width="15" style="68" customWidth="1" outlineLevel="1"/>
    <col min="19" max="19" width="1.88671875" style="66" customWidth="1" outlineLevel="1"/>
    <col min="20" max="20" width="15" style="66" customWidth="1" outlineLevel="1"/>
    <col min="21" max="21" width="1.88671875" style="66" customWidth="1" outlineLevel="1"/>
    <col min="22" max="22" width="15" style="68" customWidth="1" outlineLevel="1"/>
    <col min="23" max="23" width="1.88671875" style="66" customWidth="1" outlineLevel="1"/>
    <col min="24" max="24" width="15" style="66" customWidth="1" outlineLevel="1"/>
    <col min="25" max="25" width="1.88671875" style="66" customWidth="1" outlineLevel="1"/>
    <col min="26" max="26" width="15" style="68" customWidth="1" outlineLevel="1"/>
  </cols>
  <sheetData>
    <row r="2" spans="1:26" ht="15" customHeight="1" x14ac:dyDescent="0.3">
      <c r="D2" s="54" t="s">
        <v>276</v>
      </c>
    </row>
    <row r="3" spans="1:26" ht="15" customHeight="1" x14ac:dyDescent="0.3">
      <c r="D3" s="54" t="s">
        <v>277</v>
      </c>
      <c r="E3" s="18"/>
      <c r="F3" s="44"/>
      <c r="G3" s="18"/>
      <c r="H3" s="18"/>
      <c r="I3" s="18"/>
      <c r="J3" s="38"/>
      <c r="K3" s="18"/>
      <c r="L3" s="18"/>
      <c r="M3" s="18"/>
      <c r="N3" s="44"/>
      <c r="O3" s="53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ht="15" customHeight="1" x14ac:dyDescent="0.3">
      <c r="D4" s="54" t="str">
        <f>CONCATENATE("Period ",RIGHT(202209,2),", ",2022)</f>
        <v>Period 09, 2022</v>
      </c>
      <c r="E4" s="18"/>
      <c r="F4" s="44"/>
      <c r="G4" s="18"/>
      <c r="H4" s="18"/>
      <c r="I4" s="18"/>
      <c r="J4" s="38"/>
      <c r="K4" s="18"/>
      <c r="L4" s="18"/>
      <c r="M4" s="18"/>
      <c r="N4" s="44"/>
      <c r="O4" s="53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ht="15" customHeight="1" x14ac:dyDescent="0.3">
      <c r="A5" s="24"/>
      <c r="D5" s="60">
        <v>44646</v>
      </c>
      <c r="E5" s="18"/>
      <c r="F5" s="44"/>
      <c r="G5" s="18"/>
      <c r="H5" s="18"/>
      <c r="I5" s="18"/>
      <c r="J5" s="38"/>
      <c r="K5" s="18"/>
      <c r="L5" s="18"/>
      <c r="M5" s="18"/>
      <c r="N5" s="44"/>
      <c r="O5" s="53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ht="15" customHeight="1" x14ac:dyDescent="0.3">
      <c r="A6" s="24"/>
      <c r="B6" s="47"/>
      <c r="C6" s="47"/>
      <c r="D6" s="24" t="str">
        <f>CONCATENATE("Department ","430"," - ","Res Hall Management")</f>
        <v>Department 430 - Res Hall Management</v>
      </c>
      <c r="E6" s="18"/>
      <c r="F6" s="44"/>
      <c r="G6" s="18"/>
      <c r="H6" s="18"/>
      <c r="I6" s="18"/>
      <c r="J6" s="38"/>
      <c r="K6" s="18"/>
      <c r="L6" s="18"/>
      <c r="M6" s="18"/>
      <c r="N6" s="44"/>
      <c r="O6" s="59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ht="15" customHeight="1" x14ac:dyDescent="0.3">
      <c r="B7" s="52"/>
    </row>
    <row r="8" spans="1:26" ht="15" customHeight="1" x14ac:dyDescent="0.3">
      <c r="B8" s="52"/>
    </row>
    <row r="9" spans="1:26" ht="15" customHeight="1" x14ac:dyDescent="0.3">
      <c r="B9" s="10"/>
      <c r="C9" s="10"/>
      <c r="D9" s="17" t="s">
        <v>279</v>
      </c>
      <c r="E9" s="17"/>
      <c r="F9" s="36"/>
      <c r="G9" s="17"/>
      <c r="H9" s="17"/>
      <c r="I9" s="17"/>
      <c r="J9" s="43"/>
      <c r="K9" s="17"/>
      <c r="L9" s="17"/>
      <c r="M9" s="17"/>
      <c r="N9" s="36"/>
      <c r="P9" s="17" t="s">
        <v>280</v>
      </c>
      <c r="Q9" s="17"/>
      <c r="R9" s="36"/>
      <c r="S9" s="17"/>
      <c r="T9" s="17"/>
      <c r="U9" s="17"/>
      <c r="V9" s="43"/>
      <c r="W9" s="17"/>
      <c r="X9" s="17"/>
      <c r="Y9" s="17"/>
      <c r="Z9" s="36"/>
    </row>
    <row r="10" spans="1:26" ht="15" customHeight="1" x14ac:dyDescent="0.3">
      <c r="A10" s="11"/>
      <c r="B10" s="57"/>
      <c r="C10" s="11"/>
      <c r="D10" s="41" t="s">
        <v>281</v>
      </c>
      <c r="E10" s="33"/>
      <c r="F10" s="37" t="s">
        <v>282</v>
      </c>
      <c r="G10" s="33"/>
      <c r="H10" s="48" t="s">
        <v>283</v>
      </c>
      <c r="I10" s="33"/>
      <c r="J10" s="45" t="s">
        <v>284</v>
      </c>
      <c r="K10" s="11"/>
      <c r="L10" s="41" t="s">
        <v>285</v>
      </c>
      <c r="M10" s="11"/>
      <c r="N10" s="37" t="s">
        <v>286</v>
      </c>
      <c r="O10" s="11"/>
      <c r="P10" s="56" t="s">
        <v>281</v>
      </c>
      <c r="Q10" s="33"/>
      <c r="R10" s="37" t="s">
        <v>282</v>
      </c>
      <c r="S10" s="33"/>
      <c r="T10" s="48" t="s">
        <v>283</v>
      </c>
      <c r="U10" s="33"/>
      <c r="V10" s="45" t="s">
        <v>284</v>
      </c>
      <c r="W10" s="11"/>
      <c r="X10" s="41" t="s">
        <v>285</v>
      </c>
      <c r="Y10" s="11"/>
      <c r="Z10" s="37" t="s">
        <v>286</v>
      </c>
    </row>
    <row r="11" spans="1:26" ht="16.5" customHeight="1" x14ac:dyDescent="0.3">
      <c r="A11" s="10"/>
      <c r="B11" s="55"/>
      <c r="C11" s="10"/>
      <c r="D11" s="10"/>
      <c r="E11" s="10"/>
      <c r="F11" s="9"/>
      <c r="G11" s="10"/>
      <c r="H11" s="10"/>
      <c r="I11" s="10"/>
      <c r="J11" s="46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6"/>
      <c r="W11" s="10"/>
      <c r="X11" s="10"/>
      <c r="Y11" s="10"/>
      <c r="Z11" s="9"/>
    </row>
    <row r="12" spans="1:26" s="63" customFormat="1" ht="15" customHeight="1" x14ac:dyDescent="0.3">
      <c r="A12" s="11"/>
      <c r="B12" s="28" t="s">
        <v>287</v>
      </c>
      <c r="C12" s="11"/>
      <c r="D12" s="5">
        <f>SUM(0)</f>
        <v>0</v>
      </c>
      <c r="E12" s="5"/>
      <c r="F12" s="13"/>
      <c r="G12" s="5"/>
      <c r="H12" s="5">
        <f>SUM(0)</f>
        <v>0</v>
      </c>
      <c r="I12" s="5"/>
      <c r="J12" s="13"/>
      <c r="K12" s="5"/>
      <c r="L12" s="5">
        <f>+D12-H12</f>
        <v>0</v>
      </c>
      <c r="M12" s="5"/>
      <c r="N12" s="13">
        <f>IF(H12=0,0,L12/H12)</f>
        <v>0</v>
      </c>
      <c r="O12" s="11"/>
      <c r="P12" s="5">
        <f>SUM(0)</f>
        <v>0</v>
      </c>
      <c r="Q12" s="5"/>
      <c r="R12" s="13"/>
      <c r="S12" s="5"/>
      <c r="T12" s="5">
        <f>SUM(0)</f>
        <v>0</v>
      </c>
      <c r="U12" s="5"/>
      <c r="V12" s="13"/>
      <c r="W12" s="5"/>
      <c r="X12" s="5">
        <f>+P12-T12</f>
        <v>0</v>
      </c>
      <c r="Y12" s="5"/>
      <c r="Z12" s="13">
        <f>IF(T12=0,0,X12/T12)</f>
        <v>0</v>
      </c>
    </row>
    <row r="13" spans="1:26" ht="15" customHeight="1" x14ac:dyDescent="0.3">
      <c r="A13" s="10"/>
      <c r="B13" s="11"/>
      <c r="C13" s="10"/>
      <c r="D13" s="4"/>
      <c r="E13" s="4"/>
      <c r="F13" s="9"/>
      <c r="G13" s="4"/>
      <c r="H13" s="4"/>
      <c r="I13" s="4"/>
      <c r="J13" s="9"/>
      <c r="K13" s="4"/>
      <c r="L13" s="4"/>
      <c r="M13" s="4"/>
      <c r="N13" s="9"/>
      <c r="P13" s="4"/>
      <c r="Q13" s="4"/>
      <c r="R13" s="9"/>
      <c r="S13" s="4"/>
      <c r="T13" s="4"/>
      <c r="U13" s="4"/>
      <c r="V13" s="9"/>
      <c r="W13" s="4"/>
      <c r="X13" s="4"/>
      <c r="Y13" s="4"/>
      <c r="Z13" s="9"/>
    </row>
    <row r="14" spans="1:26" s="63" customFormat="1" ht="15" customHeight="1" x14ac:dyDescent="0.3">
      <c r="A14" s="11"/>
      <c r="B14" s="28" t="s">
        <v>288</v>
      </c>
      <c r="C14" s="11"/>
      <c r="D14" s="5">
        <f>SUM(0)</f>
        <v>0</v>
      </c>
      <c r="E14" s="5"/>
      <c r="F14" s="13">
        <f>IF(D$12=0,0,D14/D$12)</f>
        <v>0</v>
      </c>
      <c r="G14" s="5"/>
      <c r="H14" s="5">
        <f>SUM(0)</f>
        <v>0</v>
      </c>
      <c r="I14" s="5"/>
      <c r="J14" s="13">
        <f>IF(H$12=0,0,H14/H$12)</f>
        <v>0</v>
      </c>
      <c r="K14" s="5"/>
      <c r="L14" s="5">
        <f>+D14-H14</f>
        <v>0</v>
      </c>
      <c r="M14" s="5"/>
      <c r="N14" s="13">
        <f>IF(H14=0,0,L14/H14)</f>
        <v>0</v>
      </c>
      <c r="O14" s="11"/>
      <c r="P14" s="5">
        <f>SUM(0)</f>
        <v>0</v>
      </c>
      <c r="Q14" s="5"/>
      <c r="R14" s="13">
        <f>IF(P$12=0,0,P14/P$12)</f>
        <v>0</v>
      </c>
      <c r="S14" s="5"/>
      <c r="T14" s="5">
        <f>SUM(0)</f>
        <v>0</v>
      </c>
      <c r="U14" s="5"/>
      <c r="V14" s="13">
        <f>IF(T$12=0,0,T14/T$12)</f>
        <v>0</v>
      </c>
      <c r="W14" s="5"/>
      <c r="X14" s="5">
        <f>+P14-T14</f>
        <v>0</v>
      </c>
      <c r="Y14" s="5"/>
      <c r="Z14" s="13">
        <f>IF(T14=0,0,X14/T14)</f>
        <v>0</v>
      </c>
    </row>
    <row r="15" spans="1:26" ht="15" customHeight="1" x14ac:dyDescent="0.3">
      <c r="A15" s="10"/>
      <c r="B15" s="11"/>
      <c r="C15" s="11"/>
      <c r="D15" s="4"/>
      <c r="E15" s="4"/>
      <c r="F15" s="9"/>
      <c r="G15" s="4"/>
      <c r="H15" s="4"/>
      <c r="I15" s="4"/>
      <c r="J15" s="9"/>
      <c r="K15" s="4"/>
      <c r="L15" s="4"/>
      <c r="M15" s="4"/>
      <c r="N15" s="9"/>
      <c r="O15" s="11"/>
      <c r="P15" s="4"/>
      <c r="Q15" s="4"/>
      <c r="R15" s="9"/>
      <c r="S15" s="4"/>
      <c r="T15" s="4"/>
      <c r="U15" s="4"/>
      <c r="V15" s="9"/>
      <c r="W15" s="4"/>
      <c r="X15" s="4"/>
      <c r="Y15" s="4"/>
      <c r="Z15" s="9"/>
    </row>
    <row r="16" spans="1:26" s="63" customFormat="1" ht="15" customHeight="1" x14ac:dyDescent="0.3">
      <c r="A16" s="11"/>
      <c r="B16" s="27" t="s">
        <v>289</v>
      </c>
      <c r="C16" s="27"/>
      <c r="D16" s="21">
        <f>D12-D14</f>
        <v>0</v>
      </c>
      <c r="E16" s="15"/>
      <c r="F16" s="23">
        <f>IF(D$12=0,0,D16/D$12)</f>
        <v>0</v>
      </c>
      <c r="G16" s="15"/>
      <c r="H16" s="21">
        <f>H12-H14</f>
        <v>0</v>
      </c>
      <c r="I16" s="15"/>
      <c r="J16" s="23">
        <f>IF(H$12=0,0,H16/H$12)</f>
        <v>0</v>
      </c>
      <c r="K16" s="16"/>
      <c r="L16" s="21">
        <f>+D16-H16</f>
        <v>0</v>
      </c>
      <c r="M16" s="16"/>
      <c r="N16" s="23">
        <f>IF(H16=0,0,L16/H16)</f>
        <v>0</v>
      </c>
      <c r="O16" s="28"/>
      <c r="P16" s="21">
        <f>P12-P14</f>
        <v>0</v>
      </c>
      <c r="Q16" s="15"/>
      <c r="R16" s="23">
        <f>IF(P$12=0,0,P16/P$12)</f>
        <v>0</v>
      </c>
      <c r="S16" s="15"/>
      <c r="T16" s="21">
        <f>T12-T14</f>
        <v>0</v>
      </c>
      <c r="U16" s="15"/>
      <c r="V16" s="23">
        <f>IF(T$12=0,0,T16/T$12)</f>
        <v>0</v>
      </c>
      <c r="W16" s="16"/>
      <c r="X16" s="21">
        <f>+P16-T16</f>
        <v>0</v>
      </c>
      <c r="Y16" s="16"/>
      <c r="Z16" s="23">
        <f>IF(T16=0,0,X16/T16)</f>
        <v>0</v>
      </c>
    </row>
    <row r="17" spans="1:26" ht="15" customHeight="1" x14ac:dyDescent="0.3">
      <c r="A17" s="10"/>
      <c r="B17" s="11"/>
      <c r="C17" s="10"/>
      <c r="D17" s="2"/>
      <c r="E17" s="2"/>
      <c r="F17" s="6"/>
      <c r="G17" s="2"/>
      <c r="H17" s="2"/>
      <c r="I17" s="2"/>
      <c r="J17" s="6"/>
      <c r="K17" s="2"/>
      <c r="L17" s="2"/>
      <c r="M17" s="2"/>
      <c r="N17" s="6"/>
      <c r="O17" s="35"/>
      <c r="P17" s="2"/>
      <c r="Q17" s="2"/>
      <c r="R17" s="6"/>
      <c r="S17" s="2"/>
      <c r="T17" s="2"/>
      <c r="U17" s="2"/>
      <c r="V17" s="6"/>
      <c r="W17" s="2"/>
      <c r="X17" s="2"/>
      <c r="Y17" s="2"/>
      <c r="Z17" s="6"/>
    </row>
    <row r="18" spans="1:26" s="63" customFormat="1" ht="15" customHeight="1" x14ac:dyDescent="0.3">
      <c r="A18" s="11"/>
      <c r="B18" s="28" t="s">
        <v>290</v>
      </c>
      <c r="C18" s="11"/>
      <c r="D18" s="22" cm="1">
        <f t="array" ref="D18">SUM(OSRRefD22x_0)</f>
        <v>20910.62</v>
      </c>
      <c r="E18" s="22"/>
      <c r="F18" s="30">
        <f t="shared" ref="F18:F55" si="0">IF(D$12=0,0,D18/D$12)</f>
        <v>0</v>
      </c>
      <c r="G18" s="22"/>
      <c r="H18" s="22" cm="1">
        <f t="array" ref="H18">SUM(OSRRefH22x_0)</f>
        <v>17497.431652200001</v>
      </c>
      <c r="I18" s="22"/>
      <c r="J18" s="30">
        <f t="shared" ref="J18:J55" si="1">IF(H$12=0,0,H18/H$12)</f>
        <v>0</v>
      </c>
      <c r="K18" s="5"/>
      <c r="L18" s="22">
        <f t="shared" ref="L18:L55" si="2">+D18-H18</f>
        <v>3413.1883477999982</v>
      </c>
      <c r="M18" s="5"/>
      <c r="N18" s="30">
        <f t="shared" ref="N18:N55" si="3">IF(H18=0,0,L18/H18)</f>
        <v>0.19506796286704445</v>
      </c>
      <c r="O18" s="11"/>
      <c r="P18" s="22" cm="1">
        <f t="array" ref="P18">SUM(OSRRefP22x_0)</f>
        <v>181676.61</v>
      </c>
      <c r="Q18" s="22"/>
      <c r="R18" s="30">
        <f t="shared" ref="R18:R55" si="4">IF(P$12=0,0,P18/P$12)</f>
        <v>0</v>
      </c>
      <c r="S18" s="22"/>
      <c r="T18" s="22" cm="1">
        <f t="array" ref="T18">SUM(OSRRefT22x_0)</f>
        <v>163697.86717965</v>
      </c>
      <c r="U18" s="22"/>
      <c r="V18" s="30">
        <f t="shared" ref="V18:V55" si="5">IF(T$12=0,0,T18/T$12)</f>
        <v>0</v>
      </c>
      <c r="W18" s="5"/>
      <c r="X18" s="22">
        <f t="shared" ref="X18:X55" si="6">+P18-T18</f>
        <v>17978.742820349988</v>
      </c>
      <c r="Y18" s="5"/>
      <c r="Z18" s="30">
        <f t="shared" ref="Z18:Z55" si="7">IF(T18=0,0,X18/T18)</f>
        <v>0.10982881530532858</v>
      </c>
    </row>
    <row r="19" spans="1:26" s="69" customFormat="1" ht="15" customHeight="1" outlineLevel="1" collapsed="1" x14ac:dyDescent="0.3">
      <c r="A19" s="25"/>
      <c r="B19" s="14" t="str">
        <f>CONCATENATE("     ","*Benefits                                         ")</f>
        <v xml:space="preserve">     *Benefits                                         </v>
      </c>
      <c r="C19" s="14"/>
      <c r="D19" s="2">
        <f>SUM(OSRRefD22_0x_0)</f>
        <v>5552.5999999999995</v>
      </c>
      <c r="E19" s="2"/>
      <c r="F19" s="6">
        <f t="shared" si="0"/>
        <v>0</v>
      </c>
      <c r="G19" s="2"/>
      <c r="H19" s="2">
        <f>SUM(OSRRefH22_0x_0)</f>
        <v>4307.0286522000006</v>
      </c>
      <c r="I19" s="2"/>
      <c r="J19" s="6">
        <f t="shared" si="1"/>
        <v>0</v>
      </c>
      <c r="K19" s="2"/>
      <c r="L19" s="2">
        <f t="shared" si="2"/>
        <v>1245.5713477999989</v>
      </c>
      <c r="M19" s="2"/>
      <c r="N19" s="6">
        <f t="shared" si="3"/>
        <v>0.28919504567580939</v>
      </c>
      <c r="O19" s="14"/>
      <c r="P19" s="2">
        <f>SUM(OSRRefP22_0x_0)</f>
        <v>54197.75</v>
      </c>
      <c r="Q19" s="2"/>
      <c r="R19" s="6">
        <f t="shared" si="4"/>
        <v>0</v>
      </c>
      <c r="S19" s="2"/>
      <c r="T19" s="2">
        <f>SUM(OSRRefT22_0x_0)</f>
        <v>40069.657429650004</v>
      </c>
      <c r="U19" s="2"/>
      <c r="V19" s="6">
        <f t="shared" si="5"/>
        <v>0</v>
      </c>
      <c r="W19" s="2"/>
      <c r="X19" s="2">
        <f t="shared" si="6"/>
        <v>14128.092570349996</v>
      </c>
      <c r="Y19" s="2"/>
      <c r="Z19" s="6">
        <f t="shared" si="7"/>
        <v>0.3525883043835496</v>
      </c>
    </row>
    <row r="20" spans="1:26" s="70" customFormat="1" ht="15" hidden="1" customHeight="1" outlineLevel="2" x14ac:dyDescent="0.3">
      <c r="A20" s="26"/>
      <c r="B20" s="12" t="str">
        <f>CONCATENATE("          ","6111"," - ","F.I.C.A.")</f>
        <v xml:space="preserve">          6111 - F.I.C.A.</v>
      </c>
      <c r="C20" s="12"/>
      <c r="D20" s="7">
        <v>718.56</v>
      </c>
      <c r="E20" s="3"/>
      <c r="F20" s="8">
        <f t="shared" si="0"/>
        <v>0</v>
      </c>
      <c r="G20" s="3"/>
      <c r="H20" s="7">
        <v>706.12241219999999</v>
      </c>
      <c r="I20" s="3"/>
      <c r="J20" s="8">
        <f t="shared" si="1"/>
        <v>0</v>
      </c>
      <c r="K20" s="3"/>
      <c r="L20" s="7">
        <f t="shared" si="2"/>
        <v>12.43758779999996</v>
      </c>
      <c r="M20" s="3"/>
      <c r="N20" s="8">
        <f t="shared" si="3"/>
        <v>1.7613925836526451E-2</v>
      </c>
      <c r="O20" s="12"/>
      <c r="P20" s="7">
        <v>6712</v>
      </c>
      <c r="Q20" s="3"/>
      <c r="R20" s="8">
        <f t="shared" si="4"/>
        <v>0</v>
      </c>
      <c r="S20" s="3"/>
      <c r="T20" s="7">
        <v>6751.0101496500001</v>
      </c>
      <c r="U20" s="3"/>
      <c r="V20" s="8">
        <f t="shared" si="5"/>
        <v>0</v>
      </c>
      <c r="W20" s="3"/>
      <c r="X20" s="7">
        <f t="shared" si="6"/>
        <v>-39.01014965000013</v>
      </c>
      <c r="Y20" s="3"/>
      <c r="Z20" s="8">
        <f t="shared" si="7"/>
        <v>-5.7784166791724602E-3</v>
      </c>
    </row>
    <row r="21" spans="1:26" s="70" customFormat="1" ht="15" hidden="1" customHeight="1" outlineLevel="2" x14ac:dyDescent="0.3">
      <c r="A21" s="26"/>
      <c r="B21" s="12" t="str">
        <f>CONCATENATE("          ","6112"," - ","COMPENSATION INSURANCE")</f>
        <v xml:space="preserve">          6112 - COMPENSATION INSURANCE</v>
      </c>
      <c r="C21" s="12"/>
      <c r="D21" s="7">
        <v>338.15</v>
      </c>
      <c r="E21" s="3"/>
      <c r="F21" s="8">
        <f t="shared" si="0"/>
        <v>0</v>
      </c>
      <c r="G21" s="3"/>
      <c r="H21" s="7">
        <v>349.69344599999999</v>
      </c>
      <c r="I21" s="3"/>
      <c r="J21" s="8">
        <f t="shared" si="1"/>
        <v>0</v>
      </c>
      <c r="K21" s="3"/>
      <c r="L21" s="7">
        <f t="shared" si="2"/>
        <v>-11.543446000000017</v>
      </c>
      <c r="M21" s="3"/>
      <c r="N21" s="8">
        <f t="shared" si="3"/>
        <v>-3.3010186870931567E-2</v>
      </c>
      <c r="O21" s="12"/>
      <c r="P21" s="7">
        <v>3150.29</v>
      </c>
      <c r="Q21" s="3"/>
      <c r="R21" s="8">
        <f t="shared" si="4"/>
        <v>0</v>
      </c>
      <c r="S21" s="3"/>
      <c r="T21" s="7">
        <v>3343.3069995000001</v>
      </c>
      <c r="U21" s="3"/>
      <c r="V21" s="8">
        <f t="shared" si="5"/>
        <v>0</v>
      </c>
      <c r="W21" s="3"/>
      <c r="X21" s="7">
        <f t="shared" si="6"/>
        <v>-193.01699950000011</v>
      </c>
      <c r="Y21" s="3"/>
      <c r="Z21" s="8">
        <f t="shared" si="7"/>
        <v>-5.7732358867691867E-2</v>
      </c>
    </row>
    <row r="22" spans="1:26" s="70" customFormat="1" ht="15" hidden="1" customHeight="1" outlineLevel="2" x14ac:dyDescent="0.3">
      <c r="A22" s="26"/>
      <c r="B22" s="12" t="str">
        <f>CONCATENATE("          ","6113"," - ","GROUP INSURANCE")</f>
        <v xml:space="preserve">          6113 - GROUP INSURANCE</v>
      </c>
      <c r="C22" s="12"/>
      <c r="D22" s="7">
        <v>2467.5700000000002</v>
      </c>
      <c r="E22" s="3"/>
      <c r="F22" s="8">
        <f t="shared" si="0"/>
        <v>0</v>
      </c>
      <c r="G22" s="3"/>
      <c r="H22" s="7">
        <v>1977</v>
      </c>
      <c r="I22" s="3"/>
      <c r="J22" s="8">
        <f t="shared" si="1"/>
        <v>0</v>
      </c>
      <c r="K22" s="3"/>
      <c r="L22" s="7">
        <f t="shared" si="2"/>
        <v>490.57000000000016</v>
      </c>
      <c r="M22" s="3"/>
      <c r="N22" s="8">
        <f t="shared" si="3"/>
        <v>0.24813859382903397</v>
      </c>
      <c r="O22" s="12"/>
      <c r="P22" s="7">
        <v>23541.84</v>
      </c>
      <c r="Q22" s="3"/>
      <c r="R22" s="8">
        <f t="shared" si="4"/>
        <v>0</v>
      </c>
      <c r="S22" s="3"/>
      <c r="T22" s="7">
        <v>17793</v>
      </c>
      <c r="U22" s="3"/>
      <c r="V22" s="8">
        <f t="shared" si="5"/>
        <v>0</v>
      </c>
      <c r="W22" s="3"/>
      <c r="X22" s="7">
        <f t="shared" si="6"/>
        <v>5748.84</v>
      </c>
      <c r="Y22" s="3"/>
      <c r="Z22" s="8">
        <f t="shared" si="7"/>
        <v>0.32309559939301974</v>
      </c>
    </row>
    <row r="23" spans="1:26" s="70" customFormat="1" ht="15" hidden="1" customHeight="1" outlineLevel="2" x14ac:dyDescent="0.3">
      <c r="A23" s="26"/>
      <c r="B23" s="12" t="str">
        <f>CONCATENATE("          ","6114"," - ","STATE UNEMPLOYMENT INSURANCE")</f>
        <v xml:space="preserve">          6114 - STATE UNEMPLOYMENT INSURANCE</v>
      </c>
      <c r="C23" s="12"/>
      <c r="D23" s="7">
        <v>24.42</v>
      </c>
      <c r="E23" s="3"/>
      <c r="F23" s="8">
        <f t="shared" si="0"/>
        <v>0</v>
      </c>
      <c r="G23" s="3"/>
      <c r="H23" s="7">
        <v>19.376154</v>
      </c>
      <c r="I23" s="3"/>
      <c r="J23" s="8">
        <f t="shared" si="1"/>
        <v>0</v>
      </c>
      <c r="K23" s="3"/>
      <c r="L23" s="7">
        <f t="shared" si="2"/>
        <v>5.0438460000000021</v>
      </c>
      <c r="M23" s="3"/>
      <c r="N23" s="8">
        <f t="shared" si="3"/>
        <v>0.26031203096342043</v>
      </c>
      <c r="O23" s="12"/>
      <c r="P23" s="7">
        <v>227.51</v>
      </c>
      <c r="Q23" s="3"/>
      <c r="R23" s="8">
        <f t="shared" si="4"/>
        <v>0</v>
      </c>
      <c r="S23" s="3"/>
      <c r="T23" s="7">
        <v>185.2492005</v>
      </c>
      <c r="U23" s="3"/>
      <c r="V23" s="8">
        <f t="shared" si="5"/>
        <v>0</v>
      </c>
      <c r="W23" s="3"/>
      <c r="X23" s="7">
        <f t="shared" si="6"/>
        <v>42.26079949999999</v>
      </c>
      <c r="Y23" s="3"/>
      <c r="Z23" s="8">
        <f t="shared" si="7"/>
        <v>0.22812945689339151</v>
      </c>
    </row>
    <row r="24" spans="1:26" s="70" customFormat="1" ht="15" hidden="1" customHeight="1" outlineLevel="2" x14ac:dyDescent="0.3">
      <c r="A24" s="26"/>
      <c r="B24" s="12" t="str">
        <f>CONCATENATE("          ","6115"," - ","P.E.R.S.")</f>
        <v xml:space="preserve">          6115 - P.E.R.S.</v>
      </c>
      <c r="C24" s="12"/>
      <c r="D24" s="7">
        <v>707.23</v>
      </c>
      <c r="E24" s="3"/>
      <c r="F24" s="8">
        <f t="shared" si="0"/>
        <v>0</v>
      </c>
      <c r="G24" s="3"/>
      <c r="H24" s="7">
        <v>793.49964</v>
      </c>
      <c r="I24" s="3"/>
      <c r="J24" s="8">
        <f t="shared" si="1"/>
        <v>0</v>
      </c>
      <c r="K24" s="3"/>
      <c r="L24" s="7">
        <f t="shared" si="2"/>
        <v>-86.269639999999981</v>
      </c>
      <c r="M24" s="3"/>
      <c r="N24" s="8">
        <f t="shared" si="3"/>
        <v>-0.10872045260159158</v>
      </c>
      <c r="O24" s="12"/>
      <c r="P24" s="7">
        <v>6596.28</v>
      </c>
      <c r="Q24" s="3"/>
      <c r="R24" s="8">
        <f t="shared" si="4"/>
        <v>0</v>
      </c>
      <c r="S24" s="3"/>
      <c r="T24" s="7">
        <v>7586.3958300000004</v>
      </c>
      <c r="U24" s="3"/>
      <c r="V24" s="8">
        <f t="shared" si="5"/>
        <v>0</v>
      </c>
      <c r="W24" s="3"/>
      <c r="X24" s="7">
        <f t="shared" si="6"/>
        <v>-990.11583000000064</v>
      </c>
      <c r="Y24" s="3"/>
      <c r="Z24" s="8">
        <f t="shared" si="7"/>
        <v>-0.13051201811598601</v>
      </c>
    </row>
    <row r="25" spans="1:26" s="70" customFormat="1" ht="15" hidden="1" customHeight="1" outlineLevel="2" x14ac:dyDescent="0.3">
      <c r="A25" s="26"/>
      <c r="B25" s="12" t="str">
        <f>CONCATENATE("          ","6116"," - ","EDUCATIONAL BENEFITS")</f>
        <v xml:space="preserve">          6116 - EDUCATIONAL BENEFITS</v>
      </c>
      <c r="C25" s="12"/>
      <c r="D25" s="7"/>
      <c r="E25" s="3"/>
      <c r="F25" s="8">
        <f t="shared" si="0"/>
        <v>0</v>
      </c>
      <c r="G25" s="3"/>
      <c r="H25" s="7">
        <v>0</v>
      </c>
      <c r="I25" s="3"/>
      <c r="J25" s="8">
        <f t="shared" si="1"/>
        <v>0</v>
      </c>
      <c r="K25" s="3"/>
      <c r="L25" s="7">
        <f t="shared" si="2"/>
        <v>0</v>
      </c>
      <c r="M25" s="3"/>
      <c r="N25" s="8">
        <f t="shared" si="3"/>
        <v>0</v>
      </c>
      <c r="O25" s="12"/>
      <c r="P25" s="7"/>
      <c r="Q25" s="3"/>
      <c r="R25" s="8">
        <f t="shared" si="4"/>
        <v>0</v>
      </c>
      <c r="S25" s="3"/>
      <c r="T25" s="7">
        <v>0</v>
      </c>
      <c r="U25" s="3"/>
      <c r="V25" s="8">
        <f t="shared" si="5"/>
        <v>0</v>
      </c>
      <c r="W25" s="3"/>
      <c r="X25" s="7">
        <f t="shared" si="6"/>
        <v>0</v>
      </c>
      <c r="Y25" s="3"/>
      <c r="Z25" s="8">
        <f t="shared" si="7"/>
        <v>0</v>
      </c>
    </row>
    <row r="26" spans="1:26" s="70" customFormat="1" ht="15" hidden="1" customHeight="1" outlineLevel="2" x14ac:dyDescent="0.3">
      <c r="A26" s="26"/>
      <c r="B26" s="12" t="str">
        <f>CONCATENATE("          ","6118"," - ","VACATION")</f>
        <v xml:space="preserve">          6118 - VACATION</v>
      </c>
      <c r="C26" s="12"/>
      <c r="D26" s="7">
        <v>714.57</v>
      </c>
      <c r="E26" s="3"/>
      <c r="F26" s="8">
        <f t="shared" si="0"/>
        <v>0</v>
      </c>
      <c r="G26" s="3"/>
      <c r="H26" s="7">
        <v>276.80220000000003</v>
      </c>
      <c r="I26" s="3"/>
      <c r="J26" s="8">
        <f t="shared" si="1"/>
        <v>0</v>
      </c>
      <c r="K26" s="3"/>
      <c r="L26" s="7">
        <f t="shared" si="2"/>
        <v>437.76780000000002</v>
      </c>
      <c r="M26" s="3"/>
      <c r="N26" s="8">
        <f t="shared" si="3"/>
        <v>1.5815184994916947</v>
      </c>
      <c r="O26" s="12"/>
      <c r="P26" s="7">
        <v>8376.0499999999993</v>
      </c>
      <c r="Q26" s="3"/>
      <c r="R26" s="8">
        <f t="shared" si="4"/>
        <v>0</v>
      </c>
      <c r="S26" s="3"/>
      <c r="T26" s="7">
        <v>2646.4171500000002</v>
      </c>
      <c r="U26" s="3"/>
      <c r="V26" s="8">
        <f t="shared" si="5"/>
        <v>0</v>
      </c>
      <c r="W26" s="3"/>
      <c r="X26" s="7">
        <f t="shared" si="6"/>
        <v>5729.6328499999991</v>
      </c>
      <c r="Y26" s="3"/>
      <c r="Z26" s="8">
        <f t="shared" si="7"/>
        <v>2.1650527960038342</v>
      </c>
    </row>
    <row r="27" spans="1:26" s="70" customFormat="1" ht="15" hidden="1" customHeight="1" outlineLevel="2" x14ac:dyDescent="0.3">
      <c r="A27" s="26"/>
      <c r="B27" s="12" t="str">
        <f>CONCATENATE("          ","6119"," - ","SICK LEAVE")</f>
        <v xml:space="preserve">          6119 - SICK LEAVE</v>
      </c>
      <c r="C27" s="12"/>
      <c r="D27" s="7">
        <v>429.78</v>
      </c>
      <c r="E27" s="3"/>
      <c r="F27" s="8">
        <f t="shared" si="0"/>
        <v>0</v>
      </c>
      <c r="G27" s="3"/>
      <c r="H27" s="7">
        <v>184.53479999999999</v>
      </c>
      <c r="I27" s="3"/>
      <c r="J27" s="8">
        <f t="shared" si="1"/>
        <v>0</v>
      </c>
      <c r="K27" s="3"/>
      <c r="L27" s="7">
        <f t="shared" si="2"/>
        <v>245.24519999999998</v>
      </c>
      <c r="M27" s="3"/>
      <c r="N27" s="8">
        <f t="shared" si="3"/>
        <v>1.3289916048355106</v>
      </c>
      <c r="O27" s="12"/>
      <c r="P27" s="7">
        <v>4753.42</v>
      </c>
      <c r="Q27" s="3"/>
      <c r="R27" s="8">
        <f t="shared" si="4"/>
        <v>0</v>
      </c>
      <c r="S27" s="3"/>
      <c r="T27" s="7">
        <v>1764.2781</v>
      </c>
      <c r="U27" s="3"/>
      <c r="V27" s="8">
        <f t="shared" si="5"/>
        <v>0</v>
      </c>
      <c r="W27" s="3"/>
      <c r="X27" s="7">
        <f t="shared" si="6"/>
        <v>2989.1419000000001</v>
      </c>
      <c r="Y27" s="3"/>
      <c r="Z27" s="8">
        <f t="shared" si="7"/>
        <v>1.6942577816955275</v>
      </c>
    </row>
    <row r="28" spans="1:26" s="70" customFormat="1" ht="15" hidden="1" customHeight="1" outlineLevel="2" x14ac:dyDescent="0.3">
      <c r="A28" s="26"/>
      <c r="B28" s="12" t="str">
        <f>CONCATENATE("          ","6156"," - ","EMPLOYEE MEALS")</f>
        <v xml:space="preserve">          6156 - EMPLOYEE MEALS</v>
      </c>
      <c r="C28" s="12"/>
      <c r="D28" s="7">
        <v>152.32</v>
      </c>
      <c r="E28" s="3"/>
      <c r="F28" s="8">
        <f t="shared" si="0"/>
        <v>0</v>
      </c>
      <c r="G28" s="3"/>
      <c r="H28" s="7"/>
      <c r="I28" s="3"/>
      <c r="J28" s="8">
        <f t="shared" si="1"/>
        <v>0</v>
      </c>
      <c r="K28" s="3"/>
      <c r="L28" s="7">
        <f t="shared" si="2"/>
        <v>152.32</v>
      </c>
      <c r="M28" s="3"/>
      <c r="N28" s="8">
        <f t="shared" si="3"/>
        <v>0</v>
      </c>
      <c r="O28" s="12"/>
      <c r="P28" s="7">
        <v>840.36</v>
      </c>
      <c r="Q28" s="3"/>
      <c r="R28" s="8">
        <f t="shared" si="4"/>
        <v>0</v>
      </c>
      <c r="S28" s="3"/>
      <c r="T28" s="7"/>
      <c r="U28" s="3"/>
      <c r="V28" s="8">
        <f t="shared" si="5"/>
        <v>0</v>
      </c>
      <c r="W28" s="3"/>
      <c r="X28" s="7">
        <f t="shared" si="6"/>
        <v>840.36</v>
      </c>
      <c r="Y28" s="3"/>
      <c r="Z28" s="8">
        <f t="shared" si="7"/>
        <v>0</v>
      </c>
    </row>
    <row r="29" spans="1:26" s="69" customFormat="1" ht="15" customHeight="1" outlineLevel="1" collapsed="1" x14ac:dyDescent="0.3">
      <c r="A29" s="25"/>
      <c r="B29" s="14" t="str">
        <f>CONCATENATE("     ","*Payroll                                          ")</f>
        <v xml:space="preserve">     *Payroll                                          </v>
      </c>
      <c r="C29" s="14"/>
      <c r="D29" s="2">
        <f>SUM(OSRRefD22_1x_0)</f>
        <v>9317.92</v>
      </c>
      <c r="E29" s="2"/>
      <c r="F29" s="6">
        <f t="shared" si="0"/>
        <v>0</v>
      </c>
      <c r="G29" s="2"/>
      <c r="H29" s="2">
        <f>SUM(OSRRefH22_1x_0)</f>
        <v>8765.4030000000002</v>
      </c>
      <c r="I29" s="2"/>
      <c r="J29" s="6">
        <f t="shared" si="1"/>
        <v>0</v>
      </c>
      <c r="K29" s="2"/>
      <c r="L29" s="2">
        <f t="shared" si="2"/>
        <v>552.51699999999983</v>
      </c>
      <c r="M29" s="2"/>
      <c r="N29" s="6">
        <f t="shared" si="3"/>
        <v>6.3033838832053685E-2</v>
      </c>
      <c r="O29" s="14"/>
      <c r="P29" s="2">
        <f>SUM(OSRRefP22_1x_0)</f>
        <v>84165.37</v>
      </c>
      <c r="Q29" s="2"/>
      <c r="R29" s="6">
        <f t="shared" si="4"/>
        <v>0</v>
      </c>
      <c r="S29" s="2"/>
      <c r="T29" s="2">
        <f>SUM(OSRRefT22_1x_0)</f>
        <v>83803.209749999995</v>
      </c>
      <c r="U29" s="2"/>
      <c r="V29" s="6">
        <f t="shared" si="5"/>
        <v>0</v>
      </c>
      <c r="W29" s="2"/>
      <c r="X29" s="2">
        <f t="shared" si="6"/>
        <v>362.16025000000081</v>
      </c>
      <c r="Y29" s="2"/>
      <c r="Z29" s="6">
        <f t="shared" si="7"/>
        <v>4.3215558339637561E-3</v>
      </c>
    </row>
    <row r="30" spans="1:26" s="70" customFormat="1" ht="15" hidden="1" customHeight="1" outlineLevel="2" x14ac:dyDescent="0.3">
      <c r="A30" s="26"/>
      <c r="B30" s="12" t="str">
        <f>CONCATENATE("          ","6001"," - ","ADMINISTRATIVE SALARIES")</f>
        <v xml:space="preserve">          6001 - ADMINISTRATIVE SALARIES</v>
      </c>
      <c r="C30" s="12"/>
      <c r="D30" s="7">
        <v>9317.92</v>
      </c>
      <c r="E30" s="3"/>
      <c r="F30" s="8">
        <f t="shared" si="0"/>
        <v>0</v>
      </c>
      <c r="G30" s="3"/>
      <c r="H30" s="7">
        <v>0</v>
      </c>
      <c r="I30" s="3"/>
      <c r="J30" s="8">
        <f t="shared" si="1"/>
        <v>0</v>
      </c>
      <c r="K30" s="3"/>
      <c r="L30" s="7">
        <f t="shared" si="2"/>
        <v>9317.92</v>
      </c>
      <c r="M30" s="3"/>
      <c r="N30" s="8">
        <f t="shared" si="3"/>
        <v>0</v>
      </c>
      <c r="O30" s="12"/>
      <c r="P30" s="7">
        <v>84165.37</v>
      </c>
      <c r="Q30" s="3"/>
      <c r="R30" s="8">
        <f t="shared" si="4"/>
        <v>0</v>
      </c>
      <c r="S30" s="3"/>
      <c r="T30" s="7">
        <v>0</v>
      </c>
      <c r="U30" s="3"/>
      <c r="V30" s="8">
        <f t="shared" si="5"/>
        <v>0</v>
      </c>
      <c r="W30" s="3"/>
      <c r="X30" s="7">
        <f t="shared" si="6"/>
        <v>84165.37</v>
      </c>
      <c r="Y30" s="3"/>
      <c r="Z30" s="8">
        <f t="shared" si="7"/>
        <v>0</v>
      </c>
    </row>
    <row r="31" spans="1:26" s="70" customFormat="1" ht="15" hidden="1" customHeight="1" outlineLevel="2" x14ac:dyDescent="0.3">
      <c r="A31" s="26"/>
      <c r="B31" s="12" t="str">
        <f>CONCATENATE("          ","6002"," - ","STAFF SALARIES")</f>
        <v xml:space="preserve">          6002 - STAFF SALARIES</v>
      </c>
      <c r="C31" s="12"/>
      <c r="D31" s="7"/>
      <c r="E31" s="3"/>
      <c r="F31" s="8">
        <f t="shared" si="0"/>
        <v>0</v>
      </c>
      <c r="G31" s="3"/>
      <c r="H31" s="7">
        <v>8765.4030000000002</v>
      </c>
      <c r="I31" s="3"/>
      <c r="J31" s="8">
        <f t="shared" si="1"/>
        <v>0</v>
      </c>
      <c r="K31" s="3"/>
      <c r="L31" s="7">
        <f t="shared" si="2"/>
        <v>-8765.4030000000002</v>
      </c>
      <c r="M31" s="3"/>
      <c r="N31" s="8">
        <f t="shared" si="3"/>
        <v>-1</v>
      </c>
      <c r="O31" s="12"/>
      <c r="P31" s="7"/>
      <c r="Q31" s="3"/>
      <c r="R31" s="8">
        <f t="shared" si="4"/>
        <v>0</v>
      </c>
      <c r="S31" s="3"/>
      <c r="T31" s="7">
        <v>83803.209749999995</v>
      </c>
      <c r="U31" s="3"/>
      <c r="V31" s="8">
        <f t="shared" si="5"/>
        <v>0</v>
      </c>
      <c r="W31" s="3"/>
      <c r="X31" s="7">
        <f t="shared" si="6"/>
        <v>-83803.209749999995</v>
      </c>
      <c r="Y31" s="3"/>
      <c r="Z31" s="8">
        <f t="shared" si="7"/>
        <v>-1</v>
      </c>
    </row>
    <row r="32" spans="1:26" s="70" customFormat="1" ht="15" hidden="1" customHeight="1" outlineLevel="2" x14ac:dyDescent="0.3">
      <c r="A32" s="26"/>
      <c r="B32" s="12" t="str">
        <f>CONCATENATE("          ","6003"," - ","STAFF HOURLY-9 MONTH")</f>
        <v xml:space="preserve">          6003 - STAFF HOURLY-9 MONTH</v>
      </c>
      <c r="C32" s="12"/>
      <c r="D32" s="7"/>
      <c r="E32" s="3"/>
      <c r="F32" s="8">
        <f t="shared" si="0"/>
        <v>0</v>
      </c>
      <c r="G32" s="3"/>
      <c r="H32" s="7">
        <v>0</v>
      </c>
      <c r="I32" s="3"/>
      <c r="J32" s="8">
        <f t="shared" si="1"/>
        <v>0</v>
      </c>
      <c r="K32" s="3"/>
      <c r="L32" s="7">
        <f t="shared" si="2"/>
        <v>0</v>
      </c>
      <c r="M32" s="3"/>
      <c r="N32" s="8">
        <f t="shared" si="3"/>
        <v>0</v>
      </c>
      <c r="O32" s="12"/>
      <c r="P32" s="7"/>
      <c r="Q32" s="3"/>
      <c r="R32" s="8">
        <f t="shared" si="4"/>
        <v>0</v>
      </c>
      <c r="S32" s="3"/>
      <c r="T32" s="7">
        <v>0</v>
      </c>
      <c r="U32" s="3"/>
      <c r="V32" s="8">
        <f t="shared" si="5"/>
        <v>0</v>
      </c>
      <c r="W32" s="3"/>
      <c r="X32" s="7">
        <f t="shared" si="6"/>
        <v>0</v>
      </c>
      <c r="Y32" s="3"/>
      <c r="Z32" s="8">
        <f t="shared" si="7"/>
        <v>0</v>
      </c>
    </row>
    <row r="33" spans="1:26" s="70" customFormat="1" ht="15" hidden="1" customHeight="1" outlineLevel="2" x14ac:dyDescent="0.3">
      <c r="A33" s="26"/>
      <c r="B33" s="12" t="str">
        <f>CONCATENATE("          ","6004"," - ","STAFF HOURLY")</f>
        <v xml:space="preserve">          6004 - STAFF HOURLY</v>
      </c>
      <c r="C33" s="12"/>
      <c r="D33" s="7"/>
      <c r="E33" s="3"/>
      <c r="F33" s="8">
        <f t="shared" si="0"/>
        <v>0</v>
      </c>
      <c r="G33" s="3"/>
      <c r="H33" s="7">
        <v>0</v>
      </c>
      <c r="I33" s="3"/>
      <c r="J33" s="8">
        <f t="shared" si="1"/>
        <v>0</v>
      </c>
      <c r="K33" s="3"/>
      <c r="L33" s="7">
        <f t="shared" si="2"/>
        <v>0</v>
      </c>
      <c r="M33" s="3"/>
      <c r="N33" s="8">
        <f t="shared" si="3"/>
        <v>0</v>
      </c>
      <c r="O33" s="12"/>
      <c r="P33" s="7"/>
      <c r="Q33" s="3"/>
      <c r="R33" s="8">
        <f t="shared" si="4"/>
        <v>0</v>
      </c>
      <c r="S33" s="3"/>
      <c r="T33" s="7">
        <v>0</v>
      </c>
      <c r="U33" s="3"/>
      <c r="V33" s="8">
        <f t="shared" si="5"/>
        <v>0</v>
      </c>
      <c r="W33" s="3"/>
      <c r="X33" s="7">
        <f t="shared" si="6"/>
        <v>0</v>
      </c>
      <c r="Y33" s="3"/>
      <c r="Z33" s="8">
        <f t="shared" si="7"/>
        <v>0</v>
      </c>
    </row>
    <row r="34" spans="1:26" s="70" customFormat="1" ht="15" hidden="1" customHeight="1" outlineLevel="2" x14ac:dyDescent="0.3">
      <c r="A34" s="26"/>
      <c r="B34" s="12" t="str">
        <f>CONCATENATE("          ","6005"," - ","TEMPORARY WAGES-HOURLY")</f>
        <v xml:space="preserve">          6005 - TEMPORARY WAGES-HOURLY</v>
      </c>
      <c r="C34" s="12"/>
      <c r="D34" s="7"/>
      <c r="E34" s="3"/>
      <c r="F34" s="8">
        <f t="shared" si="0"/>
        <v>0</v>
      </c>
      <c r="G34" s="3"/>
      <c r="H34" s="7">
        <v>0</v>
      </c>
      <c r="I34" s="3"/>
      <c r="J34" s="8">
        <f t="shared" si="1"/>
        <v>0</v>
      </c>
      <c r="K34" s="3"/>
      <c r="L34" s="7">
        <f t="shared" si="2"/>
        <v>0</v>
      </c>
      <c r="M34" s="3"/>
      <c r="N34" s="8">
        <f t="shared" si="3"/>
        <v>0</v>
      </c>
      <c r="O34" s="12"/>
      <c r="P34" s="7"/>
      <c r="Q34" s="3"/>
      <c r="R34" s="8">
        <f t="shared" si="4"/>
        <v>0</v>
      </c>
      <c r="S34" s="3"/>
      <c r="T34" s="7">
        <v>0</v>
      </c>
      <c r="U34" s="3"/>
      <c r="V34" s="8">
        <f t="shared" si="5"/>
        <v>0</v>
      </c>
      <c r="W34" s="3"/>
      <c r="X34" s="7">
        <f t="shared" si="6"/>
        <v>0</v>
      </c>
      <c r="Y34" s="3"/>
      <c r="Z34" s="8">
        <f t="shared" si="7"/>
        <v>0</v>
      </c>
    </row>
    <row r="35" spans="1:26" s="70" customFormat="1" ht="15" hidden="1" customHeight="1" outlineLevel="2" x14ac:dyDescent="0.3">
      <c r="A35" s="26"/>
      <c r="B35" s="12" t="str">
        <f>CONCATENATE("          ","6006"," - ","TEMPORARY PART TIME")</f>
        <v xml:space="preserve">          6006 - TEMPORARY PART TIME</v>
      </c>
      <c r="C35" s="12"/>
      <c r="D35" s="7"/>
      <c r="E35" s="3"/>
      <c r="F35" s="8">
        <f t="shared" si="0"/>
        <v>0</v>
      </c>
      <c r="G35" s="3"/>
      <c r="H35" s="7">
        <v>0</v>
      </c>
      <c r="I35" s="3"/>
      <c r="J35" s="8">
        <f t="shared" si="1"/>
        <v>0</v>
      </c>
      <c r="K35" s="3"/>
      <c r="L35" s="7">
        <f t="shared" si="2"/>
        <v>0</v>
      </c>
      <c r="M35" s="3"/>
      <c r="N35" s="8">
        <f t="shared" si="3"/>
        <v>0</v>
      </c>
      <c r="O35" s="12"/>
      <c r="P35" s="7"/>
      <c r="Q35" s="3"/>
      <c r="R35" s="8">
        <f t="shared" si="4"/>
        <v>0</v>
      </c>
      <c r="S35" s="3"/>
      <c r="T35" s="7">
        <v>0</v>
      </c>
      <c r="U35" s="3"/>
      <c r="V35" s="8">
        <f t="shared" si="5"/>
        <v>0</v>
      </c>
      <c r="W35" s="3"/>
      <c r="X35" s="7">
        <f t="shared" si="6"/>
        <v>0</v>
      </c>
      <c r="Y35" s="3"/>
      <c r="Z35" s="8">
        <f t="shared" si="7"/>
        <v>0</v>
      </c>
    </row>
    <row r="36" spans="1:26" s="70" customFormat="1" ht="15" hidden="1" customHeight="1" outlineLevel="2" x14ac:dyDescent="0.3">
      <c r="A36" s="26"/>
      <c r="B36" s="12" t="str">
        <f>CONCATENATE("          ","6007"," - ","STUDENT HOURLY")</f>
        <v xml:space="preserve">          6007 - STUDENT HOURLY</v>
      </c>
      <c r="C36" s="12"/>
      <c r="D36" s="7"/>
      <c r="E36" s="3"/>
      <c r="F36" s="8">
        <f t="shared" si="0"/>
        <v>0</v>
      </c>
      <c r="G36" s="3"/>
      <c r="H36" s="7">
        <v>0</v>
      </c>
      <c r="I36" s="3"/>
      <c r="J36" s="8">
        <f t="shared" si="1"/>
        <v>0</v>
      </c>
      <c r="K36" s="3"/>
      <c r="L36" s="7">
        <f t="shared" si="2"/>
        <v>0</v>
      </c>
      <c r="M36" s="3"/>
      <c r="N36" s="8">
        <f t="shared" si="3"/>
        <v>0</v>
      </c>
      <c r="O36" s="12"/>
      <c r="P36" s="7"/>
      <c r="Q36" s="3"/>
      <c r="R36" s="8">
        <f t="shared" si="4"/>
        <v>0</v>
      </c>
      <c r="S36" s="3"/>
      <c r="T36" s="7">
        <v>0</v>
      </c>
      <c r="U36" s="3"/>
      <c r="V36" s="8">
        <f t="shared" si="5"/>
        <v>0</v>
      </c>
      <c r="W36" s="3"/>
      <c r="X36" s="7">
        <f t="shared" si="6"/>
        <v>0</v>
      </c>
      <c r="Y36" s="3"/>
      <c r="Z36" s="8">
        <f t="shared" si="7"/>
        <v>0</v>
      </c>
    </row>
    <row r="37" spans="1:26" s="70" customFormat="1" ht="15" hidden="1" customHeight="1" outlineLevel="2" x14ac:dyDescent="0.3">
      <c r="A37" s="26"/>
      <c r="B37" s="12" t="str">
        <f>CONCATENATE("          ","6008"," - ","STUDENT HOURLY-FICA EXEMPT")</f>
        <v xml:space="preserve">          6008 - STUDENT HOURLY-FICA EXEMPT</v>
      </c>
      <c r="C37" s="12"/>
      <c r="D37" s="7"/>
      <c r="E37" s="3"/>
      <c r="F37" s="8">
        <f t="shared" si="0"/>
        <v>0</v>
      </c>
      <c r="G37" s="3"/>
      <c r="H37" s="7">
        <v>0</v>
      </c>
      <c r="I37" s="3"/>
      <c r="J37" s="8">
        <f t="shared" si="1"/>
        <v>0</v>
      </c>
      <c r="K37" s="3"/>
      <c r="L37" s="7">
        <f t="shared" si="2"/>
        <v>0</v>
      </c>
      <c r="M37" s="3"/>
      <c r="N37" s="8">
        <f t="shared" si="3"/>
        <v>0</v>
      </c>
      <c r="O37" s="12"/>
      <c r="P37" s="7"/>
      <c r="Q37" s="3"/>
      <c r="R37" s="8">
        <f t="shared" si="4"/>
        <v>0</v>
      </c>
      <c r="S37" s="3"/>
      <c r="T37" s="7">
        <v>0</v>
      </c>
      <c r="U37" s="3"/>
      <c r="V37" s="8">
        <f t="shared" si="5"/>
        <v>0</v>
      </c>
      <c r="W37" s="3"/>
      <c r="X37" s="7">
        <f t="shared" si="6"/>
        <v>0</v>
      </c>
      <c r="Y37" s="3"/>
      <c r="Z37" s="8">
        <f t="shared" si="7"/>
        <v>0</v>
      </c>
    </row>
    <row r="38" spans="1:26" s="70" customFormat="1" ht="15" hidden="1" customHeight="1" outlineLevel="2" x14ac:dyDescent="0.3">
      <c r="A38" s="26"/>
      <c r="B38" s="12" t="str">
        <f>CONCATENATE("          ","6009"," - ","TEMPORARY-SEASONAL")</f>
        <v xml:space="preserve">          6009 - TEMPORARY-SEASONAL</v>
      </c>
      <c r="C38" s="12"/>
      <c r="D38" s="7"/>
      <c r="E38" s="3"/>
      <c r="F38" s="8">
        <f t="shared" si="0"/>
        <v>0</v>
      </c>
      <c r="G38" s="3"/>
      <c r="H38" s="7">
        <v>0</v>
      </c>
      <c r="I38" s="3"/>
      <c r="J38" s="8">
        <f t="shared" si="1"/>
        <v>0</v>
      </c>
      <c r="K38" s="3"/>
      <c r="L38" s="7">
        <f t="shared" si="2"/>
        <v>0</v>
      </c>
      <c r="M38" s="3"/>
      <c r="N38" s="8">
        <f t="shared" si="3"/>
        <v>0</v>
      </c>
      <c r="O38" s="12"/>
      <c r="P38" s="7"/>
      <c r="Q38" s="3"/>
      <c r="R38" s="8">
        <f t="shared" si="4"/>
        <v>0</v>
      </c>
      <c r="S38" s="3"/>
      <c r="T38" s="7">
        <v>0</v>
      </c>
      <c r="U38" s="3"/>
      <c r="V38" s="8">
        <f t="shared" si="5"/>
        <v>0</v>
      </c>
      <c r="W38" s="3"/>
      <c r="X38" s="7">
        <f t="shared" si="6"/>
        <v>0</v>
      </c>
      <c r="Y38" s="3"/>
      <c r="Z38" s="8">
        <f t="shared" si="7"/>
        <v>0</v>
      </c>
    </row>
    <row r="39" spans="1:26" s="70" customFormat="1" ht="15" hidden="1" customHeight="1" outlineLevel="2" x14ac:dyDescent="0.3">
      <c r="A39" s="26"/>
      <c r="B39" s="12" t="str">
        <f>CONCATENATE("          ","6010"," - ","GRATUITY")</f>
        <v xml:space="preserve">          6010 - GRATUITY</v>
      </c>
      <c r="C39" s="12"/>
      <c r="D39" s="7"/>
      <c r="E39" s="3"/>
      <c r="F39" s="8">
        <f t="shared" si="0"/>
        <v>0</v>
      </c>
      <c r="G39" s="3"/>
      <c r="H39" s="7">
        <v>0</v>
      </c>
      <c r="I39" s="3"/>
      <c r="J39" s="8">
        <f t="shared" si="1"/>
        <v>0</v>
      </c>
      <c r="K39" s="3"/>
      <c r="L39" s="7">
        <f t="shared" si="2"/>
        <v>0</v>
      </c>
      <c r="M39" s="3"/>
      <c r="N39" s="8">
        <f t="shared" si="3"/>
        <v>0</v>
      </c>
      <c r="O39" s="12"/>
      <c r="P39" s="7"/>
      <c r="Q39" s="3"/>
      <c r="R39" s="8">
        <f t="shared" si="4"/>
        <v>0</v>
      </c>
      <c r="S39" s="3"/>
      <c r="T39" s="7">
        <v>0</v>
      </c>
      <c r="U39" s="3"/>
      <c r="V39" s="8">
        <f t="shared" si="5"/>
        <v>0</v>
      </c>
      <c r="W39" s="3"/>
      <c r="X39" s="7">
        <f t="shared" si="6"/>
        <v>0</v>
      </c>
      <c r="Y39" s="3"/>
      <c r="Z39" s="8">
        <f t="shared" si="7"/>
        <v>0</v>
      </c>
    </row>
    <row r="40" spans="1:26" s="69" customFormat="1" ht="15" customHeight="1" outlineLevel="1" collapsed="1" x14ac:dyDescent="0.3">
      <c r="A40" s="25"/>
      <c r="B40" s="14" t="str">
        <f>CONCATENATE("     ","Advertising/Promo                                 ")</f>
        <v xml:space="preserve">     Advertising/Promo                                 </v>
      </c>
      <c r="C40" s="14"/>
      <c r="D40" s="2">
        <f>SUM(OSRRefD22_2x_0)</f>
        <v>0</v>
      </c>
      <c r="E40" s="2"/>
      <c r="F40" s="6">
        <f t="shared" si="0"/>
        <v>0</v>
      </c>
      <c r="G40" s="2"/>
      <c r="H40" s="2">
        <f>SUM(OSRRefH22_2x_0)</f>
        <v>0</v>
      </c>
      <c r="I40" s="2"/>
      <c r="J40" s="6">
        <f t="shared" si="1"/>
        <v>0</v>
      </c>
      <c r="K40" s="2"/>
      <c r="L40" s="2">
        <f t="shared" si="2"/>
        <v>0</v>
      </c>
      <c r="M40" s="2"/>
      <c r="N40" s="6">
        <f t="shared" si="3"/>
        <v>0</v>
      </c>
      <c r="O40" s="14"/>
      <c r="P40" s="2">
        <f>SUM(OSRRefP22_2x_0)</f>
        <v>45</v>
      </c>
      <c r="Q40" s="2"/>
      <c r="R40" s="6">
        <f t="shared" si="4"/>
        <v>0</v>
      </c>
      <c r="S40" s="2"/>
      <c r="T40" s="2">
        <f>SUM(OSRRefT22_2x_0)</f>
        <v>0</v>
      </c>
      <c r="U40" s="2"/>
      <c r="V40" s="6">
        <f t="shared" si="5"/>
        <v>0</v>
      </c>
      <c r="W40" s="2"/>
      <c r="X40" s="2">
        <f t="shared" si="6"/>
        <v>45</v>
      </c>
      <c r="Y40" s="2"/>
      <c r="Z40" s="6">
        <f t="shared" si="7"/>
        <v>0</v>
      </c>
    </row>
    <row r="41" spans="1:26" s="70" customFormat="1" ht="15" hidden="1" customHeight="1" outlineLevel="2" x14ac:dyDescent="0.3">
      <c r="A41" s="26"/>
      <c r="B41" s="12" t="str">
        <f>CONCATENATE("          ","6362"," - ","ADVERTISING EXPENSE")</f>
        <v xml:space="preserve">          6362 - ADVERTISING EXPENSE</v>
      </c>
      <c r="C41" s="12"/>
      <c r="D41" s="7"/>
      <c r="E41" s="3"/>
      <c r="F41" s="8">
        <f t="shared" si="0"/>
        <v>0</v>
      </c>
      <c r="G41" s="3"/>
      <c r="H41" s="7"/>
      <c r="I41" s="3"/>
      <c r="J41" s="8">
        <f t="shared" si="1"/>
        <v>0</v>
      </c>
      <c r="K41" s="3"/>
      <c r="L41" s="7">
        <f t="shared" si="2"/>
        <v>0</v>
      </c>
      <c r="M41" s="3"/>
      <c r="N41" s="8">
        <f t="shared" si="3"/>
        <v>0</v>
      </c>
      <c r="O41" s="12"/>
      <c r="P41" s="7">
        <v>45</v>
      </c>
      <c r="Q41" s="3"/>
      <c r="R41" s="8">
        <f t="shared" si="4"/>
        <v>0</v>
      </c>
      <c r="S41" s="3"/>
      <c r="T41" s="7"/>
      <c r="U41" s="3"/>
      <c r="V41" s="8">
        <f t="shared" si="5"/>
        <v>0</v>
      </c>
      <c r="W41" s="3"/>
      <c r="X41" s="7">
        <f t="shared" si="6"/>
        <v>45</v>
      </c>
      <c r="Y41" s="3"/>
      <c r="Z41" s="8">
        <f t="shared" si="7"/>
        <v>0</v>
      </c>
    </row>
    <row r="42" spans="1:26" s="69" customFormat="1" ht="15" customHeight="1" outlineLevel="1" collapsed="1" x14ac:dyDescent="0.3">
      <c r="A42" s="25"/>
      <c r="B42" s="14" t="str">
        <f>CONCATENATE("     ","General                                           ")</f>
        <v xml:space="preserve">     General                                           </v>
      </c>
      <c r="C42" s="14"/>
      <c r="D42" s="2">
        <f>SUM(OSRRefD22_3x_0)</f>
        <v>0</v>
      </c>
      <c r="E42" s="2"/>
      <c r="F42" s="6">
        <f t="shared" si="0"/>
        <v>0</v>
      </c>
      <c r="G42" s="2"/>
      <c r="H42" s="2">
        <f>SUM(OSRRefH22_3x_0)</f>
        <v>200</v>
      </c>
      <c r="I42" s="2"/>
      <c r="J42" s="6">
        <f t="shared" si="1"/>
        <v>0</v>
      </c>
      <c r="K42" s="2"/>
      <c r="L42" s="2">
        <f t="shared" si="2"/>
        <v>-200</v>
      </c>
      <c r="M42" s="2"/>
      <c r="N42" s="6">
        <f t="shared" si="3"/>
        <v>-1</v>
      </c>
      <c r="O42" s="14"/>
      <c r="P42" s="2">
        <f>SUM(OSRRefP22_3x_0)</f>
        <v>530</v>
      </c>
      <c r="Q42" s="2"/>
      <c r="R42" s="6">
        <f t="shared" si="4"/>
        <v>0</v>
      </c>
      <c r="S42" s="2"/>
      <c r="T42" s="2">
        <f>SUM(OSRRefT22_3x_0)</f>
        <v>1800</v>
      </c>
      <c r="U42" s="2"/>
      <c r="V42" s="6">
        <f t="shared" si="5"/>
        <v>0</v>
      </c>
      <c r="W42" s="2"/>
      <c r="X42" s="2">
        <f t="shared" si="6"/>
        <v>-1270</v>
      </c>
      <c r="Y42" s="2"/>
      <c r="Z42" s="6">
        <f t="shared" si="7"/>
        <v>-0.7055555555555556</v>
      </c>
    </row>
    <row r="43" spans="1:26" s="70" customFormat="1" ht="15" hidden="1" customHeight="1" outlineLevel="2" x14ac:dyDescent="0.3">
      <c r="A43" s="26"/>
      <c r="B43" s="12" t="str">
        <f>CONCATENATE("          ","6279"," - ","GENERAL EXPENSE")</f>
        <v xml:space="preserve">          6279 - GENERAL EXPENSE</v>
      </c>
      <c r="C43" s="12"/>
      <c r="D43" s="7"/>
      <c r="E43" s="3"/>
      <c r="F43" s="8">
        <f t="shared" si="0"/>
        <v>0</v>
      </c>
      <c r="G43" s="3"/>
      <c r="H43" s="7">
        <v>200</v>
      </c>
      <c r="I43" s="3"/>
      <c r="J43" s="8">
        <f t="shared" si="1"/>
        <v>0</v>
      </c>
      <c r="K43" s="3"/>
      <c r="L43" s="7">
        <f t="shared" si="2"/>
        <v>-200</v>
      </c>
      <c r="M43" s="3"/>
      <c r="N43" s="8">
        <f t="shared" si="3"/>
        <v>-1</v>
      </c>
      <c r="O43" s="12"/>
      <c r="P43" s="7">
        <v>530</v>
      </c>
      <c r="Q43" s="3"/>
      <c r="R43" s="8">
        <f t="shared" si="4"/>
        <v>0</v>
      </c>
      <c r="S43" s="3"/>
      <c r="T43" s="7">
        <v>1800</v>
      </c>
      <c r="U43" s="3"/>
      <c r="V43" s="8">
        <f t="shared" si="5"/>
        <v>0</v>
      </c>
      <c r="W43" s="3"/>
      <c r="X43" s="7">
        <f t="shared" si="6"/>
        <v>-1270</v>
      </c>
      <c r="Y43" s="3"/>
      <c r="Z43" s="8">
        <f t="shared" si="7"/>
        <v>-0.7055555555555556</v>
      </c>
    </row>
    <row r="44" spans="1:26" s="69" customFormat="1" ht="15" customHeight="1" outlineLevel="1" collapsed="1" x14ac:dyDescent="0.3">
      <c r="A44" s="25"/>
      <c r="B44" s="14" t="str">
        <f>CONCATENATE("     ","Repair and Maintenance                            ")</f>
        <v xml:space="preserve">     Repair and Maintenance                            </v>
      </c>
      <c r="C44" s="14"/>
      <c r="D44" s="2">
        <f>SUM(OSRRefD22_4x_0)</f>
        <v>3500</v>
      </c>
      <c r="E44" s="2"/>
      <c r="F44" s="6">
        <f t="shared" si="0"/>
        <v>0</v>
      </c>
      <c r="G44" s="2"/>
      <c r="H44" s="2">
        <f>SUM(OSRRefH22_4x_0)</f>
        <v>3500</v>
      </c>
      <c r="I44" s="2"/>
      <c r="J44" s="6">
        <f t="shared" si="1"/>
        <v>0</v>
      </c>
      <c r="K44" s="2"/>
      <c r="L44" s="2">
        <f t="shared" si="2"/>
        <v>0</v>
      </c>
      <c r="M44" s="2"/>
      <c r="N44" s="6">
        <f t="shared" si="3"/>
        <v>0</v>
      </c>
      <c r="O44" s="14"/>
      <c r="P44" s="2">
        <f>SUM(OSRRefP22_4x_0)</f>
        <v>31500</v>
      </c>
      <c r="Q44" s="2"/>
      <c r="R44" s="6">
        <f t="shared" si="4"/>
        <v>0</v>
      </c>
      <c r="S44" s="2"/>
      <c r="T44" s="2">
        <f>SUM(OSRRefT22_4x_0)</f>
        <v>31500</v>
      </c>
      <c r="U44" s="2"/>
      <c r="V44" s="6">
        <f t="shared" si="5"/>
        <v>0</v>
      </c>
      <c r="W44" s="2"/>
      <c r="X44" s="2">
        <f t="shared" si="6"/>
        <v>0</v>
      </c>
      <c r="Y44" s="2"/>
      <c r="Z44" s="6">
        <f t="shared" si="7"/>
        <v>0</v>
      </c>
    </row>
    <row r="45" spans="1:26" s="70" customFormat="1" ht="15" hidden="1" customHeight="1" outlineLevel="2" x14ac:dyDescent="0.3">
      <c r="A45" s="26"/>
      <c r="B45" s="12" t="str">
        <f>CONCATENATE("          ","6371"," - ","COMPUTER SOFTWARE MAINTENANCE")</f>
        <v xml:space="preserve">          6371 - COMPUTER SOFTWARE MAINTENANCE</v>
      </c>
      <c r="C45" s="12"/>
      <c r="D45" s="7">
        <v>3500</v>
      </c>
      <c r="E45" s="3"/>
      <c r="F45" s="8">
        <f t="shared" si="0"/>
        <v>0</v>
      </c>
      <c r="G45" s="3"/>
      <c r="H45" s="7">
        <v>3500</v>
      </c>
      <c r="I45" s="3"/>
      <c r="J45" s="8">
        <f t="shared" si="1"/>
        <v>0</v>
      </c>
      <c r="K45" s="3"/>
      <c r="L45" s="7">
        <f t="shared" si="2"/>
        <v>0</v>
      </c>
      <c r="M45" s="3"/>
      <c r="N45" s="8">
        <f t="shared" si="3"/>
        <v>0</v>
      </c>
      <c r="O45" s="12"/>
      <c r="P45" s="7">
        <v>31500</v>
      </c>
      <c r="Q45" s="3"/>
      <c r="R45" s="8">
        <f t="shared" si="4"/>
        <v>0</v>
      </c>
      <c r="S45" s="3"/>
      <c r="T45" s="7">
        <v>31500</v>
      </c>
      <c r="U45" s="3"/>
      <c r="V45" s="8">
        <f t="shared" si="5"/>
        <v>0</v>
      </c>
      <c r="W45" s="3"/>
      <c r="X45" s="7">
        <f t="shared" si="6"/>
        <v>0</v>
      </c>
      <c r="Y45" s="3"/>
      <c r="Z45" s="8">
        <f t="shared" si="7"/>
        <v>0</v>
      </c>
    </row>
    <row r="46" spans="1:26" s="69" customFormat="1" ht="15" customHeight="1" outlineLevel="1" collapsed="1" x14ac:dyDescent="0.3">
      <c r="A46" s="25"/>
      <c r="B46" s="14" t="str">
        <f>CONCATENATE("     ","Supplies                                          ")</f>
        <v xml:space="preserve">     Supplies                                          </v>
      </c>
      <c r="C46" s="14"/>
      <c r="D46" s="2">
        <f>SUM(OSRRefD22_5x_0)</f>
        <v>0</v>
      </c>
      <c r="E46" s="2"/>
      <c r="F46" s="6">
        <f t="shared" si="0"/>
        <v>0</v>
      </c>
      <c r="G46" s="2"/>
      <c r="H46" s="2">
        <f>SUM(OSRRefH22_5x_0)</f>
        <v>342</v>
      </c>
      <c r="I46" s="2"/>
      <c r="J46" s="6">
        <f t="shared" si="1"/>
        <v>0</v>
      </c>
      <c r="K46" s="2"/>
      <c r="L46" s="2">
        <f t="shared" si="2"/>
        <v>-342</v>
      </c>
      <c r="M46" s="2"/>
      <c r="N46" s="6">
        <f t="shared" si="3"/>
        <v>-1</v>
      </c>
      <c r="O46" s="14"/>
      <c r="P46" s="2">
        <f>SUM(OSRRefP22_5x_0)</f>
        <v>2371.52</v>
      </c>
      <c r="Q46" s="2"/>
      <c r="R46" s="6">
        <f t="shared" si="4"/>
        <v>0</v>
      </c>
      <c r="S46" s="2"/>
      <c r="T46" s="2">
        <f>SUM(OSRRefT22_5x_0)</f>
        <v>3078</v>
      </c>
      <c r="U46" s="2"/>
      <c r="V46" s="6">
        <f t="shared" si="5"/>
        <v>0</v>
      </c>
      <c r="W46" s="2"/>
      <c r="X46" s="2">
        <f t="shared" si="6"/>
        <v>-706.48</v>
      </c>
      <c r="Y46" s="2"/>
      <c r="Z46" s="6">
        <f t="shared" si="7"/>
        <v>-0.22952566601689409</v>
      </c>
    </row>
    <row r="47" spans="1:26" s="70" customFormat="1" ht="15" hidden="1" customHeight="1" outlineLevel="2" x14ac:dyDescent="0.3">
      <c r="A47" s="26"/>
      <c r="B47" s="12" t="str">
        <f>CONCATENATE("          ","6234"," - ","EXPENDABLE SUPPLIES &amp; EQUIPMEN")</f>
        <v xml:space="preserve">          6234 - EXPENDABLE SUPPLIES &amp; EQUIPMEN</v>
      </c>
      <c r="C47" s="12"/>
      <c r="D47" s="7"/>
      <c r="E47" s="3"/>
      <c r="F47" s="8">
        <f t="shared" si="0"/>
        <v>0</v>
      </c>
      <c r="G47" s="3"/>
      <c r="H47" s="7">
        <v>342</v>
      </c>
      <c r="I47" s="3"/>
      <c r="J47" s="8">
        <f t="shared" si="1"/>
        <v>0</v>
      </c>
      <c r="K47" s="3"/>
      <c r="L47" s="7">
        <f t="shared" si="2"/>
        <v>-342</v>
      </c>
      <c r="M47" s="3"/>
      <c r="N47" s="8">
        <f t="shared" si="3"/>
        <v>-1</v>
      </c>
      <c r="O47" s="12"/>
      <c r="P47" s="7"/>
      <c r="Q47" s="3"/>
      <c r="R47" s="8">
        <f t="shared" si="4"/>
        <v>0</v>
      </c>
      <c r="S47" s="3"/>
      <c r="T47" s="7">
        <v>3078</v>
      </c>
      <c r="U47" s="3"/>
      <c r="V47" s="8">
        <f t="shared" si="5"/>
        <v>0</v>
      </c>
      <c r="W47" s="3"/>
      <c r="X47" s="7">
        <f t="shared" si="6"/>
        <v>-3078</v>
      </c>
      <c r="Y47" s="3"/>
      <c r="Z47" s="8">
        <f t="shared" si="7"/>
        <v>-1</v>
      </c>
    </row>
    <row r="48" spans="1:26" s="70" customFormat="1" ht="15" hidden="1" customHeight="1" outlineLevel="2" x14ac:dyDescent="0.3">
      <c r="A48" s="26"/>
      <c r="B48" s="12" t="str">
        <f>CONCATENATE("          ","6241"," - ","OFFICE EXPENSE")</f>
        <v xml:space="preserve">          6241 - OFFICE EXPENSE</v>
      </c>
      <c r="C48" s="12"/>
      <c r="D48" s="7"/>
      <c r="E48" s="3"/>
      <c r="F48" s="8">
        <f t="shared" si="0"/>
        <v>0</v>
      </c>
      <c r="G48" s="3"/>
      <c r="H48" s="7"/>
      <c r="I48" s="3"/>
      <c r="J48" s="8">
        <f t="shared" si="1"/>
        <v>0</v>
      </c>
      <c r="K48" s="3"/>
      <c r="L48" s="7">
        <f t="shared" si="2"/>
        <v>0</v>
      </c>
      <c r="M48" s="3"/>
      <c r="N48" s="8">
        <f t="shared" si="3"/>
        <v>0</v>
      </c>
      <c r="O48" s="12"/>
      <c r="P48" s="7">
        <v>2371.52</v>
      </c>
      <c r="Q48" s="3"/>
      <c r="R48" s="8">
        <f t="shared" si="4"/>
        <v>0</v>
      </c>
      <c r="S48" s="3"/>
      <c r="T48" s="7"/>
      <c r="U48" s="3"/>
      <c r="V48" s="8">
        <f t="shared" si="5"/>
        <v>0</v>
      </c>
      <c r="W48" s="3"/>
      <c r="X48" s="7">
        <f t="shared" si="6"/>
        <v>2371.52</v>
      </c>
      <c r="Y48" s="3"/>
      <c r="Z48" s="8">
        <f t="shared" si="7"/>
        <v>0</v>
      </c>
    </row>
    <row r="49" spans="1:26" s="69" customFormat="1" ht="15" customHeight="1" outlineLevel="1" collapsed="1" x14ac:dyDescent="0.3">
      <c r="A49" s="25"/>
      <c r="B49" s="14" t="str">
        <f>CONCATENATE("     ","Telephone/Data Lines                              ")</f>
        <v xml:space="preserve">     Telephone/Data Lines                              </v>
      </c>
      <c r="C49" s="14"/>
      <c r="D49" s="2">
        <f>SUM(OSRRefD22_6x_0)</f>
        <v>75</v>
      </c>
      <c r="E49" s="2"/>
      <c r="F49" s="6">
        <f t="shared" si="0"/>
        <v>0</v>
      </c>
      <c r="G49" s="2"/>
      <c r="H49" s="2">
        <f>SUM(OSRRefH22_6x_0)</f>
        <v>83</v>
      </c>
      <c r="I49" s="2"/>
      <c r="J49" s="6">
        <f t="shared" si="1"/>
        <v>0</v>
      </c>
      <c r="K49" s="2"/>
      <c r="L49" s="2">
        <f t="shared" si="2"/>
        <v>-8</v>
      </c>
      <c r="M49" s="2"/>
      <c r="N49" s="6">
        <f t="shared" si="3"/>
        <v>-9.6385542168674704E-2</v>
      </c>
      <c r="O49" s="14"/>
      <c r="P49" s="2">
        <f>SUM(OSRRefP22_6x_0)</f>
        <v>658</v>
      </c>
      <c r="Q49" s="2"/>
      <c r="R49" s="6">
        <f t="shared" si="4"/>
        <v>0</v>
      </c>
      <c r="S49" s="2"/>
      <c r="T49" s="2">
        <f>SUM(OSRRefT22_6x_0)</f>
        <v>747</v>
      </c>
      <c r="U49" s="2"/>
      <c r="V49" s="6">
        <f t="shared" si="5"/>
        <v>0</v>
      </c>
      <c r="W49" s="2"/>
      <c r="X49" s="2">
        <f t="shared" si="6"/>
        <v>-89</v>
      </c>
      <c r="Y49" s="2"/>
      <c r="Z49" s="6">
        <f t="shared" si="7"/>
        <v>-0.11914323962516733</v>
      </c>
    </row>
    <row r="50" spans="1:26" s="70" customFormat="1" ht="15" hidden="1" customHeight="1" outlineLevel="2" x14ac:dyDescent="0.3">
      <c r="A50" s="26"/>
      <c r="B50" s="12" t="str">
        <f>CONCATENATE("          ","6303"," - ","DATA PHONE LINES")</f>
        <v xml:space="preserve">          6303 - DATA PHONE LINES</v>
      </c>
      <c r="C50" s="12"/>
      <c r="D50" s="7"/>
      <c r="E50" s="3"/>
      <c r="F50" s="8">
        <f t="shared" si="0"/>
        <v>0</v>
      </c>
      <c r="G50" s="3"/>
      <c r="H50" s="7">
        <v>58</v>
      </c>
      <c r="I50" s="3"/>
      <c r="J50" s="8">
        <f t="shared" si="1"/>
        <v>0</v>
      </c>
      <c r="K50" s="3"/>
      <c r="L50" s="7">
        <f t="shared" si="2"/>
        <v>-58</v>
      </c>
      <c r="M50" s="3"/>
      <c r="N50" s="8">
        <f t="shared" si="3"/>
        <v>-1</v>
      </c>
      <c r="O50" s="12"/>
      <c r="P50" s="7"/>
      <c r="Q50" s="3"/>
      <c r="R50" s="8">
        <f t="shared" si="4"/>
        <v>0</v>
      </c>
      <c r="S50" s="3"/>
      <c r="T50" s="7">
        <v>522</v>
      </c>
      <c r="U50" s="3"/>
      <c r="V50" s="8">
        <f t="shared" si="5"/>
        <v>0</v>
      </c>
      <c r="W50" s="3"/>
      <c r="X50" s="7">
        <f t="shared" si="6"/>
        <v>-522</v>
      </c>
      <c r="Y50" s="3"/>
      <c r="Z50" s="8">
        <f t="shared" si="7"/>
        <v>-1</v>
      </c>
    </row>
    <row r="51" spans="1:26" s="70" customFormat="1" ht="15" hidden="1" customHeight="1" outlineLevel="2" x14ac:dyDescent="0.3">
      <c r="A51" s="26"/>
      <c r="B51" s="12" t="str">
        <f>CONCATENATE("          ","6309"," - ","TELEPHONE")</f>
        <v xml:space="preserve">          6309 - TELEPHONE</v>
      </c>
      <c r="C51" s="12"/>
      <c r="D51" s="7">
        <v>75</v>
      </c>
      <c r="E51" s="3"/>
      <c r="F51" s="8">
        <f t="shared" si="0"/>
        <v>0</v>
      </c>
      <c r="G51" s="3"/>
      <c r="H51" s="7">
        <v>25</v>
      </c>
      <c r="I51" s="3"/>
      <c r="J51" s="8">
        <f t="shared" si="1"/>
        <v>0</v>
      </c>
      <c r="K51" s="3"/>
      <c r="L51" s="7">
        <f t="shared" si="2"/>
        <v>50</v>
      </c>
      <c r="M51" s="3"/>
      <c r="N51" s="8">
        <f t="shared" si="3"/>
        <v>2</v>
      </c>
      <c r="O51" s="12"/>
      <c r="P51" s="7">
        <v>658</v>
      </c>
      <c r="Q51" s="3"/>
      <c r="R51" s="8">
        <f t="shared" si="4"/>
        <v>0</v>
      </c>
      <c r="S51" s="3"/>
      <c r="T51" s="7">
        <v>225</v>
      </c>
      <c r="U51" s="3"/>
      <c r="V51" s="8">
        <f t="shared" si="5"/>
        <v>0</v>
      </c>
      <c r="W51" s="3"/>
      <c r="X51" s="7">
        <f t="shared" si="6"/>
        <v>433</v>
      </c>
      <c r="Y51" s="3"/>
      <c r="Z51" s="8">
        <f t="shared" si="7"/>
        <v>1.9244444444444444</v>
      </c>
    </row>
    <row r="52" spans="1:26" s="69" customFormat="1" ht="15" customHeight="1" outlineLevel="1" collapsed="1" x14ac:dyDescent="0.3">
      <c r="A52" s="25"/>
      <c r="B52" s="14" t="str">
        <f>CONCATENATE("     ","Training                                          ")</f>
        <v xml:space="preserve">     Training                                          </v>
      </c>
      <c r="C52" s="14"/>
      <c r="D52" s="2">
        <f>SUM(OSRRefD22_7x_0)</f>
        <v>2465.1</v>
      </c>
      <c r="E52" s="2"/>
      <c r="F52" s="6">
        <f t="shared" si="0"/>
        <v>0</v>
      </c>
      <c r="G52" s="2"/>
      <c r="H52" s="2">
        <f>SUM(OSRRefH22_7x_0)</f>
        <v>300</v>
      </c>
      <c r="I52" s="2"/>
      <c r="J52" s="6">
        <f t="shared" si="1"/>
        <v>0</v>
      </c>
      <c r="K52" s="2"/>
      <c r="L52" s="2">
        <f t="shared" si="2"/>
        <v>2165.1</v>
      </c>
      <c r="M52" s="2"/>
      <c r="N52" s="6">
        <f t="shared" si="3"/>
        <v>7.2169999999999996</v>
      </c>
      <c r="O52" s="14"/>
      <c r="P52" s="2">
        <f>SUM(OSRRefP22_7x_0)</f>
        <v>7613.97</v>
      </c>
      <c r="Q52" s="2"/>
      <c r="R52" s="6">
        <f t="shared" si="4"/>
        <v>0</v>
      </c>
      <c r="S52" s="2"/>
      <c r="T52" s="2">
        <f>SUM(OSRRefT22_7x_0)</f>
        <v>2700</v>
      </c>
      <c r="U52" s="2"/>
      <c r="V52" s="6">
        <f t="shared" si="5"/>
        <v>0</v>
      </c>
      <c r="W52" s="2"/>
      <c r="X52" s="2">
        <f t="shared" si="6"/>
        <v>4913.97</v>
      </c>
      <c r="Y52" s="2"/>
      <c r="Z52" s="6">
        <f t="shared" si="7"/>
        <v>1.8199888888888889</v>
      </c>
    </row>
    <row r="53" spans="1:26" s="70" customFormat="1" ht="15" hidden="1" customHeight="1" outlineLevel="2" x14ac:dyDescent="0.3">
      <c r="A53" s="26"/>
      <c r="B53" s="12" t="str">
        <f>CONCATENATE("          ","6376"," - ","TRAINING")</f>
        <v xml:space="preserve">          6376 - TRAINING</v>
      </c>
      <c r="C53" s="12"/>
      <c r="D53" s="7">
        <v>2465.1</v>
      </c>
      <c r="E53" s="3"/>
      <c r="F53" s="8">
        <f t="shared" si="0"/>
        <v>0</v>
      </c>
      <c r="G53" s="3"/>
      <c r="H53" s="7">
        <v>300</v>
      </c>
      <c r="I53" s="3"/>
      <c r="J53" s="8">
        <f t="shared" si="1"/>
        <v>0</v>
      </c>
      <c r="K53" s="3"/>
      <c r="L53" s="7">
        <f t="shared" si="2"/>
        <v>2165.1</v>
      </c>
      <c r="M53" s="3"/>
      <c r="N53" s="8">
        <f t="shared" si="3"/>
        <v>7.2169999999999996</v>
      </c>
      <c r="O53" s="12"/>
      <c r="P53" s="7">
        <v>7613.97</v>
      </c>
      <c r="Q53" s="3"/>
      <c r="R53" s="8">
        <f t="shared" si="4"/>
        <v>0</v>
      </c>
      <c r="S53" s="3"/>
      <c r="T53" s="7">
        <v>2700</v>
      </c>
      <c r="U53" s="3"/>
      <c r="V53" s="8">
        <f t="shared" si="5"/>
        <v>0</v>
      </c>
      <c r="W53" s="3"/>
      <c r="X53" s="7">
        <f t="shared" si="6"/>
        <v>4913.97</v>
      </c>
      <c r="Y53" s="3"/>
      <c r="Z53" s="8">
        <f t="shared" si="7"/>
        <v>1.8199888888888889</v>
      </c>
    </row>
    <row r="54" spans="1:26" s="69" customFormat="1" ht="15" customHeight="1" outlineLevel="1" collapsed="1" x14ac:dyDescent="0.3">
      <c r="A54" s="25"/>
      <c r="B54" s="14" t="str">
        <f>CONCATENATE("     ","Travel                                            ")</f>
        <v xml:space="preserve">     Travel                                            </v>
      </c>
      <c r="C54" s="14"/>
      <c r="D54" s="2">
        <f>SUM(OSRRefD22_8x_0)</f>
        <v>0</v>
      </c>
      <c r="E54" s="2"/>
      <c r="F54" s="6">
        <f t="shared" si="0"/>
        <v>0</v>
      </c>
      <c r="G54" s="2"/>
      <c r="H54" s="2">
        <f>SUM(OSRRefH22_8x_0)</f>
        <v>0</v>
      </c>
      <c r="I54" s="2"/>
      <c r="J54" s="6">
        <f t="shared" si="1"/>
        <v>0</v>
      </c>
      <c r="K54" s="2"/>
      <c r="L54" s="2">
        <f t="shared" si="2"/>
        <v>0</v>
      </c>
      <c r="M54" s="2"/>
      <c r="N54" s="6">
        <f t="shared" si="3"/>
        <v>0</v>
      </c>
      <c r="O54" s="14"/>
      <c r="P54" s="2">
        <f>SUM(OSRRefP22_8x_0)</f>
        <v>595</v>
      </c>
      <c r="Q54" s="2"/>
      <c r="R54" s="6">
        <f t="shared" si="4"/>
        <v>0</v>
      </c>
      <c r="S54" s="2"/>
      <c r="T54" s="2">
        <f>SUM(OSRRefT22_8x_0)</f>
        <v>0</v>
      </c>
      <c r="U54" s="2"/>
      <c r="V54" s="6">
        <f t="shared" si="5"/>
        <v>0</v>
      </c>
      <c r="W54" s="2"/>
      <c r="X54" s="2">
        <f t="shared" si="6"/>
        <v>595</v>
      </c>
      <c r="Y54" s="2"/>
      <c r="Z54" s="6">
        <f t="shared" si="7"/>
        <v>0</v>
      </c>
    </row>
    <row r="55" spans="1:26" s="70" customFormat="1" ht="15" hidden="1" customHeight="1" outlineLevel="2" x14ac:dyDescent="0.3">
      <c r="A55" s="26"/>
      <c r="B55" s="12" t="str">
        <f>CONCATENATE("          ","6292"," - ","TRAVEL/CONFERENCE")</f>
        <v xml:space="preserve">          6292 - TRAVEL/CONFERENCE</v>
      </c>
      <c r="C55" s="12"/>
      <c r="D55" s="7"/>
      <c r="E55" s="3"/>
      <c r="F55" s="8">
        <f t="shared" si="0"/>
        <v>0</v>
      </c>
      <c r="G55" s="3"/>
      <c r="H55" s="7"/>
      <c r="I55" s="3"/>
      <c r="J55" s="8">
        <f t="shared" si="1"/>
        <v>0</v>
      </c>
      <c r="K55" s="3"/>
      <c r="L55" s="7">
        <f t="shared" si="2"/>
        <v>0</v>
      </c>
      <c r="M55" s="3"/>
      <c r="N55" s="8">
        <f t="shared" si="3"/>
        <v>0</v>
      </c>
      <c r="O55" s="12"/>
      <c r="P55" s="7">
        <v>595</v>
      </c>
      <c r="Q55" s="3"/>
      <c r="R55" s="8">
        <f t="shared" si="4"/>
        <v>0</v>
      </c>
      <c r="S55" s="3"/>
      <c r="T55" s="7"/>
      <c r="U55" s="3"/>
      <c r="V55" s="8">
        <f t="shared" si="5"/>
        <v>0</v>
      </c>
      <c r="W55" s="3"/>
      <c r="X55" s="7">
        <f t="shared" si="6"/>
        <v>595</v>
      </c>
      <c r="Y55" s="3"/>
      <c r="Z55" s="8">
        <f t="shared" si="7"/>
        <v>0</v>
      </c>
    </row>
    <row r="56" spans="1:26" s="65" customFormat="1" ht="15" customHeight="1" x14ac:dyDescent="0.3">
      <c r="A56" s="35"/>
      <c r="B56" s="35"/>
      <c r="C56" s="35"/>
      <c r="D56" s="2"/>
      <c r="E56" s="2"/>
      <c r="F56" s="6"/>
      <c r="G56" s="2"/>
      <c r="H56" s="2"/>
      <c r="I56" s="2"/>
      <c r="J56" s="6"/>
      <c r="K56" s="2"/>
      <c r="L56" s="2"/>
      <c r="M56" s="2"/>
      <c r="N56" s="6"/>
      <c r="O56" s="35"/>
      <c r="P56" s="2"/>
      <c r="Q56" s="2"/>
      <c r="R56" s="6"/>
      <c r="S56" s="2"/>
      <c r="T56" s="2"/>
      <c r="U56" s="2"/>
      <c r="V56" s="6"/>
      <c r="W56" s="2"/>
      <c r="X56" s="2"/>
      <c r="Y56" s="2"/>
      <c r="Z56" s="6"/>
    </row>
    <row r="57" spans="1:26" s="63" customFormat="1" ht="15" customHeight="1" x14ac:dyDescent="0.3">
      <c r="A57" s="11"/>
      <c r="B57" s="28" t="s">
        <v>291</v>
      </c>
      <c r="C57" s="11"/>
      <c r="D57" s="5">
        <f>SUM(0)</f>
        <v>0</v>
      </c>
      <c r="E57" s="5"/>
      <c r="F57" s="13">
        <f>IF(D$12=0,0,D57/D$12)</f>
        <v>0</v>
      </c>
      <c r="G57" s="5"/>
      <c r="H57" s="5">
        <f>SUM(0)</f>
        <v>0</v>
      </c>
      <c r="I57" s="5"/>
      <c r="J57" s="13">
        <f>IF(H$12=0,0,H57/H$12)</f>
        <v>0</v>
      </c>
      <c r="K57" s="5"/>
      <c r="L57" s="5">
        <f>+D57-H57</f>
        <v>0</v>
      </c>
      <c r="M57" s="5"/>
      <c r="N57" s="13">
        <f>IF(H57=0,0,L57/H57)</f>
        <v>0</v>
      </c>
      <c r="O57" s="11"/>
      <c r="P57" s="5">
        <f>SUM(0)</f>
        <v>0</v>
      </c>
      <c r="Q57" s="5"/>
      <c r="R57" s="13">
        <f>IF(P$12=0,0,P57/P$12)</f>
        <v>0</v>
      </c>
      <c r="S57" s="5"/>
      <c r="T57" s="5">
        <f>SUM(0)</f>
        <v>0</v>
      </c>
      <c r="U57" s="5"/>
      <c r="V57" s="13">
        <f>IF(T$12=0,0,T57/T$12)</f>
        <v>0</v>
      </c>
      <c r="W57" s="5"/>
      <c r="X57" s="5">
        <f>+P57-T57</f>
        <v>0</v>
      </c>
      <c r="Y57" s="5"/>
      <c r="Z57" s="13">
        <f>IF(T57=0,0,X57/T57)</f>
        <v>0</v>
      </c>
    </row>
    <row r="58" spans="1:26" ht="15" customHeight="1" x14ac:dyDescent="0.3">
      <c r="A58" s="10"/>
      <c r="B58" s="11"/>
      <c r="C58" s="11"/>
      <c r="D58" s="4"/>
      <c r="E58" s="4"/>
      <c r="F58" s="9"/>
      <c r="G58" s="4"/>
      <c r="H58" s="4"/>
      <c r="I58" s="4"/>
      <c r="J58" s="9"/>
      <c r="K58" s="4"/>
      <c r="L58" s="4"/>
      <c r="M58" s="4"/>
      <c r="N58" s="9"/>
      <c r="O58" s="11"/>
      <c r="P58" s="4"/>
      <c r="Q58" s="4"/>
      <c r="R58" s="9"/>
      <c r="S58" s="4"/>
      <c r="T58" s="4"/>
      <c r="U58" s="4"/>
      <c r="V58" s="9"/>
      <c r="W58" s="4"/>
      <c r="X58" s="4"/>
      <c r="Y58" s="4"/>
      <c r="Z58" s="9"/>
    </row>
    <row r="59" spans="1:26" s="63" customFormat="1" ht="15" customHeight="1" x14ac:dyDescent="0.3">
      <c r="A59" s="11"/>
      <c r="B59" s="27" t="s">
        <v>292</v>
      </c>
      <c r="C59" s="27"/>
      <c r="D59" s="21">
        <f>+D16-D18+D57</f>
        <v>-20910.62</v>
      </c>
      <c r="E59" s="15"/>
      <c r="F59" s="23">
        <f>IF(D$12=0,0,D59/D$12)</f>
        <v>0</v>
      </c>
      <c r="G59" s="15"/>
      <c r="H59" s="21">
        <f>+H16-H18+H57</f>
        <v>-17497.431652200001</v>
      </c>
      <c r="I59" s="15"/>
      <c r="J59" s="23">
        <f>IF(H$12=0,0,H59/H$12)</f>
        <v>0</v>
      </c>
      <c r="K59" s="16"/>
      <c r="L59" s="21">
        <f>+D59-H59</f>
        <v>-3413.1883477999982</v>
      </c>
      <c r="M59" s="16"/>
      <c r="N59" s="23">
        <f>IF(H59=0,0,L59/H59)</f>
        <v>0.19506796286704445</v>
      </c>
      <c r="O59" s="28"/>
      <c r="P59" s="21">
        <f>+P16-P18+P57</f>
        <v>-181676.61</v>
      </c>
      <c r="Q59" s="15"/>
      <c r="R59" s="23">
        <f>IF(P$12=0,0,P59/P$12)</f>
        <v>0</v>
      </c>
      <c r="S59" s="15"/>
      <c r="T59" s="21">
        <f>+T16-T18+T57</f>
        <v>-163697.86717965</v>
      </c>
      <c r="U59" s="15"/>
      <c r="V59" s="23">
        <f>IF(T$12=0,0,T59/T$12)</f>
        <v>0</v>
      </c>
      <c r="W59" s="16"/>
      <c r="X59" s="21">
        <f>+P59-T59</f>
        <v>-17978.742820349988</v>
      </c>
      <c r="Y59" s="16"/>
      <c r="Z59" s="23">
        <f>IF(T59=0,0,X59/T59)</f>
        <v>0.10982881530532858</v>
      </c>
    </row>
    <row r="60" spans="1:26" ht="15" customHeight="1" x14ac:dyDescent="0.3">
      <c r="A60" s="10"/>
      <c r="B60" s="11"/>
      <c r="C60" s="10"/>
      <c r="D60" s="4"/>
      <c r="E60" s="4"/>
      <c r="F60" s="9"/>
      <c r="G60" s="4"/>
      <c r="H60" s="4"/>
      <c r="I60" s="4"/>
      <c r="J60" s="9"/>
      <c r="K60" s="4"/>
      <c r="L60" s="4"/>
      <c r="M60" s="4"/>
      <c r="N60" s="9"/>
      <c r="P60" s="4"/>
      <c r="Q60" s="4"/>
      <c r="R60" s="9"/>
      <c r="S60" s="4"/>
      <c r="T60" s="4"/>
      <c r="U60" s="4"/>
      <c r="V60" s="9"/>
      <c r="W60" s="4"/>
      <c r="X60" s="4"/>
      <c r="Y60" s="4"/>
      <c r="Z60" s="9"/>
    </row>
    <row r="61" spans="1:26" s="63" customFormat="1" ht="15" customHeight="1" x14ac:dyDescent="0.3">
      <c r="A61" s="49"/>
      <c r="B61" s="11" t="s">
        <v>293</v>
      </c>
      <c r="C61" s="11"/>
      <c r="D61" s="5"/>
      <c r="E61" s="5"/>
      <c r="F61" s="13">
        <f>IF(D$12=0,0,D61/D$12)</f>
        <v>0</v>
      </c>
      <c r="G61" s="5"/>
      <c r="H61" s="5"/>
      <c r="I61" s="5"/>
      <c r="J61" s="13">
        <f>IF(H$12=0,0,H61/H$12)</f>
        <v>0</v>
      </c>
      <c r="K61" s="5"/>
      <c r="L61" s="5">
        <f>+D61-H61</f>
        <v>0</v>
      </c>
      <c r="M61" s="5"/>
      <c r="N61" s="13">
        <f>IF(H61=0,0,L61/H61)</f>
        <v>0</v>
      </c>
      <c r="O61" s="11"/>
      <c r="P61" s="5"/>
      <c r="Q61" s="5"/>
      <c r="R61" s="13">
        <f>IF(P$12=0,0,P61/P$12)</f>
        <v>0</v>
      </c>
      <c r="S61" s="5"/>
      <c r="T61" s="5"/>
      <c r="U61" s="5"/>
      <c r="V61" s="13">
        <f>IF(T$12=0,0,T61/T$12)</f>
        <v>0</v>
      </c>
      <c r="W61" s="5"/>
      <c r="X61" s="5">
        <f>+P61-T61</f>
        <v>0</v>
      </c>
      <c r="Y61" s="5"/>
      <c r="Z61" s="13">
        <f>IF(T61=0,0,X61/T61)</f>
        <v>0</v>
      </c>
    </row>
    <row r="62" spans="1:26" ht="15" customHeight="1" x14ac:dyDescent="0.3">
      <c r="A62" s="10"/>
      <c r="B62" s="11"/>
      <c r="C62" s="11"/>
      <c r="D62" s="4"/>
      <c r="E62" s="4"/>
      <c r="F62" s="9"/>
      <c r="G62" s="4"/>
      <c r="H62" s="4"/>
      <c r="I62" s="4"/>
      <c r="J62" s="9"/>
      <c r="K62" s="4"/>
      <c r="L62" s="4"/>
      <c r="M62" s="4"/>
      <c r="N62" s="9"/>
      <c r="O62" s="11"/>
      <c r="P62" s="4"/>
      <c r="Q62" s="4"/>
      <c r="R62" s="9"/>
      <c r="S62" s="4"/>
      <c r="T62" s="4"/>
      <c r="U62" s="4"/>
      <c r="V62" s="9"/>
      <c r="W62" s="4"/>
      <c r="X62" s="4"/>
      <c r="Y62" s="4"/>
      <c r="Z62" s="9"/>
    </row>
    <row r="63" spans="1:26" s="63" customFormat="1" ht="15" customHeight="1" x14ac:dyDescent="0.3">
      <c r="A63" s="11"/>
      <c r="B63" s="27" t="s">
        <v>294</v>
      </c>
      <c r="C63" s="27"/>
      <c r="D63" s="34">
        <f>+D59-D61</f>
        <v>-20910.62</v>
      </c>
      <c r="E63" s="15"/>
      <c r="F63" s="29">
        <f>IF(D$12=0,0,D63/D$12)</f>
        <v>0</v>
      </c>
      <c r="G63" s="15"/>
      <c r="H63" s="34">
        <f>+H59-H61</f>
        <v>-17497.431652200001</v>
      </c>
      <c r="I63" s="15"/>
      <c r="J63" s="29">
        <f>IF(H$12=0,0,H63/H$12)</f>
        <v>0</v>
      </c>
      <c r="K63" s="16"/>
      <c r="L63" s="34">
        <f>D63-H63</f>
        <v>-3413.1883477999982</v>
      </c>
      <c r="M63" s="16"/>
      <c r="N63" s="29">
        <f>IF(H63=0,0,L63/H63)</f>
        <v>0.19506796286704445</v>
      </c>
      <c r="O63" s="28"/>
      <c r="P63" s="34">
        <f>+P59-P61</f>
        <v>-181676.61</v>
      </c>
      <c r="Q63" s="15"/>
      <c r="R63" s="29">
        <f>IF(P$12=0,0,P63/P$12)</f>
        <v>0</v>
      </c>
      <c r="S63" s="15"/>
      <c r="T63" s="34">
        <f>+T59-T61</f>
        <v>-163697.86717965</v>
      </c>
      <c r="U63" s="15"/>
      <c r="V63" s="29">
        <f>IF(T$12=0,0,T63/T$12)</f>
        <v>0</v>
      </c>
      <c r="W63" s="16"/>
      <c r="X63" s="34">
        <f>P63-T63</f>
        <v>-17978.742820349988</v>
      </c>
      <c r="Y63" s="16"/>
      <c r="Z63" s="29">
        <f>IF(T63=0,0,X63/T63)</f>
        <v>0.10982881530532858</v>
      </c>
    </row>
    <row r="64" spans="1:26" ht="15" customHeight="1" x14ac:dyDescent="0.3">
      <c r="A64" s="10"/>
      <c r="B64" s="10"/>
      <c r="C64" s="10"/>
      <c r="D64" s="4"/>
      <c r="E64" s="4"/>
      <c r="F64" s="9"/>
      <c r="G64" s="4"/>
      <c r="H64" s="4"/>
      <c r="I64" s="4"/>
      <c r="J64" s="9"/>
      <c r="K64" s="4"/>
      <c r="L64" s="4"/>
      <c r="M64" s="4"/>
      <c r="N64" s="9"/>
      <c r="P64" s="4"/>
      <c r="Q64" s="4"/>
      <c r="R64" s="9"/>
      <c r="S64" s="4"/>
      <c r="T64" s="4"/>
      <c r="U64" s="4"/>
      <c r="V64" s="9"/>
      <c r="W64" s="4"/>
      <c r="X64" s="4"/>
      <c r="Y64" s="4"/>
      <c r="Z64" s="9"/>
    </row>
    <row r="65" spans="1:26" ht="15" customHeight="1" x14ac:dyDescent="0.3">
      <c r="A65" s="10"/>
      <c r="B65" s="10"/>
      <c r="C65" s="10"/>
      <c r="D65" s="4"/>
      <c r="E65" s="4"/>
      <c r="F65" s="9"/>
      <c r="G65" s="4"/>
      <c r="H65" s="4"/>
      <c r="I65" s="4"/>
      <c r="J65" s="9"/>
      <c r="K65" s="4"/>
      <c r="L65" s="4"/>
      <c r="M65" s="4"/>
      <c r="N65" s="9"/>
      <c r="P65" s="4"/>
      <c r="Q65" s="4"/>
      <c r="R65" s="9"/>
      <c r="S65" s="4"/>
      <c r="T65" s="4"/>
      <c r="U65" s="4"/>
      <c r="V65" s="9"/>
      <c r="W65" s="4"/>
      <c r="X65" s="4"/>
      <c r="Y65" s="4"/>
      <c r="Z65" s="9"/>
    </row>
    <row r="66" spans="1:26" s="63" customFormat="1" ht="15" customHeight="1" x14ac:dyDescent="0.3">
      <c r="A66" s="11"/>
      <c r="B66" s="27" t="s">
        <v>297</v>
      </c>
      <c r="C66" s="27"/>
      <c r="D66" s="32">
        <f>SUM(D63:D65)</f>
        <v>-20910.62</v>
      </c>
      <c r="E66" s="15"/>
      <c r="F66" s="31">
        <f>IF(D$12=0,0,D66/D$12)</f>
        <v>0</v>
      </c>
      <c r="G66" s="15"/>
      <c r="H66" s="32">
        <f>SUM(H63:H65)</f>
        <v>-17497.431652200001</v>
      </c>
      <c r="I66" s="15"/>
      <c r="J66" s="31">
        <f>IF(H$12=0,0,H66/H$12)</f>
        <v>0</v>
      </c>
      <c r="K66" s="16"/>
      <c r="L66" s="32">
        <f>+D66-H66</f>
        <v>-3413.1883477999982</v>
      </c>
      <c r="M66" s="16"/>
      <c r="N66" s="31">
        <f>IF(H66=0,0,L66/H66)</f>
        <v>0.19506796286704445</v>
      </c>
      <c r="O66" s="28"/>
      <c r="P66" s="32">
        <f>SUM(P63:P65)</f>
        <v>-181676.61</v>
      </c>
      <c r="Q66" s="15"/>
      <c r="R66" s="31">
        <f>IF(P$12=0,0,P66/P$12)</f>
        <v>0</v>
      </c>
      <c r="S66" s="15"/>
      <c r="T66" s="32">
        <f>SUM(T63:T65)</f>
        <v>-163697.86717965</v>
      </c>
      <c r="U66" s="15"/>
      <c r="V66" s="31">
        <f>IF(T$12=0,0,T66/T$12)</f>
        <v>0</v>
      </c>
      <c r="W66" s="16"/>
      <c r="X66" s="32">
        <f>+P66-T66</f>
        <v>-17978.742820349988</v>
      </c>
      <c r="Y66" s="16"/>
      <c r="Z66" s="31">
        <f>IF(T66=0,0,X66/T66)</f>
        <v>0.10982881530532858</v>
      </c>
    </row>
    <row r="67" spans="1:26" ht="15" customHeight="1" x14ac:dyDescent="0.3">
      <c r="A67" s="10"/>
      <c r="C67" s="10"/>
      <c r="D67" s="19"/>
      <c r="E67" s="19"/>
      <c r="G67" s="19"/>
      <c r="H67" s="19"/>
      <c r="I67" s="19"/>
      <c r="J67" s="40"/>
      <c r="K67" s="19"/>
      <c r="L67" s="19"/>
      <c r="M67" s="19"/>
      <c r="P67" s="19"/>
      <c r="Q67" s="19"/>
      <c r="R67" s="40"/>
      <c r="S67" s="19"/>
      <c r="T67" s="19"/>
      <c r="U67" s="19"/>
      <c r="V67" s="40"/>
      <c r="W67" s="19"/>
      <c r="X67" s="19"/>
    </row>
    <row r="68" spans="1:26" ht="15" customHeight="1" x14ac:dyDescent="0.3">
      <c r="A68" s="10"/>
      <c r="B68" s="51">
        <v>44663.047665428239</v>
      </c>
      <c r="D68" s="19"/>
      <c r="E68" s="19"/>
      <c r="G68" s="19"/>
      <c r="H68" s="19"/>
      <c r="I68" s="19"/>
      <c r="J68" s="40"/>
      <c r="K68" s="19"/>
      <c r="L68" s="19"/>
      <c r="M68" s="19"/>
      <c r="P68" s="19"/>
      <c r="Q68" s="19"/>
      <c r="R68" s="40"/>
      <c r="S68" s="19"/>
      <c r="T68" s="19"/>
      <c r="U68" s="19"/>
      <c r="V68" s="40"/>
      <c r="W68" s="19"/>
      <c r="X68" s="19"/>
    </row>
    <row r="69" spans="1:26" ht="15" customHeight="1" x14ac:dyDescent="0.3">
      <c r="A69" s="10"/>
      <c r="B69" s="58" t="s">
        <v>298</v>
      </c>
      <c r="D69" s="19"/>
      <c r="E69" s="19"/>
      <c r="G69" s="19"/>
      <c r="H69" s="19"/>
      <c r="I69" s="19"/>
      <c r="J69" s="40"/>
      <c r="K69" s="19"/>
      <c r="L69" s="19"/>
      <c r="M69" s="19"/>
      <c r="P69" s="19"/>
      <c r="Q69" s="19"/>
      <c r="R69" s="40"/>
      <c r="S69" s="19"/>
      <c r="T69" s="19"/>
      <c r="U69" s="19"/>
      <c r="V69" s="40"/>
      <c r="W69" s="19"/>
      <c r="X69" s="19"/>
    </row>
    <row r="70" spans="1:26" ht="15" customHeight="1" x14ac:dyDescent="0.3">
      <c r="A70" s="10"/>
      <c r="B70" s="50"/>
      <c r="D70" s="19"/>
      <c r="E70" s="19"/>
      <c r="G70" s="19"/>
      <c r="H70" s="19"/>
      <c r="I70" s="19"/>
      <c r="J70" s="40"/>
      <c r="K70" s="19"/>
      <c r="L70" s="19"/>
      <c r="M70" s="19"/>
      <c r="P70" s="19"/>
      <c r="Q70" s="19"/>
      <c r="R70" s="40"/>
      <c r="S70" s="19"/>
      <c r="T70" s="19"/>
      <c r="U70" s="19"/>
      <c r="V70" s="40"/>
      <c r="W70" s="19"/>
      <c r="X70" s="19"/>
    </row>
    <row r="71" spans="1:26" ht="15" customHeight="1" x14ac:dyDescent="0.3">
      <c r="D71" s="19"/>
      <c r="E71" s="19"/>
      <c r="G71" s="19"/>
      <c r="H71" s="19"/>
      <c r="I71" s="19"/>
      <c r="J71" s="40"/>
      <c r="K71" s="19"/>
      <c r="L71" s="19"/>
      <c r="M71" s="19"/>
      <c r="P71" s="19"/>
      <c r="Q71" s="19"/>
      <c r="R71" s="40"/>
      <c r="S71" s="19"/>
      <c r="T71" s="19"/>
      <c r="U71" s="19"/>
      <c r="V71" s="40"/>
      <c r="W71" s="19"/>
      <c r="X71" s="19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2DEF3A-C99C-319C-0BB8-6B598E37EB8C}">
  <sheetPr>
    <tabColor rgb="FF92D050"/>
    <outlinePr summaryBelow="0" summaryRight="0"/>
  </sheetPr>
  <dimension ref="A2:Z103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6" customWidth="1"/>
    <col min="2" max="2" width="33.44140625" style="66" customWidth="1"/>
    <col min="3" max="3" width="1.88671875" style="66" customWidth="1"/>
    <col min="4" max="4" width="15" style="66" customWidth="1"/>
    <col min="5" max="5" width="1.88671875" style="66" customWidth="1" outlineLevel="1"/>
    <col min="6" max="6" width="15" style="67" customWidth="1" outlineLevel="1"/>
    <col min="7" max="7" width="1.88671875" style="66" customWidth="1" outlineLevel="1"/>
    <col min="8" max="8" width="15" style="66" customWidth="1" outlineLevel="1"/>
    <col min="9" max="9" width="1.88671875" style="66" customWidth="1" outlineLevel="1"/>
    <col min="10" max="10" width="15" style="68" customWidth="1" outlineLevel="1"/>
    <col min="11" max="11" width="1.88671875" style="66" customWidth="1" outlineLevel="1"/>
    <col min="12" max="12" width="15" style="66" customWidth="1" outlineLevel="1"/>
    <col min="13" max="13" width="1.88671875" style="66" customWidth="1" outlineLevel="1"/>
    <col min="14" max="14" width="15" style="67" customWidth="1" outlineLevel="1"/>
    <col min="15" max="15" width="1.88671875" style="64" customWidth="1"/>
    <col min="16" max="16" width="15" style="66" customWidth="1"/>
    <col min="17" max="17" width="1.88671875" style="66" customWidth="1" outlineLevel="1"/>
    <col min="18" max="18" width="15" style="68" customWidth="1" outlineLevel="1"/>
    <col min="19" max="19" width="1.88671875" style="66" customWidth="1" outlineLevel="1"/>
    <col min="20" max="20" width="15" style="66" customWidth="1" outlineLevel="1"/>
    <col min="21" max="21" width="1.88671875" style="66" customWidth="1" outlineLevel="1"/>
    <col min="22" max="22" width="15" style="68" customWidth="1" outlineLevel="1"/>
    <col min="23" max="23" width="1.88671875" style="66" customWidth="1" outlineLevel="1"/>
    <col min="24" max="24" width="15" style="66" customWidth="1" outlineLevel="1"/>
    <col min="25" max="25" width="1.88671875" style="66" customWidth="1" outlineLevel="1"/>
    <col min="26" max="26" width="15" style="68" customWidth="1" outlineLevel="1"/>
  </cols>
  <sheetData>
    <row r="2" spans="1:26" ht="15" customHeight="1" x14ac:dyDescent="0.3">
      <c r="D2" s="54" t="s">
        <v>276</v>
      </c>
    </row>
    <row r="3" spans="1:26" ht="15" customHeight="1" x14ac:dyDescent="0.3">
      <c r="D3" s="54" t="s">
        <v>277</v>
      </c>
      <c r="E3" s="18"/>
      <c r="F3" s="44"/>
      <c r="G3" s="18"/>
      <c r="H3" s="18"/>
      <c r="I3" s="18"/>
      <c r="J3" s="38"/>
      <c r="K3" s="18"/>
      <c r="L3" s="18"/>
      <c r="M3" s="18"/>
      <c r="N3" s="44"/>
      <c r="O3" s="53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ht="15" customHeight="1" x14ac:dyDescent="0.3">
      <c r="D4" s="54" t="str">
        <f>CONCATENATE("Period ",RIGHT(202209,2),", ",2022)</f>
        <v>Period 09, 2022</v>
      </c>
      <c r="E4" s="18"/>
      <c r="F4" s="44"/>
      <c r="G4" s="18"/>
      <c r="H4" s="18"/>
      <c r="I4" s="18"/>
      <c r="J4" s="38"/>
      <c r="K4" s="18"/>
      <c r="L4" s="18"/>
      <c r="M4" s="18"/>
      <c r="N4" s="44"/>
      <c r="O4" s="53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ht="15" customHeight="1" x14ac:dyDescent="0.3">
      <c r="A5" s="24"/>
      <c r="D5" s="60">
        <v>44646</v>
      </c>
      <c r="E5" s="18"/>
      <c r="F5" s="44"/>
      <c r="G5" s="18"/>
      <c r="H5" s="18"/>
      <c r="I5" s="18"/>
      <c r="J5" s="38"/>
      <c r="K5" s="18"/>
      <c r="L5" s="18"/>
      <c r="M5" s="18"/>
      <c r="N5" s="44"/>
      <c r="O5" s="53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ht="15" customHeight="1" x14ac:dyDescent="0.3">
      <c r="A6" s="24"/>
      <c r="B6" s="47"/>
      <c r="C6" s="47"/>
      <c r="D6" s="24" t="str">
        <f>CONCATENATE("Department ","433"," - ","Hillside Dining Hall")</f>
        <v>Department 433 - Hillside Dining Hall</v>
      </c>
      <c r="E6" s="18"/>
      <c r="F6" s="44"/>
      <c r="G6" s="18"/>
      <c r="H6" s="18"/>
      <c r="I6" s="18"/>
      <c r="J6" s="38"/>
      <c r="K6" s="18"/>
      <c r="L6" s="18"/>
      <c r="M6" s="18"/>
      <c r="N6" s="44"/>
      <c r="O6" s="59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ht="15" customHeight="1" x14ac:dyDescent="0.3">
      <c r="B7" s="52"/>
    </row>
    <row r="8" spans="1:26" ht="15" customHeight="1" x14ac:dyDescent="0.3">
      <c r="B8" s="52"/>
    </row>
    <row r="9" spans="1:26" ht="15" customHeight="1" x14ac:dyDescent="0.3">
      <c r="B9" s="10"/>
      <c r="C9" s="10"/>
      <c r="D9" s="17" t="s">
        <v>279</v>
      </c>
      <c r="E9" s="17"/>
      <c r="F9" s="36"/>
      <c r="G9" s="17"/>
      <c r="H9" s="17"/>
      <c r="I9" s="17"/>
      <c r="J9" s="43"/>
      <c r="K9" s="17"/>
      <c r="L9" s="17"/>
      <c r="M9" s="17"/>
      <c r="N9" s="36"/>
      <c r="P9" s="17" t="s">
        <v>280</v>
      </c>
      <c r="Q9" s="17"/>
      <c r="R9" s="36"/>
      <c r="S9" s="17"/>
      <c r="T9" s="17"/>
      <c r="U9" s="17"/>
      <c r="V9" s="43"/>
      <c r="W9" s="17"/>
      <c r="X9" s="17"/>
      <c r="Y9" s="17"/>
      <c r="Z9" s="36"/>
    </row>
    <row r="10" spans="1:26" ht="15" customHeight="1" x14ac:dyDescent="0.3">
      <c r="A10" s="11"/>
      <c r="B10" s="57"/>
      <c r="C10" s="11"/>
      <c r="D10" s="41" t="s">
        <v>281</v>
      </c>
      <c r="E10" s="33"/>
      <c r="F10" s="37" t="s">
        <v>282</v>
      </c>
      <c r="G10" s="33"/>
      <c r="H10" s="48" t="s">
        <v>283</v>
      </c>
      <c r="I10" s="33"/>
      <c r="J10" s="45" t="s">
        <v>284</v>
      </c>
      <c r="K10" s="11"/>
      <c r="L10" s="41" t="s">
        <v>285</v>
      </c>
      <c r="M10" s="11"/>
      <c r="N10" s="37" t="s">
        <v>286</v>
      </c>
      <c r="O10" s="11"/>
      <c r="P10" s="56" t="s">
        <v>281</v>
      </c>
      <c r="Q10" s="33"/>
      <c r="R10" s="37" t="s">
        <v>282</v>
      </c>
      <c r="S10" s="33"/>
      <c r="T10" s="48" t="s">
        <v>283</v>
      </c>
      <c r="U10" s="33"/>
      <c r="V10" s="45" t="s">
        <v>284</v>
      </c>
      <c r="W10" s="11"/>
      <c r="X10" s="41" t="s">
        <v>285</v>
      </c>
      <c r="Y10" s="11"/>
      <c r="Z10" s="37" t="s">
        <v>286</v>
      </c>
    </row>
    <row r="11" spans="1:26" ht="16.5" customHeight="1" x14ac:dyDescent="0.3">
      <c r="A11" s="10"/>
      <c r="B11" s="55"/>
      <c r="C11" s="10"/>
      <c r="D11" s="10"/>
      <c r="E11" s="10"/>
      <c r="F11" s="9"/>
      <c r="G11" s="10"/>
      <c r="H11" s="10"/>
      <c r="I11" s="10"/>
      <c r="J11" s="46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6"/>
      <c r="W11" s="10"/>
      <c r="X11" s="10"/>
      <c r="Y11" s="10"/>
      <c r="Z11" s="9"/>
    </row>
    <row r="12" spans="1:26" s="63" customFormat="1" ht="15" customHeight="1" collapsed="1" x14ac:dyDescent="0.3">
      <c r="A12" s="11"/>
      <c r="B12" s="28" t="s">
        <v>287</v>
      </c>
      <c r="C12" s="11"/>
      <c r="D12" s="5">
        <f>SUM(OSRRefD13x_0)</f>
        <v>449188.75</v>
      </c>
      <c r="E12" s="5"/>
      <c r="F12" s="13"/>
      <c r="G12" s="5"/>
      <c r="H12" s="5">
        <f>SUM(OSRRefH13x_0)</f>
        <v>437400</v>
      </c>
      <c r="I12" s="5"/>
      <c r="J12" s="13"/>
      <c r="K12" s="5"/>
      <c r="L12" s="5">
        <f>+D12-H12</f>
        <v>11788.75</v>
      </c>
      <c r="M12" s="5"/>
      <c r="N12" s="13">
        <f>IF(H12=0,0,L12/H12)</f>
        <v>2.6951874714220392E-2</v>
      </c>
      <c r="O12" s="11"/>
      <c r="P12" s="5">
        <f>SUM(OSRRefP13x_0)</f>
        <v>3146556.9</v>
      </c>
      <c r="Q12" s="5"/>
      <c r="R12" s="13"/>
      <c r="S12" s="5"/>
      <c r="T12" s="5">
        <f>SUM(OSRRefT13x_0)</f>
        <v>2883600</v>
      </c>
      <c r="U12" s="5"/>
      <c r="V12" s="13"/>
      <c r="W12" s="5"/>
      <c r="X12" s="5">
        <f>+P12-T12</f>
        <v>262956.89999999991</v>
      </c>
      <c r="Y12" s="5"/>
      <c r="Z12" s="13">
        <f>IF(T12=0,0,X12/T12)</f>
        <v>9.119049105285057E-2</v>
      </c>
    </row>
    <row r="13" spans="1:26" s="70" customFormat="1" ht="15" hidden="1" customHeight="1" outlineLevel="1" x14ac:dyDescent="0.3">
      <c r="A13" s="42"/>
      <c r="B13" s="12" t="str">
        <f>CONCATENATE("          ","4053"," - ","TAXABLE SALES-FOOD")</f>
        <v xml:space="preserve">          4053 - TAXABLE SALES-FOOD</v>
      </c>
      <c r="C13" s="12"/>
      <c r="D13" s="3">
        <f>--269.85</f>
        <v>269.85000000000002</v>
      </c>
      <c r="E13" s="3"/>
      <c r="F13" s="20"/>
      <c r="G13" s="3"/>
      <c r="H13" s="3"/>
      <c r="I13" s="3"/>
      <c r="J13" s="20"/>
      <c r="K13" s="3"/>
      <c r="L13" s="3">
        <f>+D13-H13</f>
        <v>269.85000000000002</v>
      </c>
      <c r="M13" s="3"/>
      <c r="N13" s="20">
        <f>IF(H13=0,0,L13/H13)</f>
        <v>0</v>
      </c>
      <c r="O13" s="12"/>
      <c r="P13" s="3">
        <f>--2389.55</f>
        <v>2389.5500000000002</v>
      </c>
      <c r="Q13" s="3"/>
      <c r="R13" s="20"/>
      <c r="S13" s="3"/>
      <c r="T13" s="3"/>
      <c r="U13" s="3"/>
      <c r="V13" s="20"/>
      <c r="W13" s="3"/>
      <c r="X13" s="3">
        <f>+P13-T13</f>
        <v>2389.5500000000002</v>
      </c>
      <c r="Y13" s="3"/>
      <c r="Z13" s="20">
        <f>IF(T13=0,0,X13/T13)</f>
        <v>0</v>
      </c>
    </row>
    <row r="14" spans="1:26" s="70" customFormat="1" ht="15" hidden="1" customHeight="1" outlineLevel="1" x14ac:dyDescent="0.3">
      <c r="A14" s="42"/>
      <c r="B14" s="12" t="str">
        <f>CONCATENATE("          ","4100"," - ","NON-TAXABLE SALES")</f>
        <v xml:space="preserve">          4100 - NON-TAXABLE SALES</v>
      </c>
      <c r="C14" s="12"/>
      <c r="D14" s="3">
        <f>0</f>
        <v>0</v>
      </c>
      <c r="E14" s="3"/>
      <c r="F14" s="20"/>
      <c r="G14" s="3"/>
      <c r="H14" s="3">
        <v>437400</v>
      </c>
      <c r="I14" s="3"/>
      <c r="J14" s="20"/>
      <c r="K14" s="3"/>
      <c r="L14" s="3">
        <f>+D14-H14</f>
        <v>-437400</v>
      </c>
      <c r="M14" s="3"/>
      <c r="N14" s="20">
        <f>IF(H14=0,0,L14/H14)</f>
        <v>-1</v>
      </c>
      <c r="O14" s="12"/>
      <c r="P14" s="3">
        <f>0</f>
        <v>0</v>
      </c>
      <c r="Q14" s="3"/>
      <c r="R14" s="20"/>
      <c r="S14" s="3"/>
      <c r="T14" s="3">
        <v>2883600</v>
      </c>
      <c r="U14" s="3"/>
      <c r="V14" s="20"/>
      <c r="W14" s="3"/>
      <c r="X14" s="3">
        <f>+P14-T14</f>
        <v>-2883600</v>
      </c>
      <c r="Y14" s="3"/>
      <c r="Z14" s="20">
        <f>IF(T14=0,0,X14/T14)</f>
        <v>-1</v>
      </c>
    </row>
    <row r="15" spans="1:26" s="70" customFormat="1" ht="15" hidden="1" customHeight="1" outlineLevel="1" x14ac:dyDescent="0.3">
      <c r="A15" s="42"/>
      <c r="B15" s="12" t="str">
        <f>CONCATENATE("          ","4151"," - ","NON-TAXABLE SALES-FOOD")</f>
        <v xml:space="preserve">          4151 - NON-TAXABLE SALES-FOOD</v>
      </c>
      <c r="C15" s="12"/>
      <c r="D15" s="3">
        <f>--438400.75</f>
        <v>438400.75</v>
      </c>
      <c r="E15" s="3"/>
      <c r="F15" s="20"/>
      <c r="G15" s="3"/>
      <c r="H15" s="3"/>
      <c r="I15" s="3"/>
      <c r="J15" s="20"/>
      <c r="K15" s="3"/>
      <c r="L15" s="3">
        <f>+D15-H15</f>
        <v>438400.75</v>
      </c>
      <c r="M15" s="3"/>
      <c r="N15" s="20">
        <f>IF(H15=0,0,L15/H15)</f>
        <v>0</v>
      </c>
      <c r="O15" s="12"/>
      <c r="P15" s="3">
        <f>--3076769.16</f>
        <v>3076769.16</v>
      </c>
      <c r="Q15" s="3"/>
      <c r="R15" s="20"/>
      <c r="S15" s="3"/>
      <c r="T15" s="3"/>
      <c r="U15" s="3"/>
      <c r="V15" s="20"/>
      <c r="W15" s="3"/>
      <c r="X15" s="3">
        <f>+P15-T15</f>
        <v>3076769.16</v>
      </c>
      <c r="Y15" s="3"/>
      <c r="Z15" s="20">
        <f>IF(T15=0,0,X15/T15)</f>
        <v>0</v>
      </c>
    </row>
    <row r="16" spans="1:26" s="70" customFormat="1" ht="15" hidden="1" customHeight="1" outlineLevel="1" x14ac:dyDescent="0.3">
      <c r="A16" s="42"/>
      <c r="B16" s="12" t="str">
        <f>CONCATENATE("          ","4153"," - ","NON-TAXABLE SALES-FOOD")</f>
        <v xml:space="preserve">          4153 - NON-TAXABLE SALES-FOOD</v>
      </c>
      <c r="C16" s="12"/>
      <c r="D16" s="3">
        <f>--10518.15</f>
        <v>10518.15</v>
      </c>
      <c r="E16" s="3"/>
      <c r="F16" s="20"/>
      <c r="G16" s="3"/>
      <c r="H16" s="3"/>
      <c r="I16" s="3"/>
      <c r="J16" s="20"/>
      <c r="K16" s="3"/>
      <c r="L16" s="3">
        <f>+D16-H16</f>
        <v>10518.15</v>
      </c>
      <c r="M16" s="3"/>
      <c r="N16" s="20">
        <f>IF(H16=0,0,L16/H16)</f>
        <v>0</v>
      </c>
      <c r="O16" s="12"/>
      <c r="P16" s="3">
        <f>--67398.19</f>
        <v>67398.19</v>
      </c>
      <c r="Q16" s="3"/>
      <c r="R16" s="20"/>
      <c r="S16" s="3"/>
      <c r="T16" s="3"/>
      <c r="U16" s="3"/>
      <c r="V16" s="20"/>
      <c r="W16" s="3"/>
      <c r="X16" s="3">
        <f>+P16-T16</f>
        <v>67398.19</v>
      </c>
      <c r="Y16" s="3"/>
      <c r="Z16" s="20">
        <f>IF(T16=0,0,X16/T16)</f>
        <v>0</v>
      </c>
    </row>
    <row r="17" spans="1:26" ht="15" customHeight="1" x14ac:dyDescent="0.3">
      <c r="A17" s="10"/>
      <c r="B17" s="11"/>
      <c r="C17" s="10"/>
      <c r="D17" s="4"/>
      <c r="E17" s="4"/>
      <c r="F17" s="9"/>
      <c r="G17" s="4"/>
      <c r="H17" s="4"/>
      <c r="I17" s="4"/>
      <c r="J17" s="9"/>
      <c r="K17" s="4"/>
      <c r="L17" s="4"/>
      <c r="M17" s="4"/>
      <c r="N17" s="9"/>
      <c r="P17" s="4"/>
      <c r="Q17" s="4"/>
      <c r="R17" s="9"/>
      <c r="S17" s="4"/>
      <c r="T17" s="4"/>
      <c r="U17" s="4"/>
      <c r="V17" s="9"/>
      <c r="W17" s="4"/>
      <c r="X17" s="4"/>
      <c r="Y17" s="4"/>
      <c r="Z17" s="9"/>
    </row>
    <row r="18" spans="1:26" s="63" customFormat="1" ht="15" customHeight="1" collapsed="1" x14ac:dyDescent="0.3">
      <c r="A18" s="11"/>
      <c r="B18" s="28" t="s">
        <v>288</v>
      </c>
      <c r="C18" s="11"/>
      <c r="D18" s="5">
        <f>SUM(OSRRefD16x_0)</f>
        <v>108786.34</v>
      </c>
      <c r="E18" s="5"/>
      <c r="F18" s="13">
        <f>IF(D$12=0,0,D18/D$12)</f>
        <v>0.24218402620279336</v>
      </c>
      <c r="G18" s="5"/>
      <c r="H18" s="5">
        <f>SUM(OSRRefH16x_0)</f>
        <v>113724</v>
      </c>
      <c r="I18" s="5"/>
      <c r="J18" s="13">
        <f>IF(H$12=0,0,H18/H$12)</f>
        <v>0.26</v>
      </c>
      <c r="K18" s="5"/>
      <c r="L18" s="5">
        <f>+D18-H18</f>
        <v>-4937.6600000000035</v>
      </c>
      <c r="M18" s="5"/>
      <c r="N18" s="13">
        <f>IF(H18=0,0,L18/H18)</f>
        <v>-4.3417924096936476E-2</v>
      </c>
      <c r="O18" s="11"/>
      <c r="P18" s="5">
        <f>SUM(OSRRefP16x_0)</f>
        <v>781143.9</v>
      </c>
      <c r="Q18" s="5"/>
      <c r="R18" s="13">
        <f>IF(P$12=0,0,P18/P$12)</f>
        <v>0.24825354342074668</v>
      </c>
      <c r="S18" s="5"/>
      <c r="T18" s="5">
        <f>SUM(OSRRefT16x_0)</f>
        <v>815994</v>
      </c>
      <c r="U18" s="5"/>
      <c r="V18" s="13">
        <f>IF(T$12=0,0,T18/T$12)</f>
        <v>0.28297752808988763</v>
      </c>
      <c r="W18" s="5"/>
      <c r="X18" s="5">
        <f>+P18-T18</f>
        <v>-34850.099999999977</v>
      </c>
      <c r="Y18" s="5"/>
      <c r="Z18" s="13">
        <f>IF(T18=0,0,X18/T18)</f>
        <v>-4.2708769917425837E-2</v>
      </c>
    </row>
    <row r="19" spans="1:26" s="70" customFormat="1" ht="15" hidden="1" customHeight="1" outlineLevel="1" x14ac:dyDescent="0.3">
      <c r="A19" s="42"/>
      <c r="B19" s="12" t="str">
        <f>CONCATENATE("          ","5000"," - ","PURCHASES @ COST")</f>
        <v xml:space="preserve">          5000 - PURCHASES @ COST</v>
      </c>
      <c r="C19" s="12"/>
      <c r="D19" s="3"/>
      <c r="E19" s="3"/>
      <c r="F19" s="20">
        <f>IF(D$12=0,0,D19/D$12)</f>
        <v>0</v>
      </c>
      <c r="G19" s="3"/>
      <c r="H19" s="3">
        <v>113724</v>
      </c>
      <c r="I19" s="3"/>
      <c r="J19" s="20">
        <f>IF(H$12=0,0,H19/H$12)</f>
        <v>0.26</v>
      </c>
      <c r="K19" s="3"/>
      <c r="L19" s="3">
        <f>+D19-H19</f>
        <v>-113724</v>
      </c>
      <c r="M19" s="3"/>
      <c r="N19" s="20">
        <f>IF(H19=0,0,L19/H19)</f>
        <v>-1</v>
      </c>
      <c r="O19" s="12"/>
      <c r="P19" s="3"/>
      <c r="Q19" s="3"/>
      <c r="R19" s="20">
        <f>IF(P$12=0,0,P19/P$12)</f>
        <v>0</v>
      </c>
      <c r="S19" s="3"/>
      <c r="T19" s="3">
        <v>815994</v>
      </c>
      <c r="U19" s="3"/>
      <c r="V19" s="20">
        <f>IF(T$12=0,0,T19/T$12)</f>
        <v>0.28297752808988763</v>
      </c>
      <c r="W19" s="3"/>
      <c r="X19" s="3">
        <f>+P19-T19</f>
        <v>-815994</v>
      </c>
      <c r="Y19" s="3"/>
      <c r="Z19" s="20">
        <f>IF(T19=0,0,X19/T19)</f>
        <v>-1</v>
      </c>
    </row>
    <row r="20" spans="1:26" s="70" customFormat="1" ht="15" hidden="1" customHeight="1" outlineLevel="1" x14ac:dyDescent="0.3">
      <c r="A20" s="42"/>
      <c r="B20" s="12" t="str">
        <f>CONCATENATE("          ","5053"," - ","PURCHASES @ COST-FOOD")</f>
        <v xml:space="preserve">          5053 - PURCHASES @ COST-FOOD</v>
      </c>
      <c r="C20" s="12"/>
      <c r="D20" s="3">
        <v>110158.34</v>
      </c>
      <c r="E20" s="3"/>
      <c r="F20" s="20">
        <f>IF(D$12=0,0,D20/D$12)</f>
        <v>0.24523842148762628</v>
      </c>
      <c r="G20" s="3"/>
      <c r="H20" s="3"/>
      <c r="I20" s="3"/>
      <c r="J20" s="20">
        <f>IF(H$12=0,0,H20/H$12)</f>
        <v>0</v>
      </c>
      <c r="K20" s="3"/>
      <c r="L20" s="3">
        <f>+D20-H20</f>
        <v>110158.34</v>
      </c>
      <c r="M20" s="3"/>
      <c r="N20" s="20">
        <f>IF(H20=0,0,L20/H20)</f>
        <v>0</v>
      </c>
      <c r="O20" s="12"/>
      <c r="P20" s="3">
        <v>806923.9</v>
      </c>
      <c r="Q20" s="3"/>
      <c r="R20" s="20">
        <f>IF(P$12=0,0,P20/P$12)</f>
        <v>0.25644662583409822</v>
      </c>
      <c r="S20" s="3"/>
      <c r="T20" s="3"/>
      <c r="U20" s="3"/>
      <c r="V20" s="20">
        <f>IF(T$12=0,0,T20/T$12)</f>
        <v>0</v>
      </c>
      <c r="W20" s="3"/>
      <c r="X20" s="3">
        <f>+P20-T20</f>
        <v>806923.9</v>
      </c>
      <c r="Y20" s="3"/>
      <c r="Z20" s="20">
        <f>IF(T20=0,0,X20/T20)</f>
        <v>0</v>
      </c>
    </row>
    <row r="21" spans="1:26" s="70" customFormat="1" ht="15" hidden="1" customHeight="1" outlineLevel="1" x14ac:dyDescent="0.3">
      <c r="A21" s="42"/>
      <c r="B21" s="12" t="str">
        <f>CONCATENATE("          ","5059"," - ","PURCHASES @ COST-FOOD")</f>
        <v xml:space="preserve">          5059 - PURCHASES @ COST-FOOD</v>
      </c>
      <c r="C21" s="12"/>
      <c r="D21" s="3">
        <v>-1372</v>
      </c>
      <c r="E21" s="3"/>
      <c r="F21" s="20">
        <f>IF(D$12=0,0,D21/D$12)</f>
        <v>-3.0543952848329351E-3</v>
      </c>
      <c r="G21" s="3"/>
      <c r="H21" s="3"/>
      <c r="I21" s="3"/>
      <c r="J21" s="20">
        <f>IF(H$12=0,0,H21/H$12)</f>
        <v>0</v>
      </c>
      <c r="K21" s="3"/>
      <c r="L21" s="3">
        <f>+D21-H21</f>
        <v>-1372</v>
      </c>
      <c r="M21" s="3"/>
      <c r="N21" s="20">
        <f>IF(H21=0,0,L21/H21)</f>
        <v>0</v>
      </c>
      <c r="O21" s="12"/>
      <c r="P21" s="3">
        <v>-25780</v>
      </c>
      <c r="Q21" s="3"/>
      <c r="R21" s="20">
        <f>IF(P$12=0,0,P21/P$12)</f>
        <v>-8.1930824133515587E-3</v>
      </c>
      <c r="S21" s="3"/>
      <c r="T21" s="3"/>
      <c r="U21" s="3"/>
      <c r="V21" s="20">
        <f>IF(T$12=0,0,T21/T$12)</f>
        <v>0</v>
      </c>
      <c r="W21" s="3"/>
      <c r="X21" s="3">
        <f>+P21-T21</f>
        <v>-25780</v>
      </c>
      <c r="Y21" s="3"/>
      <c r="Z21" s="20">
        <f>IF(T21=0,0,X21/T21)</f>
        <v>0</v>
      </c>
    </row>
    <row r="22" spans="1:26" ht="15" customHeight="1" x14ac:dyDescent="0.3">
      <c r="A22" s="10"/>
      <c r="B22" s="11"/>
      <c r="C22" s="11"/>
      <c r="D22" s="4"/>
      <c r="E22" s="4"/>
      <c r="F22" s="9"/>
      <c r="G22" s="4"/>
      <c r="H22" s="4"/>
      <c r="I22" s="4"/>
      <c r="J22" s="9"/>
      <c r="K22" s="4"/>
      <c r="L22" s="4"/>
      <c r="M22" s="4"/>
      <c r="N22" s="9"/>
      <c r="O22" s="11"/>
      <c r="P22" s="4"/>
      <c r="Q22" s="4"/>
      <c r="R22" s="9"/>
      <c r="S22" s="4"/>
      <c r="T22" s="4"/>
      <c r="U22" s="4"/>
      <c r="V22" s="9"/>
      <c r="W22" s="4"/>
      <c r="X22" s="4"/>
      <c r="Y22" s="4"/>
      <c r="Z22" s="9"/>
    </row>
    <row r="23" spans="1:26" s="63" customFormat="1" ht="15" customHeight="1" x14ac:dyDescent="0.3">
      <c r="A23" s="11"/>
      <c r="B23" s="27" t="s">
        <v>289</v>
      </c>
      <c r="C23" s="27"/>
      <c r="D23" s="21">
        <f>D12-D18</f>
        <v>340402.41000000003</v>
      </c>
      <c r="E23" s="15"/>
      <c r="F23" s="23">
        <f>IF(D$12=0,0,D23/D$12)</f>
        <v>0.75781597379720667</v>
      </c>
      <c r="G23" s="15"/>
      <c r="H23" s="21">
        <f>H12-H18</f>
        <v>323676</v>
      </c>
      <c r="I23" s="15"/>
      <c r="J23" s="23">
        <f>IF(H$12=0,0,H23/H$12)</f>
        <v>0.74</v>
      </c>
      <c r="K23" s="16"/>
      <c r="L23" s="21">
        <f>+D23-H23</f>
        <v>16726.410000000033</v>
      </c>
      <c r="M23" s="16"/>
      <c r="N23" s="23">
        <f>IF(H23=0,0,L23/H23)</f>
        <v>5.1676398620843167E-2</v>
      </c>
      <c r="O23" s="28"/>
      <c r="P23" s="21">
        <f>P12-P18</f>
        <v>2365413</v>
      </c>
      <c r="Q23" s="15"/>
      <c r="R23" s="23">
        <f>IF(P$12=0,0,P23/P$12)</f>
        <v>0.75174645657925332</v>
      </c>
      <c r="S23" s="15"/>
      <c r="T23" s="21">
        <f>T12-T18</f>
        <v>2067606</v>
      </c>
      <c r="U23" s="15"/>
      <c r="V23" s="23">
        <f>IF(T$12=0,0,T23/T$12)</f>
        <v>0.71702247191011237</v>
      </c>
      <c r="W23" s="16"/>
      <c r="X23" s="21">
        <f>+P23-T23</f>
        <v>297807</v>
      </c>
      <c r="Y23" s="16"/>
      <c r="Z23" s="23">
        <f>IF(T23=0,0,X23/T23)</f>
        <v>0.14403469519821474</v>
      </c>
    </row>
    <row r="24" spans="1:26" ht="15" customHeight="1" x14ac:dyDescent="0.3">
      <c r="A24" s="10"/>
      <c r="B24" s="11"/>
      <c r="C24" s="10"/>
      <c r="D24" s="2"/>
      <c r="E24" s="2"/>
      <c r="F24" s="6"/>
      <c r="G24" s="2"/>
      <c r="H24" s="2"/>
      <c r="I24" s="2"/>
      <c r="J24" s="6"/>
      <c r="K24" s="2"/>
      <c r="L24" s="2"/>
      <c r="M24" s="2"/>
      <c r="N24" s="6"/>
      <c r="O24" s="35"/>
      <c r="P24" s="2"/>
      <c r="Q24" s="2"/>
      <c r="R24" s="6"/>
      <c r="S24" s="2"/>
      <c r="T24" s="2"/>
      <c r="U24" s="2"/>
      <c r="V24" s="6"/>
      <c r="W24" s="2"/>
      <c r="X24" s="2"/>
      <c r="Y24" s="2"/>
      <c r="Z24" s="6"/>
    </row>
    <row r="25" spans="1:26" s="63" customFormat="1" ht="15" customHeight="1" x14ac:dyDescent="0.3">
      <c r="A25" s="11"/>
      <c r="B25" s="28" t="s">
        <v>290</v>
      </c>
      <c r="C25" s="11"/>
      <c r="D25" s="22" cm="1">
        <f t="array" ref="D25">SUM(OSRRefD22x_0)</f>
        <v>174311.68999999997</v>
      </c>
      <c r="E25" s="22"/>
      <c r="F25" s="30">
        <f t="shared" ref="F25:F56" si="0">IF(D$12=0,0,D25/D$12)</f>
        <v>0.3880588950636007</v>
      </c>
      <c r="G25" s="22"/>
      <c r="H25" s="22" cm="1">
        <f t="array" ref="H25">SUM(OSRRefH22x_0)</f>
        <v>173212.17189692304</v>
      </c>
      <c r="I25" s="22"/>
      <c r="J25" s="30">
        <f t="shared" ref="J25:J56" si="1">IF(H$12=0,0,H25/H$12)</f>
        <v>0.39600405097604718</v>
      </c>
      <c r="K25" s="5"/>
      <c r="L25" s="22">
        <f t="shared" ref="L25:L56" si="2">+D25-H25</f>
        <v>1099.5181030769309</v>
      </c>
      <c r="M25" s="5"/>
      <c r="N25" s="30">
        <f t="shared" ref="N25:N56" si="3">IF(H25=0,0,L25/H25)</f>
        <v>6.3478108439818182E-3</v>
      </c>
      <c r="O25" s="11"/>
      <c r="P25" s="22" cm="1">
        <f t="array" ref="P25">SUM(OSRRefP22x_0)</f>
        <v>1262346.7299999995</v>
      </c>
      <c r="Q25" s="22"/>
      <c r="R25" s="30">
        <f t="shared" ref="R25:R56" si="4">IF(P$12=0,0,P25/P$12)</f>
        <v>0.40118350632718563</v>
      </c>
      <c r="S25" s="22"/>
      <c r="T25" s="22" cm="1">
        <f t="array" ref="T25">SUM(OSRRefT22x_0)</f>
        <v>1481974.098495</v>
      </c>
      <c r="U25" s="22"/>
      <c r="V25" s="30">
        <f t="shared" ref="V25:V56" si="5">IF(T$12=0,0,T25/T$12)</f>
        <v>0.51393192484914696</v>
      </c>
      <c r="W25" s="5"/>
      <c r="X25" s="22">
        <f t="shared" ref="X25:X56" si="6">+P25-T25</f>
        <v>-219627.36849500053</v>
      </c>
      <c r="Y25" s="5"/>
      <c r="Z25" s="30">
        <f t="shared" ref="Z25:Z56" si="7">IF(T25=0,0,X25/T25)</f>
        <v>-0.14819919505883422</v>
      </c>
    </row>
    <row r="26" spans="1:26" s="69" customFormat="1" ht="15" customHeight="1" outlineLevel="1" collapsed="1" x14ac:dyDescent="0.3">
      <c r="A26" s="25"/>
      <c r="B26" s="14" t="str">
        <f>CONCATENATE("     ","*Benefits                                         ")</f>
        <v xml:space="preserve">     *Benefits                                         </v>
      </c>
      <c r="C26" s="14"/>
      <c r="D26" s="2">
        <f>SUM(OSRRefD22_0x_0)</f>
        <v>25938.500000000004</v>
      </c>
      <c r="E26" s="2"/>
      <c r="F26" s="6">
        <f t="shared" si="0"/>
        <v>5.774521289769613E-2</v>
      </c>
      <c r="G26" s="2"/>
      <c r="H26" s="2">
        <f>SUM(OSRRefH22_0x_0)</f>
        <v>33670.750358461526</v>
      </c>
      <c r="I26" s="2"/>
      <c r="J26" s="6">
        <f t="shared" si="1"/>
        <v>7.6979310375998006E-2</v>
      </c>
      <c r="K26" s="2"/>
      <c r="L26" s="2">
        <f t="shared" si="2"/>
        <v>-7732.2503584615224</v>
      </c>
      <c r="M26" s="2"/>
      <c r="N26" s="6">
        <f t="shared" si="3"/>
        <v>-0.22964294754774875</v>
      </c>
      <c r="O26" s="14"/>
      <c r="P26" s="2">
        <f>SUM(OSRRefP22_0x_0)</f>
        <v>237677.58000000002</v>
      </c>
      <c r="Q26" s="2"/>
      <c r="R26" s="6">
        <f t="shared" si="4"/>
        <v>7.5535764187197763E-2</v>
      </c>
      <c r="S26" s="2"/>
      <c r="T26" s="2">
        <f>SUM(OSRRefT22_0x_0)</f>
        <v>317137.488495</v>
      </c>
      <c r="U26" s="2"/>
      <c r="V26" s="6">
        <f t="shared" si="5"/>
        <v>0.10997970886912194</v>
      </c>
      <c r="W26" s="2"/>
      <c r="X26" s="2">
        <f t="shared" si="6"/>
        <v>-79459.908494999981</v>
      </c>
      <c r="Y26" s="2"/>
      <c r="Z26" s="6">
        <f t="shared" si="7"/>
        <v>-0.25055350243228264</v>
      </c>
    </row>
    <row r="27" spans="1:26" s="70" customFormat="1" ht="15" hidden="1" customHeight="1" outlineLevel="2" x14ac:dyDescent="0.3">
      <c r="A27" s="26"/>
      <c r="B27" s="12" t="str">
        <f>CONCATENATE("          ","6111"," - ","F.I.C.A.")</f>
        <v xml:space="preserve">          6111 - F.I.C.A.</v>
      </c>
      <c r="C27" s="12"/>
      <c r="D27" s="7">
        <v>3927.89</v>
      </c>
      <c r="E27" s="3"/>
      <c r="F27" s="8">
        <f t="shared" si="0"/>
        <v>8.7444086700746628E-3</v>
      </c>
      <c r="G27" s="3"/>
      <c r="H27" s="7">
        <v>4776.19020461538</v>
      </c>
      <c r="I27" s="3"/>
      <c r="J27" s="8">
        <f t="shared" si="1"/>
        <v>1.091950206816502E-2</v>
      </c>
      <c r="K27" s="3"/>
      <c r="L27" s="7">
        <f t="shared" si="2"/>
        <v>-848.30020461538015</v>
      </c>
      <c r="M27" s="3"/>
      <c r="N27" s="8">
        <f t="shared" si="3"/>
        <v>-0.17761022243118407</v>
      </c>
      <c r="O27" s="12"/>
      <c r="P27" s="7">
        <v>30474.49</v>
      </c>
      <c r="Q27" s="3"/>
      <c r="R27" s="8">
        <f t="shared" si="4"/>
        <v>9.6850274660534516E-3</v>
      </c>
      <c r="S27" s="3"/>
      <c r="T27" s="7">
        <v>44616.339495</v>
      </c>
      <c r="U27" s="3"/>
      <c r="V27" s="8">
        <f t="shared" si="5"/>
        <v>1.5472443991885144E-2</v>
      </c>
      <c r="W27" s="3"/>
      <c r="X27" s="7">
        <f t="shared" si="6"/>
        <v>-14141.849494999999</v>
      </c>
      <c r="Y27" s="3"/>
      <c r="Z27" s="8">
        <f t="shared" si="7"/>
        <v>-0.31696570483073422</v>
      </c>
    </row>
    <row r="28" spans="1:26" s="70" customFormat="1" ht="15" hidden="1" customHeight="1" outlineLevel="2" x14ac:dyDescent="0.3">
      <c r="A28" s="26"/>
      <c r="B28" s="12" t="str">
        <f>CONCATENATE("          ","6112"," - ","COMPENSATION INSURANCE")</f>
        <v xml:space="preserve">          6112 - COMPENSATION INSURANCE</v>
      </c>
      <c r="C28" s="12"/>
      <c r="D28" s="7">
        <v>3296.73</v>
      </c>
      <c r="E28" s="3"/>
      <c r="F28" s="8">
        <f t="shared" si="0"/>
        <v>7.3392977896262982E-3</v>
      </c>
      <c r="G28" s="3"/>
      <c r="H28" s="7">
        <v>3074.9931769230798</v>
      </c>
      <c r="I28" s="3"/>
      <c r="J28" s="8">
        <f t="shared" si="1"/>
        <v>7.030162727304709E-3</v>
      </c>
      <c r="K28" s="3"/>
      <c r="L28" s="7">
        <f t="shared" si="2"/>
        <v>221.73682307692025</v>
      </c>
      <c r="M28" s="3"/>
      <c r="N28" s="8">
        <f t="shared" si="3"/>
        <v>7.2109695963226833E-2</v>
      </c>
      <c r="O28" s="12"/>
      <c r="P28" s="7">
        <v>20059.66</v>
      </c>
      <c r="Q28" s="3"/>
      <c r="R28" s="8">
        <f t="shared" si="4"/>
        <v>6.3751143352913783E-3</v>
      </c>
      <c r="S28" s="3"/>
      <c r="T28" s="7">
        <v>27408.01035</v>
      </c>
      <c r="U28" s="3"/>
      <c r="V28" s="8">
        <f t="shared" si="5"/>
        <v>9.5047892738243864E-3</v>
      </c>
      <c r="W28" s="3"/>
      <c r="X28" s="7">
        <f t="shared" si="6"/>
        <v>-7348.3503500000006</v>
      </c>
      <c r="Y28" s="3"/>
      <c r="Z28" s="8">
        <f t="shared" si="7"/>
        <v>-0.2681095875315882</v>
      </c>
    </row>
    <row r="29" spans="1:26" s="70" customFormat="1" ht="15" hidden="1" customHeight="1" outlineLevel="2" x14ac:dyDescent="0.3">
      <c r="A29" s="26"/>
      <c r="B29" s="12" t="str">
        <f>CONCATENATE("          ","6113"," - ","GROUP INSURANCE")</f>
        <v xml:space="preserve">          6113 - GROUP INSURANCE</v>
      </c>
      <c r="C29" s="12"/>
      <c r="D29" s="7">
        <v>12704.31</v>
      </c>
      <c r="E29" s="3"/>
      <c r="F29" s="8">
        <f t="shared" si="0"/>
        <v>2.8282787580944536E-2</v>
      </c>
      <c r="G29" s="3"/>
      <c r="H29" s="7">
        <v>20158.384615384599</v>
      </c>
      <c r="I29" s="3"/>
      <c r="J29" s="8">
        <f t="shared" si="1"/>
        <v>4.6086841827582534E-2</v>
      </c>
      <c r="K29" s="3"/>
      <c r="L29" s="7">
        <f t="shared" si="2"/>
        <v>-7454.0746153845994</v>
      </c>
      <c r="M29" s="3"/>
      <c r="N29" s="8">
        <f t="shared" si="3"/>
        <v>-0.36977539409064319</v>
      </c>
      <c r="O29" s="12"/>
      <c r="P29" s="7">
        <v>121114.23</v>
      </c>
      <c r="Q29" s="3"/>
      <c r="R29" s="8">
        <f t="shared" si="4"/>
        <v>3.8491034438309375E-2</v>
      </c>
      <c r="S29" s="3"/>
      <c r="T29" s="7">
        <v>192096</v>
      </c>
      <c r="U29" s="3"/>
      <c r="V29" s="8">
        <f t="shared" si="5"/>
        <v>6.6616729088639207E-2</v>
      </c>
      <c r="W29" s="3"/>
      <c r="X29" s="7">
        <f t="shared" si="6"/>
        <v>-70981.77</v>
      </c>
      <c r="Y29" s="3"/>
      <c r="Z29" s="8">
        <f t="shared" si="7"/>
        <v>-0.3695119627686157</v>
      </c>
    </row>
    <row r="30" spans="1:26" s="70" customFormat="1" ht="15" hidden="1" customHeight="1" outlineLevel="2" x14ac:dyDescent="0.3">
      <c r="A30" s="26"/>
      <c r="B30" s="12" t="str">
        <f>CONCATENATE("          ","6114"," - ","STATE UNEMPLOYMENT INSURANCE")</f>
        <v xml:space="preserve">          6114 - STATE UNEMPLOYMENT INSURANCE</v>
      </c>
      <c r="C30" s="12"/>
      <c r="D30" s="7">
        <v>238.09</v>
      </c>
      <c r="E30" s="3"/>
      <c r="F30" s="8">
        <f t="shared" si="0"/>
        <v>5.3004444122877077E-4</v>
      </c>
      <c r="G30" s="3"/>
      <c r="H30" s="7">
        <v>170.38220769230799</v>
      </c>
      <c r="I30" s="3"/>
      <c r="J30" s="8">
        <f t="shared" si="1"/>
        <v>3.8953408251556467E-4</v>
      </c>
      <c r="K30" s="3"/>
      <c r="L30" s="7">
        <f t="shared" si="2"/>
        <v>67.707792307692017</v>
      </c>
      <c r="M30" s="3"/>
      <c r="N30" s="8">
        <f t="shared" si="3"/>
        <v>0.39738769220530956</v>
      </c>
      <c r="O30" s="12"/>
      <c r="P30" s="7">
        <v>1448.75</v>
      </c>
      <c r="Q30" s="3"/>
      <c r="R30" s="8">
        <f t="shared" si="4"/>
        <v>4.6042390016846668E-4</v>
      </c>
      <c r="S30" s="3"/>
      <c r="T30" s="7">
        <v>1518.6496500000001</v>
      </c>
      <c r="U30" s="3"/>
      <c r="V30" s="8">
        <f t="shared" si="5"/>
        <v>5.2665059300873905E-4</v>
      </c>
      <c r="W30" s="3"/>
      <c r="X30" s="7">
        <f t="shared" si="6"/>
        <v>-69.899650000000065</v>
      </c>
      <c r="Y30" s="3"/>
      <c r="Z30" s="8">
        <f t="shared" si="7"/>
        <v>-4.6027502129935012E-2</v>
      </c>
    </row>
    <row r="31" spans="1:26" s="70" customFormat="1" ht="15" hidden="1" customHeight="1" outlineLevel="2" x14ac:dyDescent="0.3">
      <c r="A31" s="26"/>
      <c r="B31" s="12" t="str">
        <f>CONCATENATE("          ","6115"," - ","P.E.R.S.")</f>
        <v xml:space="preserve">          6115 - P.E.R.S.</v>
      </c>
      <c r="C31" s="12"/>
      <c r="D31" s="7">
        <v>951.18</v>
      </c>
      <c r="E31" s="3"/>
      <c r="F31" s="8">
        <f t="shared" si="0"/>
        <v>2.1175508068712761E-3</v>
      </c>
      <c r="G31" s="3"/>
      <c r="H31" s="7">
        <v>1246.0870769230801</v>
      </c>
      <c r="I31" s="3"/>
      <c r="J31" s="8">
        <f t="shared" si="1"/>
        <v>2.848850198726749E-3</v>
      </c>
      <c r="K31" s="3"/>
      <c r="L31" s="7">
        <f t="shared" si="2"/>
        <v>-294.90707692308013</v>
      </c>
      <c r="M31" s="3"/>
      <c r="N31" s="8">
        <f t="shared" si="3"/>
        <v>-0.23666650781042045</v>
      </c>
      <c r="O31" s="12"/>
      <c r="P31" s="7">
        <v>10891.29</v>
      </c>
      <c r="Q31" s="3"/>
      <c r="R31" s="8">
        <f t="shared" si="4"/>
        <v>3.4613357857917653E-3</v>
      </c>
      <c r="S31" s="3"/>
      <c r="T31" s="7">
        <v>12149.349</v>
      </c>
      <c r="U31" s="3"/>
      <c r="V31" s="8">
        <f t="shared" si="5"/>
        <v>4.2132573866000833E-3</v>
      </c>
      <c r="W31" s="3"/>
      <c r="X31" s="7">
        <f t="shared" si="6"/>
        <v>-1258.0589999999993</v>
      </c>
      <c r="Y31" s="3"/>
      <c r="Z31" s="8">
        <f t="shared" si="7"/>
        <v>-0.10354949882499871</v>
      </c>
    </row>
    <row r="32" spans="1:26" s="70" customFormat="1" ht="15" hidden="1" customHeight="1" outlineLevel="2" x14ac:dyDescent="0.3">
      <c r="A32" s="26"/>
      <c r="B32" s="12" t="str">
        <f>CONCATENATE("          ","6116"," - ","EDUCATIONAL BENEFITS")</f>
        <v xml:space="preserve">          6116 - EDUCATIONAL BENEFITS</v>
      </c>
      <c r="C32" s="12"/>
      <c r="D32" s="7"/>
      <c r="E32" s="3"/>
      <c r="F32" s="8">
        <f t="shared" si="0"/>
        <v>0</v>
      </c>
      <c r="G32" s="3"/>
      <c r="H32" s="7">
        <v>0</v>
      </c>
      <c r="I32" s="3"/>
      <c r="J32" s="8">
        <f t="shared" si="1"/>
        <v>0</v>
      </c>
      <c r="K32" s="3"/>
      <c r="L32" s="7">
        <f t="shared" si="2"/>
        <v>0</v>
      </c>
      <c r="M32" s="3"/>
      <c r="N32" s="8">
        <f t="shared" si="3"/>
        <v>0</v>
      </c>
      <c r="O32" s="12"/>
      <c r="P32" s="7"/>
      <c r="Q32" s="3"/>
      <c r="R32" s="8">
        <f t="shared" si="4"/>
        <v>0</v>
      </c>
      <c r="S32" s="3"/>
      <c r="T32" s="7">
        <v>0</v>
      </c>
      <c r="U32" s="3"/>
      <c r="V32" s="8">
        <f t="shared" si="5"/>
        <v>0</v>
      </c>
      <c r="W32" s="3"/>
      <c r="X32" s="7">
        <f t="shared" si="6"/>
        <v>0</v>
      </c>
      <c r="Y32" s="3"/>
      <c r="Z32" s="8">
        <f t="shared" si="7"/>
        <v>0</v>
      </c>
    </row>
    <row r="33" spans="1:26" s="70" customFormat="1" ht="15" hidden="1" customHeight="1" outlineLevel="2" x14ac:dyDescent="0.3">
      <c r="A33" s="26"/>
      <c r="B33" s="12" t="str">
        <f>CONCATENATE("          ","6117"," - ","RETIREMENT STAFF HOURLY")</f>
        <v xml:space="preserve">          6117 - RETIREMENT STAFF HOURLY</v>
      </c>
      <c r="C33" s="12"/>
      <c r="D33" s="7">
        <v>559.08000000000004</v>
      </c>
      <c r="E33" s="3"/>
      <c r="F33" s="8">
        <f t="shared" si="0"/>
        <v>1.2446438162131176E-3</v>
      </c>
      <c r="G33" s="3"/>
      <c r="H33" s="7"/>
      <c r="I33" s="3"/>
      <c r="J33" s="8">
        <f t="shared" si="1"/>
        <v>0</v>
      </c>
      <c r="K33" s="3"/>
      <c r="L33" s="7">
        <f t="shared" si="2"/>
        <v>559.08000000000004</v>
      </c>
      <c r="M33" s="3"/>
      <c r="N33" s="8">
        <f t="shared" si="3"/>
        <v>0</v>
      </c>
      <c r="O33" s="12"/>
      <c r="P33" s="7">
        <v>4762.51</v>
      </c>
      <c r="Q33" s="3"/>
      <c r="R33" s="8">
        <f t="shared" si="4"/>
        <v>1.5135623322114404E-3</v>
      </c>
      <c r="S33" s="3"/>
      <c r="T33" s="7"/>
      <c r="U33" s="3"/>
      <c r="V33" s="8">
        <f t="shared" si="5"/>
        <v>0</v>
      </c>
      <c r="W33" s="3"/>
      <c r="X33" s="7">
        <f t="shared" si="6"/>
        <v>4762.51</v>
      </c>
      <c r="Y33" s="3"/>
      <c r="Z33" s="8">
        <f t="shared" si="7"/>
        <v>0</v>
      </c>
    </row>
    <row r="34" spans="1:26" s="70" customFormat="1" ht="15" hidden="1" customHeight="1" outlineLevel="2" x14ac:dyDescent="0.3">
      <c r="A34" s="26"/>
      <c r="B34" s="12" t="str">
        <f>CONCATENATE("          ","6118"," - ","VACATION")</f>
        <v xml:space="preserve">          6118 - VACATION</v>
      </c>
      <c r="C34" s="12"/>
      <c r="D34" s="7">
        <v>1441.04</v>
      </c>
      <c r="E34" s="3"/>
      <c r="F34" s="8">
        <f t="shared" si="0"/>
        <v>3.2080945927519334E-3</v>
      </c>
      <c r="G34" s="3"/>
      <c r="H34" s="7">
        <v>1810.68153846154</v>
      </c>
      <c r="I34" s="3"/>
      <c r="J34" s="8">
        <f t="shared" si="1"/>
        <v>4.1396468643382254E-3</v>
      </c>
      <c r="K34" s="3"/>
      <c r="L34" s="7">
        <f t="shared" si="2"/>
        <v>-369.64153846153999</v>
      </c>
      <c r="M34" s="3"/>
      <c r="N34" s="8">
        <f t="shared" si="3"/>
        <v>-0.20414497558505451</v>
      </c>
      <c r="O34" s="12"/>
      <c r="P34" s="7">
        <v>20393.66</v>
      </c>
      <c r="Q34" s="3"/>
      <c r="R34" s="8">
        <f t="shared" si="4"/>
        <v>6.4812621058910457E-3</v>
      </c>
      <c r="S34" s="3"/>
      <c r="T34" s="7">
        <v>17654.145</v>
      </c>
      <c r="U34" s="3"/>
      <c r="V34" s="8">
        <f t="shared" si="5"/>
        <v>6.1222586350395342E-3</v>
      </c>
      <c r="W34" s="3"/>
      <c r="X34" s="7">
        <f t="shared" si="6"/>
        <v>2739.5149999999994</v>
      </c>
      <c r="Y34" s="3"/>
      <c r="Z34" s="8">
        <f t="shared" si="7"/>
        <v>0.15517687206035746</v>
      </c>
    </row>
    <row r="35" spans="1:26" s="70" customFormat="1" ht="15" hidden="1" customHeight="1" outlineLevel="2" x14ac:dyDescent="0.3">
      <c r="A35" s="26"/>
      <c r="B35" s="12" t="str">
        <f>CONCATENATE("          ","6119"," - ","SICK LEAVE")</f>
        <v xml:space="preserve">          6119 - SICK LEAVE</v>
      </c>
      <c r="C35" s="12"/>
      <c r="D35" s="7">
        <v>1429.52</v>
      </c>
      <c r="E35" s="3"/>
      <c r="F35" s="8">
        <f t="shared" si="0"/>
        <v>3.1824483582903623E-3</v>
      </c>
      <c r="G35" s="3"/>
      <c r="H35" s="7">
        <v>2434.0315384615401</v>
      </c>
      <c r="I35" s="3"/>
      <c r="J35" s="8">
        <f t="shared" si="1"/>
        <v>5.5647726073652041E-3</v>
      </c>
      <c r="K35" s="3"/>
      <c r="L35" s="7">
        <f t="shared" si="2"/>
        <v>-1004.5115384615401</v>
      </c>
      <c r="M35" s="3"/>
      <c r="N35" s="8">
        <f t="shared" si="3"/>
        <v>-0.41269454507415876</v>
      </c>
      <c r="O35" s="12"/>
      <c r="P35" s="7">
        <v>18179.099999999999</v>
      </c>
      <c r="Q35" s="3"/>
      <c r="R35" s="8">
        <f t="shared" si="4"/>
        <v>5.7774578937377545E-3</v>
      </c>
      <c r="S35" s="3"/>
      <c r="T35" s="7">
        <v>21694.994999999999</v>
      </c>
      <c r="U35" s="3"/>
      <c r="V35" s="8">
        <f t="shared" si="5"/>
        <v>7.5235799001248434E-3</v>
      </c>
      <c r="W35" s="3"/>
      <c r="X35" s="7">
        <f t="shared" si="6"/>
        <v>-3515.8950000000004</v>
      </c>
      <c r="Y35" s="3"/>
      <c r="Z35" s="8">
        <f t="shared" si="7"/>
        <v>-0.16206018945844425</v>
      </c>
    </row>
    <row r="36" spans="1:26" s="70" customFormat="1" ht="15" hidden="1" customHeight="1" outlineLevel="2" x14ac:dyDescent="0.3">
      <c r="A36" s="26"/>
      <c r="B36" s="12" t="str">
        <f>CONCATENATE("          ","6156"," - ","EMPLOYEE MEALS")</f>
        <v xml:space="preserve">          6156 - EMPLOYEE MEALS</v>
      </c>
      <c r="C36" s="12"/>
      <c r="D36" s="7">
        <v>1390.66</v>
      </c>
      <c r="E36" s="3"/>
      <c r="F36" s="8">
        <f t="shared" si="0"/>
        <v>3.0959368416951672E-3</v>
      </c>
      <c r="G36" s="3"/>
      <c r="H36" s="7"/>
      <c r="I36" s="3"/>
      <c r="J36" s="8">
        <f t="shared" si="1"/>
        <v>0</v>
      </c>
      <c r="K36" s="3"/>
      <c r="L36" s="7">
        <f t="shared" si="2"/>
        <v>1390.66</v>
      </c>
      <c r="M36" s="3"/>
      <c r="N36" s="8">
        <f t="shared" si="3"/>
        <v>0</v>
      </c>
      <c r="O36" s="12"/>
      <c r="P36" s="7">
        <v>10353.89</v>
      </c>
      <c r="Q36" s="3"/>
      <c r="R36" s="8">
        <f t="shared" si="4"/>
        <v>3.2905459297430787E-3</v>
      </c>
      <c r="S36" s="3"/>
      <c r="T36" s="7"/>
      <c r="U36" s="3"/>
      <c r="V36" s="8">
        <f t="shared" si="5"/>
        <v>0</v>
      </c>
      <c r="W36" s="3"/>
      <c r="X36" s="7">
        <f t="shared" si="6"/>
        <v>10353.89</v>
      </c>
      <c r="Y36" s="3"/>
      <c r="Z36" s="8">
        <f t="shared" si="7"/>
        <v>0</v>
      </c>
    </row>
    <row r="37" spans="1:26" s="69" customFormat="1" ht="15" customHeight="1" outlineLevel="1" collapsed="1" x14ac:dyDescent="0.3">
      <c r="A37" s="25"/>
      <c r="B37" s="14" t="str">
        <f>CONCATENATE("     ","*Payroll                                          ")</f>
        <v xml:space="preserve">     *Payroll                                          </v>
      </c>
      <c r="C37" s="14"/>
      <c r="D37" s="2">
        <f>SUM(OSRRefD22_1x_0)</f>
        <v>88317.400000000009</v>
      </c>
      <c r="E37" s="2"/>
      <c r="F37" s="6">
        <f t="shared" si="0"/>
        <v>0.19661534265940545</v>
      </c>
      <c r="G37" s="2"/>
      <c r="H37" s="2">
        <f>SUM(OSRRefH22_1x_0)</f>
        <v>78063.421538461494</v>
      </c>
      <c r="I37" s="2"/>
      <c r="J37" s="6">
        <f t="shared" si="1"/>
        <v>0.17847147128134772</v>
      </c>
      <c r="K37" s="2"/>
      <c r="L37" s="2">
        <f t="shared" si="2"/>
        <v>10253.978461538514</v>
      </c>
      <c r="M37" s="2"/>
      <c r="N37" s="6">
        <f t="shared" si="3"/>
        <v>0.13135445845768398</v>
      </c>
      <c r="O37" s="14"/>
      <c r="P37" s="2">
        <f>SUM(OSRRefP22_1x_0)</f>
        <v>608184.22000000009</v>
      </c>
      <c r="Q37" s="2"/>
      <c r="R37" s="6">
        <f t="shared" si="4"/>
        <v>0.19328562594879506</v>
      </c>
      <c r="S37" s="2"/>
      <c r="T37" s="2">
        <f>SUM(OSRRefT22_1x_0)</f>
        <v>693224.61</v>
      </c>
      <c r="U37" s="2"/>
      <c r="V37" s="6">
        <f t="shared" si="5"/>
        <v>0.24040248647523929</v>
      </c>
      <c r="W37" s="2"/>
      <c r="X37" s="2">
        <f t="shared" si="6"/>
        <v>-85040.389999999898</v>
      </c>
      <c r="Y37" s="2"/>
      <c r="Z37" s="6">
        <f t="shared" si="7"/>
        <v>-0.12267364541486762</v>
      </c>
    </row>
    <row r="38" spans="1:26" s="70" customFormat="1" ht="15" hidden="1" customHeight="1" outlineLevel="2" x14ac:dyDescent="0.3">
      <c r="A38" s="26"/>
      <c r="B38" s="12" t="str">
        <f>CONCATENATE("          ","6001"," - ","ADMINISTRATIVE SALARIES")</f>
        <v xml:space="preserve">          6001 - ADMINISTRATIVE SALARIES</v>
      </c>
      <c r="C38" s="12"/>
      <c r="D38" s="7"/>
      <c r="E38" s="3"/>
      <c r="F38" s="8">
        <f t="shared" si="0"/>
        <v>0</v>
      </c>
      <c r="G38" s="3"/>
      <c r="H38" s="7">
        <v>0</v>
      </c>
      <c r="I38" s="3"/>
      <c r="J38" s="8">
        <f t="shared" si="1"/>
        <v>0</v>
      </c>
      <c r="K38" s="3"/>
      <c r="L38" s="7">
        <f t="shared" si="2"/>
        <v>0</v>
      </c>
      <c r="M38" s="3"/>
      <c r="N38" s="8">
        <f t="shared" si="3"/>
        <v>0</v>
      </c>
      <c r="O38" s="12"/>
      <c r="P38" s="7"/>
      <c r="Q38" s="3"/>
      <c r="R38" s="8">
        <f t="shared" si="4"/>
        <v>0</v>
      </c>
      <c r="S38" s="3"/>
      <c r="T38" s="7">
        <v>0</v>
      </c>
      <c r="U38" s="3"/>
      <c r="V38" s="8">
        <f t="shared" si="5"/>
        <v>0</v>
      </c>
      <c r="W38" s="3"/>
      <c r="X38" s="7">
        <f t="shared" si="6"/>
        <v>0</v>
      </c>
      <c r="Y38" s="3"/>
      <c r="Z38" s="8">
        <f t="shared" si="7"/>
        <v>0</v>
      </c>
    </row>
    <row r="39" spans="1:26" s="70" customFormat="1" ht="15" hidden="1" customHeight="1" outlineLevel="2" x14ac:dyDescent="0.3">
      <c r="A39" s="26"/>
      <c r="B39" s="12" t="str">
        <f>CONCATENATE("          ","6002"," - ","STAFF SALARIES")</f>
        <v xml:space="preserve">          6002 - STAFF SALARIES</v>
      </c>
      <c r="C39" s="12"/>
      <c r="D39" s="7">
        <v>10762.11</v>
      </c>
      <c r="E39" s="3"/>
      <c r="F39" s="8">
        <f t="shared" si="0"/>
        <v>2.3958992739689051E-2</v>
      </c>
      <c r="G39" s="3"/>
      <c r="H39" s="7">
        <v>13620.0215384615</v>
      </c>
      <c r="I39" s="3"/>
      <c r="J39" s="8">
        <f t="shared" si="1"/>
        <v>3.113859519538523E-2</v>
      </c>
      <c r="K39" s="3"/>
      <c r="L39" s="7">
        <f t="shared" si="2"/>
        <v>-2857.9115384614997</v>
      </c>
      <c r="M39" s="3"/>
      <c r="N39" s="8">
        <f t="shared" si="3"/>
        <v>-0.20983164603602569</v>
      </c>
      <c r="O39" s="12"/>
      <c r="P39" s="7">
        <v>115003.61</v>
      </c>
      <c r="Q39" s="3"/>
      <c r="R39" s="8">
        <f t="shared" si="4"/>
        <v>3.6549032372495793E-2</v>
      </c>
      <c r="S39" s="3"/>
      <c r="T39" s="7">
        <v>132795.21</v>
      </c>
      <c r="U39" s="3"/>
      <c r="V39" s="8">
        <f t="shared" si="5"/>
        <v>4.6051883062838118E-2</v>
      </c>
      <c r="W39" s="3"/>
      <c r="X39" s="7">
        <f t="shared" si="6"/>
        <v>-17791.599999999991</v>
      </c>
      <c r="Y39" s="3"/>
      <c r="Z39" s="8">
        <f t="shared" si="7"/>
        <v>-0.13397772404591998</v>
      </c>
    </row>
    <row r="40" spans="1:26" s="70" customFormat="1" ht="15" hidden="1" customHeight="1" outlineLevel="2" x14ac:dyDescent="0.3">
      <c r="A40" s="26"/>
      <c r="B40" s="12" t="str">
        <f>CONCATENATE("          ","6003"," - ","STAFF HOURLY-9 MONTH")</f>
        <v xml:space="preserve">          6003 - STAFF HOURLY-9 MONTH</v>
      </c>
      <c r="C40" s="12"/>
      <c r="D40" s="7"/>
      <c r="E40" s="3"/>
      <c r="F40" s="8">
        <f t="shared" si="0"/>
        <v>0</v>
      </c>
      <c r="G40" s="3"/>
      <c r="H40" s="7">
        <v>0</v>
      </c>
      <c r="I40" s="3"/>
      <c r="J40" s="8">
        <f t="shared" si="1"/>
        <v>0</v>
      </c>
      <c r="K40" s="3"/>
      <c r="L40" s="7">
        <f t="shared" si="2"/>
        <v>0</v>
      </c>
      <c r="M40" s="3"/>
      <c r="N40" s="8">
        <f t="shared" si="3"/>
        <v>0</v>
      </c>
      <c r="O40" s="12"/>
      <c r="P40" s="7"/>
      <c r="Q40" s="3"/>
      <c r="R40" s="8">
        <f t="shared" si="4"/>
        <v>0</v>
      </c>
      <c r="S40" s="3"/>
      <c r="T40" s="7">
        <v>0</v>
      </c>
      <c r="U40" s="3"/>
      <c r="V40" s="8">
        <f t="shared" si="5"/>
        <v>0</v>
      </c>
      <c r="W40" s="3"/>
      <c r="X40" s="7">
        <f t="shared" si="6"/>
        <v>0</v>
      </c>
      <c r="Y40" s="3"/>
      <c r="Z40" s="8">
        <f t="shared" si="7"/>
        <v>0</v>
      </c>
    </row>
    <row r="41" spans="1:26" s="70" customFormat="1" ht="15" hidden="1" customHeight="1" outlineLevel="2" x14ac:dyDescent="0.3">
      <c r="A41" s="26"/>
      <c r="B41" s="12" t="str">
        <f>CONCATENATE("          ","6004"," - ","STAFF HOURLY")</f>
        <v xml:space="preserve">          6004 - STAFF HOURLY</v>
      </c>
      <c r="C41" s="12"/>
      <c r="D41" s="7">
        <v>21343.42</v>
      </c>
      <c r="E41" s="3"/>
      <c r="F41" s="8">
        <f t="shared" si="0"/>
        <v>4.7515482077411776E-2</v>
      </c>
      <c r="G41" s="3"/>
      <c r="H41" s="7">
        <v>45718.400000000001</v>
      </c>
      <c r="I41" s="3"/>
      <c r="J41" s="8">
        <f t="shared" si="1"/>
        <v>0.1045230909922268</v>
      </c>
      <c r="K41" s="3"/>
      <c r="L41" s="7">
        <f t="shared" si="2"/>
        <v>-24374.980000000003</v>
      </c>
      <c r="M41" s="3"/>
      <c r="N41" s="8">
        <f t="shared" si="3"/>
        <v>-0.53315470357667816</v>
      </c>
      <c r="O41" s="12"/>
      <c r="P41" s="7">
        <v>207210.42</v>
      </c>
      <c r="Q41" s="3"/>
      <c r="R41" s="8">
        <f t="shared" si="4"/>
        <v>6.585306625155897E-2</v>
      </c>
      <c r="S41" s="3"/>
      <c r="T41" s="7">
        <v>420254.4</v>
      </c>
      <c r="U41" s="3"/>
      <c r="V41" s="8">
        <f t="shared" si="5"/>
        <v>0.14573949230129007</v>
      </c>
      <c r="W41" s="3"/>
      <c r="X41" s="7">
        <f t="shared" si="6"/>
        <v>-213043.98</v>
      </c>
      <c r="Y41" s="3"/>
      <c r="Z41" s="8">
        <f t="shared" si="7"/>
        <v>-0.50694051031946363</v>
      </c>
    </row>
    <row r="42" spans="1:26" s="70" customFormat="1" ht="15" hidden="1" customHeight="1" outlineLevel="2" x14ac:dyDescent="0.3">
      <c r="A42" s="26"/>
      <c r="B42" s="12" t="str">
        <f>CONCATENATE("          ","6005"," - ","TEMPORARY WAGES-HOURLY")</f>
        <v xml:space="preserve">          6005 - TEMPORARY WAGES-HOURLY</v>
      </c>
      <c r="C42" s="12"/>
      <c r="D42" s="7">
        <v>6993.76</v>
      </c>
      <c r="E42" s="3"/>
      <c r="F42" s="8">
        <f t="shared" si="0"/>
        <v>1.5569757702079582E-2</v>
      </c>
      <c r="G42" s="3"/>
      <c r="H42" s="7">
        <v>0</v>
      </c>
      <c r="I42" s="3"/>
      <c r="J42" s="8">
        <f t="shared" si="1"/>
        <v>0</v>
      </c>
      <c r="K42" s="3"/>
      <c r="L42" s="7">
        <f t="shared" si="2"/>
        <v>6993.76</v>
      </c>
      <c r="M42" s="3"/>
      <c r="N42" s="8">
        <f t="shared" si="3"/>
        <v>0</v>
      </c>
      <c r="O42" s="12"/>
      <c r="P42" s="7">
        <v>93710.03</v>
      </c>
      <c r="Q42" s="3"/>
      <c r="R42" s="8">
        <f t="shared" si="4"/>
        <v>2.9781768764454888E-2</v>
      </c>
      <c r="S42" s="3"/>
      <c r="T42" s="7">
        <v>0</v>
      </c>
      <c r="U42" s="3"/>
      <c r="V42" s="8">
        <f t="shared" si="5"/>
        <v>0</v>
      </c>
      <c r="W42" s="3"/>
      <c r="X42" s="7">
        <f t="shared" si="6"/>
        <v>93710.03</v>
      </c>
      <c r="Y42" s="3"/>
      <c r="Z42" s="8">
        <f t="shared" si="7"/>
        <v>0</v>
      </c>
    </row>
    <row r="43" spans="1:26" s="70" customFormat="1" ht="15" hidden="1" customHeight="1" outlineLevel="2" x14ac:dyDescent="0.3">
      <c r="A43" s="26"/>
      <c r="B43" s="12" t="str">
        <f>CONCATENATE("          ","6006"," - ","TEMPORARY PART TIME")</f>
        <v xml:space="preserve">          6006 - TEMPORARY PART TIME</v>
      </c>
      <c r="C43" s="12"/>
      <c r="D43" s="7">
        <v>1379</v>
      </c>
      <c r="E43" s="3"/>
      <c r="F43" s="8">
        <f t="shared" si="0"/>
        <v>3.0699789342453479E-3</v>
      </c>
      <c r="G43" s="3"/>
      <c r="H43" s="7">
        <v>0</v>
      </c>
      <c r="I43" s="3"/>
      <c r="J43" s="8">
        <f t="shared" si="1"/>
        <v>0</v>
      </c>
      <c r="K43" s="3"/>
      <c r="L43" s="7">
        <f t="shared" si="2"/>
        <v>1379</v>
      </c>
      <c r="M43" s="3"/>
      <c r="N43" s="8">
        <f t="shared" si="3"/>
        <v>0</v>
      </c>
      <c r="O43" s="12"/>
      <c r="P43" s="7">
        <v>1379</v>
      </c>
      <c r="Q43" s="3"/>
      <c r="R43" s="8">
        <f t="shared" si="4"/>
        <v>4.3825681334413498E-4</v>
      </c>
      <c r="S43" s="3"/>
      <c r="T43" s="7">
        <v>0</v>
      </c>
      <c r="U43" s="3"/>
      <c r="V43" s="8">
        <f t="shared" si="5"/>
        <v>0</v>
      </c>
      <c r="W43" s="3"/>
      <c r="X43" s="7">
        <f t="shared" si="6"/>
        <v>1379</v>
      </c>
      <c r="Y43" s="3"/>
      <c r="Z43" s="8">
        <f t="shared" si="7"/>
        <v>0</v>
      </c>
    </row>
    <row r="44" spans="1:26" s="70" customFormat="1" ht="15" hidden="1" customHeight="1" outlineLevel="2" x14ac:dyDescent="0.3">
      <c r="A44" s="26"/>
      <c r="B44" s="12" t="str">
        <f>CONCATENATE("          ","6007"," - ","STUDENT HOURLY")</f>
        <v xml:space="preserve">          6007 - STUDENT HOURLY</v>
      </c>
      <c r="C44" s="12"/>
      <c r="D44" s="7">
        <v>33610.559999999998</v>
      </c>
      <c r="E44" s="3"/>
      <c r="F44" s="8">
        <f t="shared" si="0"/>
        <v>7.4825026227838515E-2</v>
      </c>
      <c r="G44" s="3"/>
      <c r="H44" s="7">
        <v>0</v>
      </c>
      <c r="I44" s="3"/>
      <c r="J44" s="8">
        <f t="shared" si="1"/>
        <v>0</v>
      </c>
      <c r="K44" s="3"/>
      <c r="L44" s="7">
        <f t="shared" si="2"/>
        <v>33610.559999999998</v>
      </c>
      <c r="M44" s="3"/>
      <c r="N44" s="8">
        <f t="shared" si="3"/>
        <v>0</v>
      </c>
      <c r="O44" s="12"/>
      <c r="P44" s="7">
        <v>135645.06</v>
      </c>
      <c r="Q44" s="3"/>
      <c r="R44" s="8">
        <f t="shared" si="4"/>
        <v>4.3109044047479325E-2</v>
      </c>
      <c r="S44" s="3"/>
      <c r="T44" s="7">
        <v>0</v>
      </c>
      <c r="U44" s="3"/>
      <c r="V44" s="8">
        <f t="shared" si="5"/>
        <v>0</v>
      </c>
      <c r="W44" s="3"/>
      <c r="X44" s="7">
        <f t="shared" si="6"/>
        <v>135645.06</v>
      </c>
      <c r="Y44" s="3"/>
      <c r="Z44" s="8">
        <f t="shared" si="7"/>
        <v>0</v>
      </c>
    </row>
    <row r="45" spans="1:26" s="70" customFormat="1" ht="15" hidden="1" customHeight="1" outlineLevel="2" x14ac:dyDescent="0.3">
      <c r="A45" s="26"/>
      <c r="B45" s="12" t="str">
        <f>CONCATENATE("          ","6008"," - ","STUDENT HOURLY-FICA EXEMPT")</f>
        <v xml:space="preserve">          6008 - STUDENT HOURLY-FICA EXEMPT</v>
      </c>
      <c r="C45" s="12"/>
      <c r="D45" s="7">
        <v>14228.55</v>
      </c>
      <c r="E45" s="3"/>
      <c r="F45" s="8">
        <f t="shared" si="0"/>
        <v>3.1676104978141148E-2</v>
      </c>
      <c r="G45" s="3"/>
      <c r="H45" s="7">
        <v>18725</v>
      </c>
      <c r="I45" s="3"/>
      <c r="J45" s="8">
        <f t="shared" si="1"/>
        <v>4.280978509373571E-2</v>
      </c>
      <c r="K45" s="3"/>
      <c r="L45" s="7">
        <f t="shared" si="2"/>
        <v>-4496.4500000000007</v>
      </c>
      <c r="M45" s="3"/>
      <c r="N45" s="8">
        <f t="shared" si="3"/>
        <v>-0.24013084112149535</v>
      </c>
      <c r="O45" s="12"/>
      <c r="P45" s="7">
        <v>55236.1</v>
      </c>
      <c r="Q45" s="3"/>
      <c r="R45" s="8">
        <f t="shared" si="4"/>
        <v>1.7554457699461911E-2</v>
      </c>
      <c r="S45" s="3"/>
      <c r="T45" s="7">
        <v>140175</v>
      </c>
      <c r="U45" s="3"/>
      <c r="V45" s="8">
        <f t="shared" si="5"/>
        <v>4.8611111111111112E-2</v>
      </c>
      <c r="W45" s="3"/>
      <c r="X45" s="7">
        <f t="shared" si="6"/>
        <v>-84938.9</v>
      </c>
      <c r="Y45" s="3"/>
      <c r="Z45" s="8">
        <f t="shared" si="7"/>
        <v>-0.60594899233101474</v>
      </c>
    </row>
    <row r="46" spans="1:26" s="70" customFormat="1" ht="15" hidden="1" customHeight="1" outlineLevel="2" x14ac:dyDescent="0.3">
      <c r="A46" s="26"/>
      <c r="B46" s="12" t="str">
        <f>CONCATENATE("          ","6009"," - ","TEMPORARY-SEASONAL")</f>
        <v xml:space="preserve">          6009 - TEMPORARY-SEASONAL</v>
      </c>
      <c r="C46" s="12"/>
      <c r="D46" s="7"/>
      <c r="E46" s="3"/>
      <c r="F46" s="8">
        <f t="shared" si="0"/>
        <v>0</v>
      </c>
      <c r="G46" s="3"/>
      <c r="H46" s="7">
        <v>0</v>
      </c>
      <c r="I46" s="3"/>
      <c r="J46" s="8">
        <f t="shared" si="1"/>
        <v>0</v>
      </c>
      <c r="K46" s="3"/>
      <c r="L46" s="7">
        <f t="shared" si="2"/>
        <v>0</v>
      </c>
      <c r="M46" s="3"/>
      <c r="N46" s="8">
        <f t="shared" si="3"/>
        <v>0</v>
      </c>
      <c r="O46" s="12"/>
      <c r="P46" s="7"/>
      <c r="Q46" s="3"/>
      <c r="R46" s="8">
        <f t="shared" si="4"/>
        <v>0</v>
      </c>
      <c r="S46" s="3"/>
      <c r="T46" s="7">
        <v>0</v>
      </c>
      <c r="U46" s="3"/>
      <c r="V46" s="8">
        <f t="shared" si="5"/>
        <v>0</v>
      </c>
      <c r="W46" s="3"/>
      <c r="X46" s="7">
        <f t="shared" si="6"/>
        <v>0</v>
      </c>
      <c r="Y46" s="3"/>
      <c r="Z46" s="8">
        <f t="shared" si="7"/>
        <v>0</v>
      </c>
    </row>
    <row r="47" spans="1:26" s="70" customFormat="1" ht="15" hidden="1" customHeight="1" outlineLevel="2" x14ac:dyDescent="0.3">
      <c r="A47" s="26"/>
      <c r="B47" s="12" t="str">
        <f>CONCATENATE("          ","6010"," - ","GRATUITY")</f>
        <v xml:space="preserve">          6010 - GRATUITY</v>
      </c>
      <c r="C47" s="12"/>
      <c r="D47" s="7"/>
      <c r="E47" s="3"/>
      <c r="F47" s="8">
        <f t="shared" si="0"/>
        <v>0</v>
      </c>
      <c r="G47" s="3"/>
      <c r="H47" s="7">
        <v>0</v>
      </c>
      <c r="I47" s="3"/>
      <c r="J47" s="8">
        <f t="shared" si="1"/>
        <v>0</v>
      </c>
      <c r="K47" s="3"/>
      <c r="L47" s="7">
        <f t="shared" si="2"/>
        <v>0</v>
      </c>
      <c r="M47" s="3"/>
      <c r="N47" s="8">
        <f t="shared" si="3"/>
        <v>0</v>
      </c>
      <c r="O47" s="12"/>
      <c r="P47" s="7"/>
      <c r="Q47" s="3"/>
      <c r="R47" s="8">
        <f t="shared" si="4"/>
        <v>0</v>
      </c>
      <c r="S47" s="3"/>
      <c r="T47" s="7">
        <v>0</v>
      </c>
      <c r="U47" s="3"/>
      <c r="V47" s="8">
        <f t="shared" si="5"/>
        <v>0</v>
      </c>
      <c r="W47" s="3"/>
      <c r="X47" s="7">
        <f t="shared" si="6"/>
        <v>0</v>
      </c>
      <c r="Y47" s="3"/>
      <c r="Z47" s="8">
        <f t="shared" si="7"/>
        <v>0</v>
      </c>
    </row>
    <row r="48" spans="1:26" s="69" customFormat="1" ht="15" customHeight="1" outlineLevel="1" collapsed="1" x14ac:dyDescent="0.3">
      <c r="A48" s="25"/>
      <c r="B48" s="14" t="str">
        <f>CONCATENATE("     ","Advertising/Promo                                 ")</f>
        <v xml:space="preserve">     Advertising/Promo                                 </v>
      </c>
      <c r="C48" s="14"/>
      <c r="D48" s="2">
        <f>SUM(OSRRefD22_2x_0)</f>
        <v>158.75</v>
      </c>
      <c r="E48" s="2"/>
      <c r="F48" s="6">
        <f t="shared" si="0"/>
        <v>3.5341490631722188E-4</v>
      </c>
      <c r="G48" s="2"/>
      <c r="H48" s="2">
        <f>SUM(OSRRefH22_2x_0)</f>
        <v>600</v>
      </c>
      <c r="I48" s="2"/>
      <c r="J48" s="6">
        <f t="shared" si="1"/>
        <v>1.3717421124828531E-3</v>
      </c>
      <c r="K48" s="2"/>
      <c r="L48" s="2">
        <f t="shared" si="2"/>
        <v>-441.25</v>
      </c>
      <c r="M48" s="2"/>
      <c r="N48" s="6">
        <f t="shared" si="3"/>
        <v>-0.73541666666666672</v>
      </c>
      <c r="O48" s="14"/>
      <c r="P48" s="2">
        <f>SUM(OSRRefP22_2x_0)</f>
        <v>1443.38</v>
      </c>
      <c r="Q48" s="2"/>
      <c r="R48" s="6">
        <f t="shared" si="4"/>
        <v>4.587172728387655E-4</v>
      </c>
      <c r="S48" s="2"/>
      <c r="T48" s="2">
        <f>SUM(OSRRefT22_2x_0)</f>
        <v>5400</v>
      </c>
      <c r="U48" s="2"/>
      <c r="V48" s="6">
        <f t="shared" si="5"/>
        <v>1.8726591760299626E-3</v>
      </c>
      <c r="W48" s="2"/>
      <c r="X48" s="2">
        <f t="shared" si="6"/>
        <v>-3956.62</v>
      </c>
      <c r="Y48" s="2"/>
      <c r="Z48" s="6">
        <f t="shared" si="7"/>
        <v>-0.73270740740740736</v>
      </c>
    </row>
    <row r="49" spans="1:26" s="70" customFormat="1" ht="15" hidden="1" customHeight="1" outlineLevel="2" x14ac:dyDescent="0.3">
      <c r="A49" s="26"/>
      <c r="B49" s="12" t="str">
        <f>CONCATENATE("          ","6362"," - ","ADVERTISING EXPENSE")</f>
        <v xml:space="preserve">          6362 - ADVERTISING EXPENSE</v>
      </c>
      <c r="C49" s="12"/>
      <c r="D49" s="7">
        <v>158.75</v>
      </c>
      <c r="E49" s="3"/>
      <c r="F49" s="8">
        <f t="shared" si="0"/>
        <v>3.5341490631722188E-4</v>
      </c>
      <c r="G49" s="3"/>
      <c r="H49" s="7">
        <v>600</v>
      </c>
      <c r="I49" s="3"/>
      <c r="J49" s="8">
        <f t="shared" si="1"/>
        <v>1.3717421124828531E-3</v>
      </c>
      <c r="K49" s="3"/>
      <c r="L49" s="7">
        <f t="shared" si="2"/>
        <v>-441.25</v>
      </c>
      <c r="M49" s="3"/>
      <c r="N49" s="8">
        <f t="shared" si="3"/>
        <v>-0.73541666666666672</v>
      </c>
      <c r="O49" s="12"/>
      <c r="P49" s="7">
        <v>1443.38</v>
      </c>
      <c r="Q49" s="3"/>
      <c r="R49" s="8">
        <f t="shared" si="4"/>
        <v>4.587172728387655E-4</v>
      </c>
      <c r="S49" s="3"/>
      <c r="T49" s="7">
        <v>5400</v>
      </c>
      <c r="U49" s="3"/>
      <c r="V49" s="8">
        <f t="shared" si="5"/>
        <v>1.8726591760299626E-3</v>
      </c>
      <c r="W49" s="3"/>
      <c r="X49" s="7">
        <f t="shared" si="6"/>
        <v>-3956.62</v>
      </c>
      <c r="Y49" s="3"/>
      <c r="Z49" s="8">
        <f t="shared" si="7"/>
        <v>-0.73270740740740736</v>
      </c>
    </row>
    <row r="50" spans="1:26" s="69" customFormat="1" ht="15" customHeight="1" outlineLevel="1" collapsed="1" x14ac:dyDescent="0.3">
      <c r="A50" s="25"/>
      <c r="B50" s="14" t="str">
        <f>CONCATENATE("     ","Bad Debts/Over/Short                              ")</f>
        <v xml:space="preserve">     Bad Debts/Over/Short                              </v>
      </c>
      <c r="C50" s="14"/>
      <c r="D50" s="2">
        <f>SUM(OSRRefD22_3x_0)</f>
        <v>0</v>
      </c>
      <c r="E50" s="2"/>
      <c r="F50" s="6">
        <f t="shared" si="0"/>
        <v>0</v>
      </c>
      <c r="G50" s="2"/>
      <c r="H50" s="2">
        <f>SUM(OSRRefH22_3x_0)</f>
        <v>15</v>
      </c>
      <c r="I50" s="2"/>
      <c r="J50" s="6">
        <f t="shared" si="1"/>
        <v>3.4293552812071332E-5</v>
      </c>
      <c r="K50" s="2"/>
      <c r="L50" s="2">
        <f t="shared" si="2"/>
        <v>-15</v>
      </c>
      <c r="M50" s="2"/>
      <c r="N50" s="6">
        <f t="shared" si="3"/>
        <v>-1</v>
      </c>
      <c r="O50" s="14"/>
      <c r="P50" s="2">
        <f>SUM(OSRRefP22_3x_0)</f>
        <v>-23.9</v>
      </c>
      <c r="Q50" s="2"/>
      <c r="R50" s="6">
        <f t="shared" si="4"/>
        <v>-7.5956039441079227E-6</v>
      </c>
      <c r="S50" s="2"/>
      <c r="T50" s="2">
        <f>SUM(OSRRefT22_3x_0)</f>
        <v>135</v>
      </c>
      <c r="U50" s="2"/>
      <c r="V50" s="6">
        <f t="shared" si="5"/>
        <v>4.6816479400749066E-5</v>
      </c>
      <c r="W50" s="2"/>
      <c r="X50" s="2">
        <f t="shared" si="6"/>
        <v>-158.9</v>
      </c>
      <c r="Y50" s="2"/>
      <c r="Z50" s="6">
        <f t="shared" si="7"/>
        <v>-1.1770370370370371</v>
      </c>
    </row>
    <row r="51" spans="1:26" s="70" customFormat="1" ht="15" hidden="1" customHeight="1" outlineLevel="2" x14ac:dyDescent="0.3">
      <c r="A51" s="26"/>
      <c r="B51" s="12" t="str">
        <f>CONCATENATE("          ","6272"," - ","CASH (OVER/SHORT)")</f>
        <v xml:space="preserve">          6272 - CASH (OVER/SHORT)</v>
      </c>
      <c r="C51" s="12"/>
      <c r="D51" s="7"/>
      <c r="E51" s="3"/>
      <c r="F51" s="8">
        <f t="shared" si="0"/>
        <v>0</v>
      </c>
      <c r="G51" s="3"/>
      <c r="H51" s="7">
        <v>15</v>
      </c>
      <c r="I51" s="3"/>
      <c r="J51" s="8">
        <f t="shared" si="1"/>
        <v>3.4293552812071332E-5</v>
      </c>
      <c r="K51" s="3"/>
      <c r="L51" s="7">
        <f t="shared" si="2"/>
        <v>-15</v>
      </c>
      <c r="M51" s="3"/>
      <c r="N51" s="8">
        <f t="shared" si="3"/>
        <v>-1</v>
      </c>
      <c r="O51" s="12"/>
      <c r="P51" s="7">
        <v>-23.9</v>
      </c>
      <c r="Q51" s="3"/>
      <c r="R51" s="8">
        <f t="shared" si="4"/>
        <v>-7.5956039441079227E-6</v>
      </c>
      <c r="S51" s="3"/>
      <c r="T51" s="7">
        <v>135</v>
      </c>
      <c r="U51" s="3"/>
      <c r="V51" s="8">
        <f t="shared" si="5"/>
        <v>4.6816479400749066E-5</v>
      </c>
      <c r="W51" s="3"/>
      <c r="X51" s="7">
        <f t="shared" si="6"/>
        <v>-158.9</v>
      </c>
      <c r="Y51" s="3"/>
      <c r="Z51" s="8">
        <f t="shared" si="7"/>
        <v>-1.1770370370370371</v>
      </c>
    </row>
    <row r="52" spans="1:26" s="69" customFormat="1" ht="15" customHeight="1" outlineLevel="1" collapsed="1" x14ac:dyDescent="0.3">
      <c r="A52" s="25"/>
      <c r="B52" s="14" t="str">
        <f>CONCATENATE("     ","Bank/card Fees                                    ")</f>
        <v xml:space="preserve">     Bank/card Fees                                    </v>
      </c>
      <c r="C52" s="14"/>
      <c r="D52" s="2">
        <f>SUM(OSRRefD22_4x_0)</f>
        <v>142.9</v>
      </c>
      <c r="E52" s="2"/>
      <c r="F52" s="6">
        <f t="shared" si="0"/>
        <v>3.1812907157625832E-4</v>
      </c>
      <c r="G52" s="2"/>
      <c r="H52" s="2">
        <f>SUM(OSRRefH22_4x_0)</f>
        <v>250</v>
      </c>
      <c r="I52" s="2"/>
      <c r="J52" s="6">
        <f t="shared" si="1"/>
        <v>5.7155921353452223E-4</v>
      </c>
      <c r="K52" s="2"/>
      <c r="L52" s="2">
        <f t="shared" si="2"/>
        <v>-107.1</v>
      </c>
      <c r="M52" s="2"/>
      <c r="N52" s="6">
        <f t="shared" si="3"/>
        <v>-0.4284</v>
      </c>
      <c r="O52" s="14"/>
      <c r="P52" s="2">
        <f>SUM(OSRRefP22_4x_0)</f>
        <v>490.83</v>
      </c>
      <c r="Q52" s="2"/>
      <c r="R52" s="6">
        <f t="shared" si="4"/>
        <v>1.5598955162704988E-4</v>
      </c>
      <c r="S52" s="2"/>
      <c r="T52" s="2">
        <f>SUM(OSRRefT22_4x_0)</f>
        <v>2250</v>
      </c>
      <c r="U52" s="2"/>
      <c r="V52" s="6">
        <f t="shared" si="5"/>
        <v>7.8027465667915102E-4</v>
      </c>
      <c r="W52" s="2"/>
      <c r="X52" s="2">
        <f t="shared" si="6"/>
        <v>-1759.17</v>
      </c>
      <c r="Y52" s="2"/>
      <c r="Z52" s="6">
        <f t="shared" si="7"/>
        <v>-0.7818533333333334</v>
      </c>
    </row>
    <row r="53" spans="1:26" s="70" customFormat="1" ht="15" hidden="1" customHeight="1" outlineLevel="2" x14ac:dyDescent="0.3">
      <c r="A53" s="26"/>
      <c r="B53" s="12" t="str">
        <f>CONCATENATE("          ","6381"," - ","BANK/CREDIT CARD FEES")</f>
        <v xml:space="preserve">          6381 - BANK/CREDIT CARD FEES</v>
      </c>
      <c r="C53" s="12"/>
      <c r="D53" s="7">
        <v>142.9</v>
      </c>
      <c r="E53" s="3"/>
      <c r="F53" s="8">
        <f t="shared" si="0"/>
        <v>3.1812907157625832E-4</v>
      </c>
      <c r="G53" s="3"/>
      <c r="H53" s="7">
        <v>250</v>
      </c>
      <c r="I53" s="3"/>
      <c r="J53" s="8">
        <f t="shared" si="1"/>
        <v>5.7155921353452223E-4</v>
      </c>
      <c r="K53" s="3"/>
      <c r="L53" s="7">
        <f t="shared" si="2"/>
        <v>-107.1</v>
      </c>
      <c r="M53" s="3"/>
      <c r="N53" s="8">
        <f t="shared" si="3"/>
        <v>-0.4284</v>
      </c>
      <c r="O53" s="12"/>
      <c r="P53" s="7">
        <v>490.83</v>
      </c>
      <c r="Q53" s="3"/>
      <c r="R53" s="8">
        <f t="shared" si="4"/>
        <v>1.5598955162704988E-4</v>
      </c>
      <c r="S53" s="3"/>
      <c r="T53" s="7">
        <v>2250</v>
      </c>
      <c r="U53" s="3"/>
      <c r="V53" s="8">
        <f t="shared" si="5"/>
        <v>7.8027465667915102E-4</v>
      </c>
      <c r="W53" s="3"/>
      <c r="X53" s="7">
        <f t="shared" si="6"/>
        <v>-1759.17</v>
      </c>
      <c r="Y53" s="3"/>
      <c r="Z53" s="8">
        <f t="shared" si="7"/>
        <v>-0.7818533333333334</v>
      </c>
    </row>
    <row r="54" spans="1:26" s="69" customFormat="1" ht="15" customHeight="1" outlineLevel="1" collapsed="1" x14ac:dyDescent="0.3">
      <c r="A54" s="25"/>
      <c r="B54" s="14" t="str">
        <f>CONCATENATE("     ","Depreciation                                      ")</f>
        <v xml:space="preserve">     Depreciation                                      </v>
      </c>
      <c r="C54" s="14"/>
      <c r="D54" s="2">
        <f>SUM(OSRRefD22_5x_0)</f>
        <v>273.51</v>
      </c>
      <c r="E54" s="2"/>
      <c r="F54" s="6">
        <f t="shared" si="0"/>
        <v>6.0889770725558023E-4</v>
      </c>
      <c r="G54" s="2"/>
      <c r="H54" s="2">
        <f>SUM(OSRRefH22_5x_0)</f>
        <v>0</v>
      </c>
      <c r="I54" s="2"/>
      <c r="J54" s="6">
        <f t="shared" si="1"/>
        <v>0</v>
      </c>
      <c r="K54" s="2"/>
      <c r="L54" s="2">
        <f t="shared" si="2"/>
        <v>273.51</v>
      </c>
      <c r="M54" s="2"/>
      <c r="N54" s="6">
        <f t="shared" si="3"/>
        <v>0</v>
      </c>
      <c r="O54" s="14"/>
      <c r="P54" s="2">
        <f>SUM(OSRRefP22_5x_0)</f>
        <v>2461.59</v>
      </c>
      <c r="Q54" s="2"/>
      <c r="R54" s="6">
        <f t="shared" si="4"/>
        <v>7.8231224739651144E-4</v>
      </c>
      <c r="S54" s="2"/>
      <c r="T54" s="2">
        <f>SUM(OSRRefT22_5x_0)</f>
        <v>0</v>
      </c>
      <c r="U54" s="2"/>
      <c r="V54" s="6">
        <f t="shared" si="5"/>
        <v>0</v>
      </c>
      <c r="W54" s="2"/>
      <c r="X54" s="2">
        <f t="shared" si="6"/>
        <v>2461.59</v>
      </c>
      <c r="Y54" s="2"/>
      <c r="Z54" s="6">
        <f t="shared" si="7"/>
        <v>0</v>
      </c>
    </row>
    <row r="55" spans="1:26" s="70" customFormat="1" ht="15" hidden="1" customHeight="1" outlineLevel="2" x14ac:dyDescent="0.3">
      <c r="A55" s="26"/>
      <c r="B55" s="12" t="str">
        <f>CONCATENATE("          ","6322"," - ","EQUIPMENT DEPRECIATION EXPENSE")</f>
        <v xml:space="preserve">          6322 - EQUIPMENT DEPRECIATION EXPENSE</v>
      </c>
      <c r="C55" s="12"/>
      <c r="D55" s="7">
        <v>273.51</v>
      </c>
      <c r="E55" s="3"/>
      <c r="F55" s="8">
        <f t="shared" si="0"/>
        <v>6.0889770725558023E-4</v>
      </c>
      <c r="G55" s="3"/>
      <c r="H55" s="7"/>
      <c r="I55" s="3"/>
      <c r="J55" s="8">
        <f t="shared" si="1"/>
        <v>0</v>
      </c>
      <c r="K55" s="3"/>
      <c r="L55" s="7">
        <f t="shared" si="2"/>
        <v>273.51</v>
      </c>
      <c r="M55" s="3"/>
      <c r="N55" s="8">
        <f t="shared" si="3"/>
        <v>0</v>
      </c>
      <c r="O55" s="12"/>
      <c r="P55" s="7">
        <v>2461.59</v>
      </c>
      <c r="Q55" s="3"/>
      <c r="R55" s="8">
        <f t="shared" si="4"/>
        <v>7.8231224739651144E-4</v>
      </c>
      <c r="S55" s="3"/>
      <c r="T55" s="7"/>
      <c r="U55" s="3"/>
      <c r="V55" s="8">
        <f t="shared" si="5"/>
        <v>0</v>
      </c>
      <c r="W55" s="3"/>
      <c r="X55" s="7">
        <f t="shared" si="6"/>
        <v>2461.59</v>
      </c>
      <c r="Y55" s="3"/>
      <c r="Z55" s="8">
        <f t="shared" si="7"/>
        <v>0</v>
      </c>
    </row>
    <row r="56" spans="1:26" s="69" customFormat="1" ht="15" customHeight="1" outlineLevel="1" collapsed="1" x14ac:dyDescent="0.3">
      <c r="A56" s="25"/>
      <c r="B56" s="14" t="str">
        <f>CONCATENATE("     ","Donations                                         ")</f>
        <v xml:space="preserve">     Donations                                         </v>
      </c>
      <c r="C56" s="14"/>
      <c r="D56" s="2">
        <f>SUM(OSRRefD22_6x_0)</f>
        <v>3890.34</v>
      </c>
      <c r="E56" s="2"/>
      <c r="F56" s="6">
        <f t="shared" si="0"/>
        <v>8.6608135221552182E-3</v>
      </c>
      <c r="G56" s="2"/>
      <c r="H56" s="2">
        <f>SUM(OSRRefH22_6x_0)</f>
        <v>6000</v>
      </c>
      <c r="I56" s="2"/>
      <c r="J56" s="6">
        <f t="shared" si="1"/>
        <v>1.3717421124828532E-2</v>
      </c>
      <c r="K56" s="2"/>
      <c r="L56" s="2">
        <f t="shared" si="2"/>
        <v>-2109.66</v>
      </c>
      <c r="M56" s="2"/>
      <c r="N56" s="6">
        <f t="shared" si="3"/>
        <v>-0.35160999999999998</v>
      </c>
      <c r="O56" s="14"/>
      <c r="P56" s="2">
        <f>SUM(OSRRefP22_6x_0)</f>
        <v>28703.77</v>
      </c>
      <c r="Q56" s="2"/>
      <c r="R56" s="6">
        <f t="shared" si="4"/>
        <v>9.1222790218730837E-3</v>
      </c>
      <c r="S56" s="2"/>
      <c r="T56" s="2">
        <f>SUM(OSRRefT22_6x_0)</f>
        <v>48000</v>
      </c>
      <c r="U56" s="2"/>
      <c r="V56" s="6">
        <f t="shared" si="5"/>
        <v>1.6645859342488557E-2</v>
      </c>
      <c r="W56" s="2"/>
      <c r="X56" s="2">
        <f t="shared" si="6"/>
        <v>-19296.23</v>
      </c>
      <c r="Y56" s="2"/>
      <c r="Z56" s="6">
        <f t="shared" si="7"/>
        <v>-0.40200479166666664</v>
      </c>
    </row>
    <row r="57" spans="1:26" s="70" customFormat="1" ht="15" hidden="1" customHeight="1" outlineLevel="2" x14ac:dyDescent="0.3">
      <c r="A57" s="26"/>
      <c r="B57" s="12" t="str">
        <f>CONCATENATE("          ","6399"," - ","DONATION-ON CAMPUS")</f>
        <v xml:space="preserve">          6399 - DONATION-ON CAMPUS</v>
      </c>
      <c r="C57" s="12"/>
      <c r="D57" s="7">
        <v>3890.34</v>
      </c>
      <c r="E57" s="3"/>
      <c r="F57" s="8">
        <f t="shared" ref="F57:F87" si="8">IF(D$12=0,0,D57/D$12)</f>
        <v>8.6608135221552182E-3</v>
      </c>
      <c r="G57" s="3"/>
      <c r="H57" s="7">
        <v>6000</v>
      </c>
      <c r="I57" s="3"/>
      <c r="J57" s="8">
        <f t="shared" ref="J57:J87" si="9">IF(H$12=0,0,H57/H$12)</f>
        <v>1.3717421124828532E-2</v>
      </c>
      <c r="K57" s="3"/>
      <c r="L57" s="7">
        <f t="shared" ref="L57:L87" si="10">+D57-H57</f>
        <v>-2109.66</v>
      </c>
      <c r="M57" s="3"/>
      <c r="N57" s="8">
        <f t="shared" ref="N57:N87" si="11">IF(H57=0,0,L57/H57)</f>
        <v>-0.35160999999999998</v>
      </c>
      <c r="O57" s="12"/>
      <c r="P57" s="7">
        <v>28703.77</v>
      </c>
      <c r="Q57" s="3"/>
      <c r="R57" s="8">
        <f t="shared" ref="R57:R87" si="12">IF(P$12=0,0,P57/P$12)</f>
        <v>9.1222790218730837E-3</v>
      </c>
      <c r="S57" s="3"/>
      <c r="T57" s="7">
        <v>48000</v>
      </c>
      <c r="U57" s="3"/>
      <c r="V57" s="8">
        <f t="shared" ref="V57:V87" si="13">IF(T$12=0,0,T57/T$12)</f>
        <v>1.6645859342488557E-2</v>
      </c>
      <c r="W57" s="3"/>
      <c r="X57" s="7">
        <f t="shared" ref="X57:X87" si="14">+P57-T57</f>
        <v>-19296.23</v>
      </c>
      <c r="Y57" s="3"/>
      <c r="Z57" s="8">
        <f t="shared" ref="Z57:Z87" si="15">IF(T57=0,0,X57/T57)</f>
        <v>-0.40200479166666664</v>
      </c>
    </row>
    <row r="58" spans="1:26" s="69" customFormat="1" ht="15" customHeight="1" outlineLevel="1" collapsed="1" x14ac:dyDescent="0.3">
      <c r="A58" s="25"/>
      <c r="B58" s="14" t="str">
        <f>CONCATENATE("     ","Employees' Appreciation                           ")</f>
        <v xml:space="preserve">     Employees' Appreciation                           </v>
      </c>
      <c r="C58" s="14"/>
      <c r="D58" s="2">
        <f>SUM(OSRRefD22_7x_0)</f>
        <v>0</v>
      </c>
      <c r="E58" s="2"/>
      <c r="F58" s="6">
        <f t="shared" si="8"/>
        <v>0</v>
      </c>
      <c r="G58" s="2"/>
      <c r="H58" s="2">
        <f>SUM(OSRRefH22_7x_0)</f>
        <v>0</v>
      </c>
      <c r="I58" s="2"/>
      <c r="J58" s="6">
        <f t="shared" si="9"/>
        <v>0</v>
      </c>
      <c r="K58" s="2"/>
      <c r="L58" s="2">
        <f t="shared" si="10"/>
        <v>0</v>
      </c>
      <c r="M58" s="2"/>
      <c r="N58" s="6">
        <f t="shared" si="11"/>
        <v>0</v>
      </c>
      <c r="O58" s="14"/>
      <c r="P58" s="2">
        <f>SUM(OSRRefP22_7x_0)</f>
        <v>34.47</v>
      </c>
      <c r="Q58" s="2"/>
      <c r="R58" s="6">
        <f t="shared" si="12"/>
        <v>1.0954831295121343E-5</v>
      </c>
      <c r="S58" s="2"/>
      <c r="T58" s="2">
        <f>SUM(OSRRefT22_7x_0)</f>
        <v>500</v>
      </c>
      <c r="U58" s="2"/>
      <c r="V58" s="6">
        <f t="shared" si="13"/>
        <v>1.7339436815092245E-4</v>
      </c>
      <c r="W58" s="2"/>
      <c r="X58" s="2">
        <f t="shared" si="14"/>
        <v>-465.53</v>
      </c>
      <c r="Y58" s="2"/>
      <c r="Z58" s="6">
        <f t="shared" si="15"/>
        <v>-0.93106</v>
      </c>
    </row>
    <row r="59" spans="1:26" s="70" customFormat="1" ht="15" hidden="1" customHeight="1" outlineLevel="2" x14ac:dyDescent="0.3">
      <c r="A59" s="26"/>
      <c r="B59" s="12" t="str">
        <f>CONCATENATE("          ","6277"," - ","EMPLOYEE APPRECIATION")</f>
        <v xml:space="preserve">          6277 - EMPLOYEE APPRECIATION</v>
      </c>
      <c r="C59" s="12"/>
      <c r="D59" s="7"/>
      <c r="E59" s="3"/>
      <c r="F59" s="8">
        <f t="shared" si="8"/>
        <v>0</v>
      </c>
      <c r="G59" s="3"/>
      <c r="H59" s="7"/>
      <c r="I59" s="3"/>
      <c r="J59" s="8">
        <f t="shared" si="9"/>
        <v>0</v>
      </c>
      <c r="K59" s="3"/>
      <c r="L59" s="7">
        <f t="shared" si="10"/>
        <v>0</v>
      </c>
      <c r="M59" s="3"/>
      <c r="N59" s="8">
        <f t="shared" si="11"/>
        <v>0</v>
      </c>
      <c r="O59" s="12"/>
      <c r="P59" s="7">
        <v>34.47</v>
      </c>
      <c r="Q59" s="3"/>
      <c r="R59" s="8">
        <f t="shared" si="12"/>
        <v>1.0954831295121343E-5</v>
      </c>
      <c r="S59" s="3"/>
      <c r="T59" s="7">
        <v>500</v>
      </c>
      <c r="U59" s="3"/>
      <c r="V59" s="8">
        <f t="shared" si="13"/>
        <v>1.7339436815092245E-4</v>
      </c>
      <c r="W59" s="3"/>
      <c r="X59" s="7">
        <f t="shared" si="14"/>
        <v>-465.53</v>
      </c>
      <c r="Y59" s="3"/>
      <c r="Z59" s="8">
        <f t="shared" si="15"/>
        <v>-0.93106</v>
      </c>
    </row>
    <row r="60" spans="1:26" s="69" customFormat="1" ht="15" customHeight="1" outlineLevel="1" collapsed="1" x14ac:dyDescent="0.3">
      <c r="A60" s="25"/>
      <c r="B60" s="14" t="str">
        <f>CONCATENATE("     ","Equipment Rental                                  ")</f>
        <v xml:space="preserve">     Equipment Rental                                  </v>
      </c>
      <c r="C60" s="14"/>
      <c r="D60" s="2">
        <f>SUM(OSRRefD22_8x_0)</f>
        <v>218.38</v>
      </c>
      <c r="E60" s="2"/>
      <c r="F60" s="6">
        <f t="shared" si="8"/>
        <v>4.8616533695467661E-4</v>
      </c>
      <c r="G60" s="2"/>
      <c r="H60" s="2">
        <f>SUM(OSRRefH22_8x_0)</f>
        <v>500</v>
      </c>
      <c r="I60" s="2"/>
      <c r="J60" s="6">
        <f t="shared" si="9"/>
        <v>1.1431184270690445E-3</v>
      </c>
      <c r="K60" s="2"/>
      <c r="L60" s="2">
        <f t="shared" si="10"/>
        <v>-281.62</v>
      </c>
      <c r="M60" s="2"/>
      <c r="N60" s="6">
        <f t="shared" si="11"/>
        <v>-0.56323999999999996</v>
      </c>
      <c r="O60" s="14"/>
      <c r="P60" s="2">
        <f>SUM(OSRRefP22_8x_0)</f>
        <v>6751.12</v>
      </c>
      <c r="Q60" s="2"/>
      <c r="R60" s="6">
        <f t="shared" si="12"/>
        <v>2.1455578953617524E-3</v>
      </c>
      <c r="S60" s="2"/>
      <c r="T60" s="2">
        <f>SUM(OSRRefT22_8x_0)</f>
        <v>4500</v>
      </c>
      <c r="U60" s="2"/>
      <c r="V60" s="6">
        <f t="shared" si="13"/>
        <v>1.560549313358302E-3</v>
      </c>
      <c r="W60" s="2"/>
      <c r="X60" s="2">
        <f t="shared" si="14"/>
        <v>2251.12</v>
      </c>
      <c r="Y60" s="2"/>
      <c r="Z60" s="6">
        <f t="shared" si="15"/>
        <v>0.50024888888888885</v>
      </c>
    </row>
    <row r="61" spans="1:26" s="70" customFormat="1" ht="15" hidden="1" customHeight="1" outlineLevel="2" x14ac:dyDescent="0.3">
      <c r="A61" s="26"/>
      <c r="B61" s="12" t="str">
        <f>CONCATENATE("          ","6351"," - ","EQUIPMENT RENTAL")</f>
        <v xml:space="preserve">          6351 - EQUIPMENT RENTAL</v>
      </c>
      <c r="C61" s="12"/>
      <c r="D61" s="7">
        <v>218.38</v>
      </c>
      <c r="E61" s="3"/>
      <c r="F61" s="8">
        <f t="shared" si="8"/>
        <v>4.8616533695467661E-4</v>
      </c>
      <c r="G61" s="3"/>
      <c r="H61" s="7">
        <v>500</v>
      </c>
      <c r="I61" s="3"/>
      <c r="J61" s="8">
        <f t="shared" si="9"/>
        <v>1.1431184270690445E-3</v>
      </c>
      <c r="K61" s="3"/>
      <c r="L61" s="7">
        <f t="shared" si="10"/>
        <v>-281.62</v>
      </c>
      <c r="M61" s="3"/>
      <c r="N61" s="8">
        <f t="shared" si="11"/>
        <v>-0.56323999999999996</v>
      </c>
      <c r="O61" s="12"/>
      <c r="P61" s="7">
        <v>6751.12</v>
      </c>
      <c r="Q61" s="3"/>
      <c r="R61" s="8">
        <f t="shared" si="12"/>
        <v>2.1455578953617524E-3</v>
      </c>
      <c r="S61" s="3"/>
      <c r="T61" s="7">
        <v>4500</v>
      </c>
      <c r="U61" s="3"/>
      <c r="V61" s="8">
        <f t="shared" si="13"/>
        <v>1.560549313358302E-3</v>
      </c>
      <c r="W61" s="3"/>
      <c r="X61" s="7">
        <f t="shared" si="14"/>
        <v>2251.12</v>
      </c>
      <c r="Y61" s="3"/>
      <c r="Z61" s="8">
        <f t="shared" si="15"/>
        <v>0.50024888888888885</v>
      </c>
    </row>
    <row r="62" spans="1:26" s="69" customFormat="1" ht="15" customHeight="1" outlineLevel="1" collapsed="1" x14ac:dyDescent="0.3">
      <c r="A62" s="25"/>
      <c r="B62" s="14" t="str">
        <f>CONCATENATE("     ","General                                           ")</f>
        <v xml:space="preserve">     General                                           </v>
      </c>
      <c r="C62" s="14"/>
      <c r="D62" s="2">
        <f>SUM(OSRRefD22_9x_0)</f>
        <v>1889.4</v>
      </c>
      <c r="E62" s="2"/>
      <c r="F62" s="6">
        <f t="shared" si="8"/>
        <v>4.206249599973285E-3</v>
      </c>
      <c r="G62" s="2"/>
      <c r="H62" s="2">
        <f>SUM(OSRRefH22_9x_0)</f>
        <v>150</v>
      </c>
      <c r="I62" s="2"/>
      <c r="J62" s="6">
        <f t="shared" si="9"/>
        <v>3.4293552812071328E-4</v>
      </c>
      <c r="K62" s="2"/>
      <c r="L62" s="2">
        <f t="shared" si="10"/>
        <v>1739.4</v>
      </c>
      <c r="M62" s="2"/>
      <c r="N62" s="6">
        <f t="shared" si="11"/>
        <v>11.596</v>
      </c>
      <c r="O62" s="14"/>
      <c r="P62" s="2">
        <f>SUM(OSRRefP22_9x_0)</f>
        <v>9954.27</v>
      </c>
      <c r="Q62" s="2"/>
      <c r="R62" s="6">
        <f t="shared" si="12"/>
        <v>3.1635436181052376E-3</v>
      </c>
      <c r="S62" s="2"/>
      <c r="T62" s="2">
        <f>SUM(OSRRefT22_9x_0)</f>
        <v>3000</v>
      </c>
      <c r="U62" s="2"/>
      <c r="V62" s="6">
        <f t="shared" si="13"/>
        <v>1.0403662089055348E-3</v>
      </c>
      <c r="W62" s="2"/>
      <c r="X62" s="2">
        <f t="shared" si="14"/>
        <v>6954.27</v>
      </c>
      <c r="Y62" s="2"/>
      <c r="Z62" s="6">
        <f t="shared" si="15"/>
        <v>2.3180900000000002</v>
      </c>
    </row>
    <row r="63" spans="1:26" s="70" customFormat="1" ht="15" hidden="1" customHeight="1" outlineLevel="2" x14ac:dyDescent="0.3">
      <c r="A63" s="26"/>
      <c r="B63" s="12" t="str">
        <f>CONCATENATE("          ","6279"," - ","GENERAL EXPENSE")</f>
        <v xml:space="preserve">          6279 - GENERAL EXPENSE</v>
      </c>
      <c r="C63" s="12"/>
      <c r="D63" s="7">
        <v>1889.4</v>
      </c>
      <c r="E63" s="3"/>
      <c r="F63" s="8">
        <f t="shared" si="8"/>
        <v>4.206249599973285E-3</v>
      </c>
      <c r="G63" s="3"/>
      <c r="H63" s="7">
        <v>150</v>
      </c>
      <c r="I63" s="3"/>
      <c r="J63" s="8">
        <f t="shared" si="9"/>
        <v>3.4293552812071328E-4</v>
      </c>
      <c r="K63" s="3"/>
      <c r="L63" s="7">
        <f t="shared" si="10"/>
        <v>1739.4</v>
      </c>
      <c r="M63" s="3"/>
      <c r="N63" s="8">
        <f t="shared" si="11"/>
        <v>11.596</v>
      </c>
      <c r="O63" s="12"/>
      <c r="P63" s="7">
        <v>9954.27</v>
      </c>
      <c r="Q63" s="3"/>
      <c r="R63" s="8">
        <f t="shared" si="12"/>
        <v>3.1635436181052376E-3</v>
      </c>
      <c r="S63" s="3"/>
      <c r="T63" s="7">
        <v>3000</v>
      </c>
      <c r="U63" s="3"/>
      <c r="V63" s="8">
        <f t="shared" si="13"/>
        <v>1.0403662089055348E-3</v>
      </c>
      <c r="W63" s="3"/>
      <c r="X63" s="7">
        <f t="shared" si="14"/>
        <v>6954.27</v>
      </c>
      <c r="Y63" s="3"/>
      <c r="Z63" s="8">
        <f t="shared" si="15"/>
        <v>2.3180900000000002</v>
      </c>
    </row>
    <row r="64" spans="1:26" s="69" customFormat="1" ht="15" customHeight="1" outlineLevel="1" collapsed="1" x14ac:dyDescent="0.3">
      <c r="A64" s="25"/>
      <c r="B64" s="14" t="str">
        <f>CONCATENATE("     ","R/H Commissions                                   ")</f>
        <v xml:space="preserve">     R/H Commissions                                   </v>
      </c>
      <c r="C64" s="14"/>
      <c r="D64" s="2">
        <f>SUM(OSRRefD22_10x_0)</f>
        <v>36858.17</v>
      </c>
      <c r="E64" s="2"/>
      <c r="F64" s="6">
        <f t="shared" si="8"/>
        <v>8.2054971323302278E-2</v>
      </c>
      <c r="G64" s="2"/>
      <c r="H64" s="2">
        <f>SUM(OSRRefH22_10x_0)</f>
        <v>34992</v>
      </c>
      <c r="I64" s="2"/>
      <c r="J64" s="6">
        <f t="shared" si="9"/>
        <v>0.08</v>
      </c>
      <c r="K64" s="2"/>
      <c r="L64" s="2">
        <f t="shared" si="10"/>
        <v>1866.1699999999983</v>
      </c>
      <c r="M64" s="2"/>
      <c r="N64" s="6">
        <f t="shared" si="11"/>
        <v>5.3331332876085914E-2</v>
      </c>
      <c r="O64" s="14"/>
      <c r="P64" s="2">
        <f>SUM(OSRRefP22_10x_0)</f>
        <v>245848.02</v>
      </c>
      <c r="Q64" s="2"/>
      <c r="R64" s="6">
        <f t="shared" si="12"/>
        <v>7.8132392902222736E-2</v>
      </c>
      <c r="S64" s="2"/>
      <c r="T64" s="2">
        <f>SUM(OSRRefT22_10x_0)</f>
        <v>230688</v>
      </c>
      <c r="U64" s="2"/>
      <c r="V64" s="6">
        <f t="shared" si="13"/>
        <v>0.08</v>
      </c>
      <c r="W64" s="2"/>
      <c r="X64" s="2">
        <f t="shared" si="14"/>
        <v>15160.01999999999</v>
      </c>
      <c r="Y64" s="2"/>
      <c r="Z64" s="6">
        <f t="shared" si="15"/>
        <v>6.5716552226383645E-2</v>
      </c>
    </row>
    <row r="65" spans="1:26" s="70" customFormat="1" ht="15" hidden="1" customHeight="1" outlineLevel="2" x14ac:dyDescent="0.3">
      <c r="A65" s="26"/>
      <c r="B65" s="12" t="str">
        <f>CONCATENATE("          ","6387"," - ","COMMISSION DUE HOUSING")</f>
        <v xml:space="preserve">          6387 - COMMISSION DUE HOUSING</v>
      </c>
      <c r="C65" s="12"/>
      <c r="D65" s="7">
        <v>36858.17</v>
      </c>
      <c r="E65" s="3"/>
      <c r="F65" s="8">
        <f t="shared" si="8"/>
        <v>8.2054971323302278E-2</v>
      </c>
      <c r="G65" s="3"/>
      <c r="H65" s="7">
        <v>34992</v>
      </c>
      <c r="I65" s="3"/>
      <c r="J65" s="8">
        <f t="shared" si="9"/>
        <v>0.08</v>
      </c>
      <c r="K65" s="3"/>
      <c r="L65" s="7">
        <f t="shared" si="10"/>
        <v>1866.1699999999983</v>
      </c>
      <c r="M65" s="3"/>
      <c r="N65" s="8">
        <f t="shared" si="11"/>
        <v>5.3331332876085914E-2</v>
      </c>
      <c r="O65" s="12"/>
      <c r="P65" s="7">
        <v>245848.02</v>
      </c>
      <c r="Q65" s="3"/>
      <c r="R65" s="8">
        <f t="shared" si="12"/>
        <v>7.8132392902222736E-2</v>
      </c>
      <c r="S65" s="3"/>
      <c r="T65" s="7">
        <v>230688</v>
      </c>
      <c r="U65" s="3"/>
      <c r="V65" s="8">
        <f t="shared" si="13"/>
        <v>0.08</v>
      </c>
      <c r="W65" s="3"/>
      <c r="X65" s="7">
        <f t="shared" si="14"/>
        <v>15160.01999999999</v>
      </c>
      <c r="Y65" s="3"/>
      <c r="Z65" s="8">
        <f t="shared" si="15"/>
        <v>6.5716552226383645E-2</v>
      </c>
    </row>
    <row r="66" spans="1:26" s="69" customFormat="1" ht="15" customHeight="1" outlineLevel="1" collapsed="1" x14ac:dyDescent="0.3">
      <c r="A66" s="25"/>
      <c r="B66" s="14" t="str">
        <f>CONCATENATE("     ","Repair and Maintenance                            ")</f>
        <v xml:space="preserve">     Repair and Maintenance                            </v>
      </c>
      <c r="C66" s="14"/>
      <c r="D66" s="2">
        <f>SUM(OSRRefD22_11x_0)</f>
        <v>180.87</v>
      </c>
      <c r="E66" s="2"/>
      <c r="F66" s="6">
        <f t="shared" si="8"/>
        <v>4.0265923846044674E-4</v>
      </c>
      <c r="G66" s="2"/>
      <c r="H66" s="2">
        <f>SUM(OSRRefH22_11x_0)</f>
        <v>250</v>
      </c>
      <c r="I66" s="2"/>
      <c r="J66" s="6">
        <f t="shared" si="9"/>
        <v>5.7155921353452223E-4</v>
      </c>
      <c r="K66" s="2"/>
      <c r="L66" s="2">
        <f t="shared" si="10"/>
        <v>-69.13</v>
      </c>
      <c r="M66" s="2"/>
      <c r="N66" s="6">
        <f t="shared" si="11"/>
        <v>-0.27651999999999999</v>
      </c>
      <c r="O66" s="14"/>
      <c r="P66" s="2">
        <f>SUM(OSRRefP22_11x_0)</f>
        <v>2883.42</v>
      </c>
      <c r="Q66" s="2"/>
      <c r="R66" s="6">
        <f t="shared" si="12"/>
        <v>9.1637306797153427E-4</v>
      </c>
      <c r="S66" s="2"/>
      <c r="T66" s="2">
        <f>SUM(OSRRefT22_11x_0)</f>
        <v>7650</v>
      </c>
      <c r="U66" s="2"/>
      <c r="V66" s="6">
        <f t="shared" si="13"/>
        <v>2.6529338327091136E-3</v>
      </c>
      <c r="W66" s="2"/>
      <c r="X66" s="2">
        <f t="shared" si="14"/>
        <v>-4766.58</v>
      </c>
      <c r="Y66" s="2"/>
      <c r="Z66" s="6">
        <f t="shared" si="15"/>
        <v>-0.62308235294117642</v>
      </c>
    </row>
    <row r="67" spans="1:26" s="70" customFormat="1" ht="15" hidden="1" customHeight="1" outlineLevel="2" x14ac:dyDescent="0.3">
      <c r="A67" s="26"/>
      <c r="B67" s="12" t="str">
        <f>CONCATENATE("          ","6371"," - ","COMPUTER SOFTWARE MAINTENANCE")</f>
        <v xml:space="preserve">          6371 - COMPUTER SOFTWARE MAINTENANCE</v>
      </c>
      <c r="C67" s="12"/>
      <c r="D67" s="7"/>
      <c r="E67" s="3"/>
      <c r="F67" s="8">
        <f t="shared" si="8"/>
        <v>0</v>
      </c>
      <c r="G67" s="3"/>
      <c r="H67" s="7">
        <v>0</v>
      </c>
      <c r="I67" s="3"/>
      <c r="J67" s="8">
        <f t="shared" si="9"/>
        <v>0</v>
      </c>
      <c r="K67" s="3"/>
      <c r="L67" s="7">
        <f t="shared" si="10"/>
        <v>0</v>
      </c>
      <c r="M67" s="3"/>
      <c r="N67" s="8">
        <f t="shared" si="11"/>
        <v>0</v>
      </c>
      <c r="O67" s="12"/>
      <c r="P67" s="7"/>
      <c r="Q67" s="3"/>
      <c r="R67" s="8">
        <f t="shared" si="12"/>
        <v>0</v>
      </c>
      <c r="S67" s="3"/>
      <c r="T67" s="7">
        <v>0</v>
      </c>
      <c r="U67" s="3"/>
      <c r="V67" s="8">
        <f t="shared" si="13"/>
        <v>0</v>
      </c>
      <c r="W67" s="3"/>
      <c r="X67" s="7">
        <f t="shared" si="14"/>
        <v>0</v>
      </c>
      <c r="Y67" s="3"/>
      <c r="Z67" s="8">
        <f t="shared" si="15"/>
        <v>0</v>
      </c>
    </row>
    <row r="68" spans="1:26" s="70" customFormat="1" ht="15" hidden="1" customHeight="1" outlineLevel="2" x14ac:dyDescent="0.3">
      <c r="A68" s="26"/>
      <c r="B68" s="12" t="str">
        <f>CONCATENATE("          ","6373"," - ","MAINTENANCE CONTRACTS")</f>
        <v xml:space="preserve">          6373 - MAINTENANCE CONTRACTS</v>
      </c>
      <c r="C68" s="12"/>
      <c r="D68" s="7">
        <v>87.37</v>
      </c>
      <c r="E68" s="3"/>
      <c r="F68" s="8">
        <f t="shared" si="8"/>
        <v>1.9450620702321687E-4</v>
      </c>
      <c r="G68" s="3"/>
      <c r="H68" s="7"/>
      <c r="I68" s="3"/>
      <c r="J68" s="8">
        <f t="shared" si="9"/>
        <v>0</v>
      </c>
      <c r="K68" s="3"/>
      <c r="L68" s="7">
        <f t="shared" si="10"/>
        <v>87.37</v>
      </c>
      <c r="M68" s="3"/>
      <c r="N68" s="8">
        <f t="shared" si="11"/>
        <v>0</v>
      </c>
      <c r="O68" s="12"/>
      <c r="P68" s="7">
        <v>277.57</v>
      </c>
      <c r="Q68" s="3"/>
      <c r="R68" s="8">
        <f t="shared" si="12"/>
        <v>8.8213882291465951E-5</v>
      </c>
      <c r="S68" s="3"/>
      <c r="T68" s="7">
        <v>5400</v>
      </c>
      <c r="U68" s="3"/>
      <c r="V68" s="8">
        <f t="shared" si="13"/>
        <v>1.8726591760299626E-3</v>
      </c>
      <c r="W68" s="3"/>
      <c r="X68" s="7">
        <f t="shared" si="14"/>
        <v>-5122.43</v>
      </c>
      <c r="Y68" s="3"/>
      <c r="Z68" s="8">
        <f t="shared" si="15"/>
        <v>-0.94859814814814825</v>
      </c>
    </row>
    <row r="69" spans="1:26" s="70" customFormat="1" ht="15" hidden="1" customHeight="1" outlineLevel="2" x14ac:dyDescent="0.3">
      <c r="A69" s="26"/>
      <c r="B69" s="12" t="str">
        <f>CONCATENATE("          ","6375"," - ","OUTSIDE REPAIRS &amp; MAINTENANCE")</f>
        <v xml:space="preserve">          6375 - OUTSIDE REPAIRS &amp; MAINTENANCE</v>
      </c>
      <c r="C69" s="12"/>
      <c r="D69" s="7">
        <v>93.5</v>
      </c>
      <c r="E69" s="3"/>
      <c r="F69" s="8">
        <f t="shared" si="8"/>
        <v>2.0815303143722989E-4</v>
      </c>
      <c r="G69" s="3"/>
      <c r="H69" s="7">
        <v>250</v>
      </c>
      <c r="I69" s="3"/>
      <c r="J69" s="8">
        <f t="shared" si="9"/>
        <v>5.7155921353452223E-4</v>
      </c>
      <c r="K69" s="3"/>
      <c r="L69" s="7">
        <f t="shared" si="10"/>
        <v>-156.5</v>
      </c>
      <c r="M69" s="3"/>
      <c r="N69" s="8">
        <f t="shared" si="11"/>
        <v>-0.626</v>
      </c>
      <c r="O69" s="12"/>
      <c r="P69" s="7">
        <v>2605.85</v>
      </c>
      <c r="Q69" s="3"/>
      <c r="R69" s="8">
        <f t="shared" si="12"/>
        <v>8.281591856800683E-4</v>
      </c>
      <c r="S69" s="3"/>
      <c r="T69" s="7">
        <v>2250</v>
      </c>
      <c r="U69" s="3"/>
      <c r="V69" s="8">
        <f t="shared" si="13"/>
        <v>7.8027465667915102E-4</v>
      </c>
      <c r="W69" s="3"/>
      <c r="X69" s="7">
        <f t="shared" si="14"/>
        <v>355.84999999999991</v>
      </c>
      <c r="Y69" s="3"/>
      <c r="Z69" s="8">
        <f t="shared" si="15"/>
        <v>0.15815555555555552</v>
      </c>
    </row>
    <row r="70" spans="1:26" s="69" customFormat="1" ht="15" customHeight="1" outlineLevel="1" collapsed="1" x14ac:dyDescent="0.3">
      <c r="A70" s="25"/>
      <c r="B70" s="14" t="str">
        <f>CONCATENATE("     ","Services                                          ")</f>
        <v xml:space="preserve">     Services                                          </v>
      </c>
      <c r="C70" s="14"/>
      <c r="D70" s="2">
        <f>SUM(OSRRefD22_12x_0)</f>
        <v>7599.119999999999</v>
      </c>
      <c r="E70" s="2"/>
      <c r="F70" s="6">
        <f t="shared" si="8"/>
        <v>1.691743170326505E-2</v>
      </c>
      <c r="G70" s="2"/>
      <c r="H70" s="2">
        <f>SUM(OSRRefH22_12x_0)</f>
        <v>7150</v>
      </c>
      <c r="I70" s="2"/>
      <c r="J70" s="6">
        <f t="shared" si="9"/>
        <v>1.6346593507087333E-2</v>
      </c>
      <c r="K70" s="2"/>
      <c r="L70" s="2">
        <f t="shared" si="10"/>
        <v>449.11999999999898</v>
      </c>
      <c r="M70" s="2"/>
      <c r="N70" s="6">
        <f t="shared" si="11"/>
        <v>6.281398601398587E-2</v>
      </c>
      <c r="O70" s="14"/>
      <c r="P70" s="2">
        <f>SUM(OSRRefP22_12x_0)</f>
        <v>51760.88</v>
      </c>
      <c r="Q70" s="2"/>
      <c r="R70" s="6">
        <f t="shared" si="12"/>
        <v>1.6450006036757194E-2</v>
      </c>
      <c r="S70" s="2"/>
      <c r="T70" s="2">
        <f>SUM(OSRRefT22_12x_0)</f>
        <v>64350</v>
      </c>
      <c r="U70" s="2"/>
      <c r="V70" s="6">
        <f t="shared" si="13"/>
        <v>2.2315855181023719E-2</v>
      </c>
      <c r="W70" s="2"/>
      <c r="X70" s="2">
        <f t="shared" si="14"/>
        <v>-12589.120000000003</v>
      </c>
      <c r="Y70" s="2"/>
      <c r="Z70" s="6">
        <f t="shared" si="15"/>
        <v>-0.19563512043512046</v>
      </c>
    </row>
    <row r="71" spans="1:26" s="70" customFormat="1" ht="15" hidden="1" customHeight="1" outlineLevel="2" x14ac:dyDescent="0.3">
      <c r="A71" s="26"/>
      <c r="B71" s="12" t="str">
        <f>CONCATENATE("          ","6282"," - ","JANITORIAL/EXTERMINATOR EXPENS")</f>
        <v xml:space="preserve">          6282 - JANITORIAL/EXTERMINATOR EXPENS</v>
      </c>
      <c r="C71" s="12"/>
      <c r="D71" s="7">
        <v>909.9</v>
      </c>
      <c r="E71" s="3"/>
      <c r="F71" s="8">
        <f t="shared" si="8"/>
        <v>2.0256518000506467E-3</v>
      </c>
      <c r="G71" s="3"/>
      <c r="H71" s="7">
        <v>450</v>
      </c>
      <c r="I71" s="3"/>
      <c r="J71" s="8">
        <f t="shared" si="9"/>
        <v>1.02880658436214E-3</v>
      </c>
      <c r="K71" s="3"/>
      <c r="L71" s="7">
        <f t="shared" si="10"/>
        <v>459.9</v>
      </c>
      <c r="M71" s="3"/>
      <c r="N71" s="8">
        <f t="shared" si="11"/>
        <v>1.022</v>
      </c>
      <c r="O71" s="12"/>
      <c r="P71" s="7">
        <v>4323.92</v>
      </c>
      <c r="Q71" s="3"/>
      <c r="R71" s="8">
        <f t="shared" si="12"/>
        <v>1.37417505464465E-3</v>
      </c>
      <c r="S71" s="3"/>
      <c r="T71" s="7">
        <v>4050</v>
      </c>
      <c r="U71" s="3"/>
      <c r="V71" s="8">
        <f t="shared" si="13"/>
        <v>1.4044943820224719E-3</v>
      </c>
      <c r="W71" s="3"/>
      <c r="X71" s="7">
        <f t="shared" si="14"/>
        <v>273.92000000000007</v>
      </c>
      <c r="Y71" s="3"/>
      <c r="Z71" s="8">
        <f t="shared" si="15"/>
        <v>6.763456790123458E-2</v>
      </c>
    </row>
    <row r="72" spans="1:26" s="70" customFormat="1" ht="15" hidden="1" customHeight="1" outlineLevel="2" x14ac:dyDescent="0.3">
      <c r="A72" s="26"/>
      <c r="B72" s="12" t="str">
        <f>CONCATENATE("          ","6284"," - ","TRASH REMOVAL EXPENSE")</f>
        <v xml:space="preserve">          6284 - TRASH REMOVAL EXPENSE</v>
      </c>
      <c r="C72" s="12"/>
      <c r="D72" s="7"/>
      <c r="E72" s="3"/>
      <c r="F72" s="8">
        <f t="shared" si="8"/>
        <v>0</v>
      </c>
      <c r="G72" s="3"/>
      <c r="H72" s="7">
        <v>500</v>
      </c>
      <c r="I72" s="3"/>
      <c r="J72" s="8">
        <f t="shared" si="9"/>
        <v>1.1431184270690445E-3</v>
      </c>
      <c r="K72" s="3"/>
      <c r="L72" s="7">
        <f t="shared" si="10"/>
        <v>-500</v>
      </c>
      <c r="M72" s="3"/>
      <c r="N72" s="8">
        <f t="shared" si="11"/>
        <v>-1</v>
      </c>
      <c r="O72" s="12"/>
      <c r="P72" s="7"/>
      <c r="Q72" s="3"/>
      <c r="R72" s="8">
        <f t="shared" si="12"/>
        <v>0</v>
      </c>
      <c r="S72" s="3"/>
      <c r="T72" s="7">
        <v>4500</v>
      </c>
      <c r="U72" s="3"/>
      <c r="V72" s="8">
        <f t="shared" si="13"/>
        <v>1.560549313358302E-3</v>
      </c>
      <c r="W72" s="3"/>
      <c r="X72" s="7">
        <f t="shared" si="14"/>
        <v>-4500</v>
      </c>
      <c r="Y72" s="3"/>
      <c r="Z72" s="8">
        <f t="shared" si="15"/>
        <v>-1</v>
      </c>
    </row>
    <row r="73" spans="1:26" s="70" customFormat="1" ht="15" hidden="1" customHeight="1" outlineLevel="2" x14ac:dyDescent="0.3">
      <c r="A73" s="26"/>
      <c r="B73" s="12" t="str">
        <f>CONCATENATE("          ","6285"," - ","JANITORIAL SERVICES")</f>
        <v xml:space="preserve">          6285 - JANITORIAL SERVICES</v>
      </c>
      <c r="C73" s="12"/>
      <c r="D73" s="7">
        <v>4428.8599999999997</v>
      </c>
      <c r="E73" s="3"/>
      <c r="F73" s="8">
        <f t="shared" si="8"/>
        <v>9.8596859338084489E-3</v>
      </c>
      <c r="G73" s="3"/>
      <c r="H73" s="7">
        <v>4700</v>
      </c>
      <c r="I73" s="3"/>
      <c r="J73" s="8">
        <f t="shared" si="9"/>
        <v>1.0745313214449017E-2</v>
      </c>
      <c r="K73" s="3"/>
      <c r="L73" s="7">
        <f t="shared" si="10"/>
        <v>-271.14000000000033</v>
      </c>
      <c r="M73" s="3"/>
      <c r="N73" s="8">
        <f t="shared" si="11"/>
        <v>-5.7689361702127732E-2</v>
      </c>
      <c r="O73" s="12"/>
      <c r="P73" s="7">
        <v>40342.74</v>
      </c>
      <c r="Q73" s="3"/>
      <c r="R73" s="8">
        <f t="shared" si="12"/>
        <v>1.2821233266113827E-2</v>
      </c>
      <c r="S73" s="3"/>
      <c r="T73" s="7">
        <v>42300</v>
      </c>
      <c r="U73" s="3"/>
      <c r="V73" s="8">
        <f t="shared" si="13"/>
        <v>1.4669163545568039E-2</v>
      </c>
      <c r="W73" s="3"/>
      <c r="X73" s="7">
        <f t="shared" si="14"/>
        <v>-1957.260000000002</v>
      </c>
      <c r="Y73" s="3"/>
      <c r="Z73" s="8">
        <f t="shared" si="15"/>
        <v>-4.6270921985815651E-2</v>
      </c>
    </row>
    <row r="74" spans="1:26" s="70" customFormat="1" ht="15" hidden="1" customHeight="1" outlineLevel="2" x14ac:dyDescent="0.3">
      <c r="A74" s="26"/>
      <c r="B74" s="12" t="str">
        <f>CONCATENATE("          ","6286"," - ","LAUNDRY EXPENSE")</f>
        <v xml:space="preserve">          6286 - LAUNDRY EXPENSE</v>
      </c>
      <c r="C74" s="12"/>
      <c r="D74" s="7">
        <v>2260.36</v>
      </c>
      <c r="E74" s="3"/>
      <c r="F74" s="8">
        <f t="shared" si="8"/>
        <v>5.0320939694059571E-3</v>
      </c>
      <c r="G74" s="3"/>
      <c r="H74" s="7">
        <v>1500</v>
      </c>
      <c r="I74" s="3"/>
      <c r="J74" s="8">
        <f t="shared" si="9"/>
        <v>3.4293552812071329E-3</v>
      </c>
      <c r="K74" s="3"/>
      <c r="L74" s="7">
        <f t="shared" si="10"/>
        <v>760.36000000000013</v>
      </c>
      <c r="M74" s="3"/>
      <c r="N74" s="8">
        <f t="shared" si="11"/>
        <v>0.50690666666666673</v>
      </c>
      <c r="O74" s="12"/>
      <c r="P74" s="7">
        <v>7094.22</v>
      </c>
      <c r="Q74" s="3"/>
      <c r="R74" s="8">
        <f t="shared" si="12"/>
        <v>2.2545977159987162E-3</v>
      </c>
      <c r="S74" s="3"/>
      <c r="T74" s="7">
        <v>13500</v>
      </c>
      <c r="U74" s="3"/>
      <c r="V74" s="8">
        <f t="shared" si="13"/>
        <v>4.6816479400749065E-3</v>
      </c>
      <c r="W74" s="3"/>
      <c r="X74" s="7">
        <f t="shared" si="14"/>
        <v>-6405.78</v>
      </c>
      <c r="Y74" s="3"/>
      <c r="Z74" s="8">
        <f t="shared" si="15"/>
        <v>-0.47450222222222221</v>
      </c>
    </row>
    <row r="75" spans="1:26" s="69" customFormat="1" ht="15" customHeight="1" outlineLevel="1" collapsed="1" x14ac:dyDescent="0.3">
      <c r="A75" s="25"/>
      <c r="B75" s="14" t="str">
        <f>CONCATENATE("     ","Supplies                                          ")</f>
        <v xml:space="preserve">     Supplies                                          </v>
      </c>
      <c r="C75" s="14"/>
      <c r="D75" s="2">
        <f>SUM(OSRRefD22_13x_0)</f>
        <v>8680.3499999999985</v>
      </c>
      <c r="E75" s="2"/>
      <c r="F75" s="6">
        <f t="shared" si="8"/>
        <v>1.9324504453862655E-2</v>
      </c>
      <c r="G75" s="2"/>
      <c r="H75" s="2">
        <f>SUM(OSRRefH22_13x_0)</f>
        <v>11396</v>
      </c>
      <c r="I75" s="2"/>
      <c r="J75" s="6">
        <f t="shared" si="9"/>
        <v>2.6053955189757658E-2</v>
      </c>
      <c r="K75" s="2"/>
      <c r="L75" s="2">
        <f t="shared" si="10"/>
        <v>-2715.6500000000015</v>
      </c>
      <c r="M75" s="2"/>
      <c r="N75" s="6">
        <f t="shared" si="11"/>
        <v>-0.23829852579852592</v>
      </c>
      <c r="O75" s="14"/>
      <c r="P75" s="2">
        <f>SUM(OSRRefP22_13x_0)</f>
        <v>64401.079999999994</v>
      </c>
      <c r="Q75" s="2"/>
      <c r="R75" s="6">
        <f t="shared" si="12"/>
        <v>2.0467158880870705E-2</v>
      </c>
      <c r="S75" s="2"/>
      <c r="T75" s="2">
        <f>SUM(OSRRefT22_13x_0)</f>
        <v>102564</v>
      </c>
      <c r="U75" s="2"/>
      <c r="V75" s="6">
        <f t="shared" si="13"/>
        <v>3.556803995006242E-2</v>
      </c>
      <c r="W75" s="2"/>
      <c r="X75" s="2">
        <f t="shared" si="14"/>
        <v>-38162.920000000006</v>
      </c>
      <c r="Y75" s="2"/>
      <c r="Z75" s="6">
        <f t="shared" si="15"/>
        <v>-0.37208884208884213</v>
      </c>
    </row>
    <row r="76" spans="1:26" s="70" customFormat="1" ht="15" hidden="1" customHeight="1" outlineLevel="2" x14ac:dyDescent="0.3">
      <c r="A76" s="26"/>
      <c r="B76" s="12" t="str">
        <f>CONCATENATE("          ","6234"," - ","EXPENDABLE SUPPLIES &amp; EQUIPMEN")</f>
        <v xml:space="preserve">          6234 - EXPENDABLE SUPPLIES &amp; EQUIPMEN</v>
      </c>
      <c r="C76" s="12"/>
      <c r="D76" s="7"/>
      <c r="E76" s="3"/>
      <c r="F76" s="8">
        <f t="shared" si="8"/>
        <v>0</v>
      </c>
      <c r="G76" s="3"/>
      <c r="H76" s="7"/>
      <c r="I76" s="3"/>
      <c r="J76" s="8">
        <f t="shared" si="9"/>
        <v>0</v>
      </c>
      <c r="K76" s="3"/>
      <c r="L76" s="7">
        <f t="shared" si="10"/>
        <v>0</v>
      </c>
      <c r="M76" s="3"/>
      <c r="N76" s="8">
        <f t="shared" si="11"/>
        <v>0</v>
      </c>
      <c r="O76" s="12"/>
      <c r="P76" s="7">
        <v>21.98</v>
      </c>
      <c r="Q76" s="3"/>
      <c r="R76" s="8">
        <f t="shared" si="12"/>
        <v>6.9854131670080401E-6</v>
      </c>
      <c r="S76" s="3"/>
      <c r="T76" s="7"/>
      <c r="U76" s="3"/>
      <c r="V76" s="8">
        <f t="shared" si="13"/>
        <v>0</v>
      </c>
      <c r="W76" s="3"/>
      <c r="X76" s="7">
        <f t="shared" si="14"/>
        <v>21.98</v>
      </c>
      <c r="Y76" s="3"/>
      <c r="Z76" s="8">
        <f t="shared" si="15"/>
        <v>0</v>
      </c>
    </row>
    <row r="77" spans="1:26" s="70" customFormat="1" ht="15" hidden="1" customHeight="1" outlineLevel="2" x14ac:dyDescent="0.3">
      <c r="A77" s="26"/>
      <c r="B77" s="12" t="str">
        <f>CONCATENATE("          ","6237"," - ","JANITORIAL SUPPLIES")</f>
        <v xml:space="preserve">          6237 - JANITORIAL SUPPLIES</v>
      </c>
      <c r="C77" s="12"/>
      <c r="D77" s="7">
        <v>1616.28</v>
      </c>
      <c r="E77" s="3"/>
      <c r="F77" s="8">
        <f t="shared" si="8"/>
        <v>3.5982201246135392E-3</v>
      </c>
      <c r="G77" s="3"/>
      <c r="H77" s="7">
        <v>4000</v>
      </c>
      <c r="I77" s="3"/>
      <c r="J77" s="8">
        <f t="shared" si="9"/>
        <v>9.1449474165523556E-3</v>
      </c>
      <c r="K77" s="3"/>
      <c r="L77" s="7">
        <f t="shared" si="10"/>
        <v>-2383.7200000000003</v>
      </c>
      <c r="M77" s="3"/>
      <c r="N77" s="8">
        <f t="shared" si="11"/>
        <v>-0.59593000000000007</v>
      </c>
      <c r="O77" s="12"/>
      <c r="P77" s="7">
        <v>10712.1</v>
      </c>
      <c r="Q77" s="3"/>
      <c r="R77" s="8">
        <f t="shared" si="12"/>
        <v>3.4043878246727403E-3</v>
      </c>
      <c r="S77" s="3"/>
      <c r="T77" s="7">
        <v>36000</v>
      </c>
      <c r="U77" s="3"/>
      <c r="V77" s="8">
        <f t="shared" si="13"/>
        <v>1.2484394506866416E-2</v>
      </c>
      <c r="W77" s="3"/>
      <c r="X77" s="7">
        <f t="shared" si="14"/>
        <v>-25287.9</v>
      </c>
      <c r="Y77" s="3"/>
      <c r="Z77" s="8">
        <f t="shared" si="15"/>
        <v>-0.70244166666666674</v>
      </c>
    </row>
    <row r="78" spans="1:26" s="70" customFormat="1" ht="15" hidden="1" customHeight="1" outlineLevel="2" x14ac:dyDescent="0.3">
      <c r="A78" s="26"/>
      <c r="B78" s="12" t="str">
        <f>CONCATENATE("          ","6239"," - ","KITCHEN SUPPLIES")</f>
        <v xml:space="preserve">          6239 - KITCHEN SUPPLIES</v>
      </c>
      <c r="C78" s="12"/>
      <c r="D78" s="7">
        <v>1109.79</v>
      </c>
      <c r="E78" s="3"/>
      <c r="F78" s="8">
        <f t="shared" si="8"/>
        <v>2.4706540402002499E-3</v>
      </c>
      <c r="G78" s="3"/>
      <c r="H78" s="7">
        <v>1500</v>
      </c>
      <c r="I78" s="3"/>
      <c r="J78" s="8">
        <f t="shared" si="9"/>
        <v>3.4293552812071329E-3</v>
      </c>
      <c r="K78" s="3"/>
      <c r="L78" s="7">
        <f t="shared" si="10"/>
        <v>-390.21000000000004</v>
      </c>
      <c r="M78" s="3"/>
      <c r="N78" s="8">
        <f t="shared" si="11"/>
        <v>-0.26014000000000004</v>
      </c>
      <c r="O78" s="12"/>
      <c r="P78" s="7">
        <v>8901.3799999999992</v>
      </c>
      <c r="Q78" s="3"/>
      <c r="R78" s="8">
        <f t="shared" si="12"/>
        <v>2.8289270726361247E-3</v>
      </c>
      <c r="S78" s="3"/>
      <c r="T78" s="7">
        <v>13500</v>
      </c>
      <c r="U78" s="3"/>
      <c r="V78" s="8">
        <f t="shared" si="13"/>
        <v>4.6816479400749065E-3</v>
      </c>
      <c r="W78" s="3"/>
      <c r="X78" s="7">
        <f t="shared" si="14"/>
        <v>-4598.6200000000008</v>
      </c>
      <c r="Y78" s="3"/>
      <c r="Z78" s="8">
        <f t="shared" si="15"/>
        <v>-0.34063851851851856</v>
      </c>
    </row>
    <row r="79" spans="1:26" s="70" customFormat="1" ht="15" hidden="1" customHeight="1" outlineLevel="2" x14ac:dyDescent="0.3">
      <c r="A79" s="26"/>
      <c r="B79" s="12" t="str">
        <f>CONCATENATE("          ","6241"," - ","OFFICE EXPENSE")</f>
        <v xml:space="preserve">          6241 - OFFICE EXPENSE</v>
      </c>
      <c r="C79" s="12"/>
      <c r="D79" s="7">
        <v>670.42</v>
      </c>
      <c r="E79" s="3"/>
      <c r="F79" s="8">
        <f t="shared" si="8"/>
        <v>1.4925128912956968E-3</v>
      </c>
      <c r="G79" s="3"/>
      <c r="H79" s="7">
        <v>500</v>
      </c>
      <c r="I79" s="3"/>
      <c r="J79" s="8">
        <f t="shared" si="9"/>
        <v>1.1431184270690445E-3</v>
      </c>
      <c r="K79" s="3"/>
      <c r="L79" s="7">
        <f t="shared" si="10"/>
        <v>170.41999999999996</v>
      </c>
      <c r="M79" s="3"/>
      <c r="N79" s="8">
        <f t="shared" si="11"/>
        <v>0.34083999999999992</v>
      </c>
      <c r="O79" s="12"/>
      <c r="P79" s="7">
        <v>4254.41</v>
      </c>
      <c r="Q79" s="3"/>
      <c r="R79" s="8">
        <f t="shared" si="12"/>
        <v>1.3520842416674557E-3</v>
      </c>
      <c r="S79" s="3"/>
      <c r="T79" s="7">
        <v>4500</v>
      </c>
      <c r="U79" s="3"/>
      <c r="V79" s="8">
        <f t="shared" si="13"/>
        <v>1.560549313358302E-3</v>
      </c>
      <c r="W79" s="3"/>
      <c r="X79" s="7">
        <f t="shared" si="14"/>
        <v>-245.59000000000015</v>
      </c>
      <c r="Y79" s="3"/>
      <c r="Z79" s="8">
        <f t="shared" si="15"/>
        <v>-5.4575555555555585E-2</v>
      </c>
    </row>
    <row r="80" spans="1:26" s="70" customFormat="1" ht="15" hidden="1" customHeight="1" outlineLevel="2" x14ac:dyDescent="0.3">
      <c r="A80" s="26"/>
      <c r="B80" s="12" t="str">
        <f>CONCATENATE("          ","6243"," - ","PAPER SUPPLIES")</f>
        <v xml:space="preserve">          6243 - PAPER SUPPLIES</v>
      </c>
      <c r="C80" s="12"/>
      <c r="D80" s="7">
        <v>5204.4799999999996</v>
      </c>
      <c r="E80" s="3"/>
      <c r="F80" s="8">
        <f t="shared" si="8"/>
        <v>1.1586398813416408E-2</v>
      </c>
      <c r="G80" s="3"/>
      <c r="H80" s="7">
        <v>5000</v>
      </c>
      <c r="I80" s="3"/>
      <c r="J80" s="8">
        <f t="shared" si="9"/>
        <v>1.1431184270690443E-2</v>
      </c>
      <c r="K80" s="3"/>
      <c r="L80" s="7">
        <f t="shared" si="10"/>
        <v>204.47999999999956</v>
      </c>
      <c r="M80" s="3"/>
      <c r="N80" s="8">
        <f t="shared" si="11"/>
        <v>4.0895999999999912E-2</v>
      </c>
      <c r="O80" s="12"/>
      <c r="P80" s="7">
        <v>38059.39</v>
      </c>
      <c r="Q80" s="3"/>
      <c r="R80" s="8">
        <f t="shared" si="12"/>
        <v>1.2095567062524756E-2</v>
      </c>
      <c r="S80" s="3"/>
      <c r="T80" s="7">
        <v>45000</v>
      </c>
      <c r="U80" s="3"/>
      <c r="V80" s="8">
        <f t="shared" si="13"/>
        <v>1.5605493133583021E-2</v>
      </c>
      <c r="W80" s="3"/>
      <c r="X80" s="7">
        <f t="shared" si="14"/>
        <v>-6940.6100000000006</v>
      </c>
      <c r="Y80" s="3"/>
      <c r="Z80" s="8">
        <f t="shared" si="15"/>
        <v>-0.15423577777777778</v>
      </c>
    </row>
    <row r="81" spans="1:26" s="70" customFormat="1" ht="15" hidden="1" customHeight="1" outlineLevel="2" x14ac:dyDescent="0.3">
      <c r="A81" s="26"/>
      <c r="B81" s="12" t="str">
        <f>CONCATENATE("          ","6244"," - ","SAFETY SUPPLY EXPENSE")</f>
        <v xml:space="preserve">          6244 - SAFETY SUPPLY EXPENSE</v>
      </c>
      <c r="C81" s="12"/>
      <c r="D81" s="7"/>
      <c r="E81" s="3"/>
      <c r="F81" s="8">
        <f t="shared" si="8"/>
        <v>0</v>
      </c>
      <c r="G81" s="3"/>
      <c r="H81" s="7">
        <v>200</v>
      </c>
      <c r="I81" s="3"/>
      <c r="J81" s="8">
        <f t="shared" si="9"/>
        <v>4.5724737082761773E-4</v>
      </c>
      <c r="K81" s="3"/>
      <c r="L81" s="7">
        <f t="shared" si="10"/>
        <v>-200</v>
      </c>
      <c r="M81" s="3"/>
      <c r="N81" s="8">
        <f t="shared" si="11"/>
        <v>-1</v>
      </c>
      <c r="O81" s="12"/>
      <c r="P81" s="7"/>
      <c r="Q81" s="3"/>
      <c r="R81" s="8">
        <f t="shared" si="12"/>
        <v>0</v>
      </c>
      <c r="S81" s="3"/>
      <c r="T81" s="7">
        <v>1800</v>
      </c>
      <c r="U81" s="3"/>
      <c r="V81" s="8">
        <f t="shared" si="13"/>
        <v>6.2421972534332086E-4</v>
      </c>
      <c r="W81" s="3"/>
      <c r="X81" s="7">
        <f t="shared" si="14"/>
        <v>-1800</v>
      </c>
      <c r="Y81" s="3"/>
      <c r="Z81" s="8">
        <f t="shared" si="15"/>
        <v>-1</v>
      </c>
    </row>
    <row r="82" spans="1:26" s="70" customFormat="1" ht="15" hidden="1" customHeight="1" outlineLevel="2" x14ac:dyDescent="0.3">
      <c r="A82" s="26"/>
      <c r="B82" s="12" t="str">
        <f>CONCATENATE("          ","6247"," - ","STORE SUPPLIES")</f>
        <v xml:space="preserve">          6247 - STORE SUPPLIES</v>
      </c>
      <c r="C82" s="12"/>
      <c r="D82" s="7">
        <v>79.38</v>
      </c>
      <c r="E82" s="3"/>
      <c r="F82" s="8">
        <f t="shared" si="8"/>
        <v>1.7671858433676265E-4</v>
      </c>
      <c r="G82" s="3"/>
      <c r="H82" s="7"/>
      <c r="I82" s="3"/>
      <c r="J82" s="8">
        <f t="shared" si="9"/>
        <v>0</v>
      </c>
      <c r="K82" s="3"/>
      <c r="L82" s="7">
        <f t="shared" si="10"/>
        <v>79.38</v>
      </c>
      <c r="M82" s="3"/>
      <c r="N82" s="8">
        <f t="shared" si="11"/>
        <v>0</v>
      </c>
      <c r="O82" s="12"/>
      <c r="P82" s="7">
        <v>581.41999999999996</v>
      </c>
      <c r="Q82" s="3"/>
      <c r="R82" s="8">
        <f t="shared" si="12"/>
        <v>1.8477975084448656E-4</v>
      </c>
      <c r="S82" s="3"/>
      <c r="T82" s="7"/>
      <c r="U82" s="3"/>
      <c r="V82" s="8">
        <f t="shared" si="13"/>
        <v>0</v>
      </c>
      <c r="W82" s="3"/>
      <c r="X82" s="7">
        <f t="shared" si="14"/>
        <v>581.41999999999996</v>
      </c>
      <c r="Y82" s="3"/>
      <c r="Z82" s="8">
        <f t="shared" si="15"/>
        <v>0</v>
      </c>
    </row>
    <row r="83" spans="1:26" s="70" customFormat="1" ht="15" hidden="1" customHeight="1" outlineLevel="2" x14ac:dyDescent="0.3">
      <c r="A83" s="26"/>
      <c r="B83" s="12" t="str">
        <f>CONCATENATE("          ","6248"," - ","UNIFORMS")</f>
        <v xml:space="preserve">          6248 - UNIFORMS</v>
      </c>
      <c r="C83" s="12"/>
      <c r="D83" s="7"/>
      <c r="E83" s="3"/>
      <c r="F83" s="8">
        <f t="shared" si="8"/>
        <v>0</v>
      </c>
      <c r="G83" s="3"/>
      <c r="H83" s="7">
        <v>196</v>
      </c>
      <c r="I83" s="3"/>
      <c r="J83" s="8">
        <f t="shared" si="9"/>
        <v>4.481024234110654E-4</v>
      </c>
      <c r="K83" s="3"/>
      <c r="L83" s="7">
        <f t="shared" si="10"/>
        <v>-196</v>
      </c>
      <c r="M83" s="3"/>
      <c r="N83" s="8">
        <f t="shared" si="11"/>
        <v>-1</v>
      </c>
      <c r="O83" s="12"/>
      <c r="P83" s="7">
        <v>1870.4</v>
      </c>
      <c r="Q83" s="3"/>
      <c r="R83" s="8">
        <f t="shared" si="12"/>
        <v>5.9442751535813639E-4</v>
      </c>
      <c r="S83" s="3"/>
      <c r="T83" s="7">
        <v>1764</v>
      </c>
      <c r="U83" s="3"/>
      <c r="V83" s="8">
        <f t="shared" si="13"/>
        <v>6.1173533083645445E-4</v>
      </c>
      <c r="W83" s="3"/>
      <c r="X83" s="7">
        <f t="shared" si="14"/>
        <v>106.40000000000009</v>
      </c>
      <c r="Y83" s="3"/>
      <c r="Z83" s="8">
        <f t="shared" si="15"/>
        <v>6.0317460317460367E-2</v>
      </c>
    </row>
    <row r="84" spans="1:26" s="69" customFormat="1" ht="15" customHeight="1" outlineLevel="1" collapsed="1" x14ac:dyDescent="0.3">
      <c r="A84" s="25"/>
      <c r="B84" s="14" t="str">
        <f>CONCATENATE("     ","Telephone/Data Lines                              ")</f>
        <v xml:space="preserve">     Telephone/Data Lines                              </v>
      </c>
      <c r="C84" s="14"/>
      <c r="D84" s="2">
        <f>SUM(OSRRefD22_14x_0)</f>
        <v>164</v>
      </c>
      <c r="E84" s="2"/>
      <c r="F84" s="6">
        <f t="shared" si="8"/>
        <v>3.6510264337653159E-4</v>
      </c>
      <c r="G84" s="2"/>
      <c r="H84" s="2">
        <f>SUM(OSRRefH22_14x_0)</f>
        <v>175</v>
      </c>
      <c r="I84" s="2"/>
      <c r="J84" s="6">
        <f t="shared" si="9"/>
        <v>4.000914494741655E-4</v>
      </c>
      <c r="K84" s="2"/>
      <c r="L84" s="2">
        <f t="shared" si="10"/>
        <v>-11</v>
      </c>
      <c r="M84" s="2"/>
      <c r="N84" s="6">
        <f t="shared" si="11"/>
        <v>-6.2857142857142861E-2</v>
      </c>
      <c r="O84" s="14"/>
      <c r="P84" s="2">
        <f>SUM(OSRRefP22_14x_0)</f>
        <v>1776</v>
      </c>
      <c r="Q84" s="2"/>
      <c r="R84" s="6">
        <f t="shared" si="12"/>
        <v>5.6442646881739217E-4</v>
      </c>
      <c r="S84" s="2"/>
      <c r="T84" s="2">
        <f>SUM(OSRRefT22_14x_0)</f>
        <v>1575</v>
      </c>
      <c r="U84" s="2"/>
      <c r="V84" s="6">
        <f t="shared" si="13"/>
        <v>5.4619225967540578E-4</v>
      </c>
      <c r="W84" s="2"/>
      <c r="X84" s="2">
        <f t="shared" si="14"/>
        <v>201</v>
      </c>
      <c r="Y84" s="2"/>
      <c r="Z84" s="6">
        <f t="shared" si="15"/>
        <v>0.12761904761904763</v>
      </c>
    </row>
    <row r="85" spans="1:26" s="70" customFormat="1" ht="15" hidden="1" customHeight="1" outlineLevel="2" x14ac:dyDescent="0.3">
      <c r="A85" s="26"/>
      <c r="B85" s="12" t="str">
        <f>CONCATENATE("          ","6309"," - ","TELEPHONE")</f>
        <v xml:space="preserve">          6309 - TELEPHONE</v>
      </c>
      <c r="C85" s="12"/>
      <c r="D85" s="7">
        <v>164</v>
      </c>
      <c r="E85" s="3"/>
      <c r="F85" s="8">
        <f t="shared" si="8"/>
        <v>3.6510264337653159E-4</v>
      </c>
      <c r="G85" s="3"/>
      <c r="H85" s="7">
        <v>175</v>
      </c>
      <c r="I85" s="3"/>
      <c r="J85" s="8">
        <f t="shared" si="9"/>
        <v>4.000914494741655E-4</v>
      </c>
      <c r="K85" s="3"/>
      <c r="L85" s="7">
        <f t="shared" si="10"/>
        <v>-11</v>
      </c>
      <c r="M85" s="3"/>
      <c r="N85" s="8">
        <f t="shared" si="11"/>
        <v>-6.2857142857142861E-2</v>
      </c>
      <c r="O85" s="12"/>
      <c r="P85" s="7">
        <v>1776</v>
      </c>
      <c r="Q85" s="3"/>
      <c r="R85" s="8">
        <f t="shared" si="12"/>
        <v>5.6442646881739217E-4</v>
      </c>
      <c r="S85" s="3"/>
      <c r="T85" s="7">
        <v>1575</v>
      </c>
      <c r="U85" s="3"/>
      <c r="V85" s="8">
        <f t="shared" si="13"/>
        <v>5.4619225967540578E-4</v>
      </c>
      <c r="W85" s="3"/>
      <c r="X85" s="7">
        <f t="shared" si="14"/>
        <v>201</v>
      </c>
      <c r="Y85" s="3"/>
      <c r="Z85" s="8">
        <f t="shared" si="15"/>
        <v>0.12761904761904763</v>
      </c>
    </row>
    <row r="86" spans="1:26" s="69" customFormat="1" ht="15" customHeight="1" outlineLevel="1" collapsed="1" x14ac:dyDescent="0.3">
      <c r="A86" s="25"/>
      <c r="B86" s="14" t="str">
        <f>CONCATENATE("     ","Training                                          ")</f>
        <v xml:space="preserve">     Training                                          </v>
      </c>
      <c r="C86" s="14"/>
      <c r="D86" s="2">
        <f>SUM(OSRRefD22_15x_0)</f>
        <v>0</v>
      </c>
      <c r="E86" s="2"/>
      <c r="F86" s="6">
        <f t="shared" si="8"/>
        <v>0</v>
      </c>
      <c r="G86" s="2"/>
      <c r="H86" s="2">
        <f>SUM(OSRRefH22_15x_0)</f>
        <v>0</v>
      </c>
      <c r="I86" s="2"/>
      <c r="J86" s="6">
        <f t="shared" si="9"/>
        <v>0</v>
      </c>
      <c r="K86" s="2"/>
      <c r="L86" s="2">
        <f t="shared" si="10"/>
        <v>0</v>
      </c>
      <c r="M86" s="2"/>
      <c r="N86" s="6">
        <f t="shared" si="11"/>
        <v>0</v>
      </c>
      <c r="O86" s="14"/>
      <c r="P86" s="2">
        <f>SUM(OSRRefP22_15x_0)</f>
        <v>0</v>
      </c>
      <c r="Q86" s="2"/>
      <c r="R86" s="6">
        <f t="shared" si="12"/>
        <v>0</v>
      </c>
      <c r="S86" s="2"/>
      <c r="T86" s="2">
        <f>SUM(OSRRefT22_15x_0)</f>
        <v>1000</v>
      </c>
      <c r="U86" s="2"/>
      <c r="V86" s="6">
        <f t="shared" si="13"/>
        <v>3.4678873630184491E-4</v>
      </c>
      <c r="W86" s="2"/>
      <c r="X86" s="2">
        <f t="shared" si="14"/>
        <v>-1000</v>
      </c>
      <c r="Y86" s="2"/>
      <c r="Z86" s="6">
        <f t="shared" si="15"/>
        <v>-1</v>
      </c>
    </row>
    <row r="87" spans="1:26" s="70" customFormat="1" ht="15" hidden="1" customHeight="1" outlineLevel="2" x14ac:dyDescent="0.3">
      <c r="A87" s="26"/>
      <c r="B87" s="12" t="str">
        <f>CONCATENATE("          ","6376"," - ","TRAINING")</f>
        <v xml:space="preserve">          6376 - TRAINING</v>
      </c>
      <c r="C87" s="12"/>
      <c r="D87" s="7"/>
      <c r="E87" s="3"/>
      <c r="F87" s="8">
        <f t="shared" si="8"/>
        <v>0</v>
      </c>
      <c r="G87" s="3"/>
      <c r="H87" s="7"/>
      <c r="I87" s="3"/>
      <c r="J87" s="8">
        <f t="shared" si="9"/>
        <v>0</v>
      </c>
      <c r="K87" s="3"/>
      <c r="L87" s="7">
        <f t="shared" si="10"/>
        <v>0</v>
      </c>
      <c r="M87" s="3"/>
      <c r="N87" s="8">
        <f t="shared" si="11"/>
        <v>0</v>
      </c>
      <c r="O87" s="12"/>
      <c r="P87" s="7"/>
      <c r="Q87" s="3"/>
      <c r="R87" s="8">
        <f t="shared" si="12"/>
        <v>0</v>
      </c>
      <c r="S87" s="3"/>
      <c r="T87" s="7">
        <v>1000</v>
      </c>
      <c r="U87" s="3"/>
      <c r="V87" s="8">
        <f t="shared" si="13"/>
        <v>3.4678873630184491E-4</v>
      </c>
      <c r="W87" s="3"/>
      <c r="X87" s="7">
        <f t="shared" si="14"/>
        <v>-1000</v>
      </c>
      <c r="Y87" s="3"/>
      <c r="Z87" s="8">
        <f t="shared" si="15"/>
        <v>-1</v>
      </c>
    </row>
    <row r="88" spans="1:26" s="65" customFormat="1" ht="15" customHeight="1" x14ac:dyDescent="0.3">
      <c r="A88" s="35"/>
      <c r="B88" s="35"/>
      <c r="C88" s="35"/>
      <c r="D88" s="2"/>
      <c r="E88" s="2"/>
      <c r="F88" s="6"/>
      <c r="G88" s="2"/>
      <c r="H88" s="2"/>
      <c r="I88" s="2"/>
      <c r="J88" s="6"/>
      <c r="K88" s="2"/>
      <c r="L88" s="2"/>
      <c r="M88" s="2"/>
      <c r="N88" s="6"/>
      <c r="O88" s="35"/>
      <c r="P88" s="2"/>
      <c r="Q88" s="2"/>
      <c r="R88" s="6"/>
      <c r="S88" s="2"/>
      <c r="T88" s="2"/>
      <c r="U88" s="2"/>
      <c r="V88" s="6"/>
      <c r="W88" s="2"/>
      <c r="X88" s="2"/>
      <c r="Y88" s="2"/>
      <c r="Z88" s="6"/>
    </row>
    <row r="89" spans="1:26" s="63" customFormat="1" ht="15" customHeight="1" x14ac:dyDescent="0.3">
      <c r="A89" s="11"/>
      <c r="B89" s="28" t="s">
        <v>291</v>
      </c>
      <c r="C89" s="11"/>
      <c r="D89" s="5">
        <f>SUM(0)</f>
        <v>0</v>
      </c>
      <c r="E89" s="5"/>
      <c r="F89" s="13">
        <f>IF(D$12=0,0,D89/D$12)</f>
        <v>0</v>
      </c>
      <c r="G89" s="5"/>
      <c r="H89" s="5">
        <f>SUM(0)</f>
        <v>0</v>
      </c>
      <c r="I89" s="5"/>
      <c r="J89" s="13">
        <f>IF(H$12=0,0,H89/H$12)</f>
        <v>0</v>
      </c>
      <c r="K89" s="5"/>
      <c r="L89" s="5">
        <f>+D89-H89</f>
        <v>0</v>
      </c>
      <c r="M89" s="5"/>
      <c r="N89" s="13">
        <f>IF(H89=0,0,L89/H89)</f>
        <v>0</v>
      </c>
      <c r="O89" s="11"/>
      <c r="P89" s="5">
        <f>SUM(0)</f>
        <v>0</v>
      </c>
      <c r="Q89" s="5"/>
      <c r="R89" s="13">
        <f>IF(P$12=0,0,P89/P$12)</f>
        <v>0</v>
      </c>
      <c r="S89" s="5"/>
      <c r="T89" s="5">
        <f>SUM(0)</f>
        <v>0</v>
      </c>
      <c r="U89" s="5"/>
      <c r="V89" s="13">
        <f>IF(T$12=0,0,T89/T$12)</f>
        <v>0</v>
      </c>
      <c r="W89" s="5"/>
      <c r="X89" s="5">
        <f>+P89-T89</f>
        <v>0</v>
      </c>
      <c r="Y89" s="5"/>
      <c r="Z89" s="13">
        <f>IF(T89=0,0,X89/T89)</f>
        <v>0</v>
      </c>
    </row>
    <row r="90" spans="1:26" ht="15" customHeight="1" x14ac:dyDescent="0.3">
      <c r="A90" s="10"/>
      <c r="B90" s="11"/>
      <c r="C90" s="11"/>
      <c r="D90" s="4"/>
      <c r="E90" s="4"/>
      <c r="F90" s="9"/>
      <c r="G90" s="4"/>
      <c r="H90" s="4"/>
      <c r="I90" s="4"/>
      <c r="J90" s="9"/>
      <c r="K90" s="4"/>
      <c r="L90" s="4"/>
      <c r="M90" s="4"/>
      <c r="N90" s="9"/>
      <c r="O90" s="11"/>
      <c r="P90" s="4"/>
      <c r="Q90" s="4"/>
      <c r="R90" s="9"/>
      <c r="S90" s="4"/>
      <c r="T90" s="4"/>
      <c r="U90" s="4"/>
      <c r="V90" s="9"/>
      <c r="W90" s="4"/>
      <c r="X90" s="4"/>
      <c r="Y90" s="4"/>
      <c r="Z90" s="9"/>
    </row>
    <row r="91" spans="1:26" s="63" customFormat="1" ht="15" customHeight="1" x14ac:dyDescent="0.3">
      <c r="A91" s="11"/>
      <c r="B91" s="27" t="s">
        <v>292</v>
      </c>
      <c r="C91" s="27"/>
      <c r="D91" s="21">
        <f>+D23-D25+D89</f>
        <v>166090.72000000006</v>
      </c>
      <c r="E91" s="15"/>
      <c r="F91" s="23">
        <f>IF(D$12=0,0,D91/D$12)</f>
        <v>0.36975707873360597</v>
      </c>
      <c r="G91" s="15"/>
      <c r="H91" s="21">
        <f>+H23-H25+H89</f>
        <v>150463.82810307696</v>
      </c>
      <c r="I91" s="15"/>
      <c r="J91" s="23">
        <f>IF(H$12=0,0,H91/H$12)</f>
        <v>0.34399594902395281</v>
      </c>
      <c r="K91" s="16"/>
      <c r="L91" s="21">
        <f>+D91-H91</f>
        <v>15626.891896923102</v>
      </c>
      <c r="M91" s="16"/>
      <c r="N91" s="23">
        <f>IF(H91=0,0,L91/H91)</f>
        <v>0.10385813051504791</v>
      </c>
      <c r="O91" s="28"/>
      <c r="P91" s="21">
        <f>+P23-P25+P89</f>
        <v>1103066.2700000005</v>
      </c>
      <c r="Q91" s="15"/>
      <c r="R91" s="23">
        <f>IF(P$12=0,0,P91/P$12)</f>
        <v>0.35056295025206774</v>
      </c>
      <c r="S91" s="15"/>
      <c r="T91" s="21">
        <f>+T23-T25+T89</f>
        <v>585631.90150499996</v>
      </c>
      <c r="U91" s="15"/>
      <c r="V91" s="23">
        <f>IF(T$12=0,0,T91/T$12)</f>
        <v>0.20309054706096544</v>
      </c>
      <c r="W91" s="16"/>
      <c r="X91" s="21">
        <f>+P91-T91</f>
        <v>517434.36849500053</v>
      </c>
      <c r="Y91" s="16"/>
      <c r="Z91" s="23">
        <f>IF(T91=0,0,X91/T91)</f>
        <v>0.88354880798887425</v>
      </c>
    </row>
    <row r="92" spans="1:26" ht="15" customHeight="1" x14ac:dyDescent="0.3">
      <c r="A92" s="10"/>
      <c r="B92" s="11"/>
      <c r="C92" s="10"/>
      <c r="D92" s="4"/>
      <c r="E92" s="4"/>
      <c r="F92" s="9"/>
      <c r="G92" s="4"/>
      <c r="H92" s="4"/>
      <c r="I92" s="4"/>
      <c r="J92" s="9"/>
      <c r="K92" s="4"/>
      <c r="L92" s="4"/>
      <c r="M92" s="4"/>
      <c r="N92" s="9"/>
      <c r="P92" s="4"/>
      <c r="Q92" s="4"/>
      <c r="R92" s="9"/>
      <c r="S92" s="4"/>
      <c r="T92" s="4"/>
      <c r="U92" s="4"/>
      <c r="V92" s="9"/>
      <c r="W92" s="4"/>
      <c r="X92" s="4"/>
      <c r="Y92" s="4"/>
      <c r="Z92" s="9"/>
    </row>
    <row r="93" spans="1:26" s="63" customFormat="1" ht="15" customHeight="1" x14ac:dyDescent="0.3">
      <c r="A93" s="49"/>
      <c r="B93" s="11" t="s">
        <v>293</v>
      </c>
      <c r="C93" s="11"/>
      <c r="D93" s="5">
        <v>38841.06</v>
      </c>
      <c r="E93" s="5"/>
      <c r="F93" s="13">
        <f>IF(D$12=0,0,D93/D$12)</f>
        <v>8.6469351692356491E-2</v>
      </c>
      <c r="G93" s="5"/>
      <c r="H93" s="5">
        <v>52127</v>
      </c>
      <c r="I93" s="5"/>
      <c r="J93" s="13">
        <f>IF(H$12=0,0,H93/H$12)</f>
        <v>0.11917466849565615</v>
      </c>
      <c r="K93" s="5"/>
      <c r="L93" s="5">
        <f>+D93-H93</f>
        <v>-13285.940000000002</v>
      </c>
      <c r="M93" s="5"/>
      <c r="N93" s="13">
        <f>IF(H93=0,0,L93/H93)</f>
        <v>-0.25487635966006106</v>
      </c>
      <c r="O93" s="11"/>
      <c r="P93" s="5">
        <v>375533.85</v>
      </c>
      <c r="Q93" s="5"/>
      <c r="R93" s="13">
        <f>IF(P$12=0,0,P93/P$12)</f>
        <v>0.11934754779104741</v>
      </c>
      <c r="S93" s="5"/>
      <c r="T93" s="5">
        <v>351169</v>
      </c>
      <c r="U93" s="5"/>
      <c r="V93" s="13">
        <f>IF(T$12=0,0,T93/T$12)</f>
        <v>0.12178145373838258</v>
      </c>
      <c r="W93" s="5"/>
      <c r="X93" s="5">
        <f>+P93-T93</f>
        <v>24364.849999999977</v>
      </c>
      <c r="Y93" s="5"/>
      <c r="Z93" s="13">
        <f>IF(T93=0,0,X93/T93)</f>
        <v>6.9382120859187393E-2</v>
      </c>
    </row>
    <row r="94" spans="1:26" ht="15" customHeight="1" x14ac:dyDescent="0.3">
      <c r="A94" s="10"/>
      <c r="B94" s="11"/>
      <c r="C94" s="11"/>
      <c r="D94" s="4"/>
      <c r="E94" s="4"/>
      <c r="F94" s="9"/>
      <c r="G94" s="4"/>
      <c r="H94" s="4"/>
      <c r="I94" s="4"/>
      <c r="J94" s="9"/>
      <c r="K94" s="4"/>
      <c r="L94" s="4"/>
      <c r="M94" s="4"/>
      <c r="N94" s="9"/>
      <c r="O94" s="11"/>
      <c r="P94" s="4"/>
      <c r="Q94" s="4"/>
      <c r="R94" s="9"/>
      <c r="S94" s="4"/>
      <c r="T94" s="4"/>
      <c r="U94" s="4"/>
      <c r="V94" s="9"/>
      <c r="W94" s="4"/>
      <c r="X94" s="4"/>
      <c r="Y94" s="4"/>
      <c r="Z94" s="9"/>
    </row>
    <row r="95" spans="1:26" s="63" customFormat="1" ht="15" customHeight="1" x14ac:dyDescent="0.3">
      <c r="A95" s="11"/>
      <c r="B95" s="27" t="s">
        <v>294</v>
      </c>
      <c r="C95" s="27"/>
      <c r="D95" s="34">
        <f>+D91-D93</f>
        <v>127249.66000000006</v>
      </c>
      <c r="E95" s="15"/>
      <c r="F95" s="29">
        <f>IF(D$12=0,0,D95/D$12)</f>
        <v>0.28328772704124949</v>
      </c>
      <c r="G95" s="15"/>
      <c r="H95" s="34">
        <f>+H91-H93</f>
        <v>98336.828103076958</v>
      </c>
      <c r="I95" s="15"/>
      <c r="J95" s="29">
        <f>IF(H$12=0,0,H95/H$12)</f>
        <v>0.22482128052829667</v>
      </c>
      <c r="K95" s="16"/>
      <c r="L95" s="34">
        <f>D95-H95</f>
        <v>28912.831896923104</v>
      </c>
      <c r="M95" s="16"/>
      <c r="N95" s="29">
        <f>IF(H95=0,0,L95/H95)</f>
        <v>0.29401834953041789</v>
      </c>
      <c r="O95" s="28"/>
      <c r="P95" s="34">
        <f>+P91-P93</f>
        <v>727532.42000000051</v>
      </c>
      <c r="Q95" s="15"/>
      <c r="R95" s="29">
        <f>IF(P$12=0,0,P95/P$12)</f>
        <v>0.23121540246102035</v>
      </c>
      <c r="S95" s="15"/>
      <c r="T95" s="34">
        <f>+T91-T93</f>
        <v>234462.90150499996</v>
      </c>
      <c r="U95" s="15"/>
      <c r="V95" s="29">
        <f>IF(T$12=0,0,T95/T$12)</f>
        <v>8.1309093322582862E-2</v>
      </c>
      <c r="W95" s="16"/>
      <c r="X95" s="34">
        <f>P95-T95</f>
        <v>493069.51849500055</v>
      </c>
      <c r="Y95" s="16"/>
      <c r="Z95" s="29">
        <f>IF(T95=0,0,X95/T95)</f>
        <v>2.1029745658269343</v>
      </c>
    </row>
    <row r="96" spans="1:26" ht="15" customHeight="1" x14ac:dyDescent="0.3">
      <c r="A96" s="10"/>
      <c r="B96" s="10"/>
      <c r="C96" s="10"/>
      <c r="D96" s="4"/>
      <c r="E96" s="4"/>
      <c r="F96" s="9"/>
      <c r="G96" s="4"/>
      <c r="H96" s="4"/>
      <c r="I96" s="4"/>
      <c r="J96" s="9"/>
      <c r="K96" s="4"/>
      <c r="L96" s="4"/>
      <c r="M96" s="4"/>
      <c r="N96" s="9"/>
      <c r="P96" s="4"/>
      <c r="Q96" s="4"/>
      <c r="R96" s="9"/>
      <c r="S96" s="4"/>
      <c r="T96" s="4"/>
      <c r="U96" s="4"/>
      <c r="V96" s="9"/>
      <c r="W96" s="4"/>
      <c r="X96" s="4"/>
      <c r="Y96" s="4"/>
      <c r="Z96" s="9"/>
    </row>
    <row r="97" spans="1:26" ht="15" customHeight="1" x14ac:dyDescent="0.3">
      <c r="A97" s="10"/>
      <c r="B97" s="10"/>
      <c r="C97" s="10"/>
      <c r="D97" s="4"/>
      <c r="E97" s="4"/>
      <c r="F97" s="9"/>
      <c r="G97" s="4"/>
      <c r="H97" s="4"/>
      <c r="I97" s="4"/>
      <c r="J97" s="9"/>
      <c r="K97" s="4"/>
      <c r="L97" s="4"/>
      <c r="M97" s="4"/>
      <c r="N97" s="9"/>
      <c r="P97" s="4"/>
      <c r="Q97" s="4"/>
      <c r="R97" s="9"/>
      <c r="S97" s="4"/>
      <c r="T97" s="4"/>
      <c r="U97" s="4"/>
      <c r="V97" s="9"/>
      <c r="W97" s="4"/>
      <c r="X97" s="4"/>
      <c r="Y97" s="4"/>
      <c r="Z97" s="9"/>
    </row>
    <row r="98" spans="1:26" s="63" customFormat="1" ht="15" customHeight="1" x14ac:dyDescent="0.3">
      <c r="A98" s="11"/>
      <c r="B98" s="27" t="s">
        <v>297</v>
      </c>
      <c r="C98" s="27"/>
      <c r="D98" s="32">
        <f>SUM(D95:D97)</f>
        <v>127249.66000000006</v>
      </c>
      <c r="E98" s="15"/>
      <c r="F98" s="31">
        <f>IF(D$12=0,0,D98/D$12)</f>
        <v>0.28328772704124949</v>
      </c>
      <c r="G98" s="15"/>
      <c r="H98" s="32">
        <f>SUM(H95:H97)</f>
        <v>98336.828103076958</v>
      </c>
      <c r="I98" s="15"/>
      <c r="J98" s="31">
        <f>IF(H$12=0,0,H98/H$12)</f>
        <v>0.22482128052829667</v>
      </c>
      <c r="K98" s="16"/>
      <c r="L98" s="32">
        <f>+D98-H98</f>
        <v>28912.831896923104</v>
      </c>
      <c r="M98" s="16"/>
      <c r="N98" s="31">
        <f>IF(H98=0,0,L98/H98)</f>
        <v>0.29401834953041789</v>
      </c>
      <c r="O98" s="28"/>
      <c r="P98" s="32">
        <f>SUM(P95:P97)</f>
        <v>727532.42000000051</v>
      </c>
      <c r="Q98" s="15"/>
      <c r="R98" s="31">
        <f>IF(P$12=0,0,P98/P$12)</f>
        <v>0.23121540246102035</v>
      </c>
      <c r="S98" s="15"/>
      <c r="T98" s="32">
        <f>SUM(T95:T97)</f>
        <v>234462.90150499996</v>
      </c>
      <c r="U98" s="15"/>
      <c r="V98" s="31">
        <f>IF(T$12=0,0,T98/T$12)</f>
        <v>8.1309093322582862E-2</v>
      </c>
      <c r="W98" s="16"/>
      <c r="X98" s="32">
        <f>+P98-T98</f>
        <v>493069.51849500055</v>
      </c>
      <c r="Y98" s="16"/>
      <c r="Z98" s="31">
        <f>IF(T98=0,0,X98/T98)</f>
        <v>2.1029745658269343</v>
      </c>
    </row>
    <row r="99" spans="1:26" ht="15" customHeight="1" x14ac:dyDescent="0.3">
      <c r="A99" s="10"/>
      <c r="C99" s="10"/>
      <c r="D99" s="19"/>
      <c r="E99" s="19"/>
      <c r="G99" s="19"/>
      <c r="H99" s="19"/>
      <c r="I99" s="19"/>
      <c r="J99" s="40"/>
      <c r="K99" s="19"/>
      <c r="L99" s="19"/>
      <c r="M99" s="19"/>
      <c r="P99" s="19"/>
      <c r="Q99" s="19"/>
      <c r="R99" s="40"/>
      <c r="S99" s="19"/>
      <c r="T99" s="19"/>
      <c r="U99" s="19"/>
      <c r="V99" s="40"/>
      <c r="W99" s="19"/>
      <c r="X99" s="19"/>
    </row>
    <row r="100" spans="1:26" ht="15" customHeight="1" x14ac:dyDescent="0.3">
      <c r="A100" s="10"/>
      <c r="B100" s="51">
        <v>44663.047665428239</v>
      </c>
      <c r="D100" s="19"/>
      <c r="E100" s="19"/>
      <c r="G100" s="19"/>
      <c r="H100" s="19"/>
      <c r="I100" s="19"/>
      <c r="J100" s="40"/>
      <c r="K100" s="19"/>
      <c r="L100" s="19"/>
      <c r="M100" s="19"/>
      <c r="P100" s="19"/>
      <c r="Q100" s="19"/>
      <c r="R100" s="40"/>
      <c r="S100" s="19"/>
      <c r="T100" s="19"/>
      <c r="U100" s="19"/>
      <c r="V100" s="40"/>
      <c r="W100" s="19"/>
      <c r="X100" s="19"/>
    </row>
    <row r="101" spans="1:26" ht="15" customHeight="1" x14ac:dyDescent="0.3">
      <c r="A101" s="10"/>
      <c r="B101" s="58" t="s">
        <v>298</v>
      </c>
      <c r="D101" s="19"/>
      <c r="E101" s="19"/>
      <c r="G101" s="19"/>
      <c r="H101" s="19"/>
      <c r="I101" s="19"/>
      <c r="J101" s="40"/>
      <c r="K101" s="19"/>
      <c r="L101" s="19"/>
      <c r="M101" s="19"/>
      <c r="P101" s="19"/>
      <c r="Q101" s="19"/>
      <c r="R101" s="40"/>
      <c r="S101" s="19"/>
      <c r="T101" s="19"/>
      <c r="U101" s="19"/>
      <c r="V101" s="40"/>
      <c r="W101" s="19"/>
      <c r="X101" s="19"/>
    </row>
    <row r="102" spans="1:26" ht="15" customHeight="1" x14ac:dyDescent="0.3">
      <c r="A102" s="10"/>
      <c r="B102" s="50"/>
      <c r="D102" s="19"/>
      <c r="E102" s="19"/>
      <c r="G102" s="19"/>
      <c r="H102" s="19"/>
      <c r="I102" s="19"/>
      <c r="J102" s="40"/>
      <c r="K102" s="19"/>
      <c r="L102" s="19"/>
      <c r="M102" s="19"/>
      <c r="P102" s="19"/>
      <c r="Q102" s="19"/>
      <c r="R102" s="40"/>
      <c r="S102" s="19"/>
      <c r="T102" s="19"/>
      <c r="U102" s="19"/>
      <c r="V102" s="40"/>
      <c r="W102" s="19"/>
      <c r="X102" s="19"/>
    </row>
    <row r="103" spans="1:26" ht="15" customHeight="1" x14ac:dyDescent="0.3">
      <c r="D103" s="19"/>
      <c r="E103" s="19"/>
      <c r="G103" s="19"/>
      <c r="H103" s="19"/>
      <c r="I103" s="19"/>
      <c r="J103" s="40"/>
      <c r="K103" s="19"/>
      <c r="L103" s="19"/>
      <c r="M103" s="19"/>
      <c r="P103" s="19"/>
      <c r="Q103" s="19"/>
      <c r="R103" s="40"/>
      <c r="S103" s="19"/>
      <c r="T103" s="19"/>
      <c r="U103" s="19"/>
      <c r="V103" s="40"/>
      <c r="W103" s="19"/>
      <c r="X103" s="19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645C64-2A13-014B-F145-12D15A81C43F}">
  <sheetPr>
    <tabColor rgb="FF92D050"/>
    <outlinePr summaryBelow="0" summaryRight="0"/>
  </sheetPr>
  <dimension ref="A2:Z40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6" customWidth="1"/>
    <col min="2" max="2" width="33.44140625" style="66" customWidth="1"/>
    <col min="3" max="3" width="1.88671875" style="66" customWidth="1"/>
    <col min="4" max="4" width="15" style="66" customWidth="1"/>
    <col min="5" max="5" width="1.88671875" style="66" customWidth="1" outlineLevel="1"/>
    <col min="6" max="6" width="15" style="67" customWidth="1" outlineLevel="1"/>
    <col min="7" max="7" width="1.88671875" style="66" customWidth="1" outlineLevel="1"/>
    <col min="8" max="8" width="15" style="66" customWidth="1" outlineLevel="1"/>
    <col min="9" max="9" width="1.88671875" style="66" customWidth="1" outlineLevel="1"/>
    <col min="10" max="10" width="15" style="68" customWidth="1" outlineLevel="1"/>
    <col min="11" max="11" width="1.88671875" style="66" customWidth="1" outlineLevel="1"/>
    <col min="12" max="12" width="15" style="66" customWidth="1" outlineLevel="1"/>
    <col min="13" max="13" width="1.88671875" style="66" customWidth="1" outlineLevel="1"/>
    <col min="14" max="14" width="15" style="67" customWidth="1" outlineLevel="1"/>
    <col min="15" max="15" width="1.88671875" style="64" customWidth="1"/>
    <col min="16" max="16" width="15" style="66" customWidth="1"/>
    <col min="17" max="17" width="1.88671875" style="66" customWidth="1" outlineLevel="1"/>
    <col min="18" max="18" width="15" style="68" customWidth="1" outlineLevel="1"/>
    <col min="19" max="19" width="1.88671875" style="66" customWidth="1" outlineLevel="1"/>
    <col min="20" max="20" width="15" style="66" customWidth="1" outlineLevel="1"/>
    <col min="21" max="21" width="1.88671875" style="66" customWidth="1" outlineLevel="1"/>
    <col min="22" max="22" width="15" style="68" customWidth="1" outlineLevel="1"/>
    <col min="23" max="23" width="1.88671875" style="66" customWidth="1" outlineLevel="1"/>
    <col min="24" max="24" width="15" style="66" customWidth="1" outlineLevel="1"/>
    <col min="25" max="25" width="1.88671875" style="66" customWidth="1" outlineLevel="1"/>
    <col min="26" max="26" width="15" style="68" customWidth="1" outlineLevel="1"/>
  </cols>
  <sheetData>
    <row r="2" spans="1:26" ht="15" customHeight="1" x14ac:dyDescent="0.3">
      <c r="D2" s="54" t="s">
        <v>276</v>
      </c>
    </row>
    <row r="3" spans="1:26" ht="15" customHeight="1" x14ac:dyDescent="0.3">
      <c r="D3" s="54" t="s">
        <v>277</v>
      </c>
      <c r="E3" s="18"/>
      <c r="F3" s="44"/>
      <c r="G3" s="18"/>
      <c r="H3" s="18"/>
      <c r="I3" s="18"/>
      <c r="J3" s="38"/>
      <c r="K3" s="18"/>
      <c r="L3" s="18"/>
      <c r="M3" s="18"/>
      <c r="N3" s="44"/>
      <c r="O3" s="53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ht="15" customHeight="1" x14ac:dyDescent="0.3">
      <c r="D4" s="54" t="str">
        <f>CONCATENATE("Period ",RIGHT(202209,2),", ",2022)</f>
        <v>Period 09, 2022</v>
      </c>
      <c r="E4" s="18"/>
      <c r="F4" s="44"/>
      <c r="G4" s="18"/>
      <c r="H4" s="18"/>
      <c r="I4" s="18"/>
      <c r="J4" s="38"/>
      <c r="K4" s="18"/>
      <c r="L4" s="18"/>
      <c r="M4" s="18"/>
      <c r="N4" s="44"/>
      <c r="O4" s="53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ht="15" customHeight="1" x14ac:dyDescent="0.3">
      <c r="A5" s="24"/>
      <c r="D5" s="60">
        <v>44646</v>
      </c>
      <c r="E5" s="18"/>
      <c r="F5" s="44"/>
      <c r="G5" s="18"/>
      <c r="H5" s="18"/>
      <c r="I5" s="18"/>
      <c r="J5" s="38"/>
      <c r="K5" s="18"/>
      <c r="L5" s="18"/>
      <c r="M5" s="18"/>
      <c r="N5" s="44"/>
      <c r="O5" s="53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ht="15" customHeight="1" x14ac:dyDescent="0.3">
      <c r="A6" s="24"/>
      <c r="B6" s="47"/>
      <c r="C6" s="47"/>
      <c r="D6" s="24" t="str">
        <f>CONCATENATE("Department ","435"," - ","Ground Floor Coffee House")</f>
        <v>Department 435 - Ground Floor Coffee House</v>
      </c>
      <c r="E6" s="18"/>
      <c r="F6" s="44"/>
      <c r="G6" s="18"/>
      <c r="H6" s="18"/>
      <c r="I6" s="18"/>
      <c r="J6" s="38"/>
      <c r="K6" s="18"/>
      <c r="L6" s="18"/>
      <c r="M6" s="18"/>
      <c r="N6" s="44"/>
      <c r="O6" s="59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ht="15" customHeight="1" x14ac:dyDescent="0.3">
      <c r="B7" s="52"/>
    </row>
    <row r="8" spans="1:26" ht="15" customHeight="1" x14ac:dyDescent="0.3">
      <c r="B8" s="52"/>
    </row>
    <row r="9" spans="1:26" ht="15" customHeight="1" x14ac:dyDescent="0.3">
      <c r="B9" s="10"/>
      <c r="C9" s="10"/>
      <c r="D9" s="17" t="s">
        <v>279</v>
      </c>
      <c r="E9" s="17"/>
      <c r="F9" s="36"/>
      <c r="G9" s="17"/>
      <c r="H9" s="17"/>
      <c r="I9" s="17"/>
      <c r="J9" s="43"/>
      <c r="K9" s="17"/>
      <c r="L9" s="17"/>
      <c r="M9" s="17"/>
      <c r="N9" s="36"/>
      <c r="P9" s="17" t="s">
        <v>280</v>
      </c>
      <c r="Q9" s="17"/>
      <c r="R9" s="36"/>
      <c r="S9" s="17"/>
      <c r="T9" s="17"/>
      <c r="U9" s="17"/>
      <c r="V9" s="43"/>
      <c r="W9" s="17"/>
      <c r="X9" s="17"/>
      <c r="Y9" s="17"/>
      <c r="Z9" s="36"/>
    </row>
    <row r="10" spans="1:26" ht="15" customHeight="1" x14ac:dyDescent="0.3">
      <c r="A10" s="11"/>
      <c r="B10" s="57"/>
      <c r="C10" s="11"/>
      <c r="D10" s="41" t="s">
        <v>281</v>
      </c>
      <c r="E10" s="33"/>
      <c r="F10" s="37" t="s">
        <v>282</v>
      </c>
      <c r="G10" s="33"/>
      <c r="H10" s="48" t="s">
        <v>283</v>
      </c>
      <c r="I10" s="33"/>
      <c r="J10" s="45" t="s">
        <v>284</v>
      </c>
      <c r="K10" s="11"/>
      <c r="L10" s="41" t="s">
        <v>285</v>
      </c>
      <c r="M10" s="11"/>
      <c r="N10" s="37" t="s">
        <v>286</v>
      </c>
      <c r="O10" s="11"/>
      <c r="P10" s="56" t="s">
        <v>281</v>
      </c>
      <c r="Q10" s="33"/>
      <c r="R10" s="37" t="s">
        <v>282</v>
      </c>
      <c r="S10" s="33"/>
      <c r="T10" s="48" t="s">
        <v>283</v>
      </c>
      <c r="U10" s="33"/>
      <c r="V10" s="45" t="s">
        <v>284</v>
      </c>
      <c r="W10" s="11"/>
      <c r="X10" s="41" t="s">
        <v>285</v>
      </c>
      <c r="Y10" s="11"/>
      <c r="Z10" s="37" t="s">
        <v>286</v>
      </c>
    </row>
    <row r="11" spans="1:26" ht="16.5" customHeight="1" x14ac:dyDescent="0.3">
      <c r="A11" s="10"/>
      <c r="B11" s="55"/>
      <c r="C11" s="10"/>
      <c r="D11" s="10"/>
      <c r="E11" s="10"/>
      <c r="F11" s="9"/>
      <c r="G11" s="10"/>
      <c r="H11" s="10"/>
      <c r="I11" s="10"/>
      <c r="J11" s="46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6"/>
      <c r="W11" s="10"/>
      <c r="X11" s="10"/>
      <c r="Y11" s="10"/>
      <c r="Z11" s="9"/>
    </row>
    <row r="12" spans="1:26" s="63" customFormat="1" ht="15" customHeight="1" collapsed="1" x14ac:dyDescent="0.3">
      <c r="A12" s="11"/>
      <c r="B12" s="28" t="s">
        <v>287</v>
      </c>
      <c r="C12" s="11"/>
      <c r="D12" s="5">
        <f>SUM(OSRRefD13x_0)</f>
        <v>2285.98</v>
      </c>
      <c r="E12" s="5"/>
      <c r="F12" s="13"/>
      <c r="G12" s="5"/>
      <c r="H12" s="5">
        <f>SUM(OSRRefH13x_0)</f>
        <v>0</v>
      </c>
      <c r="I12" s="5"/>
      <c r="J12" s="13"/>
      <c r="K12" s="5"/>
      <c r="L12" s="5">
        <f>+D12-H12</f>
        <v>2285.98</v>
      </c>
      <c r="M12" s="5"/>
      <c r="N12" s="13">
        <f>IF(H12=0,0,L12/H12)</f>
        <v>0</v>
      </c>
      <c r="O12" s="11"/>
      <c r="P12" s="5">
        <f>SUM(OSRRefP13x_0)</f>
        <v>2285.98</v>
      </c>
      <c r="Q12" s="5"/>
      <c r="R12" s="13"/>
      <c r="S12" s="5"/>
      <c r="T12" s="5">
        <f>SUM(OSRRefT13x_0)</f>
        <v>0</v>
      </c>
      <c r="U12" s="5"/>
      <c r="V12" s="13"/>
      <c r="W12" s="5"/>
      <c r="X12" s="5">
        <f>+P12-T12</f>
        <v>2285.98</v>
      </c>
      <c r="Y12" s="5"/>
      <c r="Z12" s="13">
        <f>IF(T12=0,0,X12/T12)</f>
        <v>0</v>
      </c>
    </row>
    <row r="13" spans="1:26" s="70" customFormat="1" ht="15" hidden="1" customHeight="1" outlineLevel="1" x14ac:dyDescent="0.3">
      <c r="A13" s="42"/>
      <c r="B13" s="12" t="str">
        <f>CONCATENATE("          ","4055"," - ","TAXABLE SALES-FOOD")</f>
        <v xml:space="preserve">          4055 - TAXABLE SALES-FOOD</v>
      </c>
      <c r="C13" s="12"/>
      <c r="D13" s="3">
        <f>--541.27</f>
        <v>541.27</v>
      </c>
      <c r="E13" s="3"/>
      <c r="F13" s="20"/>
      <c r="G13" s="3"/>
      <c r="H13" s="3"/>
      <c r="I13" s="3"/>
      <c r="J13" s="20"/>
      <c r="K13" s="3"/>
      <c r="L13" s="3">
        <f>+D13-H13</f>
        <v>541.27</v>
      </c>
      <c r="M13" s="3"/>
      <c r="N13" s="20">
        <f>IF(H13=0,0,L13/H13)</f>
        <v>0</v>
      </c>
      <c r="O13" s="12"/>
      <c r="P13" s="3">
        <f>--541.27</f>
        <v>541.27</v>
      </c>
      <c r="Q13" s="3"/>
      <c r="R13" s="20"/>
      <c r="S13" s="3"/>
      <c r="T13" s="3"/>
      <c r="U13" s="3"/>
      <c r="V13" s="20"/>
      <c r="W13" s="3"/>
      <c r="X13" s="3">
        <f>+P13-T13</f>
        <v>541.27</v>
      </c>
      <c r="Y13" s="3"/>
      <c r="Z13" s="20">
        <f>IF(T13=0,0,X13/T13)</f>
        <v>0</v>
      </c>
    </row>
    <row r="14" spans="1:26" s="70" customFormat="1" ht="15" hidden="1" customHeight="1" outlineLevel="1" x14ac:dyDescent="0.3">
      <c r="A14" s="42"/>
      <c r="B14" s="12" t="str">
        <f>CONCATENATE("          ","4155"," - ","NON-TAXABLE SALES-FOOD")</f>
        <v xml:space="preserve">          4155 - NON-TAXABLE SALES-FOOD</v>
      </c>
      <c r="C14" s="12"/>
      <c r="D14" s="3">
        <f>--1744.71</f>
        <v>1744.71</v>
      </c>
      <c r="E14" s="3"/>
      <c r="F14" s="20"/>
      <c r="G14" s="3"/>
      <c r="H14" s="3"/>
      <c r="I14" s="3"/>
      <c r="J14" s="20"/>
      <c r="K14" s="3"/>
      <c r="L14" s="3">
        <f>+D14-H14</f>
        <v>1744.71</v>
      </c>
      <c r="M14" s="3"/>
      <c r="N14" s="20">
        <f>IF(H14=0,0,L14/H14)</f>
        <v>0</v>
      </c>
      <c r="O14" s="12"/>
      <c r="P14" s="3">
        <f>--1744.71</f>
        <v>1744.71</v>
      </c>
      <c r="Q14" s="3"/>
      <c r="R14" s="20"/>
      <c r="S14" s="3"/>
      <c r="T14" s="3"/>
      <c r="U14" s="3"/>
      <c r="V14" s="20"/>
      <c r="W14" s="3"/>
      <c r="X14" s="3">
        <f>+P14-T14</f>
        <v>1744.71</v>
      </c>
      <c r="Y14" s="3"/>
      <c r="Z14" s="20">
        <f>IF(T14=0,0,X14/T14)</f>
        <v>0</v>
      </c>
    </row>
    <row r="15" spans="1:26" ht="15" customHeight="1" x14ac:dyDescent="0.3">
      <c r="A15" s="10"/>
      <c r="B15" s="11"/>
      <c r="C15" s="10"/>
      <c r="D15" s="4"/>
      <c r="E15" s="4"/>
      <c r="F15" s="9"/>
      <c r="G15" s="4"/>
      <c r="H15" s="4"/>
      <c r="I15" s="4"/>
      <c r="J15" s="9"/>
      <c r="K15" s="4"/>
      <c r="L15" s="4"/>
      <c r="M15" s="4"/>
      <c r="N15" s="9"/>
      <c r="P15" s="4"/>
      <c r="Q15" s="4"/>
      <c r="R15" s="9"/>
      <c r="S15" s="4"/>
      <c r="T15" s="4"/>
      <c r="U15" s="4"/>
      <c r="V15" s="9"/>
      <c r="W15" s="4"/>
      <c r="X15" s="4"/>
      <c r="Y15" s="4"/>
      <c r="Z15" s="9"/>
    </row>
    <row r="16" spans="1:26" s="63" customFormat="1" ht="15" customHeight="1" x14ac:dyDescent="0.3">
      <c r="A16" s="11"/>
      <c r="B16" s="28" t="s">
        <v>288</v>
      </c>
      <c r="C16" s="11"/>
      <c r="D16" s="5">
        <f>SUM(0)</f>
        <v>0</v>
      </c>
      <c r="E16" s="5"/>
      <c r="F16" s="13">
        <f>IF(D$12=0,0,D16/D$12)</f>
        <v>0</v>
      </c>
      <c r="G16" s="5"/>
      <c r="H16" s="5">
        <f>SUM(0)</f>
        <v>0</v>
      </c>
      <c r="I16" s="5"/>
      <c r="J16" s="13">
        <f>IF(H$12=0,0,H16/H$12)</f>
        <v>0</v>
      </c>
      <c r="K16" s="5"/>
      <c r="L16" s="5">
        <f>+D16-H16</f>
        <v>0</v>
      </c>
      <c r="M16" s="5"/>
      <c r="N16" s="13">
        <f>IF(H16=0,0,L16/H16)</f>
        <v>0</v>
      </c>
      <c r="O16" s="11"/>
      <c r="P16" s="5">
        <f>SUM(0)</f>
        <v>0</v>
      </c>
      <c r="Q16" s="5"/>
      <c r="R16" s="13">
        <f>IF(P$12=0,0,P16/P$12)</f>
        <v>0</v>
      </c>
      <c r="S16" s="5"/>
      <c r="T16" s="5">
        <f>SUM(0)</f>
        <v>0</v>
      </c>
      <c r="U16" s="5"/>
      <c r="V16" s="13">
        <f>IF(T$12=0,0,T16/T$12)</f>
        <v>0</v>
      </c>
      <c r="W16" s="5"/>
      <c r="X16" s="5">
        <f>+P16-T16</f>
        <v>0</v>
      </c>
      <c r="Y16" s="5"/>
      <c r="Z16" s="13">
        <f>IF(T16=0,0,X16/T16)</f>
        <v>0</v>
      </c>
    </row>
    <row r="17" spans="1:26" ht="15" customHeight="1" x14ac:dyDescent="0.3">
      <c r="A17" s="10"/>
      <c r="B17" s="11"/>
      <c r="C17" s="11"/>
      <c r="D17" s="4"/>
      <c r="E17" s="4"/>
      <c r="F17" s="9"/>
      <c r="G17" s="4"/>
      <c r="H17" s="4"/>
      <c r="I17" s="4"/>
      <c r="J17" s="9"/>
      <c r="K17" s="4"/>
      <c r="L17" s="4"/>
      <c r="M17" s="4"/>
      <c r="N17" s="9"/>
      <c r="O17" s="11"/>
      <c r="P17" s="4"/>
      <c r="Q17" s="4"/>
      <c r="R17" s="9"/>
      <c r="S17" s="4"/>
      <c r="T17" s="4"/>
      <c r="U17" s="4"/>
      <c r="V17" s="9"/>
      <c r="W17" s="4"/>
      <c r="X17" s="4"/>
      <c r="Y17" s="4"/>
      <c r="Z17" s="9"/>
    </row>
    <row r="18" spans="1:26" s="63" customFormat="1" ht="15" customHeight="1" x14ac:dyDescent="0.3">
      <c r="A18" s="11"/>
      <c r="B18" s="27" t="s">
        <v>289</v>
      </c>
      <c r="C18" s="27"/>
      <c r="D18" s="21">
        <f>D12-D16</f>
        <v>2285.98</v>
      </c>
      <c r="E18" s="15"/>
      <c r="F18" s="23">
        <f>IF(D$12=0,0,D18/D$12)</f>
        <v>1</v>
      </c>
      <c r="G18" s="15"/>
      <c r="H18" s="21">
        <f>H12-H16</f>
        <v>0</v>
      </c>
      <c r="I18" s="15"/>
      <c r="J18" s="23">
        <f>IF(H$12=0,0,H18/H$12)</f>
        <v>0</v>
      </c>
      <c r="K18" s="16"/>
      <c r="L18" s="21">
        <f>+D18-H18</f>
        <v>2285.98</v>
      </c>
      <c r="M18" s="16"/>
      <c r="N18" s="23">
        <f>IF(H18=0,0,L18/H18)</f>
        <v>0</v>
      </c>
      <c r="O18" s="28"/>
      <c r="P18" s="21">
        <f>P12-P16</f>
        <v>2285.98</v>
      </c>
      <c r="Q18" s="15"/>
      <c r="R18" s="23">
        <f>IF(P$12=0,0,P18/P$12)</f>
        <v>1</v>
      </c>
      <c r="S18" s="15"/>
      <c r="T18" s="21">
        <f>T12-T16</f>
        <v>0</v>
      </c>
      <c r="U18" s="15"/>
      <c r="V18" s="23">
        <f>IF(T$12=0,0,T18/T$12)</f>
        <v>0</v>
      </c>
      <c r="W18" s="16"/>
      <c r="X18" s="21">
        <f>+P18-T18</f>
        <v>2285.98</v>
      </c>
      <c r="Y18" s="16"/>
      <c r="Z18" s="23">
        <f>IF(T18=0,0,X18/T18)</f>
        <v>0</v>
      </c>
    </row>
    <row r="19" spans="1:26" ht="15" customHeight="1" x14ac:dyDescent="0.3">
      <c r="A19" s="10"/>
      <c r="B19" s="11"/>
      <c r="C19" s="10"/>
      <c r="D19" s="2"/>
      <c r="E19" s="2"/>
      <c r="F19" s="6"/>
      <c r="G19" s="2"/>
      <c r="H19" s="2"/>
      <c r="I19" s="2"/>
      <c r="J19" s="6"/>
      <c r="K19" s="2"/>
      <c r="L19" s="2"/>
      <c r="M19" s="2"/>
      <c r="N19" s="6"/>
      <c r="O19" s="35"/>
      <c r="P19" s="2"/>
      <c r="Q19" s="2"/>
      <c r="R19" s="6"/>
      <c r="S19" s="2"/>
      <c r="T19" s="2"/>
      <c r="U19" s="2"/>
      <c r="V19" s="6"/>
      <c r="W19" s="2"/>
      <c r="X19" s="2"/>
      <c r="Y19" s="2"/>
      <c r="Z19" s="6"/>
    </row>
    <row r="20" spans="1:26" s="63" customFormat="1" ht="15" customHeight="1" x14ac:dyDescent="0.3">
      <c r="A20" s="11"/>
      <c r="B20" s="28" t="s">
        <v>290</v>
      </c>
      <c r="C20" s="11"/>
      <c r="D20" s="22" cm="1">
        <f t="array" ref="D20">SUM(OSRRefD22x_0)</f>
        <v>0</v>
      </c>
      <c r="E20" s="22"/>
      <c r="F20" s="30">
        <f>IF(D$12=0,0,D20/D$12)</f>
        <v>0</v>
      </c>
      <c r="G20" s="22"/>
      <c r="H20" s="22" cm="1">
        <f t="array" ref="H20">SUM(OSRRefH22x_0)</f>
        <v>0</v>
      </c>
      <c r="I20" s="22"/>
      <c r="J20" s="30">
        <f>IF(H$12=0,0,H20/H$12)</f>
        <v>0</v>
      </c>
      <c r="K20" s="5"/>
      <c r="L20" s="22">
        <f>+D20-H20</f>
        <v>0</v>
      </c>
      <c r="M20" s="5"/>
      <c r="N20" s="30">
        <f>IF(H20=0,0,L20/H20)</f>
        <v>0</v>
      </c>
      <c r="O20" s="11"/>
      <c r="P20" s="22" cm="1">
        <f t="array" ref="P20">SUM(OSRRefP22x_0)</f>
        <v>0.28000000000000003</v>
      </c>
      <c r="Q20" s="22"/>
      <c r="R20" s="30">
        <f>IF(P$12=0,0,P20/P$12)</f>
        <v>1.2248576103028025E-4</v>
      </c>
      <c r="S20" s="22"/>
      <c r="T20" s="22" cm="1">
        <f t="array" ref="T20">SUM(OSRRefT22x_0)</f>
        <v>0</v>
      </c>
      <c r="U20" s="22"/>
      <c r="V20" s="30">
        <f>IF(T$12=0,0,T20/T$12)</f>
        <v>0</v>
      </c>
      <c r="W20" s="5"/>
      <c r="X20" s="22">
        <f>+P20-T20</f>
        <v>0.28000000000000003</v>
      </c>
      <c r="Y20" s="5"/>
      <c r="Z20" s="30">
        <f>IF(T20=0,0,X20/T20)</f>
        <v>0</v>
      </c>
    </row>
    <row r="21" spans="1:26" s="69" customFormat="1" ht="15" customHeight="1" outlineLevel="1" collapsed="1" x14ac:dyDescent="0.3">
      <c r="A21" s="25"/>
      <c r="B21" s="14" t="str">
        <f>CONCATENATE("     ","Bad Debts/Over/Short                              ")</f>
        <v xml:space="preserve">     Bad Debts/Over/Short                              </v>
      </c>
      <c r="C21" s="14"/>
      <c r="D21" s="2">
        <f>SUM(OSRRefD22_0x_0)</f>
        <v>0</v>
      </c>
      <c r="E21" s="2"/>
      <c r="F21" s="6">
        <f>IF(D$12=0,0,D21/D$12)</f>
        <v>0</v>
      </c>
      <c r="G21" s="2"/>
      <c r="H21" s="2">
        <f>SUM(OSRRefH22_0x_0)</f>
        <v>0</v>
      </c>
      <c r="I21" s="2"/>
      <c r="J21" s="6">
        <f>IF(H$12=0,0,H21/H$12)</f>
        <v>0</v>
      </c>
      <c r="K21" s="2"/>
      <c r="L21" s="2">
        <f>+D21-H21</f>
        <v>0</v>
      </c>
      <c r="M21" s="2"/>
      <c r="N21" s="6">
        <f>IF(H21=0,0,L21/H21)</f>
        <v>0</v>
      </c>
      <c r="O21" s="14"/>
      <c r="P21" s="2">
        <f>SUM(OSRRefP22_0x_0)</f>
        <v>0</v>
      </c>
      <c r="Q21" s="2"/>
      <c r="R21" s="6">
        <f>IF(P$12=0,0,P21/P$12)</f>
        <v>0</v>
      </c>
      <c r="S21" s="2"/>
      <c r="T21" s="2">
        <f>SUM(OSRRefT22_0x_0)</f>
        <v>0</v>
      </c>
      <c r="U21" s="2"/>
      <c r="V21" s="6">
        <f>IF(T$12=0,0,T21/T$12)</f>
        <v>0</v>
      </c>
      <c r="W21" s="2"/>
      <c r="X21" s="2">
        <f>+P21-T21</f>
        <v>0</v>
      </c>
      <c r="Y21" s="2"/>
      <c r="Z21" s="6">
        <f>IF(T21=0,0,X21/T21)</f>
        <v>0</v>
      </c>
    </row>
    <row r="22" spans="1:26" s="70" customFormat="1" ht="15" hidden="1" customHeight="1" outlineLevel="2" x14ac:dyDescent="0.3">
      <c r="A22" s="26"/>
      <c r="B22" s="12" t="str">
        <f>CONCATENATE("          ","6272"," - ","CASH (OVER/SHORT)")</f>
        <v xml:space="preserve">          6272 - CASH (OVER/SHORT)</v>
      </c>
      <c r="C22" s="12"/>
      <c r="D22" s="7">
        <v>0</v>
      </c>
      <c r="E22" s="3"/>
      <c r="F22" s="8">
        <f>IF(D$12=0,0,D22/D$12)</f>
        <v>0</v>
      </c>
      <c r="G22" s="3"/>
      <c r="H22" s="7"/>
      <c r="I22" s="3"/>
      <c r="J22" s="8">
        <f>IF(H$12=0,0,H22/H$12)</f>
        <v>0</v>
      </c>
      <c r="K22" s="3"/>
      <c r="L22" s="7">
        <f>+D22-H22</f>
        <v>0</v>
      </c>
      <c r="M22" s="3"/>
      <c r="N22" s="8">
        <f>IF(H22=0,0,L22/H22)</f>
        <v>0</v>
      </c>
      <c r="O22" s="12"/>
      <c r="P22" s="7">
        <v>0</v>
      </c>
      <c r="Q22" s="3"/>
      <c r="R22" s="8">
        <f>IF(P$12=0,0,P22/P$12)</f>
        <v>0</v>
      </c>
      <c r="S22" s="3"/>
      <c r="T22" s="7"/>
      <c r="U22" s="3"/>
      <c r="V22" s="8">
        <f>IF(T$12=0,0,T22/T$12)</f>
        <v>0</v>
      </c>
      <c r="W22" s="3"/>
      <c r="X22" s="7">
        <f>+P22-T22</f>
        <v>0</v>
      </c>
      <c r="Y22" s="3"/>
      <c r="Z22" s="8">
        <f>IF(T22=0,0,X22/T22)</f>
        <v>0</v>
      </c>
    </row>
    <row r="23" spans="1:26" s="69" customFormat="1" ht="15" customHeight="1" outlineLevel="1" collapsed="1" x14ac:dyDescent="0.3">
      <c r="A23" s="25"/>
      <c r="B23" s="14" t="str">
        <f>CONCATENATE("     ","Bank/card Fees                                    ")</f>
        <v xml:space="preserve">     Bank/card Fees                                    </v>
      </c>
      <c r="C23" s="14"/>
      <c r="D23" s="2">
        <f>SUM(OSRRefD22_1x_0)</f>
        <v>0</v>
      </c>
      <c r="E23" s="2"/>
      <c r="F23" s="6">
        <f>IF(D$12=0,0,D23/D$12)</f>
        <v>0</v>
      </c>
      <c r="G23" s="2"/>
      <c r="H23" s="2">
        <f>SUM(OSRRefH22_1x_0)</f>
        <v>0</v>
      </c>
      <c r="I23" s="2"/>
      <c r="J23" s="6">
        <f>IF(H$12=0,0,H23/H$12)</f>
        <v>0</v>
      </c>
      <c r="K23" s="2"/>
      <c r="L23" s="2">
        <f>+D23-H23</f>
        <v>0</v>
      </c>
      <c r="M23" s="2"/>
      <c r="N23" s="6">
        <f>IF(H23=0,0,L23/H23)</f>
        <v>0</v>
      </c>
      <c r="O23" s="14"/>
      <c r="P23" s="2">
        <f>SUM(OSRRefP22_1x_0)</f>
        <v>0.28000000000000003</v>
      </c>
      <c r="Q23" s="2"/>
      <c r="R23" s="6">
        <f>IF(P$12=0,0,P23/P$12)</f>
        <v>1.2248576103028025E-4</v>
      </c>
      <c r="S23" s="2"/>
      <c r="T23" s="2">
        <f>SUM(OSRRefT22_1x_0)</f>
        <v>0</v>
      </c>
      <c r="U23" s="2"/>
      <c r="V23" s="6">
        <f>IF(T$12=0,0,T23/T$12)</f>
        <v>0</v>
      </c>
      <c r="W23" s="2"/>
      <c r="X23" s="2">
        <f>+P23-T23</f>
        <v>0.28000000000000003</v>
      </c>
      <c r="Y23" s="2"/>
      <c r="Z23" s="6">
        <f>IF(T23=0,0,X23/T23)</f>
        <v>0</v>
      </c>
    </row>
    <row r="24" spans="1:26" s="70" customFormat="1" ht="15" hidden="1" customHeight="1" outlineLevel="2" x14ac:dyDescent="0.3">
      <c r="A24" s="26"/>
      <c r="B24" s="12" t="str">
        <f>CONCATENATE("          ","6381"," - ","BANK/CREDIT CARD FEES")</f>
        <v xml:space="preserve">          6381 - BANK/CREDIT CARD FEES</v>
      </c>
      <c r="C24" s="12"/>
      <c r="D24" s="7"/>
      <c r="E24" s="3"/>
      <c r="F24" s="8">
        <f>IF(D$12=0,0,D24/D$12)</f>
        <v>0</v>
      </c>
      <c r="G24" s="3"/>
      <c r="H24" s="7"/>
      <c r="I24" s="3"/>
      <c r="J24" s="8">
        <f>IF(H$12=0,0,H24/H$12)</f>
        <v>0</v>
      </c>
      <c r="K24" s="3"/>
      <c r="L24" s="7">
        <f>+D24-H24</f>
        <v>0</v>
      </c>
      <c r="M24" s="3"/>
      <c r="N24" s="8">
        <f>IF(H24=0,0,L24/H24)</f>
        <v>0</v>
      </c>
      <c r="O24" s="12"/>
      <c r="P24" s="7">
        <v>0.28000000000000003</v>
      </c>
      <c r="Q24" s="3"/>
      <c r="R24" s="8">
        <f>IF(P$12=0,0,P24/P$12)</f>
        <v>1.2248576103028025E-4</v>
      </c>
      <c r="S24" s="3"/>
      <c r="T24" s="7"/>
      <c r="U24" s="3"/>
      <c r="V24" s="8">
        <f>IF(T$12=0,0,T24/T$12)</f>
        <v>0</v>
      </c>
      <c r="W24" s="3"/>
      <c r="X24" s="7">
        <f>+P24-T24</f>
        <v>0.28000000000000003</v>
      </c>
      <c r="Y24" s="3"/>
      <c r="Z24" s="8">
        <f>IF(T24=0,0,X24/T24)</f>
        <v>0</v>
      </c>
    </row>
    <row r="25" spans="1:26" s="65" customFormat="1" ht="15" customHeight="1" x14ac:dyDescent="0.3">
      <c r="A25" s="35"/>
      <c r="B25" s="35"/>
      <c r="C25" s="35"/>
      <c r="D25" s="2"/>
      <c r="E25" s="2"/>
      <c r="F25" s="6"/>
      <c r="G25" s="2"/>
      <c r="H25" s="2"/>
      <c r="I25" s="2"/>
      <c r="J25" s="6"/>
      <c r="K25" s="2"/>
      <c r="L25" s="2"/>
      <c r="M25" s="2"/>
      <c r="N25" s="6"/>
      <c r="O25" s="35"/>
      <c r="P25" s="2"/>
      <c r="Q25" s="2"/>
      <c r="R25" s="6"/>
      <c r="S25" s="2"/>
      <c r="T25" s="2"/>
      <c r="U25" s="2"/>
      <c r="V25" s="6"/>
      <c r="W25" s="2"/>
      <c r="X25" s="2"/>
      <c r="Y25" s="2"/>
      <c r="Z25" s="6"/>
    </row>
    <row r="26" spans="1:26" s="63" customFormat="1" ht="15" customHeight="1" x14ac:dyDescent="0.3">
      <c r="A26" s="11"/>
      <c r="B26" s="28" t="s">
        <v>291</v>
      </c>
      <c r="C26" s="11"/>
      <c r="D26" s="5">
        <f>SUM(0)</f>
        <v>0</v>
      </c>
      <c r="E26" s="5"/>
      <c r="F26" s="13">
        <f>IF(D$12=0,0,D26/D$12)</f>
        <v>0</v>
      </c>
      <c r="G26" s="5"/>
      <c r="H26" s="5">
        <f>SUM(0)</f>
        <v>0</v>
      </c>
      <c r="I26" s="5"/>
      <c r="J26" s="13">
        <f>IF(H$12=0,0,H26/H$12)</f>
        <v>0</v>
      </c>
      <c r="K26" s="5"/>
      <c r="L26" s="5">
        <f>+D26-H26</f>
        <v>0</v>
      </c>
      <c r="M26" s="5"/>
      <c r="N26" s="13">
        <f>IF(H26=0,0,L26/H26)</f>
        <v>0</v>
      </c>
      <c r="O26" s="11"/>
      <c r="P26" s="5">
        <f>SUM(0)</f>
        <v>0</v>
      </c>
      <c r="Q26" s="5"/>
      <c r="R26" s="13">
        <f>IF(P$12=0,0,P26/P$12)</f>
        <v>0</v>
      </c>
      <c r="S26" s="5"/>
      <c r="T26" s="5">
        <f>SUM(0)</f>
        <v>0</v>
      </c>
      <c r="U26" s="5"/>
      <c r="V26" s="13">
        <f>IF(T$12=0,0,T26/T$12)</f>
        <v>0</v>
      </c>
      <c r="W26" s="5"/>
      <c r="X26" s="5">
        <f>+P26-T26</f>
        <v>0</v>
      </c>
      <c r="Y26" s="5"/>
      <c r="Z26" s="13">
        <f>IF(T26=0,0,X26/T26)</f>
        <v>0</v>
      </c>
    </row>
    <row r="27" spans="1:26" ht="15" customHeight="1" x14ac:dyDescent="0.3">
      <c r="A27" s="10"/>
      <c r="B27" s="11"/>
      <c r="C27" s="11"/>
      <c r="D27" s="4"/>
      <c r="E27" s="4"/>
      <c r="F27" s="9"/>
      <c r="G27" s="4"/>
      <c r="H27" s="4"/>
      <c r="I27" s="4"/>
      <c r="J27" s="9"/>
      <c r="K27" s="4"/>
      <c r="L27" s="4"/>
      <c r="M27" s="4"/>
      <c r="N27" s="9"/>
      <c r="O27" s="11"/>
      <c r="P27" s="4"/>
      <c r="Q27" s="4"/>
      <c r="R27" s="9"/>
      <c r="S27" s="4"/>
      <c r="T27" s="4"/>
      <c r="U27" s="4"/>
      <c r="V27" s="9"/>
      <c r="W27" s="4"/>
      <c r="X27" s="4"/>
      <c r="Y27" s="4"/>
      <c r="Z27" s="9"/>
    </row>
    <row r="28" spans="1:26" s="63" customFormat="1" ht="15" customHeight="1" x14ac:dyDescent="0.3">
      <c r="A28" s="11"/>
      <c r="B28" s="27" t="s">
        <v>292</v>
      </c>
      <c r="C28" s="27"/>
      <c r="D28" s="21">
        <f>+D18-D20+D26</f>
        <v>2285.98</v>
      </c>
      <c r="E28" s="15"/>
      <c r="F28" s="23">
        <f>IF(D$12=0,0,D28/D$12)</f>
        <v>1</v>
      </c>
      <c r="G28" s="15"/>
      <c r="H28" s="21">
        <f>+H18-H20+H26</f>
        <v>0</v>
      </c>
      <c r="I28" s="15"/>
      <c r="J28" s="23">
        <f>IF(H$12=0,0,H28/H$12)</f>
        <v>0</v>
      </c>
      <c r="K28" s="16"/>
      <c r="L28" s="21">
        <f>+D28-H28</f>
        <v>2285.98</v>
      </c>
      <c r="M28" s="16"/>
      <c r="N28" s="23">
        <f>IF(H28=0,0,L28/H28)</f>
        <v>0</v>
      </c>
      <c r="O28" s="28"/>
      <c r="P28" s="21">
        <f>+P18-P20+P26</f>
        <v>2285.6999999999998</v>
      </c>
      <c r="Q28" s="15"/>
      <c r="R28" s="23">
        <f>IF(P$12=0,0,P28/P$12)</f>
        <v>0.99987751423896964</v>
      </c>
      <c r="S28" s="15"/>
      <c r="T28" s="21">
        <f>+T18-T20+T26</f>
        <v>0</v>
      </c>
      <c r="U28" s="15"/>
      <c r="V28" s="23">
        <f>IF(T$12=0,0,T28/T$12)</f>
        <v>0</v>
      </c>
      <c r="W28" s="16"/>
      <c r="X28" s="21">
        <f>+P28-T28</f>
        <v>2285.6999999999998</v>
      </c>
      <c r="Y28" s="16"/>
      <c r="Z28" s="23">
        <f>IF(T28=0,0,X28/T28)</f>
        <v>0</v>
      </c>
    </row>
    <row r="29" spans="1:26" ht="15" customHeight="1" x14ac:dyDescent="0.3">
      <c r="A29" s="10"/>
      <c r="B29" s="11"/>
      <c r="C29" s="10"/>
      <c r="D29" s="4"/>
      <c r="E29" s="4"/>
      <c r="F29" s="9"/>
      <c r="G29" s="4"/>
      <c r="H29" s="4"/>
      <c r="I29" s="4"/>
      <c r="J29" s="9"/>
      <c r="K29" s="4"/>
      <c r="L29" s="4"/>
      <c r="M29" s="4"/>
      <c r="N29" s="9"/>
      <c r="P29" s="4"/>
      <c r="Q29" s="4"/>
      <c r="R29" s="9"/>
      <c r="S29" s="4"/>
      <c r="T29" s="4"/>
      <c r="U29" s="4"/>
      <c r="V29" s="9"/>
      <c r="W29" s="4"/>
      <c r="X29" s="4"/>
      <c r="Y29" s="4"/>
      <c r="Z29" s="9"/>
    </row>
    <row r="30" spans="1:26" s="63" customFormat="1" ht="15" customHeight="1" x14ac:dyDescent="0.3">
      <c r="A30" s="49"/>
      <c r="B30" s="11" t="s">
        <v>293</v>
      </c>
      <c r="C30" s="11"/>
      <c r="D30" s="5">
        <v>272.83</v>
      </c>
      <c r="E30" s="5"/>
      <c r="F30" s="13">
        <f>IF(D$12=0,0,D30/D$12)</f>
        <v>0.11934925064961198</v>
      </c>
      <c r="G30" s="5"/>
      <c r="H30" s="5"/>
      <c r="I30" s="5"/>
      <c r="J30" s="13">
        <f>IF(H$12=0,0,H30/H$12)</f>
        <v>0</v>
      </c>
      <c r="K30" s="5"/>
      <c r="L30" s="5">
        <f>+D30-H30</f>
        <v>272.83</v>
      </c>
      <c r="M30" s="5"/>
      <c r="N30" s="13">
        <f>IF(H30=0,0,L30/H30)</f>
        <v>0</v>
      </c>
      <c r="O30" s="11"/>
      <c r="P30" s="5">
        <v>272.83</v>
      </c>
      <c r="Q30" s="5"/>
      <c r="R30" s="13">
        <f>IF(P$12=0,0,P30/P$12)</f>
        <v>0.11934925064961198</v>
      </c>
      <c r="S30" s="5"/>
      <c r="T30" s="5"/>
      <c r="U30" s="5"/>
      <c r="V30" s="13">
        <f>IF(T$12=0,0,T30/T$12)</f>
        <v>0</v>
      </c>
      <c r="W30" s="5"/>
      <c r="X30" s="5">
        <f>+P30-T30</f>
        <v>272.83</v>
      </c>
      <c r="Y30" s="5"/>
      <c r="Z30" s="13">
        <f>IF(T30=0,0,X30/T30)</f>
        <v>0</v>
      </c>
    </row>
    <row r="31" spans="1:26" ht="15" customHeight="1" x14ac:dyDescent="0.3">
      <c r="A31" s="10"/>
      <c r="B31" s="11"/>
      <c r="C31" s="11"/>
      <c r="D31" s="4"/>
      <c r="E31" s="4"/>
      <c r="F31" s="9"/>
      <c r="G31" s="4"/>
      <c r="H31" s="4"/>
      <c r="I31" s="4"/>
      <c r="J31" s="9"/>
      <c r="K31" s="4"/>
      <c r="L31" s="4"/>
      <c r="M31" s="4"/>
      <c r="N31" s="9"/>
      <c r="O31" s="11"/>
      <c r="P31" s="4"/>
      <c r="Q31" s="4"/>
      <c r="R31" s="9"/>
      <c r="S31" s="4"/>
      <c r="T31" s="4"/>
      <c r="U31" s="4"/>
      <c r="V31" s="9"/>
      <c r="W31" s="4"/>
      <c r="X31" s="4"/>
      <c r="Y31" s="4"/>
      <c r="Z31" s="9"/>
    </row>
    <row r="32" spans="1:26" s="63" customFormat="1" ht="15" customHeight="1" x14ac:dyDescent="0.3">
      <c r="A32" s="11"/>
      <c r="B32" s="27" t="s">
        <v>294</v>
      </c>
      <c r="C32" s="27"/>
      <c r="D32" s="34">
        <f>+D28-D30</f>
        <v>2013.15</v>
      </c>
      <c r="E32" s="15"/>
      <c r="F32" s="29">
        <f>IF(D$12=0,0,D32/D$12)</f>
        <v>0.88065074935038801</v>
      </c>
      <c r="G32" s="15"/>
      <c r="H32" s="34">
        <f>+H28-H30</f>
        <v>0</v>
      </c>
      <c r="I32" s="15"/>
      <c r="J32" s="29">
        <f>IF(H$12=0,0,H32/H$12)</f>
        <v>0</v>
      </c>
      <c r="K32" s="16"/>
      <c r="L32" s="34">
        <f>D32-H32</f>
        <v>2013.15</v>
      </c>
      <c r="M32" s="16"/>
      <c r="N32" s="29">
        <f>IF(H32=0,0,L32/H32)</f>
        <v>0</v>
      </c>
      <c r="O32" s="28"/>
      <c r="P32" s="34">
        <f>+P28-P30</f>
        <v>2012.87</v>
      </c>
      <c r="Q32" s="15"/>
      <c r="R32" s="29">
        <f>IF(P$12=0,0,P32/P$12)</f>
        <v>0.88052826358935765</v>
      </c>
      <c r="S32" s="15"/>
      <c r="T32" s="34">
        <f>+T28-T30</f>
        <v>0</v>
      </c>
      <c r="U32" s="15"/>
      <c r="V32" s="29">
        <f>IF(T$12=0,0,T32/T$12)</f>
        <v>0</v>
      </c>
      <c r="W32" s="16"/>
      <c r="X32" s="34">
        <f>P32-T32</f>
        <v>2012.87</v>
      </c>
      <c r="Y32" s="16"/>
      <c r="Z32" s="29">
        <f>IF(T32=0,0,X32/T32)</f>
        <v>0</v>
      </c>
    </row>
    <row r="33" spans="1:26" ht="15" customHeight="1" x14ac:dyDescent="0.3">
      <c r="A33" s="10"/>
      <c r="B33" s="10"/>
      <c r="C33" s="10"/>
      <c r="D33" s="4"/>
      <c r="E33" s="4"/>
      <c r="F33" s="9"/>
      <c r="G33" s="4"/>
      <c r="H33" s="4"/>
      <c r="I33" s="4"/>
      <c r="J33" s="9"/>
      <c r="K33" s="4"/>
      <c r="L33" s="4"/>
      <c r="M33" s="4"/>
      <c r="N33" s="9"/>
      <c r="P33" s="4"/>
      <c r="Q33" s="4"/>
      <c r="R33" s="9"/>
      <c r="S33" s="4"/>
      <c r="T33" s="4"/>
      <c r="U33" s="4"/>
      <c r="V33" s="9"/>
      <c r="W33" s="4"/>
      <c r="X33" s="4"/>
      <c r="Y33" s="4"/>
      <c r="Z33" s="9"/>
    </row>
    <row r="34" spans="1:26" ht="15" customHeight="1" x14ac:dyDescent="0.3">
      <c r="A34" s="10"/>
      <c r="B34" s="10"/>
      <c r="C34" s="10"/>
      <c r="D34" s="4"/>
      <c r="E34" s="4"/>
      <c r="F34" s="9"/>
      <c r="G34" s="4"/>
      <c r="H34" s="4"/>
      <c r="I34" s="4"/>
      <c r="J34" s="9"/>
      <c r="K34" s="4"/>
      <c r="L34" s="4"/>
      <c r="M34" s="4"/>
      <c r="N34" s="9"/>
      <c r="P34" s="4"/>
      <c r="Q34" s="4"/>
      <c r="R34" s="9"/>
      <c r="S34" s="4"/>
      <c r="T34" s="4"/>
      <c r="U34" s="4"/>
      <c r="V34" s="9"/>
      <c r="W34" s="4"/>
      <c r="X34" s="4"/>
      <c r="Y34" s="4"/>
      <c r="Z34" s="9"/>
    </row>
    <row r="35" spans="1:26" s="63" customFormat="1" ht="15" customHeight="1" x14ac:dyDescent="0.3">
      <c r="A35" s="11"/>
      <c r="B35" s="27" t="s">
        <v>297</v>
      </c>
      <c r="C35" s="27"/>
      <c r="D35" s="32">
        <f>SUM(D32:D34)</f>
        <v>2013.15</v>
      </c>
      <c r="E35" s="15"/>
      <c r="F35" s="31">
        <f>IF(D$12=0,0,D35/D$12)</f>
        <v>0.88065074935038801</v>
      </c>
      <c r="G35" s="15"/>
      <c r="H35" s="32">
        <f>SUM(H32:H34)</f>
        <v>0</v>
      </c>
      <c r="I35" s="15"/>
      <c r="J35" s="31">
        <f>IF(H$12=0,0,H35/H$12)</f>
        <v>0</v>
      </c>
      <c r="K35" s="16"/>
      <c r="L35" s="32">
        <f>+D35-H35</f>
        <v>2013.15</v>
      </c>
      <c r="M35" s="16"/>
      <c r="N35" s="31">
        <f>IF(H35=0,0,L35/H35)</f>
        <v>0</v>
      </c>
      <c r="O35" s="28"/>
      <c r="P35" s="32">
        <f>SUM(P32:P34)</f>
        <v>2012.87</v>
      </c>
      <c r="Q35" s="15"/>
      <c r="R35" s="31">
        <f>IF(P$12=0,0,P35/P$12)</f>
        <v>0.88052826358935765</v>
      </c>
      <c r="S35" s="15"/>
      <c r="T35" s="32">
        <f>SUM(T32:T34)</f>
        <v>0</v>
      </c>
      <c r="U35" s="15"/>
      <c r="V35" s="31">
        <f>IF(T$12=0,0,T35/T$12)</f>
        <v>0</v>
      </c>
      <c r="W35" s="16"/>
      <c r="X35" s="32">
        <f>+P35-T35</f>
        <v>2012.87</v>
      </c>
      <c r="Y35" s="16"/>
      <c r="Z35" s="31">
        <f>IF(T35=0,0,X35/T35)</f>
        <v>0</v>
      </c>
    </row>
    <row r="36" spans="1:26" ht="15" customHeight="1" x14ac:dyDescent="0.3">
      <c r="A36" s="10"/>
      <c r="C36" s="10"/>
      <c r="D36" s="19"/>
      <c r="E36" s="19"/>
      <c r="G36" s="19"/>
      <c r="H36" s="19"/>
      <c r="I36" s="19"/>
      <c r="J36" s="40"/>
      <c r="K36" s="19"/>
      <c r="L36" s="19"/>
      <c r="M36" s="19"/>
      <c r="P36" s="19"/>
      <c r="Q36" s="19"/>
      <c r="R36" s="40"/>
      <c r="S36" s="19"/>
      <c r="T36" s="19"/>
      <c r="U36" s="19"/>
      <c r="V36" s="40"/>
      <c r="W36" s="19"/>
      <c r="X36" s="19"/>
    </row>
    <row r="37" spans="1:26" ht="15" customHeight="1" x14ac:dyDescent="0.3">
      <c r="A37" s="10"/>
      <c r="B37" s="51">
        <v>44663.047665428239</v>
      </c>
      <c r="D37" s="19"/>
      <c r="E37" s="19"/>
      <c r="G37" s="19"/>
      <c r="H37" s="19"/>
      <c r="I37" s="19"/>
      <c r="J37" s="40"/>
      <c r="K37" s="19"/>
      <c r="L37" s="19"/>
      <c r="M37" s="19"/>
      <c r="P37" s="19"/>
      <c r="Q37" s="19"/>
      <c r="R37" s="40"/>
      <c r="S37" s="19"/>
      <c r="T37" s="19"/>
      <c r="U37" s="19"/>
      <c r="V37" s="40"/>
      <c r="W37" s="19"/>
      <c r="X37" s="19"/>
    </row>
    <row r="38" spans="1:26" ht="15" customHeight="1" x14ac:dyDescent="0.3">
      <c r="A38" s="10"/>
      <c r="B38" s="58" t="s">
        <v>298</v>
      </c>
      <c r="D38" s="19"/>
      <c r="E38" s="19"/>
      <c r="G38" s="19"/>
      <c r="H38" s="19"/>
      <c r="I38" s="19"/>
      <c r="J38" s="40"/>
      <c r="K38" s="19"/>
      <c r="L38" s="19"/>
      <c r="M38" s="19"/>
      <c r="P38" s="19"/>
      <c r="Q38" s="19"/>
      <c r="R38" s="40"/>
      <c r="S38" s="19"/>
      <c r="T38" s="19"/>
      <c r="U38" s="19"/>
      <c r="V38" s="40"/>
      <c r="W38" s="19"/>
      <c r="X38" s="19"/>
    </row>
    <row r="39" spans="1:26" ht="15" customHeight="1" x14ac:dyDescent="0.3">
      <c r="A39" s="10"/>
      <c r="B39" s="50"/>
      <c r="D39" s="19"/>
      <c r="E39" s="19"/>
      <c r="G39" s="19"/>
      <c r="H39" s="19"/>
      <c r="I39" s="19"/>
      <c r="J39" s="40"/>
      <c r="K39" s="19"/>
      <c r="L39" s="19"/>
      <c r="M39" s="19"/>
      <c r="P39" s="19"/>
      <c r="Q39" s="19"/>
      <c r="R39" s="40"/>
      <c r="S39" s="19"/>
      <c r="T39" s="19"/>
      <c r="U39" s="19"/>
      <c r="V39" s="40"/>
      <c r="W39" s="19"/>
      <c r="X39" s="19"/>
    </row>
    <row r="40" spans="1:26" ht="15" customHeight="1" x14ac:dyDescent="0.3">
      <c r="D40" s="19"/>
      <c r="E40" s="19"/>
      <c r="G40" s="19"/>
      <c r="H40" s="19"/>
      <c r="I40" s="19"/>
      <c r="J40" s="40"/>
      <c r="K40" s="19"/>
      <c r="L40" s="19"/>
      <c r="M40" s="19"/>
      <c r="P40" s="19"/>
      <c r="Q40" s="19"/>
      <c r="R40" s="40"/>
      <c r="S40" s="19"/>
      <c r="T40" s="19"/>
      <c r="U40" s="19"/>
      <c r="V40" s="40"/>
      <c r="W40" s="19"/>
      <c r="X40" s="19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B256E6-70EC-6706-FAFC-D485913C293D}">
  <sheetPr>
    <tabColor rgb="FF92D050"/>
    <outlinePr summaryBelow="0" summaryRight="0"/>
  </sheetPr>
  <dimension ref="A2:Z105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6" customWidth="1"/>
    <col min="2" max="2" width="33.44140625" style="66" customWidth="1"/>
    <col min="3" max="3" width="1.88671875" style="66" customWidth="1"/>
    <col min="4" max="4" width="15" style="66" customWidth="1"/>
    <col min="5" max="5" width="1.88671875" style="66" customWidth="1" outlineLevel="1"/>
    <col min="6" max="6" width="15" style="67" customWidth="1" outlineLevel="1"/>
    <col min="7" max="7" width="1.88671875" style="66" customWidth="1" outlineLevel="1"/>
    <col min="8" max="8" width="15" style="66" customWidth="1" outlineLevel="1"/>
    <col min="9" max="9" width="1.88671875" style="66" customWidth="1" outlineLevel="1"/>
    <col min="10" max="10" width="15" style="68" customWidth="1" outlineLevel="1"/>
    <col min="11" max="11" width="1.88671875" style="66" customWidth="1" outlineLevel="1"/>
    <col min="12" max="12" width="15" style="66" customWidth="1" outlineLevel="1"/>
    <col min="13" max="13" width="1.88671875" style="66" customWidth="1" outlineLevel="1"/>
    <col min="14" max="14" width="15" style="67" customWidth="1" outlineLevel="1"/>
    <col min="15" max="15" width="1.88671875" style="64" customWidth="1"/>
    <col min="16" max="16" width="15" style="66" customWidth="1"/>
    <col min="17" max="17" width="1.88671875" style="66" customWidth="1" outlineLevel="1"/>
    <col min="18" max="18" width="15" style="68" customWidth="1" outlineLevel="1"/>
    <col min="19" max="19" width="1.88671875" style="66" customWidth="1" outlineLevel="1"/>
    <col min="20" max="20" width="15" style="66" customWidth="1" outlineLevel="1"/>
    <col min="21" max="21" width="1.88671875" style="66" customWidth="1" outlineLevel="1"/>
    <col min="22" max="22" width="15" style="68" customWidth="1" outlineLevel="1"/>
    <col min="23" max="23" width="1.88671875" style="66" customWidth="1" outlineLevel="1"/>
    <col min="24" max="24" width="15" style="66" customWidth="1" outlineLevel="1"/>
    <col min="25" max="25" width="1.88671875" style="66" customWidth="1" outlineLevel="1"/>
    <col min="26" max="26" width="15" style="68" customWidth="1" outlineLevel="1"/>
  </cols>
  <sheetData>
    <row r="2" spans="1:26" ht="15" customHeight="1" x14ac:dyDescent="0.3">
      <c r="D2" s="54" t="s">
        <v>276</v>
      </c>
    </row>
    <row r="3" spans="1:26" ht="15" customHeight="1" x14ac:dyDescent="0.3">
      <c r="D3" s="54" t="s">
        <v>277</v>
      </c>
      <c r="E3" s="18"/>
      <c r="F3" s="44"/>
      <c r="G3" s="18"/>
      <c r="H3" s="18"/>
      <c r="I3" s="18"/>
      <c r="J3" s="38"/>
      <c r="K3" s="18"/>
      <c r="L3" s="18"/>
      <c r="M3" s="18"/>
      <c r="N3" s="44"/>
      <c r="O3" s="53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ht="15" customHeight="1" x14ac:dyDescent="0.3">
      <c r="D4" s="54" t="str">
        <f>CONCATENATE("Period ",RIGHT(202209,2),", ",2022)</f>
        <v>Period 09, 2022</v>
      </c>
      <c r="E4" s="18"/>
      <c r="F4" s="44"/>
      <c r="G4" s="18"/>
      <c r="H4" s="18"/>
      <c r="I4" s="18"/>
      <c r="J4" s="38"/>
      <c r="K4" s="18"/>
      <c r="L4" s="18"/>
      <c r="M4" s="18"/>
      <c r="N4" s="44"/>
      <c r="O4" s="53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ht="15" customHeight="1" x14ac:dyDescent="0.3">
      <c r="A5" s="24"/>
      <c r="D5" s="60">
        <v>44646</v>
      </c>
      <c r="E5" s="18"/>
      <c r="F5" s="44"/>
      <c r="G5" s="18"/>
      <c r="H5" s="18"/>
      <c r="I5" s="18"/>
      <c r="J5" s="38"/>
      <c r="K5" s="18"/>
      <c r="L5" s="18"/>
      <c r="M5" s="18"/>
      <c r="N5" s="44"/>
      <c r="O5" s="53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ht="15" customHeight="1" x14ac:dyDescent="0.3">
      <c r="A6" s="24"/>
      <c r="B6" s="47"/>
      <c r="C6" s="47"/>
      <c r="D6" s="24" t="str">
        <f>CONCATENATE("Department ","444"," - ","Parkside Dining Hall")</f>
        <v>Department 444 - Parkside Dining Hall</v>
      </c>
      <c r="E6" s="18"/>
      <c r="F6" s="44"/>
      <c r="G6" s="18"/>
      <c r="H6" s="18"/>
      <c r="I6" s="18"/>
      <c r="J6" s="38"/>
      <c r="K6" s="18"/>
      <c r="L6" s="18"/>
      <c r="M6" s="18"/>
      <c r="N6" s="44"/>
      <c r="O6" s="59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ht="15" customHeight="1" x14ac:dyDescent="0.3">
      <c r="B7" s="52"/>
    </row>
    <row r="8" spans="1:26" ht="15" customHeight="1" x14ac:dyDescent="0.3">
      <c r="B8" s="52"/>
    </row>
    <row r="9" spans="1:26" ht="15" customHeight="1" x14ac:dyDescent="0.3">
      <c r="B9" s="10"/>
      <c r="C9" s="10"/>
      <c r="D9" s="17" t="s">
        <v>279</v>
      </c>
      <c r="E9" s="17"/>
      <c r="F9" s="36"/>
      <c r="G9" s="17"/>
      <c r="H9" s="17"/>
      <c r="I9" s="17"/>
      <c r="J9" s="43"/>
      <c r="K9" s="17"/>
      <c r="L9" s="17"/>
      <c r="M9" s="17"/>
      <c r="N9" s="36"/>
      <c r="P9" s="17" t="s">
        <v>280</v>
      </c>
      <c r="Q9" s="17"/>
      <c r="R9" s="36"/>
      <c r="S9" s="17"/>
      <c r="T9" s="17"/>
      <c r="U9" s="17"/>
      <c r="V9" s="43"/>
      <c r="W9" s="17"/>
      <c r="X9" s="17"/>
      <c r="Y9" s="17"/>
      <c r="Z9" s="36"/>
    </row>
    <row r="10" spans="1:26" ht="15" customHeight="1" x14ac:dyDescent="0.3">
      <c r="A10" s="11"/>
      <c r="B10" s="57"/>
      <c r="C10" s="11"/>
      <c r="D10" s="41" t="s">
        <v>281</v>
      </c>
      <c r="E10" s="33"/>
      <c r="F10" s="37" t="s">
        <v>282</v>
      </c>
      <c r="G10" s="33"/>
      <c r="H10" s="48" t="s">
        <v>283</v>
      </c>
      <c r="I10" s="33"/>
      <c r="J10" s="45" t="s">
        <v>284</v>
      </c>
      <c r="K10" s="11"/>
      <c r="L10" s="41" t="s">
        <v>285</v>
      </c>
      <c r="M10" s="11"/>
      <c r="N10" s="37" t="s">
        <v>286</v>
      </c>
      <c r="O10" s="11"/>
      <c r="P10" s="56" t="s">
        <v>281</v>
      </c>
      <c r="Q10" s="33"/>
      <c r="R10" s="37" t="s">
        <v>282</v>
      </c>
      <c r="S10" s="33"/>
      <c r="T10" s="48" t="s">
        <v>283</v>
      </c>
      <c r="U10" s="33"/>
      <c r="V10" s="45" t="s">
        <v>284</v>
      </c>
      <c r="W10" s="11"/>
      <c r="X10" s="41" t="s">
        <v>285</v>
      </c>
      <c r="Y10" s="11"/>
      <c r="Z10" s="37" t="s">
        <v>286</v>
      </c>
    </row>
    <row r="11" spans="1:26" ht="16.5" customHeight="1" x14ac:dyDescent="0.3">
      <c r="A11" s="10"/>
      <c r="B11" s="55"/>
      <c r="C11" s="10"/>
      <c r="D11" s="10"/>
      <c r="E11" s="10"/>
      <c r="F11" s="9"/>
      <c r="G11" s="10"/>
      <c r="H11" s="10"/>
      <c r="I11" s="10"/>
      <c r="J11" s="46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6"/>
      <c r="W11" s="10"/>
      <c r="X11" s="10"/>
      <c r="Y11" s="10"/>
      <c r="Z11" s="9"/>
    </row>
    <row r="12" spans="1:26" s="63" customFormat="1" ht="15" customHeight="1" collapsed="1" x14ac:dyDescent="0.3">
      <c r="A12" s="11"/>
      <c r="B12" s="28" t="s">
        <v>287</v>
      </c>
      <c r="C12" s="11"/>
      <c r="D12" s="5">
        <f>SUM(OSRRefD13x_0)</f>
        <v>676101.7</v>
      </c>
      <c r="E12" s="5"/>
      <c r="F12" s="13"/>
      <c r="G12" s="5"/>
      <c r="H12" s="5">
        <f>SUM(OSRRefH13x_0)</f>
        <v>534600</v>
      </c>
      <c r="I12" s="5"/>
      <c r="J12" s="13"/>
      <c r="K12" s="5"/>
      <c r="L12" s="5">
        <f>+D12-H12</f>
        <v>141501.69999999995</v>
      </c>
      <c r="M12" s="5"/>
      <c r="N12" s="13">
        <f>IF(H12=0,0,L12/H12)</f>
        <v>0.2646870557426112</v>
      </c>
      <c r="O12" s="11"/>
      <c r="P12" s="5">
        <f>SUM(OSRRefP13x_0)</f>
        <v>4525571.5999999996</v>
      </c>
      <c r="Q12" s="5"/>
      <c r="R12" s="13"/>
      <c r="S12" s="5"/>
      <c r="T12" s="5">
        <f>SUM(OSRRefT13x_0)</f>
        <v>3524400</v>
      </c>
      <c r="U12" s="5"/>
      <c r="V12" s="13"/>
      <c r="W12" s="5"/>
      <c r="X12" s="5">
        <f>+P12-T12</f>
        <v>1001171.5999999996</v>
      </c>
      <c r="Y12" s="5"/>
      <c r="Z12" s="13">
        <f>IF(T12=0,0,X12/T12)</f>
        <v>0.28406866416978765</v>
      </c>
    </row>
    <row r="13" spans="1:26" s="70" customFormat="1" ht="15" hidden="1" customHeight="1" outlineLevel="1" x14ac:dyDescent="0.3">
      <c r="A13" s="42"/>
      <c r="B13" s="12" t="str">
        <f>CONCATENATE("          ","4053"," - ","TAXABLE SALES-FOOD")</f>
        <v xml:space="preserve">          4053 - TAXABLE SALES-FOOD</v>
      </c>
      <c r="C13" s="12"/>
      <c r="D13" s="3">
        <f>--199.6</f>
        <v>199.6</v>
      </c>
      <c r="E13" s="3"/>
      <c r="F13" s="20"/>
      <c r="G13" s="3"/>
      <c r="H13" s="3"/>
      <c r="I13" s="3"/>
      <c r="J13" s="20"/>
      <c r="K13" s="3"/>
      <c r="L13" s="3">
        <f>+D13-H13</f>
        <v>199.6</v>
      </c>
      <c r="M13" s="3"/>
      <c r="N13" s="20">
        <f>IF(H13=0,0,L13/H13)</f>
        <v>0</v>
      </c>
      <c r="O13" s="12"/>
      <c r="P13" s="3">
        <f>--946.3</f>
        <v>946.3</v>
      </c>
      <c r="Q13" s="3"/>
      <c r="R13" s="20"/>
      <c r="S13" s="3"/>
      <c r="T13" s="3"/>
      <c r="U13" s="3"/>
      <c r="V13" s="20"/>
      <c r="W13" s="3"/>
      <c r="X13" s="3">
        <f>+P13-T13</f>
        <v>946.3</v>
      </c>
      <c r="Y13" s="3"/>
      <c r="Z13" s="20">
        <f>IF(T13=0,0,X13/T13)</f>
        <v>0</v>
      </c>
    </row>
    <row r="14" spans="1:26" s="70" customFormat="1" ht="15" hidden="1" customHeight="1" outlineLevel="1" x14ac:dyDescent="0.3">
      <c r="A14" s="42"/>
      <c r="B14" s="12" t="str">
        <f>CONCATENATE("          ","4100"," - ","NON-TAXABLE SALES")</f>
        <v xml:space="preserve">          4100 - NON-TAXABLE SALES</v>
      </c>
      <c r="C14" s="12"/>
      <c r="D14" s="3">
        <f>0</f>
        <v>0</v>
      </c>
      <c r="E14" s="3"/>
      <c r="F14" s="20"/>
      <c r="G14" s="3"/>
      <c r="H14" s="3">
        <v>534600</v>
      </c>
      <c r="I14" s="3"/>
      <c r="J14" s="20"/>
      <c r="K14" s="3"/>
      <c r="L14" s="3">
        <f>+D14-H14</f>
        <v>-534600</v>
      </c>
      <c r="M14" s="3"/>
      <c r="N14" s="20">
        <f>IF(H14=0,0,L14/H14)</f>
        <v>-1</v>
      </c>
      <c r="O14" s="12"/>
      <c r="P14" s="3">
        <f>0</f>
        <v>0</v>
      </c>
      <c r="Q14" s="3"/>
      <c r="R14" s="20"/>
      <c r="S14" s="3"/>
      <c r="T14" s="3">
        <v>3524400</v>
      </c>
      <c r="U14" s="3"/>
      <c r="V14" s="20"/>
      <c r="W14" s="3"/>
      <c r="X14" s="3">
        <f>+P14-T14</f>
        <v>-3524400</v>
      </c>
      <c r="Y14" s="3"/>
      <c r="Z14" s="20">
        <f>IF(T14=0,0,X14/T14)</f>
        <v>-1</v>
      </c>
    </row>
    <row r="15" spans="1:26" s="70" customFormat="1" ht="15" hidden="1" customHeight="1" outlineLevel="1" x14ac:dyDescent="0.3">
      <c r="A15" s="42"/>
      <c r="B15" s="12" t="str">
        <f>CONCATENATE("          ","4151"," - ","NON-TAXABLE SALES-FOOD")</f>
        <v xml:space="preserve">          4151 - NON-TAXABLE SALES-FOOD</v>
      </c>
      <c r="C15" s="12"/>
      <c r="D15" s="3">
        <f>--671884.24</f>
        <v>671884.24</v>
      </c>
      <c r="E15" s="3"/>
      <c r="F15" s="20"/>
      <c r="G15" s="3"/>
      <c r="H15" s="3"/>
      <c r="I15" s="3"/>
      <c r="J15" s="20"/>
      <c r="K15" s="3"/>
      <c r="L15" s="3">
        <f>+D15-H15</f>
        <v>671884.24</v>
      </c>
      <c r="M15" s="3"/>
      <c r="N15" s="20">
        <f>IF(H15=0,0,L15/H15)</f>
        <v>0</v>
      </c>
      <c r="O15" s="12"/>
      <c r="P15" s="3">
        <f>--4502868.99</f>
        <v>4502868.99</v>
      </c>
      <c r="Q15" s="3"/>
      <c r="R15" s="20"/>
      <c r="S15" s="3"/>
      <c r="T15" s="3"/>
      <c r="U15" s="3"/>
      <c r="V15" s="20"/>
      <c r="W15" s="3"/>
      <c r="X15" s="3">
        <f>+P15-T15</f>
        <v>4502868.99</v>
      </c>
      <c r="Y15" s="3"/>
      <c r="Z15" s="20">
        <f>IF(T15=0,0,X15/T15)</f>
        <v>0</v>
      </c>
    </row>
    <row r="16" spans="1:26" s="70" customFormat="1" ht="15" hidden="1" customHeight="1" outlineLevel="1" x14ac:dyDescent="0.3">
      <c r="A16" s="42"/>
      <c r="B16" s="12" t="str">
        <f>CONCATENATE("          ","4153"," - ","NON-TAXABLE SALES-FOOD")</f>
        <v xml:space="preserve">          4153 - NON-TAXABLE SALES-FOOD</v>
      </c>
      <c r="C16" s="12"/>
      <c r="D16" s="3">
        <f>--4017.86</f>
        <v>4017.86</v>
      </c>
      <c r="E16" s="3"/>
      <c r="F16" s="20"/>
      <c r="G16" s="3"/>
      <c r="H16" s="3"/>
      <c r="I16" s="3"/>
      <c r="J16" s="20"/>
      <c r="K16" s="3"/>
      <c r="L16" s="3">
        <f>+D16-H16</f>
        <v>4017.86</v>
      </c>
      <c r="M16" s="3"/>
      <c r="N16" s="20">
        <f>IF(H16=0,0,L16/H16)</f>
        <v>0</v>
      </c>
      <c r="O16" s="12"/>
      <c r="P16" s="3">
        <f>--21756.31</f>
        <v>21756.31</v>
      </c>
      <c r="Q16" s="3"/>
      <c r="R16" s="20"/>
      <c r="S16" s="3"/>
      <c r="T16" s="3"/>
      <c r="U16" s="3"/>
      <c r="V16" s="20"/>
      <c r="W16" s="3"/>
      <c r="X16" s="3">
        <f>+P16-T16</f>
        <v>21756.31</v>
      </c>
      <c r="Y16" s="3"/>
      <c r="Z16" s="20">
        <f>IF(T16=0,0,X16/T16)</f>
        <v>0</v>
      </c>
    </row>
    <row r="17" spans="1:26" ht="15" customHeight="1" x14ac:dyDescent="0.3">
      <c r="A17" s="10"/>
      <c r="B17" s="11"/>
      <c r="C17" s="10"/>
      <c r="D17" s="4"/>
      <c r="E17" s="4"/>
      <c r="F17" s="9"/>
      <c r="G17" s="4"/>
      <c r="H17" s="4"/>
      <c r="I17" s="4"/>
      <c r="J17" s="9"/>
      <c r="K17" s="4"/>
      <c r="L17" s="4"/>
      <c r="M17" s="4"/>
      <c r="N17" s="9"/>
      <c r="P17" s="4"/>
      <c r="Q17" s="4"/>
      <c r="R17" s="9"/>
      <c r="S17" s="4"/>
      <c r="T17" s="4"/>
      <c r="U17" s="4"/>
      <c r="V17" s="9"/>
      <c r="W17" s="4"/>
      <c r="X17" s="4"/>
      <c r="Y17" s="4"/>
      <c r="Z17" s="9"/>
    </row>
    <row r="18" spans="1:26" s="63" customFormat="1" ht="15" customHeight="1" collapsed="1" x14ac:dyDescent="0.3">
      <c r="A18" s="11"/>
      <c r="B18" s="28" t="s">
        <v>288</v>
      </c>
      <c r="C18" s="11"/>
      <c r="D18" s="5">
        <f>SUM(OSRRefD16x_0)</f>
        <v>158820.76999999999</v>
      </c>
      <c r="E18" s="5"/>
      <c r="F18" s="13">
        <f>IF(D$12=0,0,D18/D$12)</f>
        <v>0.23490662721303615</v>
      </c>
      <c r="G18" s="5"/>
      <c r="H18" s="5">
        <f>SUM(OSRRefH16x_0)</f>
        <v>149688</v>
      </c>
      <c r="I18" s="5"/>
      <c r="J18" s="13">
        <f>IF(H$12=0,0,H18/H$12)</f>
        <v>0.28000000000000003</v>
      </c>
      <c r="K18" s="5"/>
      <c r="L18" s="5">
        <f>+D18-H18</f>
        <v>9132.7699999999895</v>
      </c>
      <c r="M18" s="5"/>
      <c r="N18" s="13">
        <f>IF(H18=0,0,L18/H18)</f>
        <v>6.1012038373149412E-2</v>
      </c>
      <c r="O18" s="11"/>
      <c r="P18" s="5">
        <f>SUM(OSRRefP16x_0)</f>
        <v>1084689.43</v>
      </c>
      <c r="Q18" s="5"/>
      <c r="R18" s="13">
        <f>IF(P$12=0,0,P18/P$12)</f>
        <v>0.23968009477521027</v>
      </c>
      <c r="S18" s="5"/>
      <c r="T18" s="5">
        <f>SUM(OSRRefT16x_0)</f>
        <v>982080</v>
      </c>
      <c r="U18" s="5"/>
      <c r="V18" s="13">
        <f>IF(T$12=0,0,T18/T$12)</f>
        <v>0.27865168539325841</v>
      </c>
      <c r="W18" s="5"/>
      <c r="X18" s="5">
        <f>+P18-T18</f>
        <v>102609.42999999993</v>
      </c>
      <c r="Y18" s="5"/>
      <c r="Z18" s="13">
        <f>IF(T18=0,0,X18/T18)</f>
        <v>0.10448174283154116</v>
      </c>
    </row>
    <row r="19" spans="1:26" s="70" customFormat="1" ht="15" hidden="1" customHeight="1" outlineLevel="1" x14ac:dyDescent="0.3">
      <c r="A19" s="42"/>
      <c r="B19" s="12" t="str">
        <f>CONCATENATE("          ","5000"," - ","PURCHASES @ COST")</f>
        <v xml:space="preserve">          5000 - PURCHASES @ COST</v>
      </c>
      <c r="C19" s="12"/>
      <c r="D19" s="3"/>
      <c r="E19" s="3"/>
      <c r="F19" s="20">
        <f>IF(D$12=0,0,D19/D$12)</f>
        <v>0</v>
      </c>
      <c r="G19" s="3"/>
      <c r="H19" s="3">
        <v>149688</v>
      </c>
      <c r="I19" s="3"/>
      <c r="J19" s="20">
        <f>IF(H$12=0,0,H19/H$12)</f>
        <v>0.28000000000000003</v>
      </c>
      <c r="K19" s="3"/>
      <c r="L19" s="3">
        <f>+D19-H19</f>
        <v>-149688</v>
      </c>
      <c r="M19" s="3"/>
      <c r="N19" s="20">
        <f>IF(H19=0,0,L19/H19)</f>
        <v>-1</v>
      </c>
      <c r="O19" s="12"/>
      <c r="P19" s="3"/>
      <c r="Q19" s="3"/>
      <c r="R19" s="20">
        <f>IF(P$12=0,0,P19/P$12)</f>
        <v>0</v>
      </c>
      <c r="S19" s="3"/>
      <c r="T19" s="3">
        <v>982080</v>
      </c>
      <c r="U19" s="3"/>
      <c r="V19" s="20">
        <f>IF(T$12=0,0,T19/T$12)</f>
        <v>0.27865168539325841</v>
      </c>
      <c r="W19" s="3"/>
      <c r="X19" s="3">
        <f>+P19-T19</f>
        <v>-982080</v>
      </c>
      <c r="Y19" s="3"/>
      <c r="Z19" s="20">
        <f>IF(T19=0,0,X19/T19)</f>
        <v>-1</v>
      </c>
    </row>
    <row r="20" spans="1:26" s="70" customFormat="1" ht="15" hidden="1" customHeight="1" outlineLevel="1" x14ac:dyDescent="0.3">
      <c r="A20" s="42"/>
      <c r="B20" s="12" t="str">
        <f>CONCATENATE("          ","5053"," - ","PURCHASES @ COST-FOOD")</f>
        <v xml:space="preserve">          5053 - PURCHASES @ COST-FOOD</v>
      </c>
      <c r="C20" s="12"/>
      <c r="D20" s="3">
        <v>151246.76999999999</v>
      </c>
      <c r="E20" s="3"/>
      <c r="F20" s="20">
        <f>IF(D$12=0,0,D20/D$12)</f>
        <v>0.22370417054120703</v>
      </c>
      <c r="G20" s="3"/>
      <c r="H20" s="3"/>
      <c r="I20" s="3"/>
      <c r="J20" s="20">
        <f>IF(H$12=0,0,H20/H$12)</f>
        <v>0</v>
      </c>
      <c r="K20" s="3"/>
      <c r="L20" s="3">
        <f>+D20-H20</f>
        <v>151246.76999999999</v>
      </c>
      <c r="M20" s="3"/>
      <c r="N20" s="20">
        <f>IF(H20=0,0,L20/H20)</f>
        <v>0</v>
      </c>
      <c r="O20" s="12"/>
      <c r="P20" s="3">
        <v>1087946.43</v>
      </c>
      <c r="Q20" s="3"/>
      <c r="R20" s="20">
        <f>IF(P$12=0,0,P20/P$12)</f>
        <v>0.24039978286941699</v>
      </c>
      <c r="S20" s="3"/>
      <c r="T20" s="3"/>
      <c r="U20" s="3"/>
      <c r="V20" s="20">
        <f>IF(T$12=0,0,T20/T$12)</f>
        <v>0</v>
      </c>
      <c r="W20" s="3"/>
      <c r="X20" s="3">
        <f>+P20-T20</f>
        <v>1087946.43</v>
      </c>
      <c r="Y20" s="3"/>
      <c r="Z20" s="20">
        <f>IF(T20=0,0,X20/T20)</f>
        <v>0</v>
      </c>
    </row>
    <row r="21" spans="1:26" s="70" customFormat="1" ht="15" hidden="1" customHeight="1" outlineLevel="1" x14ac:dyDescent="0.3">
      <c r="A21" s="42"/>
      <c r="B21" s="12" t="str">
        <f>CONCATENATE("          ","5059"," - ","PURCHASES @ COST-FOOD")</f>
        <v xml:space="preserve">          5059 - PURCHASES @ COST-FOOD</v>
      </c>
      <c r="C21" s="12"/>
      <c r="D21" s="3">
        <v>7574</v>
      </c>
      <c r="E21" s="3"/>
      <c r="F21" s="20">
        <f>IF(D$12=0,0,D21/D$12)</f>
        <v>1.1202456671829106E-2</v>
      </c>
      <c r="G21" s="3"/>
      <c r="H21" s="3"/>
      <c r="I21" s="3"/>
      <c r="J21" s="20">
        <f>IF(H$12=0,0,H21/H$12)</f>
        <v>0</v>
      </c>
      <c r="K21" s="3"/>
      <c r="L21" s="3">
        <f>+D21-H21</f>
        <v>7574</v>
      </c>
      <c r="M21" s="3"/>
      <c r="N21" s="20">
        <f>IF(H21=0,0,L21/H21)</f>
        <v>0</v>
      </c>
      <c r="O21" s="12"/>
      <c r="P21" s="3">
        <v>-3257</v>
      </c>
      <c r="Q21" s="3"/>
      <c r="R21" s="20">
        <f>IF(P$12=0,0,P21/P$12)</f>
        <v>-7.1968809420670755E-4</v>
      </c>
      <c r="S21" s="3"/>
      <c r="T21" s="3"/>
      <c r="U21" s="3"/>
      <c r="V21" s="20">
        <f>IF(T$12=0,0,T21/T$12)</f>
        <v>0</v>
      </c>
      <c r="W21" s="3"/>
      <c r="X21" s="3">
        <f>+P21-T21</f>
        <v>-3257</v>
      </c>
      <c r="Y21" s="3"/>
      <c r="Z21" s="20">
        <f>IF(T21=0,0,X21/T21)</f>
        <v>0</v>
      </c>
    </row>
    <row r="22" spans="1:26" ht="15" customHeight="1" x14ac:dyDescent="0.3">
      <c r="A22" s="10"/>
      <c r="B22" s="11"/>
      <c r="C22" s="11"/>
      <c r="D22" s="4"/>
      <c r="E22" s="4"/>
      <c r="F22" s="9"/>
      <c r="G22" s="4"/>
      <c r="H22" s="4"/>
      <c r="I22" s="4"/>
      <c r="J22" s="9"/>
      <c r="K22" s="4"/>
      <c r="L22" s="4"/>
      <c r="M22" s="4"/>
      <c r="N22" s="9"/>
      <c r="O22" s="11"/>
      <c r="P22" s="4"/>
      <c r="Q22" s="4"/>
      <c r="R22" s="9"/>
      <c r="S22" s="4"/>
      <c r="T22" s="4"/>
      <c r="U22" s="4"/>
      <c r="V22" s="9"/>
      <c r="W22" s="4"/>
      <c r="X22" s="4"/>
      <c r="Y22" s="4"/>
      <c r="Z22" s="9"/>
    </row>
    <row r="23" spans="1:26" s="63" customFormat="1" ht="15" customHeight="1" x14ac:dyDescent="0.3">
      <c r="A23" s="11"/>
      <c r="B23" s="27" t="s">
        <v>289</v>
      </c>
      <c r="C23" s="27"/>
      <c r="D23" s="21">
        <f>D12-D18</f>
        <v>517280.92999999993</v>
      </c>
      <c r="E23" s="15"/>
      <c r="F23" s="23">
        <f>IF(D$12=0,0,D23/D$12)</f>
        <v>0.76509337278696377</v>
      </c>
      <c r="G23" s="15"/>
      <c r="H23" s="21">
        <f>H12-H18</f>
        <v>384912</v>
      </c>
      <c r="I23" s="15"/>
      <c r="J23" s="23">
        <f>IF(H$12=0,0,H23/H$12)</f>
        <v>0.72</v>
      </c>
      <c r="K23" s="16"/>
      <c r="L23" s="21">
        <f>+D23-H23</f>
        <v>132368.92999999993</v>
      </c>
      <c r="M23" s="16"/>
      <c r="N23" s="23">
        <f>IF(H23=0,0,L23/H23)</f>
        <v>0.3438940069418463</v>
      </c>
      <c r="O23" s="28"/>
      <c r="P23" s="21">
        <f>P12-P18</f>
        <v>3440882.17</v>
      </c>
      <c r="Q23" s="15"/>
      <c r="R23" s="23">
        <f>IF(P$12=0,0,P23/P$12)</f>
        <v>0.76031990522478976</v>
      </c>
      <c r="S23" s="15"/>
      <c r="T23" s="21">
        <f>T12-T18</f>
        <v>2542320</v>
      </c>
      <c r="U23" s="15"/>
      <c r="V23" s="23">
        <f>IF(T$12=0,0,T23/T$12)</f>
        <v>0.72134831460674154</v>
      </c>
      <c r="W23" s="16"/>
      <c r="X23" s="21">
        <f>+P23-T23</f>
        <v>898562.16999999993</v>
      </c>
      <c r="Y23" s="16"/>
      <c r="Z23" s="23">
        <f>IF(T23=0,0,X23/T23)</f>
        <v>0.35344180512287987</v>
      </c>
    </row>
    <row r="24" spans="1:26" ht="15" customHeight="1" x14ac:dyDescent="0.3">
      <c r="A24" s="10"/>
      <c r="B24" s="11"/>
      <c r="C24" s="10"/>
      <c r="D24" s="2"/>
      <c r="E24" s="2"/>
      <c r="F24" s="6"/>
      <c r="G24" s="2"/>
      <c r="H24" s="2"/>
      <c r="I24" s="2"/>
      <c r="J24" s="6"/>
      <c r="K24" s="2"/>
      <c r="L24" s="2"/>
      <c r="M24" s="2"/>
      <c r="N24" s="6"/>
      <c r="O24" s="35"/>
      <c r="P24" s="2"/>
      <c r="Q24" s="2"/>
      <c r="R24" s="6"/>
      <c r="S24" s="2"/>
      <c r="T24" s="2"/>
      <c r="U24" s="2"/>
      <c r="V24" s="6"/>
      <c r="W24" s="2"/>
      <c r="X24" s="2"/>
      <c r="Y24" s="2"/>
      <c r="Z24" s="6"/>
    </row>
    <row r="25" spans="1:26" s="63" customFormat="1" ht="15" customHeight="1" x14ac:dyDescent="0.3">
      <c r="A25" s="11"/>
      <c r="B25" s="28" t="s">
        <v>290</v>
      </c>
      <c r="C25" s="11"/>
      <c r="D25" s="22" cm="1">
        <f t="array" ref="D25">SUM(OSRRefD22x_0)</f>
        <v>220502.02000000002</v>
      </c>
      <c r="E25" s="22"/>
      <c r="F25" s="30">
        <f t="shared" ref="F25:F56" si="0">IF(D$12=0,0,D25/D$12)</f>
        <v>0.32613735477961381</v>
      </c>
      <c r="G25" s="22"/>
      <c r="H25" s="22" cm="1">
        <f t="array" ref="H25">SUM(OSRRefH22x_0)</f>
        <v>238542.37169121995</v>
      </c>
      <c r="I25" s="22"/>
      <c r="J25" s="30">
        <f t="shared" ref="J25:J56" si="1">IF(H$12=0,0,H25/H$12)</f>
        <v>0.44620720480961457</v>
      </c>
      <c r="K25" s="5"/>
      <c r="L25" s="22">
        <f t="shared" ref="L25:L56" si="2">+D25-H25</f>
        <v>-18040.351691219927</v>
      </c>
      <c r="M25" s="5"/>
      <c r="N25" s="30">
        <f t="shared" ref="N25:N56" si="3">IF(H25=0,0,L25/H25)</f>
        <v>-7.5627451690520528E-2</v>
      </c>
      <c r="O25" s="11"/>
      <c r="P25" s="22" cm="1">
        <f t="array" ref="P25">SUM(OSRRefP22x_0)</f>
        <v>1679912.6200000003</v>
      </c>
      <c r="Q25" s="22"/>
      <c r="R25" s="30">
        <f t="shared" ref="R25:R56" si="4">IF(P$12=0,0,P25/P$12)</f>
        <v>0.37120451701614898</v>
      </c>
      <c r="S25" s="22"/>
      <c r="T25" s="22" cm="1">
        <f t="array" ref="T25">SUM(OSRRefT22x_0)</f>
        <v>1887113.6379893948</v>
      </c>
      <c r="U25" s="22"/>
      <c r="V25" s="30">
        <f t="shared" ref="V25:V56" si="5">IF(T$12=0,0,T25/T$12)</f>
        <v>0.5354425258169887</v>
      </c>
      <c r="W25" s="5"/>
      <c r="X25" s="22">
        <f t="shared" ref="X25:X56" si="6">+P25-T25</f>
        <v>-207201.01798939449</v>
      </c>
      <c r="Y25" s="5"/>
      <c r="Z25" s="30">
        <f t="shared" ref="Z25:Z56" si="7">IF(T25=0,0,X25/T25)</f>
        <v>-0.10979784885141025</v>
      </c>
    </row>
    <row r="26" spans="1:26" s="69" customFormat="1" ht="15" customHeight="1" outlineLevel="1" collapsed="1" x14ac:dyDescent="0.3">
      <c r="A26" s="25"/>
      <c r="B26" s="14" t="str">
        <f>CONCATENATE("     ","*Benefits                                         ")</f>
        <v xml:space="preserve">     *Benefits                                         </v>
      </c>
      <c r="C26" s="14"/>
      <c r="D26" s="2">
        <f>SUM(OSRRefD22_0x_0)</f>
        <v>28495.360000000001</v>
      </c>
      <c r="E26" s="2"/>
      <c r="F26" s="6">
        <f t="shared" si="0"/>
        <v>4.2146558720381866E-2</v>
      </c>
      <c r="G26" s="2"/>
      <c r="H26" s="2">
        <f>SUM(OSRRefH22_0x_0)</f>
        <v>40125.010660450738</v>
      </c>
      <c r="I26" s="2"/>
      <c r="J26" s="6">
        <f t="shared" si="1"/>
        <v>7.5056136663768688E-2</v>
      </c>
      <c r="K26" s="2"/>
      <c r="L26" s="2">
        <f t="shared" si="2"/>
        <v>-11629.650660450738</v>
      </c>
      <c r="M26" s="2"/>
      <c r="N26" s="6">
        <f t="shared" si="3"/>
        <v>-0.28983545347474549</v>
      </c>
      <c r="O26" s="14"/>
      <c r="P26" s="2">
        <f>SUM(OSRRefP22_0x_0)</f>
        <v>269790.56</v>
      </c>
      <c r="Q26" s="2"/>
      <c r="R26" s="6">
        <f t="shared" si="4"/>
        <v>5.9614692650095301E-2</v>
      </c>
      <c r="S26" s="2"/>
      <c r="T26" s="2">
        <f>SUM(OSRRefT22_0x_0)</f>
        <v>370321.28893939499</v>
      </c>
      <c r="U26" s="2"/>
      <c r="V26" s="6">
        <f t="shared" si="5"/>
        <v>0.1050735696684244</v>
      </c>
      <c r="W26" s="2"/>
      <c r="X26" s="2">
        <f t="shared" si="6"/>
        <v>-100530.72893939499</v>
      </c>
      <c r="Y26" s="2"/>
      <c r="Z26" s="6">
        <f t="shared" si="7"/>
        <v>-0.27146894316369524</v>
      </c>
    </row>
    <row r="27" spans="1:26" s="70" customFormat="1" ht="15" hidden="1" customHeight="1" outlineLevel="2" x14ac:dyDescent="0.3">
      <c r="A27" s="26"/>
      <c r="B27" s="12" t="str">
        <f>CONCATENATE("          ","6111"," - ","F.I.C.A.")</f>
        <v xml:space="preserve">          6111 - F.I.C.A.</v>
      </c>
      <c r="C27" s="12"/>
      <c r="D27" s="7">
        <v>4408.5600000000004</v>
      </c>
      <c r="E27" s="3"/>
      <c r="F27" s="8">
        <f t="shared" si="0"/>
        <v>6.5205574841773074E-3</v>
      </c>
      <c r="G27" s="3"/>
      <c r="H27" s="7">
        <v>3512.8786589123101</v>
      </c>
      <c r="I27" s="3"/>
      <c r="J27" s="8">
        <f t="shared" si="1"/>
        <v>6.5710412624622339E-3</v>
      </c>
      <c r="K27" s="3"/>
      <c r="L27" s="7">
        <f t="shared" si="2"/>
        <v>895.68134108769027</v>
      </c>
      <c r="M27" s="3"/>
      <c r="N27" s="8">
        <f t="shared" si="3"/>
        <v>0.25497075989667672</v>
      </c>
      <c r="O27" s="12"/>
      <c r="P27" s="7">
        <v>41605.800000000003</v>
      </c>
      <c r="Q27" s="3"/>
      <c r="R27" s="8">
        <f t="shared" si="4"/>
        <v>9.1934906079046471E-3</v>
      </c>
      <c r="S27" s="3"/>
      <c r="T27" s="7">
        <v>36638.302924395</v>
      </c>
      <c r="U27" s="3"/>
      <c r="V27" s="8">
        <f t="shared" si="5"/>
        <v>1.0395614267505108E-2</v>
      </c>
      <c r="W27" s="3"/>
      <c r="X27" s="7">
        <f t="shared" si="6"/>
        <v>4967.4970756050025</v>
      </c>
      <c r="Y27" s="3"/>
      <c r="Z27" s="8">
        <f t="shared" si="7"/>
        <v>0.13558207337975464</v>
      </c>
    </row>
    <row r="28" spans="1:26" s="70" customFormat="1" ht="15" hidden="1" customHeight="1" outlineLevel="2" x14ac:dyDescent="0.3">
      <c r="A28" s="26"/>
      <c r="B28" s="12" t="str">
        <f>CONCATENATE("          ","6112"," - ","COMPENSATION INSURANCE")</f>
        <v xml:space="preserve">          6112 - COMPENSATION INSURANCE</v>
      </c>
      <c r="C28" s="12"/>
      <c r="D28" s="7">
        <v>4192.41</v>
      </c>
      <c r="E28" s="3"/>
      <c r="F28" s="8">
        <f t="shared" si="0"/>
        <v>6.2008570604096987E-3</v>
      </c>
      <c r="G28" s="3"/>
      <c r="H28" s="7">
        <v>5044.7470261384597</v>
      </c>
      <c r="I28" s="3"/>
      <c r="J28" s="8">
        <f t="shared" si="1"/>
        <v>9.4364890126046753E-3</v>
      </c>
      <c r="K28" s="3"/>
      <c r="L28" s="7">
        <f t="shared" si="2"/>
        <v>-852.33702613845981</v>
      </c>
      <c r="M28" s="3"/>
      <c r="N28" s="8">
        <f t="shared" si="3"/>
        <v>-0.16895535528783248</v>
      </c>
      <c r="O28" s="12"/>
      <c r="P28" s="7">
        <v>27710.99</v>
      </c>
      <c r="Q28" s="3"/>
      <c r="R28" s="8">
        <f t="shared" si="4"/>
        <v>6.1232022049988125E-3</v>
      </c>
      <c r="S28" s="3"/>
      <c r="T28" s="7">
        <v>39135.988034850001</v>
      </c>
      <c r="U28" s="3"/>
      <c r="V28" s="8">
        <f t="shared" si="5"/>
        <v>1.1104298046433436E-2</v>
      </c>
      <c r="W28" s="3"/>
      <c r="X28" s="7">
        <f t="shared" si="6"/>
        <v>-11424.998034849999</v>
      </c>
      <c r="Y28" s="3"/>
      <c r="Z28" s="8">
        <f t="shared" si="7"/>
        <v>-0.29193074222825838</v>
      </c>
    </row>
    <row r="29" spans="1:26" s="70" customFormat="1" ht="15" hidden="1" customHeight="1" outlineLevel="2" x14ac:dyDescent="0.3">
      <c r="A29" s="26"/>
      <c r="B29" s="12" t="str">
        <f>CONCATENATE("          ","6113"," - ","GROUP INSURANCE")</f>
        <v xml:space="preserve">          6113 - GROUP INSURANCE</v>
      </c>
      <c r="C29" s="12"/>
      <c r="D29" s="7">
        <v>12913.95</v>
      </c>
      <c r="E29" s="3"/>
      <c r="F29" s="8">
        <f t="shared" si="0"/>
        <v>1.9100602764347437E-2</v>
      </c>
      <c r="G29" s="3"/>
      <c r="H29" s="7">
        <v>21172.769230769201</v>
      </c>
      <c r="I29" s="3"/>
      <c r="J29" s="8">
        <f t="shared" si="1"/>
        <v>3.9604880715991775E-2</v>
      </c>
      <c r="K29" s="3"/>
      <c r="L29" s="7">
        <f t="shared" si="2"/>
        <v>-8258.8192307692007</v>
      </c>
      <c r="M29" s="3"/>
      <c r="N29" s="8">
        <f t="shared" si="3"/>
        <v>-0.39006797555641048</v>
      </c>
      <c r="O29" s="12"/>
      <c r="P29" s="7">
        <v>130529.85</v>
      </c>
      <c r="Q29" s="3"/>
      <c r="R29" s="8">
        <f t="shared" si="4"/>
        <v>2.8842732263919989E-2</v>
      </c>
      <c r="S29" s="3"/>
      <c r="T29" s="7">
        <v>203418</v>
      </c>
      <c r="U29" s="3"/>
      <c r="V29" s="8">
        <f t="shared" si="5"/>
        <v>5.7717058222676199E-2</v>
      </c>
      <c r="W29" s="3"/>
      <c r="X29" s="7">
        <f t="shared" si="6"/>
        <v>-72888.149999999994</v>
      </c>
      <c r="Y29" s="3"/>
      <c r="Z29" s="8">
        <f t="shared" si="7"/>
        <v>-0.35831711058018462</v>
      </c>
    </row>
    <row r="30" spans="1:26" s="70" customFormat="1" ht="15" hidden="1" customHeight="1" outlineLevel="2" x14ac:dyDescent="0.3">
      <c r="A30" s="26"/>
      <c r="B30" s="12" t="str">
        <f>CONCATENATE("          ","6114"," - ","STATE UNEMPLOYMENT INSURANCE")</f>
        <v xml:space="preserve">          6114 - STATE UNEMPLOYMENT INSURANCE</v>
      </c>
      <c r="C30" s="12"/>
      <c r="D30" s="7">
        <v>302.79000000000002</v>
      </c>
      <c r="E30" s="3"/>
      <c r="F30" s="8">
        <f t="shared" si="0"/>
        <v>4.4784682541102919E-4</v>
      </c>
      <c r="G30" s="3"/>
      <c r="H30" s="7">
        <v>279.52424155384602</v>
      </c>
      <c r="I30" s="3"/>
      <c r="J30" s="8">
        <f t="shared" si="1"/>
        <v>5.2286614581714555E-4</v>
      </c>
      <c r="K30" s="3"/>
      <c r="L30" s="7">
        <f t="shared" si="2"/>
        <v>23.265758446153995</v>
      </c>
      <c r="M30" s="3"/>
      <c r="N30" s="8">
        <f t="shared" si="3"/>
        <v>8.3233419458799265E-2</v>
      </c>
      <c r="O30" s="12"/>
      <c r="P30" s="7">
        <v>2001.34</v>
      </c>
      <c r="Q30" s="3"/>
      <c r="R30" s="8">
        <f t="shared" si="4"/>
        <v>4.4222922028236173E-4</v>
      </c>
      <c r="S30" s="3"/>
      <c r="T30" s="7">
        <v>2168.4848251499998</v>
      </c>
      <c r="U30" s="3"/>
      <c r="V30" s="8">
        <f t="shared" si="5"/>
        <v>6.152777281664964E-4</v>
      </c>
      <c r="W30" s="3"/>
      <c r="X30" s="7">
        <f t="shared" si="6"/>
        <v>-167.14482514999986</v>
      </c>
      <c r="Y30" s="3"/>
      <c r="Z30" s="8">
        <f t="shared" si="7"/>
        <v>-7.7079084534722536E-2</v>
      </c>
    </row>
    <row r="31" spans="1:26" s="70" customFormat="1" ht="15" hidden="1" customHeight="1" outlineLevel="2" x14ac:dyDescent="0.3">
      <c r="A31" s="26"/>
      <c r="B31" s="12" t="str">
        <f>CONCATENATE("          ","6115"," - ","P.E.R.S.")</f>
        <v xml:space="preserve">          6115 - P.E.R.S.</v>
      </c>
      <c r="C31" s="12"/>
      <c r="D31" s="7">
        <v>1163.51</v>
      </c>
      <c r="E31" s="3"/>
      <c r="F31" s="8">
        <f t="shared" si="0"/>
        <v>1.7209097388750836E-3</v>
      </c>
      <c r="G31" s="3"/>
      <c r="H31" s="7">
        <v>1406.6708415384601</v>
      </c>
      <c r="I31" s="3"/>
      <c r="J31" s="8">
        <f t="shared" si="1"/>
        <v>2.6312585887363639E-3</v>
      </c>
      <c r="K31" s="3"/>
      <c r="L31" s="7">
        <f t="shared" si="2"/>
        <v>-243.16084153846009</v>
      </c>
      <c r="M31" s="3"/>
      <c r="N31" s="8">
        <f t="shared" si="3"/>
        <v>-0.1728626444495841</v>
      </c>
      <c r="O31" s="12"/>
      <c r="P31" s="7">
        <v>12870.09</v>
      </c>
      <c r="Q31" s="3"/>
      <c r="R31" s="8">
        <f t="shared" si="4"/>
        <v>2.8438595469354637E-3</v>
      </c>
      <c r="S31" s="3"/>
      <c r="T31" s="7">
        <v>13715.040704999999</v>
      </c>
      <c r="U31" s="3"/>
      <c r="V31" s="8">
        <f t="shared" si="5"/>
        <v>3.8914540645216206E-3</v>
      </c>
      <c r="W31" s="3"/>
      <c r="X31" s="7">
        <f t="shared" si="6"/>
        <v>-844.95070499999929</v>
      </c>
      <c r="Y31" s="3"/>
      <c r="Z31" s="8">
        <f t="shared" si="7"/>
        <v>-6.1607597321381727E-2</v>
      </c>
    </row>
    <row r="32" spans="1:26" s="70" customFormat="1" ht="15" hidden="1" customHeight="1" outlineLevel="2" x14ac:dyDescent="0.3">
      <c r="A32" s="26"/>
      <c r="B32" s="12" t="str">
        <f>CONCATENATE("          ","6116"," - ","EDUCATIONAL BENEFITS")</f>
        <v xml:space="preserve">          6116 - EDUCATIONAL BENEFITS</v>
      </c>
      <c r="C32" s="12"/>
      <c r="D32" s="7"/>
      <c r="E32" s="3"/>
      <c r="F32" s="8">
        <f t="shared" si="0"/>
        <v>0</v>
      </c>
      <c r="G32" s="3"/>
      <c r="H32" s="7">
        <v>0</v>
      </c>
      <c r="I32" s="3"/>
      <c r="J32" s="8">
        <f t="shared" si="1"/>
        <v>0</v>
      </c>
      <c r="K32" s="3"/>
      <c r="L32" s="7">
        <f t="shared" si="2"/>
        <v>0</v>
      </c>
      <c r="M32" s="3"/>
      <c r="N32" s="8">
        <f t="shared" si="3"/>
        <v>0</v>
      </c>
      <c r="O32" s="12"/>
      <c r="P32" s="7"/>
      <c r="Q32" s="3"/>
      <c r="R32" s="8">
        <f t="shared" si="4"/>
        <v>0</v>
      </c>
      <c r="S32" s="3"/>
      <c r="T32" s="7">
        <v>0</v>
      </c>
      <c r="U32" s="3"/>
      <c r="V32" s="8">
        <f t="shared" si="5"/>
        <v>0</v>
      </c>
      <c r="W32" s="3"/>
      <c r="X32" s="7">
        <f t="shared" si="6"/>
        <v>0</v>
      </c>
      <c r="Y32" s="3"/>
      <c r="Z32" s="8">
        <f t="shared" si="7"/>
        <v>0</v>
      </c>
    </row>
    <row r="33" spans="1:26" s="70" customFormat="1" ht="15" hidden="1" customHeight="1" outlineLevel="2" x14ac:dyDescent="0.3">
      <c r="A33" s="26"/>
      <c r="B33" s="12" t="str">
        <f>CONCATENATE("          ","6117"," - ","RETIREMENT STAFF HOURLY")</f>
        <v xml:space="preserve">          6117 - RETIREMENT STAFF HOURLY</v>
      </c>
      <c r="C33" s="12"/>
      <c r="D33" s="7">
        <v>509.94</v>
      </c>
      <c r="E33" s="3"/>
      <c r="F33" s="8">
        <f t="shared" si="0"/>
        <v>7.5423564235972196E-4</v>
      </c>
      <c r="G33" s="3"/>
      <c r="H33" s="7"/>
      <c r="I33" s="3"/>
      <c r="J33" s="8">
        <f t="shared" si="1"/>
        <v>0</v>
      </c>
      <c r="K33" s="3"/>
      <c r="L33" s="7">
        <f t="shared" si="2"/>
        <v>509.94</v>
      </c>
      <c r="M33" s="3"/>
      <c r="N33" s="8">
        <f t="shared" si="3"/>
        <v>0</v>
      </c>
      <c r="O33" s="12"/>
      <c r="P33" s="7">
        <v>4607.3100000000004</v>
      </c>
      <c r="Q33" s="3"/>
      <c r="R33" s="8">
        <f t="shared" si="4"/>
        <v>1.0180614532758693E-3</v>
      </c>
      <c r="S33" s="3"/>
      <c r="T33" s="7"/>
      <c r="U33" s="3"/>
      <c r="V33" s="8">
        <f t="shared" si="5"/>
        <v>0</v>
      </c>
      <c r="W33" s="3"/>
      <c r="X33" s="7">
        <f t="shared" si="6"/>
        <v>4607.3100000000004</v>
      </c>
      <c r="Y33" s="3"/>
      <c r="Z33" s="8">
        <f t="shared" si="7"/>
        <v>0</v>
      </c>
    </row>
    <row r="34" spans="1:26" s="70" customFormat="1" ht="15" hidden="1" customHeight="1" outlineLevel="2" x14ac:dyDescent="0.3">
      <c r="A34" s="26"/>
      <c r="B34" s="12" t="str">
        <f>CONCATENATE("          ","6118"," - ","VACATION")</f>
        <v xml:space="preserve">          6118 - VACATION</v>
      </c>
      <c r="C34" s="12"/>
      <c r="D34" s="7">
        <v>2337.8000000000002</v>
      </c>
      <c r="E34" s="3"/>
      <c r="F34" s="8">
        <f t="shared" si="0"/>
        <v>3.4577638245843791E-3</v>
      </c>
      <c r="G34" s="3"/>
      <c r="H34" s="7">
        <v>1967.9663307692299</v>
      </c>
      <c r="I34" s="3"/>
      <c r="J34" s="8">
        <f t="shared" si="1"/>
        <v>3.6811940343606992E-3</v>
      </c>
      <c r="K34" s="3"/>
      <c r="L34" s="7">
        <f t="shared" si="2"/>
        <v>369.83366923077028</v>
      </c>
      <c r="M34" s="3"/>
      <c r="N34" s="8">
        <f t="shared" si="3"/>
        <v>0.18792682753175527</v>
      </c>
      <c r="O34" s="12"/>
      <c r="P34" s="7">
        <v>24808.13</v>
      </c>
      <c r="Q34" s="3"/>
      <c r="R34" s="8">
        <f t="shared" si="4"/>
        <v>5.4817672092515347E-3</v>
      </c>
      <c r="S34" s="3"/>
      <c r="T34" s="7">
        <v>19187.671725</v>
      </c>
      <c r="U34" s="3"/>
      <c r="V34" s="8">
        <f t="shared" si="5"/>
        <v>5.4442378064351376E-3</v>
      </c>
      <c r="W34" s="3"/>
      <c r="X34" s="7">
        <f t="shared" si="6"/>
        <v>5620.4582750000009</v>
      </c>
      <c r="Y34" s="3"/>
      <c r="Z34" s="8">
        <f t="shared" si="7"/>
        <v>0.29292028525154479</v>
      </c>
    </row>
    <row r="35" spans="1:26" s="70" customFormat="1" ht="15" hidden="1" customHeight="1" outlineLevel="2" x14ac:dyDescent="0.3">
      <c r="A35" s="26"/>
      <c r="B35" s="12" t="str">
        <f>CONCATENATE("          ","6119"," - ","SICK LEAVE")</f>
        <v xml:space="preserve">          6119 - SICK LEAVE</v>
      </c>
      <c r="C35" s="12"/>
      <c r="D35" s="7">
        <v>1746.2</v>
      </c>
      <c r="E35" s="3"/>
      <c r="F35" s="8">
        <f t="shared" si="0"/>
        <v>2.5827475363543683E-3</v>
      </c>
      <c r="G35" s="3"/>
      <c r="H35" s="7">
        <v>4465.4543307692302</v>
      </c>
      <c r="I35" s="3"/>
      <c r="J35" s="8">
        <f t="shared" si="1"/>
        <v>8.3528887593887578E-3</v>
      </c>
      <c r="K35" s="3"/>
      <c r="L35" s="7">
        <f t="shared" si="2"/>
        <v>-2719.2543307692304</v>
      </c>
      <c r="M35" s="3"/>
      <c r="N35" s="8">
        <f t="shared" si="3"/>
        <v>-0.60895356426157987</v>
      </c>
      <c r="O35" s="12"/>
      <c r="P35" s="7">
        <v>17203.62</v>
      </c>
      <c r="Q35" s="3"/>
      <c r="R35" s="8">
        <f t="shared" si="4"/>
        <v>3.8014247747179607E-3</v>
      </c>
      <c r="S35" s="3"/>
      <c r="T35" s="7">
        <v>35582.800725000001</v>
      </c>
      <c r="U35" s="3"/>
      <c r="V35" s="8">
        <f t="shared" si="5"/>
        <v>1.0096130043411644E-2</v>
      </c>
      <c r="W35" s="3"/>
      <c r="X35" s="7">
        <f t="shared" si="6"/>
        <v>-18379.180725000002</v>
      </c>
      <c r="Y35" s="3"/>
      <c r="Z35" s="8">
        <f t="shared" si="7"/>
        <v>-0.51651866493148291</v>
      </c>
    </row>
    <row r="36" spans="1:26" s="70" customFormat="1" ht="15" hidden="1" customHeight="1" outlineLevel="2" x14ac:dyDescent="0.3">
      <c r="A36" s="26"/>
      <c r="B36" s="12" t="str">
        <f>CONCATENATE("          ","6156"," - ","EMPLOYEE MEALS")</f>
        <v xml:space="preserve">          6156 - EMPLOYEE MEALS</v>
      </c>
      <c r="C36" s="12"/>
      <c r="D36" s="7">
        <v>920.2</v>
      </c>
      <c r="E36" s="3"/>
      <c r="F36" s="8">
        <f t="shared" si="0"/>
        <v>1.361037843862839E-3</v>
      </c>
      <c r="G36" s="3"/>
      <c r="H36" s="7">
        <v>2275</v>
      </c>
      <c r="I36" s="3"/>
      <c r="J36" s="8">
        <f t="shared" si="1"/>
        <v>4.255518144407033E-3</v>
      </c>
      <c r="K36" s="3"/>
      <c r="L36" s="7">
        <f t="shared" si="2"/>
        <v>-1354.8</v>
      </c>
      <c r="M36" s="3"/>
      <c r="N36" s="8">
        <f t="shared" si="3"/>
        <v>-0.59551648351648345</v>
      </c>
      <c r="O36" s="12"/>
      <c r="P36" s="7">
        <v>8453.43</v>
      </c>
      <c r="Q36" s="3"/>
      <c r="R36" s="8">
        <f t="shared" si="4"/>
        <v>1.8679253688086608E-3</v>
      </c>
      <c r="S36" s="3"/>
      <c r="T36" s="7">
        <v>20475</v>
      </c>
      <c r="U36" s="3"/>
      <c r="V36" s="8">
        <f t="shared" si="5"/>
        <v>5.8094994892747701E-3</v>
      </c>
      <c r="W36" s="3"/>
      <c r="X36" s="7">
        <f t="shared" si="6"/>
        <v>-12021.57</v>
      </c>
      <c r="Y36" s="3"/>
      <c r="Z36" s="8">
        <f t="shared" si="7"/>
        <v>-0.58713406593406592</v>
      </c>
    </row>
    <row r="37" spans="1:26" s="69" customFormat="1" ht="15" customHeight="1" outlineLevel="1" collapsed="1" x14ac:dyDescent="0.3">
      <c r="A37" s="25"/>
      <c r="B37" s="14" t="str">
        <f>CONCATENATE("     ","*Payroll                                          ")</f>
        <v xml:space="preserve">     *Payroll                                          </v>
      </c>
      <c r="C37" s="14"/>
      <c r="D37" s="2">
        <f>SUM(OSRRefD22_1x_0)</f>
        <v>115281.98000000001</v>
      </c>
      <c r="E37" s="2"/>
      <c r="F37" s="6">
        <f t="shared" si="0"/>
        <v>0.17050982122955766</v>
      </c>
      <c r="G37" s="2"/>
      <c r="H37" s="2">
        <f>SUM(OSRRefH22_1x_0)</f>
        <v>126673.3610307692</v>
      </c>
      <c r="I37" s="2"/>
      <c r="J37" s="6">
        <f t="shared" si="1"/>
        <v>0.2369497961667961</v>
      </c>
      <c r="K37" s="2"/>
      <c r="L37" s="2">
        <f t="shared" si="2"/>
        <v>-11391.381030769189</v>
      </c>
      <c r="M37" s="2"/>
      <c r="N37" s="6">
        <f t="shared" si="3"/>
        <v>-8.9927202831558251E-2</v>
      </c>
      <c r="O37" s="14"/>
      <c r="P37" s="2">
        <f>SUM(OSRRefP22_1x_0)</f>
        <v>829983.90999999992</v>
      </c>
      <c r="Q37" s="2"/>
      <c r="R37" s="6">
        <f t="shared" si="4"/>
        <v>0.18339869155975788</v>
      </c>
      <c r="S37" s="2"/>
      <c r="T37" s="2">
        <f>SUM(OSRRefT22_1x_0)</f>
        <v>977841.34904999996</v>
      </c>
      <c r="U37" s="2"/>
      <c r="V37" s="6">
        <f t="shared" si="5"/>
        <v>0.27744902651515152</v>
      </c>
      <c r="W37" s="2"/>
      <c r="X37" s="2">
        <f t="shared" si="6"/>
        <v>-147857.43905000004</v>
      </c>
      <c r="Y37" s="2"/>
      <c r="Z37" s="6">
        <f t="shared" si="7"/>
        <v>-0.15120800444125998</v>
      </c>
    </row>
    <row r="38" spans="1:26" s="70" customFormat="1" ht="15" hidden="1" customHeight="1" outlineLevel="2" x14ac:dyDescent="0.3">
      <c r="A38" s="26"/>
      <c r="B38" s="12" t="str">
        <f>CONCATENATE("          ","6001"," - ","ADMINISTRATIVE SALARIES")</f>
        <v xml:space="preserve">          6001 - ADMINISTRATIVE SALARIES</v>
      </c>
      <c r="C38" s="12"/>
      <c r="D38" s="7"/>
      <c r="E38" s="3"/>
      <c r="F38" s="8">
        <f t="shared" si="0"/>
        <v>0</v>
      </c>
      <c r="G38" s="3"/>
      <c r="H38" s="7">
        <v>0</v>
      </c>
      <c r="I38" s="3"/>
      <c r="J38" s="8">
        <f t="shared" si="1"/>
        <v>0</v>
      </c>
      <c r="K38" s="3"/>
      <c r="L38" s="7">
        <f t="shared" si="2"/>
        <v>0</v>
      </c>
      <c r="M38" s="3"/>
      <c r="N38" s="8">
        <f t="shared" si="3"/>
        <v>0</v>
      </c>
      <c r="O38" s="12"/>
      <c r="P38" s="7"/>
      <c r="Q38" s="3"/>
      <c r="R38" s="8">
        <f t="shared" si="4"/>
        <v>0</v>
      </c>
      <c r="S38" s="3"/>
      <c r="T38" s="7">
        <v>0</v>
      </c>
      <c r="U38" s="3"/>
      <c r="V38" s="8">
        <f t="shared" si="5"/>
        <v>0</v>
      </c>
      <c r="W38" s="3"/>
      <c r="X38" s="7">
        <f t="shared" si="6"/>
        <v>0</v>
      </c>
      <c r="Y38" s="3"/>
      <c r="Z38" s="8">
        <f t="shared" si="7"/>
        <v>0</v>
      </c>
    </row>
    <row r="39" spans="1:26" s="70" customFormat="1" ht="15" hidden="1" customHeight="1" outlineLevel="2" x14ac:dyDescent="0.3">
      <c r="A39" s="26"/>
      <c r="B39" s="12" t="str">
        <f>CONCATENATE("          ","6002"," - ","STAFF SALARIES")</f>
        <v xml:space="preserve">          6002 - STAFF SALARIES</v>
      </c>
      <c r="C39" s="12"/>
      <c r="D39" s="7">
        <v>12189.06</v>
      </c>
      <c r="E39" s="3"/>
      <c r="F39" s="8">
        <f t="shared" si="0"/>
        <v>1.8028441579129296E-2</v>
      </c>
      <c r="G39" s="3"/>
      <c r="H39" s="7">
        <v>15375.239430769199</v>
      </c>
      <c r="I39" s="3"/>
      <c r="J39" s="8">
        <f t="shared" si="1"/>
        <v>2.8760268295490461E-2</v>
      </c>
      <c r="K39" s="3"/>
      <c r="L39" s="7">
        <f t="shared" si="2"/>
        <v>-3186.1794307691998</v>
      </c>
      <c r="M39" s="3"/>
      <c r="N39" s="8">
        <f t="shared" si="3"/>
        <v>-0.20722795538344344</v>
      </c>
      <c r="O39" s="12"/>
      <c r="P39" s="7">
        <v>142258.07999999999</v>
      </c>
      <c r="Q39" s="3"/>
      <c r="R39" s="8">
        <f t="shared" si="4"/>
        <v>3.1434278931748647E-2</v>
      </c>
      <c r="S39" s="3"/>
      <c r="T39" s="7">
        <v>149908.58444999999</v>
      </c>
      <c r="U39" s="3"/>
      <c r="V39" s="8">
        <f t="shared" si="5"/>
        <v>4.2534497914538644E-2</v>
      </c>
      <c r="W39" s="3"/>
      <c r="X39" s="7">
        <f t="shared" si="6"/>
        <v>-7650.5044500000076</v>
      </c>
      <c r="Y39" s="3"/>
      <c r="Z39" s="8">
        <f t="shared" si="7"/>
        <v>-5.1034465291423865E-2</v>
      </c>
    </row>
    <row r="40" spans="1:26" s="70" customFormat="1" ht="15" hidden="1" customHeight="1" outlineLevel="2" x14ac:dyDescent="0.3">
      <c r="A40" s="26"/>
      <c r="B40" s="12" t="str">
        <f>CONCATENATE("          ","6003"," - ","STAFF HOURLY-9 MONTH")</f>
        <v xml:space="preserve">          6003 - STAFF HOURLY-9 MONTH</v>
      </c>
      <c r="C40" s="12"/>
      <c r="D40" s="7"/>
      <c r="E40" s="3"/>
      <c r="F40" s="8">
        <f t="shared" si="0"/>
        <v>0</v>
      </c>
      <c r="G40" s="3"/>
      <c r="H40" s="7">
        <v>0</v>
      </c>
      <c r="I40" s="3"/>
      <c r="J40" s="8">
        <f t="shared" si="1"/>
        <v>0</v>
      </c>
      <c r="K40" s="3"/>
      <c r="L40" s="7">
        <f t="shared" si="2"/>
        <v>0</v>
      </c>
      <c r="M40" s="3"/>
      <c r="N40" s="8">
        <f t="shared" si="3"/>
        <v>0</v>
      </c>
      <c r="O40" s="12"/>
      <c r="P40" s="7"/>
      <c r="Q40" s="3"/>
      <c r="R40" s="8">
        <f t="shared" si="4"/>
        <v>0</v>
      </c>
      <c r="S40" s="3"/>
      <c r="T40" s="7">
        <v>0</v>
      </c>
      <c r="U40" s="3"/>
      <c r="V40" s="8">
        <f t="shared" si="5"/>
        <v>0</v>
      </c>
      <c r="W40" s="3"/>
      <c r="X40" s="7">
        <f t="shared" si="6"/>
        <v>0</v>
      </c>
      <c r="Y40" s="3"/>
      <c r="Z40" s="8">
        <f t="shared" si="7"/>
        <v>0</v>
      </c>
    </row>
    <row r="41" spans="1:26" s="70" customFormat="1" ht="15" hidden="1" customHeight="1" outlineLevel="2" x14ac:dyDescent="0.3">
      <c r="A41" s="26"/>
      <c r="B41" s="12" t="str">
        <f>CONCATENATE("          ","6004"," - ","STAFF HOURLY")</f>
        <v xml:space="preserve">          6004 - STAFF HOURLY</v>
      </c>
      <c r="C41" s="12"/>
      <c r="D41" s="7">
        <v>21492.16</v>
      </c>
      <c r="E41" s="3"/>
      <c r="F41" s="8">
        <f t="shared" si="0"/>
        <v>3.1788353734356831E-2</v>
      </c>
      <c r="G41" s="3"/>
      <c r="H41" s="7">
        <v>26709.4656</v>
      </c>
      <c r="I41" s="3"/>
      <c r="J41" s="8">
        <f t="shared" si="1"/>
        <v>4.9961589225589222E-2</v>
      </c>
      <c r="K41" s="3"/>
      <c r="L41" s="7">
        <f t="shared" si="2"/>
        <v>-5217.3055999999997</v>
      </c>
      <c r="M41" s="3"/>
      <c r="N41" s="8">
        <f t="shared" si="3"/>
        <v>-0.19533545440909159</v>
      </c>
      <c r="O41" s="12"/>
      <c r="P41" s="7">
        <v>250055.86</v>
      </c>
      <c r="Q41" s="3"/>
      <c r="R41" s="8">
        <f t="shared" si="4"/>
        <v>5.5253983828252771E-2</v>
      </c>
      <c r="S41" s="3"/>
      <c r="T41" s="7">
        <v>260417.28959999999</v>
      </c>
      <c r="U41" s="3"/>
      <c r="V41" s="8">
        <f t="shared" si="5"/>
        <v>7.3889822267620017E-2</v>
      </c>
      <c r="W41" s="3"/>
      <c r="X41" s="7">
        <f t="shared" si="6"/>
        <v>-10361.429600000003</v>
      </c>
      <c r="Y41" s="3"/>
      <c r="Z41" s="8">
        <f t="shared" si="7"/>
        <v>-3.9787794489049177E-2</v>
      </c>
    </row>
    <row r="42" spans="1:26" s="70" customFormat="1" ht="15" hidden="1" customHeight="1" outlineLevel="2" x14ac:dyDescent="0.3">
      <c r="A42" s="26"/>
      <c r="B42" s="12" t="str">
        <f>CONCATENATE("          ","6005"," - ","TEMPORARY WAGES-HOURLY")</f>
        <v xml:space="preserve">          6005 - TEMPORARY WAGES-HOURLY</v>
      </c>
      <c r="C42" s="12"/>
      <c r="D42" s="7">
        <v>12810.28</v>
      </c>
      <c r="E42" s="3"/>
      <c r="F42" s="8">
        <f t="shared" si="0"/>
        <v>1.8947267844467781E-2</v>
      </c>
      <c r="G42" s="3"/>
      <c r="H42" s="7">
        <v>17834.419999999998</v>
      </c>
      <c r="I42" s="3"/>
      <c r="J42" s="8">
        <f t="shared" si="1"/>
        <v>3.336030677141788E-2</v>
      </c>
      <c r="K42" s="3"/>
      <c r="L42" s="7">
        <f t="shared" si="2"/>
        <v>-5024.1399999999976</v>
      </c>
      <c r="M42" s="3"/>
      <c r="N42" s="8">
        <f t="shared" si="3"/>
        <v>-0.2817103107362055</v>
      </c>
      <c r="O42" s="12"/>
      <c r="P42" s="7">
        <v>150404.26</v>
      </c>
      <c r="Q42" s="3"/>
      <c r="R42" s="8">
        <f t="shared" si="4"/>
        <v>3.323431232421558E-2</v>
      </c>
      <c r="S42" s="3"/>
      <c r="T42" s="7">
        <v>126649.505</v>
      </c>
      <c r="U42" s="3"/>
      <c r="V42" s="8">
        <f t="shared" si="5"/>
        <v>3.5935054193621613E-2</v>
      </c>
      <c r="W42" s="3"/>
      <c r="X42" s="7">
        <f t="shared" si="6"/>
        <v>23754.755000000005</v>
      </c>
      <c r="Y42" s="3"/>
      <c r="Z42" s="8">
        <f t="shared" si="7"/>
        <v>0.18756295178571764</v>
      </c>
    </row>
    <row r="43" spans="1:26" s="70" customFormat="1" ht="15" hidden="1" customHeight="1" outlineLevel="2" x14ac:dyDescent="0.3">
      <c r="A43" s="26"/>
      <c r="B43" s="12" t="str">
        <f>CONCATENATE("          ","6006"," - ","TEMPORARY PART TIME")</f>
        <v xml:space="preserve">          6006 - TEMPORARY PART TIME</v>
      </c>
      <c r="C43" s="12"/>
      <c r="D43" s="7">
        <v>1540.2</v>
      </c>
      <c r="E43" s="3"/>
      <c r="F43" s="8">
        <f t="shared" si="0"/>
        <v>2.2780596469436478E-3</v>
      </c>
      <c r="G43" s="3"/>
      <c r="H43" s="7">
        <v>0</v>
      </c>
      <c r="I43" s="3"/>
      <c r="J43" s="8">
        <f t="shared" si="1"/>
        <v>0</v>
      </c>
      <c r="K43" s="3"/>
      <c r="L43" s="7">
        <f t="shared" si="2"/>
        <v>1540.2</v>
      </c>
      <c r="M43" s="3"/>
      <c r="N43" s="8">
        <f t="shared" si="3"/>
        <v>0</v>
      </c>
      <c r="O43" s="12"/>
      <c r="P43" s="7">
        <v>2184.8000000000002</v>
      </c>
      <c r="Q43" s="3"/>
      <c r="R43" s="8">
        <f t="shared" si="4"/>
        <v>4.8276774584673468E-4</v>
      </c>
      <c r="S43" s="3"/>
      <c r="T43" s="7">
        <v>0</v>
      </c>
      <c r="U43" s="3"/>
      <c r="V43" s="8">
        <f t="shared" si="5"/>
        <v>0</v>
      </c>
      <c r="W43" s="3"/>
      <c r="X43" s="7">
        <f t="shared" si="6"/>
        <v>2184.8000000000002</v>
      </c>
      <c r="Y43" s="3"/>
      <c r="Z43" s="8">
        <f t="shared" si="7"/>
        <v>0</v>
      </c>
    </row>
    <row r="44" spans="1:26" s="70" customFormat="1" ht="15" hidden="1" customHeight="1" outlineLevel="2" x14ac:dyDescent="0.3">
      <c r="A44" s="26"/>
      <c r="B44" s="12" t="str">
        <f>CONCATENATE("          ","6007"," - ","STUDENT HOURLY")</f>
        <v xml:space="preserve">          6007 - STUDENT HOURLY</v>
      </c>
      <c r="C44" s="12"/>
      <c r="D44" s="7">
        <v>52906.65</v>
      </c>
      <c r="E44" s="3"/>
      <c r="F44" s="8">
        <f t="shared" si="0"/>
        <v>7.8252502545105282E-2</v>
      </c>
      <c r="G44" s="3"/>
      <c r="H44" s="7">
        <v>0</v>
      </c>
      <c r="I44" s="3"/>
      <c r="J44" s="8">
        <f t="shared" si="1"/>
        <v>0</v>
      </c>
      <c r="K44" s="3"/>
      <c r="L44" s="7">
        <f t="shared" si="2"/>
        <v>52906.65</v>
      </c>
      <c r="M44" s="3"/>
      <c r="N44" s="8">
        <f t="shared" si="3"/>
        <v>0</v>
      </c>
      <c r="O44" s="12"/>
      <c r="P44" s="7">
        <v>207668.73</v>
      </c>
      <c r="Q44" s="3"/>
      <c r="R44" s="8">
        <f t="shared" si="4"/>
        <v>4.5887845416035411E-2</v>
      </c>
      <c r="S44" s="3"/>
      <c r="T44" s="7">
        <v>30264</v>
      </c>
      <c r="U44" s="3"/>
      <c r="V44" s="8">
        <f t="shared" si="5"/>
        <v>8.5869935308137552E-3</v>
      </c>
      <c r="W44" s="3"/>
      <c r="X44" s="7">
        <f t="shared" si="6"/>
        <v>177404.73</v>
      </c>
      <c r="Y44" s="3"/>
      <c r="Z44" s="8">
        <f t="shared" si="7"/>
        <v>5.8619062252180809</v>
      </c>
    </row>
    <row r="45" spans="1:26" s="70" customFormat="1" ht="15" hidden="1" customHeight="1" outlineLevel="2" x14ac:dyDescent="0.3">
      <c r="A45" s="26"/>
      <c r="B45" s="12" t="str">
        <f>CONCATENATE("          ","6008"," - ","STUDENT HOURLY-FICA EXEMPT")</f>
        <v xml:space="preserve">          6008 - STUDENT HOURLY-FICA EXEMPT</v>
      </c>
      <c r="C45" s="12"/>
      <c r="D45" s="7">
        <v>14343.63</v>
      </c>
      <c r="E45" s="3"/>
      <c r="F45" s="8">
        <f t="shared" si="0"/>
        <v>2.1215195879554807E-2</v>
      </c>
      <c r="G45" s="3"/>
      <c r="H45" s="7">
        <v>66754.236000000004</v>
      </c>
      <c r="I45" s="3"/>
      <c r="J45" s="8">
        <f t="shared" si="1"/>
        <v>0.12486763187429854</v>
      </c>
      <c r="K45" s="3"/>
      <c r="L45" s="7">
        <f t="shared" si="2"/>
        <v>-52410.606000000007</v>
      </c>
      <c r="M45" s="3"/>
      <c r="N45" s="8">
        <f t="shared" si="3"/>
        <v>-0.7851277932384696</v>
      </c>
      <c r="O45" s="12"/>
      <c r="P45" s="7">
        <v>77412.179999999993</v>
      </c>
      <c r="Q45" s="3"/>
      <c r="R45" s="8">
        <f t="shared" si="4"/>
        <v>1.7105503313658767E-2</v>
      </c>
      <c r="S45" s="3"/>
      <c r="T45" s="7">
        <v>410601.97</v>
      </c>
      <c r="U45" s="3"/>
      <c r="V45" s="8">
        <f t="shared" si="5"/>
        <v>0.11650265860855748</v>
      </c>
      <c r="W45" s="3"/>
      <c r="X45" s="7">
        <f t="shared" si="6"/>
        <v>-333189.78999999998</v>
      </c>
      <c r="Y45" s="3"/>
      <c r="Z45" s="8">
        <f t="shared" si="7"/>
        <v>-0.81146661327513847</v>
      </c>
    </row>
    <row r="46" spans="1:26" s="70" customFormat="1" ht="15" hidden="1" customHeight="1" outlineLevel="2" x14ac:dyDescent="0.3">
      <c r="A46" s="26"/>
      <c r="B46" s="12" t="str">
        <f>CONCATENATE("          ","6009"," - ","TEMPORARY-SEASONAL")</f>
        <v xml:space="preserve">          6009 - TEMPORARY-SEASONAL</v>
      </c>
      <c r="C46" s="12"/>
      <c r="D46" s="7"/>
      <c r="E46" s="3"/>
      <c r="F46" s="8">
        <f t="shared" si="0"/>
        <v>0</v>
      </c>
      <c r="G46" s="3"/>
      <c r="H46" s="7">
        <v>0</v>
      </c>
      <c r="I46" s="3"/>
      <c r="J46" s="8">
        <f t="shared" si="1"/>
        <v>0</v>
      </c>
      <c r="K46" s="3"/>
      <c r="L46" s="7">
        <f t="shared" si="2"/>
        <v>0</v>
      </c>
      <c r="M46" s="3"/>
      <c r="N46" s="8">
        <f t="shared" si="3"/>
        <v>0</v>
      </c>
      <c r="O46" s="12"/>
      <c r="P46" s="7"/>
      <c r="Q46" s="3"/>
      <c r="R46" s="8">
        <f t="shared" si="4"/>
        <v>0</v>
      </c>
      <c r="S46" s="3"/>
      <c r="T46" s="7">
        <v>0</v>
      </c>
      <c r="U46" s="3"/>
      <c r="V46" s="8">
        <f t="shared" si="5"/>
        <v>0</v>
      </c>
      <c r="W46" s="3"/>
      <c r="X46" s="7">
        <f t="shared" si="6"/>
        <v>0</v>
      </c>
      <c r="Y46" s="3"/>
      <c r="Z46" s="8">
        <f t="shared" si="7"/>
        <v>0</v>
      </c>
    </row>
    <row r="47" spans="1:26" s="70" customFormat="1" ht="15" hidden="1" customHeight="1" outlineLevel="2" x14ac:dyDescent="0.3">
      <c r="A47" s="26"/>
      <c r="B47" s="12" t="str">
        <f>CONCATENATE("          ","6010"," - ","GRATUITY")</f>
        <v xml:space="preserve">          6010 - GRATUITY</v>
      </c>
      <c r="C47" s="12"/>
      <c r="D47" s="7"/>
      <c r="E47" s="3"/>
      <c r="F47" s="8">
        <f t="shared" si="0"/>
        <v>0</v>
      </c>
      <c r="G47" s="3"/>
      <c r="H47" s="7">
        <v>0</v>
      </c>
      <c r="I47" s="3"/>
      <c r="J47" s="8">
        <f t="shared" si="1"/>
        <v>0</v>
      </c>
      <c r="K47" s="3"/>
      <c r="L47" s="7">
        <f t="shared" si="2"/>
        <v>0</v>
      </c>
      <c r="M47" s="3"/>
      <c r="N47" s="8">
        <f t="shared" si="3"/>
        <v>0</v>
      </c>
      <c r="O47" s="12"/>
      <c r="P47" s="7"/>
      <c r="Q47" s="3"/>
      <c r="R47" s="8">
        <f t="shared" si="4"/>
        <v>0</v>
      </c>
      <c r="S47" s="3"/>
      <c r="T47" s="7">
        <v>0</v>
      </c>
      <c r="U47" s="3"/>
      <c r="V47" s="8">
        <f t="shared" si="5"/>
        <v>0</v>
      </c>
      <c r="W47" s="3"/>
      <c r="X47" s="7">
        <f t="shared" si="6"/>
        <v>0</v>
      </c>
      <c r="Y47" s="3"/>
      <c r="Z47" s="8">
        <f t="shared" si="7"/>
        <v>0</v>
      </c>
    </row>
    <row r="48" spans="1:26" s="69" customFormat="1" ht="15" customHeight="1" outlineLevel="1" collapsed="1" x14ac:dyDescent="0.3">
      <c r="A48" s="25"/>
      <c r="B48" s="14" t="str">
        <f>CONCATENATE("     ","Advertising/Promo                                 ")</f>
        <v xml:space="preserve">     Advertising/Promo                                 </v>
      </c>
      <c r="C48" s="14"/>
      <c r="D48" s="2">
        <f>SUM(OSRRefD22_2x_0)</f>
        <v>42.16</v>
      </c>
      <c r="E48" s="2"/>
      <c r="F48" s="6">
        <f t="shared" si="0"/>
        <v>6.2357482609494996E-5</v>
      </c>
      <c r="G48" s="2"/>
      <c r="H48" s="2">
        <f>SUM(OSRRefH22_2x_0)</f>
        <v>369</v>
      </c>
      <c r="I48" s="2"/>
      <c r="J48" s="6">
        <f t="shared" si="1"/>
        <v>6.902356902356902E-4</v>
      </c>
      <c r="K48" s="2"/>
      <c r="L48" s="2">
        <f t="shared" si="2"/>
        <v>-326.84000000000003</v>
      </c>
      <c r="M48" s="2"/>
      <c r="N48" s="6">
        <f t="shared" si="3"/>
        <v>-0.8857452574525746</v>
      </c>
      <c r="O48" s="14"/>
      <c r="P48" s="2">
        <f>SUM(OSRRefP22_2x_0)</f>
        <v>1079.8499999999999</v>
      </c>
      <c r="Q48" s="2"/>
      <c r="R48" s="6">
        <f t="shared" si="4"/>
        <v>2.3861074256343662E-4</v>
      </c>
      <c r="S48" s="2"/>
      <c r="T48" s="2">
        <f>SUM(OSRRefT22_2x_0)</f>
        <v>3321</v>
      </c>
      <c r="U48" s="2"/>
      <c r="V48" s="6">
        <f t="shared" si="5"/>
        <v>9.4228804902962205E-4</v>
      </c>
      <c r="W48" s="2"/>
      <c r="X48" s="2">
        <f t="shared" si="6"/>
        <v>-2241.15</v>
      </c>
      <c r="Y48" s="2"/>
      <c r="Z48" s="6">
        <f t="shared" si="7"/>
        <v>-0.67484191508581759</v>
      </c>
    </row>
    <row r="49" spans="1:26" s="70" customFormat="1" ht="15" hidden="1" customHeight="1" outlineLevel="2" x14ac:dyDescent="0.3">
      <c r="A49" s="26"/>
      <c r="B49" s="12" t="str">
        <f>CONCATENATE("          ","6362"," - ","ADVERTISING EXPENSE")</f>
        <v xml:space="preserve">          6362 - ADVERTISING EXPENSE</v>
      </c>
      <c r="C49" s="12"/>
      <c r="D49" s="7">
        <v>42.16</v>
      </c>
      <c r="E49" s="3"/>
      <c r="F49" s="8">
        <f t="shared" si="0"/>
        <v>6.2357482609494996E-5</v>
      </c>
      <c r="G49" s="3"/>
      <c r="H49" s="7">
        <v>369</v>
      </c>
      <c r="I49" s="3"/>
      <c r="J49" s="8">
        <f t="shared" si="1"/>
        <v>6.902356902356902E-4</v>
      </c>
      <c r="K49" s="3"/>
      <c r="L49" s="7">
        <f t="shared" si="2"/>
        <v>-326.84000000000003</v>
      </c>
      <c r="M49" s="3"/>
      <c r="N49" s="8">
        <f t="shared" si="3"/>
        <v>-0.8857452574525746</v>
      </c>
      <c r="O49" s="12"/>
      <c r="P49" s="7">
        <v>1079.8499999999999</v>
      </c>
      <c r="Q49" s="3"/>
      <c r="R49" s="8">
        <f t="shared" si="4"/>
        <v>2.3861074256343662E-4</v>
      </c>
      <c r="S49" s="3"/>
      <c r="T49" s="7">
        <v>3321</v>
      </c>
      <c r="U49" s="3"/>
      <c r="V49" s="8">
        <f t="shared" si="5"/>
        <v>9.4228804902962205E-4</v>
      </c>
      <c r="W49" s="3"/>
      <c r="X49" s="7">
        <f t="shared" si="6"/>
        <v>-2241.15</v>
      </c>
      <c r="Y49" s="3"/>
      <c r="Z49" s="8">
        <f t="shared" si="7"/>
        <v>-0.67484191508581759</v>
      </c>
    </row>
    <row r="50" spans="1:26" s="69" customFormat="1" ht="15" customHeight="1" outlineLevel="1" collapsed="1" x14ac:dyDescent="0.3">
      <c r="A50" s="25"/>
      <c r="B50" s="14" t="str">
        <f>CONCATENATE("     ","Bad Debts/Over/Short                              ")</f>
        <v xml:space="preserve">     Bad Debts/Over/Short                              </v>
      </c>
      <c r="C50" s="14"/>
      <c r="D50" s="2">
        <f>SUM(OSRRefD22_3x_0)</f>
        <v>0</v>
      </c>
      <c r="E50" s="2"/>
      <c r="F50" s="6">
        <f t="shared" si="0"/>
        <v>0</v>
      </c>
      <c r="G50" s="2"/>
      <c r="H50" s="2">
        <f>SUM(OSRRefH22_3x_0)</f>
        <v>8</v>
      </c>
      <c r="I50" s="2"/>
      <c r="J50" s="6">
        <f t="shared" si="1"/>
        <v>1.4964459408903853E-5</v>
      </c>
      <c r="K50" s="2"/>
      <c r="L50" s="2">
        <f t="shared" si="2"/>
        <v>-8</v>
      </c>
      <c r="M50" s="2"/>
      <c r="N50" s="6">
        <f t="shared" si="3"/>
        <v>-1</v>
      </c>
      <c r="O50" s="14"/>
      <c r="P50" s="2">
        <f>SUM(OSRRefP22_3x_0)</f>
        <v>0</v>
      </c>
      <c r="Q50" s="2"/>
      <c r="R50" s="6">
        <f t="shared" si="4"/>
        <v>0</v>
      </c>
      <c r="S50" s="2"/>
      <c r="T50" s="2">
        <f>SUM(OSRRefT22_3x_0)</f>
        <v>64</v>
      </c>
      <c r="U50" s="2"/>
      <c r="V50" s="6">
        <f t="shared" si="5"/>
        <v>1.8159119282714789E-5</v>
      </c>
      <c r="W50" s="2"/>
      <c r="X50" s="2">
        <f t="shared" si="6"/>
        <v>-64</v>
      </c>
      <c r="Y50" s="2"/>
      <c r="Z50" s="6">
        <f t="shared" si="7"/>
        <v>-1</v>
      </c>
    </row>
    <row r="51" spans="1:26" s="70" customFormat="1" ht="15" hidden="1" customHeight="1" outlineLevel="2" x14ac:dyDescent="0.3">
      <c r="A51" s="26"/>
      <c r="B51" s="12" t="str">
        <f>CONCATENATE("          ","6272"," - ","CASH (OVER/SHORT)")</f>
        <v xml:space="preserve">          6272 - CASH (OVER/SHORT)</v>
      </c>
      <c r="C51" s="12"/>
      <c r="D51" s="7"/>
      <c r="E51" s="3"/>
      <c r="F51" s="8">
        <f t="shared" si="0"/>
        <v>0</v>
      </c>
      <c r="G51" s="3"/>
      <c r="H51" s="7">
        <v>8</v>
      </c>
      <c r="I51" s="3"/>
      <c r="J51" s="8">
        <f t="shared" si="1"/>
        <v>1.4964459408903853E-5</v>
      </c>
      <c r="K51" s="3"/>
      <c r="L51" s="7">
        <f t="shared" si="2"/>
        <v>-8</v>
      </c>
      <c r="M51" s="3"/>
      <c r="N51" s="8">
        <f t="shared" si="3"/>
        <v>-1</v>
      </c>
      <c r="O51" s="12"/>
      <c r="P51" s="7">
        <v>0</v>
      </c>
      <c r="Q51" s="3"/>
      <c r="R51" s="8">
        <f t="shared" si="4"/>
        <v>0</v>
      </c>
      <c r="S51" s="3"/>
      <c r="T51" s="7">
        <v>64</v>
      </c>
      <c r="U51" s="3"/>
      <c r="V51" s="8">
        <f t="shared" si="5"/>
        <v>1.8159119282714789E-5</v>
      </c>
      <c r="W51" s="3"/>
      <c r="X51" s="7">
        <f t="shared" si="6"/>
        <v>-64</v>
      </c>
      <c r="Y51" s="3"/>
      <c r="Z51" s="8">
        <f t="shared" si="7"/>
        <v>-1</v>
      </c>
    </row>
    <row r="52" spans="1:26" s="69" customFormat="1" ht="15" customHeight="1" outlineLevel="1" collapsed="1" x14ac:dyDescent="0.3">
      <c r="A52" s="25"/>
      <c r="B52" s="14" t="str">
        <f>CONCATENATE("     ","Bank/card Fees                                    ")</f>
        <v xml:space="preserve">     Bank/card Fees                                    </v>
      </c>
      <c r="C52" s="14"/>
      <c r="D52" s="2">
        <f>SUM(OSRRefD22_4x_0)</f>
        <v>65.34</v>
      </c>
      <c r="E52" s="2"/>
      <c r="F52" s="6">
        <f t="shared" si="0"/>
        <v>9.6642265505322657E-5</v>
      </c>
      <c r="G52" s="2"/>
      <c r="H52" s="2">
        <f>SUM(OSRRefH22_4x_0)</f>
        <v>135</v>
      </c>
      <c r="I52" s="2"/>
      <c r="J52" s="6">
        <f t="shared" si="1"/>
        <v>2.5252525252525253E-4</v>
      </c>
      <c r="K52" s="2"/>
      <c r="L52" s="2">
        <f t="shared" si="2"/>
        <v>-69.66</v>
      </c>
      <c r="M52" s="2"/>
      <c r="N52" s="6">
        <f t="shared" si="3"/>
        <v>-0.51600000000000001</v>
      </c>
      <c r="O52" s="14"/>
      <c r="P52" s="2">
        <f>SUM(OSRRefP22_4x_0)</f>
        <v>490.33</v>
      </c>
      <c r="Q52" s="2"/>
      <c r="R52" s="6">
        <f t="shared" si="4"/>
        <v>1.0834653461233495E-4</v>
      </c>
      <c r="S52" s="2"/>
      <c r="T52" s="2">
        <f>SUM(OSRRefT22_4x_0)</f>
        <v>1215</v>
      </c>
      <c r="U52" s="2"/>
      <c r="V52" s="6">
        <f t="shared" si="5"/>
        <v>3.4473953013278857E-4</v>
      </c>
      <c r="W52" s="2"/>
      <c r="X52" s="2">
        <f t="shared" si="6"/>
        <v>-724.67000000000007</v>
      </c>
      <c r="Y52" s="2"/>
      <c r="Z52" s="6">
        <f t="shared" si="7"/>
        <v>-0.5964362139917696</v>
      </c>
    </row>
    <row r="53" spans="1:26" s="70" customFormat="1" ht="15" hidden="1" customHeight="1" outlineLevel="2" x14ac:dyDescent="0.3">
      <c r="A53" s="26"/>
      <c r="B53" s="12" t="str">
        <f>CONCATENATE("          ","6381"," - ","BANK/CREDIT CARD FEES")</f>
        <v xml:space="preserve">          6381 - BANK/CREDIT CARD FEES</v>
      </c>
      <c r="C53" s="12"/>
      <c r="D53" s="7">
        <v>65.34</v>
      </c>
      <c r="E53" s="3"/>
      <c r="F53" s="8">
        <f t="shared" si="0"/>
        <v>9.6642265505322657E-5</v>
      </c>
      <c r="G53" s="3"/>
      <c r="H53" s="7">
        <v>135</v>
      </c>
      <c r="I53" s="3"/>
      <c r="J53" s="8">
        <f t="shared" si="1"/>
        <v>2.5252525252525253E-4</v>
      </c>
      <c r="K53" s="3"/>
      <c r="L53" s="7">
        <f t="shared" si="2"/>
        <v>-69.66</v>
      </c>
      <c r="M53" s="3"/>
      <c r="N53" s="8">
        <f t="shared" si="3"/>
        <v>-0.51600000000000001</v>
      </c>
      <c r="O53" s="12"/>
      <c r="P53" s="7">
        <v>490.33</v>
      </c>
      <c r="Q53" s="3"/>
      <c r="R53" s="8">
        <f t="shared" si="4"/>
        <v>1.0834653461233495E-4</v>
      </c>
      <c r="S53" s="3"/>
      <c r="T53" s="7">
        <v>1215</v>
      </c>
      <c r="U53" s="3"/>
      <c r="V53" s="8">
        <f t="shared" si="5"/>
        <v>3.4473953013278857E-4</v>
      </c>
      <c r="W53" s="3"/>
      <c r="X53" s="7">
        <f t="shared" si="6"/>
        <v>-724.67000000000007</v>
      </c>
      <c r="Y53" s="3"/>
      <c r="Z53" s="8">
        <f t="shared" si="7"/>
        <v>-0.5964362139917696</v>
      </c>
    </row>
    <row r="54" spans="1:26" s="69" customFormat="1" ht="15" customHeight="1" outlineLevel="1" collapsed="1" x14ac:dyDescent="0.3">
      <c r="A54" s="25"/>
      <c r="B54" s="14" t="str">
        <f>CONCATENATE("     ","Depreciation                                      ")</f>
        <v xml:space="preserve">     Depreciation                                      </v>
      </c>
      <c r="C54" s="14"/>
      <c r="D54" s="2">
        <f>SUM(OSRRefD22_5x_0)</f>
        <v>273.51</v>
      </c>
      <c r="E54" s="2"/>
      <c r="F54" s="6">
        <f t="shared" si="0"/>
        <v>4.0453973122682582E-4</v>
      </c>
      <c r="G54" s="2"/>
      <c r="H54" s="2">
        <f>SUM(OSRRefH22_5x_0)</f>
        <v>273</v>
      </c>
      <c r="I54" s="2"/>
      <c r="J54" s="6">
        <f t="shared" si="1"/>
        <v>5.1066217732884404E-4</v>
      </c>
      <c r="K54" s="2"/>
      <c r="L54" s="2">
        <f t="shared" si="2"/>
        <v>0.50999999999999091</v>
      </c>
      <c r="M54" s="2"/>
      <c r="N54" s="6">
        <f t="shared" si="3"/>
        <v>1.8681318681318347E-3</v>
      </c>
      <c r="O54" s="14"/>
      <c r="P54" s="2">
        <f>SUM(OSRRefP22_5x_0)</f>
        <v>2461.59</v>
      </c>
      <c r="Q54" s="2"/>
      <c r="R54" s="6">
        <f t="shared" si="4"/>
        <v>5.4392908069336482E-4</v>
      </c>
      <c r="S54" s="2"/>
      <c r="T54" s="2">
        <f>SUM(OSRRefT22_5x_0)</f>
        <v>2457</v>
      </c>
      <c r="U54" s="2"/>
      <c r="V54" s="6">
        <f t="shared" si="5"/>
        <v>6.9713993871297242E-4</v>
      </c>
      <c r="W54" s="2"/>
      <c r="X54" s="2">
        <f t="shared" si="6"/>
        <v>4.5900000000001455</v>
      </c>
      <c r="Y54" s="2"/>
      <c r="Z54" s="6">
        <f t="shared" si="7"/>
        <v>1.8681318681319273E-3</v>
      </c>
    </row>
    <row r="55" spans="1:26" s="70" customFormat="1" ht="15" hidden="1" customHeight="1" outlineLevel="2" x14ac:dyDescent="0.3">
      <c r="A55" s="26"/>
      <c r="B55" s="12" t="str">
        <f>CONCATENATE("          ","6322"," - ","EQUIPMENT DEPRECIATION EXPENSE")</f>
        <v xml:space="preserve">          6322 - EQUIPMENT DEPRECIATION EXPENSE</v>
      </c>
      <c r="C55" s="12"/>
      <c r="D55" s="7">
        <v>273.51</v>
      </c>
      <c r="E55" s="3"/>
      <c r="F55" s="8">
        <f t="shared" si="0"/>
        <v>4.0453973122682582E-4</v>
      </c>
      <c r="G55" s="3"/>
      <c r="H55" s="7">
        <v>273</v>
      </c>
      <c r="I55" s="3"/>
      <c r="J55" s="8">
        <f t="shared" si="1"/>
        <v>5.1066217732884404E-4</v>
      </c>
      <c r="K55" s="3"/>
      <c r="L55" s="7">
        <f t="shared" si="2"/>
        <v>0.50999999999999091</v>
      </c>
      <c r="M55" s="3"/>
      <c r="N55" s="8">
        <f t="shared" si="3"/>
        <v>1.8681318681318347E-3</v>
      </c>
      <c r="O55" s="12"/>
      <c r="P55" s="7">
        <v>2461.59</v>
      </c>
      <c r="Q55" s="3"/>
      <c r="R55" s="8">
        <f t="shared" si="4"/>
        <v>5.4392908069336482E-4</v>
      </c>
      <c r="S55" s="3"/>
      <c r="T55" s="7">
        <v>2457</v>
      </c>
      <c r="U55" s="3"/>
      <c r="V55" s="8">
        <f t="shared" si="5"/>
        <v>6.9713993871297242E-4</v>
      </c>
      <c r="W55" s="3"/>
      <c r="X55" s="7">
        <f t="shared" si="6"/>
        <v>4.5900000000001455</v>
      </c>
      <c r="Y55" s="3"/>
      <c r="Z55" s="8">
        <f t="shared" si="7"/>
        <v>1.8681318681319273E-3</v>
      </c>
    </row>
    <row r="56" spans="1:26" s="69" customFormat="1" ht="15" customHeight="1" outlineLevel="1" collapsed="1" x14ac:dyDescent="0.3">
      <c r="A56" s="25"/>
      <c r="B56" s="14" t="str">
        <f>CONCATENATE("     ","Donations                                         ")</f>
        <v xml:space="preserve">     Donations                                         </v>
      </c>
      <c r="C56" s="14"/>
      <c r="D56" s="2">
        <f>SUM(OSRRefD22_6x_0)</f>
        <v>2396.61</v>
      </c>
      <c r="E56" s="2"/>
      <c r="F56" s="6">
        <f t="shared" si="0"/>
        <v>3.5447477798088664E-3</v>
      </c>
      <c r="G56" s="2"/>
      <c r="H56" s="2">
        <f>SUM(OSRRefH22_6x_0)</f>
        <v>6500</v>
      </c>
      <c r="I56" s="2"/>
      <c r="J56" s="6">
        <f t="shared" si="1"/>
        <v>1.2158623269734381E-2</v>
      </c>
      <c r="K56" s="2"/>
      <c r="L56" s="2">
        <f t="shared" si="2"/>
        <v>-4103.3899999999994</v>
      </c>
      <c r="M56" s="2"/>
      <c r="N56" s="6">
        <f t="shared" si="3"/>
        <v>-0.6312907692307691</v>
      </c>
      <c r="O56" s="14"/>
      <c r="P56" s="2">
        <f>SUM(OSRRefP22_6x_0)</f>
        <v>18727.79</v>
      </c>
      <c r="Q56" s="2"/>
      <c r="R56" s="6">
        <f t="shared" si="4"/>
        <v>4.1382153803510707E-3</v>
      </c>
      <c r="S56" s="2"/>
      <c r="T56" s="2">
        <f>SUM(OSRRefT22_6x_0)</f>
        <v>52000</v>
      </c>
      <c r="U56" s="2"/>
      <c r="V56" s="6">
        <f t="shared" si="5"/>
        <v>1.4754284417205766E-2</v>
      </c>
      <c r="W56" s="2"/>
      <c r="X56" s="2">
        <f t="shared" si="6"/>
        <v>-33272.21</v>
      </c>
      <c r="Y56" s="2"/>
      <c r="Z56" s="6">
        <f t="shared" si="7"/>
        <v>-0.63985019230769224</v>
      </c>
    </row>
    <row r="57" spans="1:26" s="70" customFormat="1" ht="15" hidden="1" customHeight="1" outlineLevel="2" x14ac:dyDescent="0.3">
      <c r="A57" s="26"/>
      <c r="B57" s="12" t="str">
        <f>CONCATENATE("          ","6399"," - ","DONATION-ON CAMPUS")</f>
        <v xml:space="preserve">          6399 - DONATION-ON CAMPUS</v>
      </c>
      <c r="C57" s="12"/>
      <c r="D57" s="7">
        <v>2396.61</v>
      </c>
      <c r="E57" s="3"/>
      <c r="F57" s="8">
        <f t="shared" ref="F57:F89" si="8">IF(D$12=0,0,D57/D$12)</f>
        <v>3.5447477798088664E-3</v>
      </c>
      <c r="G57" s="3"/>
      <c r="H57" s="7">
        <v>6500</v>
      </c>
      <c r="I57" s="3"/>
      <c r="J57" s="8">
        <f t="shared" ref="J57:J89" si="9">IF(H$12=0,0,H57/H$12)</f>
        <v>1.2158623269734381E-2</v>
      </c>
      <c r="K57" s="3"/>
      <c r="L57" s="7">
        <f t="shared" ref="L57:L89" si="10">+D57-H57</f>
        <v>-4103.3899999999994</v>
      </c>
      <c r="M57" s="3"/>
      <c r="N57" s="8">
        <f t="shared" ref="N57:N89" si="11">IF(H57=0,0,L57/H57)</f>
        <v>-0.6312907692307691</v>
      </c>
      <c r="O57" s="12"/>
      <c r="P57" s="7">
        <v>18727.79</v>
      </c>
      <c r="Q57" s="3"/>
      <c r="R57" s="8">
        <f t="shared" ref="R57:R89" si="12">IF(P$12=0,0,P57/P$12)</f>
        <v>4.1382153803510707E-3</v>
      </c>
      <c r="S57" s="3"/>
      <c r="T57" s="7">
        <v>52000</v>
      </c>
      <c r="U57" s="3"/>
      <c r="V57" s="8">
        <f t="shared" ref="V57:V89" si="13">IF(T$12=0,0,T57/T$12)</f>
        <v>1.4754284417205766E-2</v>
      </c>
      <c r="W57" s="3"/>
      <c r="X57" s="7">
        <f t="shared" ref="X57:X89" si="14">+P57-T57</f>
        <v>-33272.21</v>
      </c>
      <c r="Y57" s="3"/>
      <c r="Z57" s="8">
        <f t="shared" ref="Z57:Z89" si="15">IF(T57=0,0,X57/T57)</f>
        <v>-0.63985019230769224</v>
      </c>
    </row>
    <row r="58" spans="1:26" s="69" customFormat="1" ht="15" customHeight="1" outlineLevel="1" collapsed="1" x14ac:dyDescent="0.3">
      <c r="A58" s="25"/>
      <c r="B58" s="14" t="str">
        <f>CONCATENATE("     ","Employees' Appreciation                           ")</f>
        <v xml:space="preserve">     Employees' Appreciation                           </v>
      </c>
      <c r="C58" s="14"/>
      <c r="D58" s="2">
        <f>SUM(OSRRefD22_7x_0)</f>
        <v>0</v>
      </c>
      <c r="E58" s="2"/>
      <c r="F58" s="6">
        <f t="shared" si="8"/>
        <v>0</v>
      </c>
      <c r="G58" s="2"/>
      <c r="H58" s="2">
        <f>SUM(OSRRefH22_7x_0)</f>
        <v>150</v>
      </c>
      <c r="I58" s="2"/>
      <c r="J58" s="6">
        <f t="shared" si="9"/>
        <v>2.8058361391694727E-4</v>
      </c>
      <c r="K58" s="2"/>
      <c r="L58" s="2">
        <f t="shared" si="10"/>
        <v>-150</v>
      </c>
      <c r="M58" s="2"/>
      <c r="N58" s="6">
        <f t="shared" si="11"/>
        <v>-1</v>
      </c>
      <c r="O58" s="14"/>
      <c r="P58" s="2">
        <f>SUM(OSRRefP22_7x_0)</f>
        <v>200.77</v>
      </c>
      <c r="Q58" s="2"/>
      <c r="R58" s="6">
        <f t="shared" si="12"/>
        <v>4.4363456762014335E-5</v>
      </c>
      <c r="S58" s="2"/>
      <c r="T58" s="2">
        <f>SUM(OSRRefT22_7x_0)</f>
        <v>1350</v>
      </c>
      <c r="U58" s="2"/>
      <c r="V58" s="6">
        <f t="shared" si="13"/>
        <v>3.8304392236976505E-4</v>
      </c>
      <c r="W58" s="2"/>
      <c r="X58" s="2">
        <f t="shared" si="14"/>
        <v>-1149.23</v>
      </c>
      <c r="Y58" s="2"/>
      <c r="Z58" s="6">
        <f t="shared" si="15"/>
        <v>-0.85128148148148153</v>
      </c>
    </row>
    <row r="59" spans="1:26" s="70" customFormat="1" ht="15" hidden="1" customHeight="1" outlineLevel="2" x14ac:dyDescent="0.3">
      <c r="A59" s="26"/>
      <c r="B59" s="12" t="str">
        <f>CONCATENATE("          ","6277"," - ","EMPLOYEE APPRECIATION")</f>
        <v xml:space="preserve">          6277 - EMPLOYEE APPRECIATION</v>
      </c>
      <c r="C59" s="12"/>
      <c r="D59" s="7"/>
      <c r="E59" s="3"/>
      <c r="F59" s="8">
        <f t="shared" si="8"/>
        <v>0</v>
      </c>
      <c r="G59" s="3"/>
      <c r="H59" s="7">
        <v>150</v>
      </c>
      <c r="I59" s="3"/>
      <c r="J59" s="8">
        <f t="shared" si="9"/>
        <v>2.8058361391694727E-4</v>
      </c>
      <c r="K59" s="3"/>
      <c r="L59" s="7">
        <f t="shared" si="10"/>
        <v>-150</v>
      </c>
      <c r="M59" s="3"/>
      <c r="N59" s="8">
        <f t="shared" si="11"/>
        <v>-1</v>
      </c>
      <c r="O59" s="12"/>
      <c r="P59" s="7">
        <v>200.77</v>
      </c>
      <c r="Q59" s="3"/>
      <c r="R59" s="8">
        <f t="shared" si="12"/>
        <v>4.4363456762014335E-5</v>
      </c>
      <c r="S59" s="3"/>
      <c r="T59" s="7">
        <v>1350</v>
      </c>
      <c r="U59" s="3"/>
      <c r="V59" s="8">
        <f t="shared" si="13"/>
        <v>3.8304392236976505E-4</v>
      </c>
      <c r="W59" s="3"/>
      <c r="X59" s="7">
        <f t="shared" si="14"/>
        <v>-1149.23</v>
      </c>
      <c r="Y59" s="3"/>
      <c r="Z59" s="8">
        <f t="shared" si="15"/>
        <v>-0.85128148148148153</v>
      </c>
    </row>
    <row r="60" spans="1:26" s="69" customFormat="1" ht="15" customHeight="1" outlineLevel="1" collapsed="1" x14ac:dyDescent="0.3">
      <c r="A60" s="25"/>
      <c r="B60" s="14" t="str">
        <f>CONCATENATE("     ","Equipment Rental                                  ")</f>
        <v xml:space="preserve">     Equipment Rental                                  </v>
      </c>
      <c r="C60" s="14"/>
      <c r="D60" s="2">
        <f>SUM(OSRRefD22_8x_0)</f>
        <v>271.74</v>
      </c>
      <c r="E60" s="2"/>
      <c r="F60" s="6">
        <f t="shared" si="8"/>
        <v>4.0192178188577256E-4</v>
      </c>
      <c r="G60" s="2"/>
      <c r="H60" s="2">
        <f>SUM(OSRRefH22_8x_0)</f>
        <v>295</v>
      </c>
      <c r="I60" s="2"/>
      <c r="J60" s="6">
        <f t="shared" si="9"/>
        <v>5.518144407033296E-4</v>
      </c>
      <c r="K60" s="2"/>
      <c r="L60" s="2">
        <f t="shared" si="10"/>
        <v>-23.259999999999991</v>
      </c>
      <c r="M60" s="2"/>
      <c r="N60" s="6">
        <f t="shared" si="11"/>
        <v>-7.8847457627118617E-2</v>
      </c>
      <c r="O60" s="14"/>
      <c r="P60" s="2">
        <f>SUM(OSRRefP22_8x_0)</f>
        <v>2868.25</v>
      </c>
      <c r="Q60" s="2"/>
      <c r="R60" s="6">
        <f t="shared" si="12"/>
        <v>6.3378734301762019E-4</v>
      </c>
      <c r="S60" s="2"/>
      <c r="T60" s="2">
        <f>SUM(OSRRefT22_8x_0)</f>
        <v>2655</v>
      </c>
      <c r="U60" s="2"/>
      <c r="V60" s="6">
        <f t="shared" si="13"/>
        <v>7.5331971399387131E-4</v>
      </c>
      <c r="W60" s="2"/>
      <c r="X60" s="2">
        <f t="shared" si="14"/>
        <v>213.25</v>
      </c>
      <c r="Y60" s="2"/>
      <c r="Z60" s="6">
        <f t="shared" si="15"/>
        <v>8.0320150659133713E-2</v>
      </c>
    </row>
    <row r="61" spans="1:26" s="70" customFormat="1" ht="15" hidden="1" customHeight="1" outlineLevel="2" x14ac:dyDescent="0.3">
      <c r="A61" s="26"/>
      <c r="B61" s="12" t="str">
        <f>CONCATENATE("          ","6351"," - ","EQUIPMENT RENTAL")</f>
        <v xml:space="preserve">          6351 - EQUIPMENT RENTAL</v>
      </c>
      <c r="C61" s="12"/>
      <c r="D61" s="7">
        <v>271.74</v>
      </c>
      <c r="E61" s="3"/>
      <c r="F61" s="8">
        <f t="shared" si="8"/>
        <v>4.0192178188577256E-4</v>
      </c>
      <c r="G61" s="3"/>
      <c r="H61" s="7">
        <v>295</v>
      </c>
      <c r="I61" s="3"/>
      <c r="J61" s="8">
        <f t="shared" si="9"/>
        <v>5.518144407033296E-4</v>
      </c>
      <c r="K61" s="3"/>
      <c r="L61" s="7">
        <f t="shared" si="10"/>
        <v>-23.259999999999991</v>
      </c>
      <c r="M61" s="3"/>
      <c r="N61" s="8">
        <f t="shared" si="11"/>
        <v>-7.8847457627118617E-2</v>
      </c>
      <c r="O61" s="12"/>
      <c r="P61" s="7">
        <v>2868.25</v>
      </c>
      <c r="Q61" s="3"/>
      <c r="R61" s="8">
        <f t="shared" si="12"/>
        <v>6.3378734301762019E-4</v>
      </c>
      <c r="S61" s="3"/>
      <c r="T61" s="7">
        <v>2655</v>
      </c>
      <c r="U61" s="3"/>
      <c r="V61" s="8">
        <f t="shared" si="13"/>
        <v>7.5331971399387131E-4</v>
      </c>
      <c r="W61" s="3"/>
      <c r="X61" s="7">
        <f t="shared" si="14"/>
        <v>213.25</v>
      </c>
      <c r="Y61" s="3"/>
      <c r="Z61" s="8">
        <f t="shared" si="15"/>
        <v>8.0320150659133713E-2</v>
      </c>
    </row>
    <row r="62" spans="1:26" s="69" customFormat="1" ht="15" customHeight="1" outlineLevel="1" collapsed="1" x14ac:dyDescent="0.3">
      <c r="A62" s="25"/>
      <c r="B62" s="14" t="str">
        <f>CONCATENATE("     ","General                                           ")</f>
        <v xml:space="preserve">     General                                           </v>
      </c>
      <c r="C62" s="14"/>
      <c r="D62" s="2">
        <f>SUM(OSRRefD22_9x_0)</f>
        <v>0</v>
      </c>
      <c r="E62" s="2"/>
      <c r="F62" s="6">
        <f t="shared" si="8"/>
        <v>0</v>
      </c>
      <c r="G62" s="2"/>
      <c r="H62" s="2">
        <f>SUM(OSRRefH22_9x_0)</f>
        <v>190</v>
      </c>
      <c r="I62" s="2"/>
      <c r="J62" s="6">
        <f t="shared" si="9"/>
        <v>3.5540591096146651E-4</v>
      </c>
      <c r="K62" s="2"/>
      <c r="L62" s="2">
        <f t="shared" si="10"/>
        <v>-190</v>
      </c>
      <c r="M62" s="2"/>
      <c r="N62" s="6">
        <f t="shared" si="11"/>
        <v>-1</v>
      </c>
      <c r="O62" s="14"/>
      <c r="P62" s="2">
        <f>SUM(OSRRefP22_9x_0)</f>
        <v>1926.18</v>
      </c>
      <c r="Q62" s="2"/>
      <c r="R62" s="6">
        <f t="shared" si="12"/>
        <v>4.2562137344153393E-4</v>
      </c>
      <c r="S62" s="2"/>
      <c r="T62" s="2">
        <f>SUM(OSRRefT22_9x_0)</f>
        <v>3230</v>
      </c>
      <c r="U62" s="2"/>
      <c r="V62" s="6">
        <f t="shared" si="13"/>
        <v>9.1646805129951198E-4</v>
      </c>
      <c r="W62" s="2"/>
      <c r="X62" s="2">
        <f t="shared" si="14"/>
        <v>-1303.82</v>
      </c>
      <c r="Y62" s="2"/>
      <c r="Z62" s="6">
        <f t="shared" si="15"/>
        <v>-0.4036594427244582</v>
      </c>
    </row>
    <row r="63" spans="1:26" s="70" customFormat="1" ht="15" hidden="1" customHeight="1" outlineLevel="2" x14ac:dyDescent="0.3">
      <c r="A63" s="26"/>
      <c r="B63" s="12" t="str">
        <f>CONCATENATE("          ","6279"," - ","GENERAL EXPENSE")</f>
        <v xml:space="preserve">          6279 - GENERAL EXPENSE</v>
      </c>
      <c r="C63" s="12"/>
      <c r="D63" s="7"/>
      <c r="E63" s="3"/>
      <c r="F63" s="8">
        <f t="shared" si="8"/>
        <v>0</v>
      </c>
      <c r="G63" s="3"/>
      <c r="H63" s="7">
        <v>190</v>
      </c>
      <c r="I63" s="3"/>
      <c r="J63" s="8">
        <f t="shared" si="9"/>
        <v>3.5540591096146651E-4</v>
      </c>
      <c r="K63" s="3"/>
      <c r="L63" s="7">
        <f t="shared" si="10"/>
        <v>-190</v>
      </c>
      <c r="M63" s="3"/>
      <c r="N63" s="8">
        <f t="shared" si="11"/>
        <v>-1</v>
      </c>
      <c r="O63" s="12"/>
      <c r="P63" s="7">
        <v>1926.18</v>
      </c>
      <c r="Q63" s="3"/>
      <c r="R63" s="8">
        <f t="shared" si="12"/>
        <v>4.2562137344153393E-4</v>
      </c>
      <c r="S63" s="3"/>
      <c r="T63" s="7">
        <v>3230</v>
      </c>
      <c r="U63" s="3"/>
      <c r="V63" s="8">
        <f t="shared" si="13"/>
        <v>9.1646805129951198E-4</v>
      </c>
      <c r="W63" s="3"/>
      <c r="X63" s="7">
        <f t="shared" si="14"/>
        <v>-1303.82</v>
      </c>
      <c r="Y63" s="3"/>
      <c r="Z63" s="8">
        <f t="shared" si="15"/>
        <v>-0.4036594427244582</v>
      </c>
    </row>
    <row r="64" spans="1:26" s="69" customFormat="1" ht="15" customHeight="1" outlineLevel="1" collapsed="1" x14ac:dyDescent="0.3">
      <c r="A64" s="25"/>
      <c r="B64" s="14" t="str">
        <f>CONCATENATE("     ","R/H Commissions                                   ")</f>
        <v xml:space="preserve">     R/H Commissions                                   </v>
      </c>
      <c r="C64" s="14"/>
      <c r="D64" s="2">
        <f>SUM(OSRRefD22_10x_0)</f>
        <v>54140.57</v>
      </c>
      <c r="E64" s="2"/>
      <c r="F64" s="6">
        <f t="shared" si="8"/>
        <v>8.0077553421326997E-2</v>
      </c>
      <c r="G64" s="2"/>
      <c r="H64" s="2">
        <f>SUM(OSRRefH22_10x_0)</f>
        <v>42768</v>
      </c>
      <c r="I64" s="2"/>
      <c r="J64" s="6">
        <f t="shared" si="9"/>
        <v>0.08</v>
      </c>
      <c r="K64" s="2"/>
      <c r="L64" s="2">
        <f t="shared" si="10"/>
        <v>11372.57</v>
      </c>
      <c r="M64" s="2"/>
      <c r="N64" s="6">
        <f t="shared" si="11"/>
        <v>0.2659130658436214</v>
      </c>
      <c r="O64" s="14"/>
      <c r="P64" s="2">
        <f>SUM(OSRRefP22_10x_0)</f>
        <v>356927.76</v>
      </c>
      <c r="Q64" s="2"/>
      <c r="R64" s="6">
        <f t="shared" si="12"/>
        <v>7.886910020382841E-2</v>
      </c>
      <c r="S64" s="2"/>
      <c r="T64" s="2">
        <f>SUM(OSRRefT22_10x_0)</f>
        <v>279792</v>
      </c>
      <c r="U64" s="2"/>
      <c r="V64" s="6">
        <f t="shared" si="13"/>
        <v>7.9387129724208375E-2</v>
      </c>
      <c r="W64" s="2"/>
      <c r="X64" s="2">
        <f t="shared" si="14"/>
        <v>77135.760000000009</v>
      </c>
      <c r="Y64" s="2"/>
      <c r="Z64" s="6">
        <f t="shared" si="15"/>
        <v>0.27568965517241384</v>
      </c>
    </row>
    <row r="65" spans="1:26" s="70" customFormat="1" ht="15" hidden="1" customHeight="1" outlineLevel="2" x14ac:dyDescent="0.3">
      <c r="A65" s="26"/>
      <c r="B65" s="12" t="str">
        <f>CONCATENATE("          ","6387"," - ","COMMISSION DUE HOUSING")</f>
        <v xml:space="preserve">          6387 - COMMISSION DUE HOUSING</v>
      </c>
      <c r="C65" s="12"/>
      <c r="D65" s="7">
        <v>54140.57</v>
      </c>
      <c r="E65" s="3"/>
      <c r="F65" s="8">
        <f t="shared" si="8"/>
        <v>8.0077553421326997E-2</v>
      </c>
      <c r="G65" s="3"/>
      <c r="H65" s="7">
        <v>42768</v>
      </c>
      <c r="I65" s="3"/>
      <c r="J65" s="8">
        <f t="shared" si="9"/>
        <v>0.08</v>
      </c>
      <c r="K65" s="3"/>
      <c r="L65" s="7">
        <f t="shared" si="10"/>
        <v>11372.57</v>
      </c>
      <c r="M65" s="3"/>
      <c r="N65" s="8">
        <f t="shared" si="11"/>
        <v>0.2659130658436214</v>
      </c>
      <c r="O65" s="12"/>
      <c r="P65" s="7">
        <v>356927.76</v>
      </c>
      <c r="Q65" s="3"/>
      <c r="R65" s="8">
        <f t="shared" si="12"/>
        <v>7.886910020382841E-2</v>
      </c>
      <c r="S65" s="3"/>
      <c r="T65" s="7">
        <v>279792</v>
      </c>
      <c r="U65" s="3"/>
      <c r="V65" s="8">
        <f t="shared" si="13"/>
        <v>7.9387129724208375E-2</v>
      </c>
      <c r="W65" s="3"/>
      <c r="X65" s="7">
        <f t="shared" si="14"/>
        <v>77135.760000000009</v>
      </c>
      <c r="Y65" s="3"/>
      <c r="Z65" s="8">
        <f t="shared" si="15"/>
        <v>0.27568965517241384</v>
      </c>
    </row>
    <row r="66" spans="1:26" s="69" customFormat="1" ht="15" customHeight="1" outlineLevel="1" collapsed="1" x14ac:dyDescent="0.3">
      <c r="A66" s="25"/>
      <c r="B66" s="14" t="str">
        <f>CONCATENATE("     ","Repair and Maintenance                            ")</f>
        <v xml:space="preserve">     Repair and Maintenance                            </v>
      </c>
      <c r="C66" s="14"/>
      <c r="D66" s="2">
        <f>SUM(OSRRefD22_11x_0)</f>
        <v>3790.76</v>
      </c>
      <c r="E66" s="2"/>
      <c r="F66" s="6">
        <f t="shared" si="8"/>
        <v>5.6067896294300108E-3</v>
      </c>
      <c r="G66" s="2"/>
      <c r="H66" s="2">
        <f>SUM(OSRRefH22_11x_0)</f>
        <v>200</v>
      </c>
      <c r="I66" s="2"/>
      <c r="J66" s="6">
        <f t="shared" si="9"/>
        <v>3.7411148522259631E-4</v>
      </c>
      <c r="K66" s="2"/>
      <c r="L66" s="2">
        <f t="shared" si="10"/>
        <v>3590.76</v>
      </c>
      <c r="M66" s="2"/>
      <c r="N66" s="6">
        <f t="shared" si="11"/>
        <v>17.953800000000001</v>
      </c>
      <c r="O66" s="14"/>
      <c r="P66" s="2">
        <f>SUM(OSRRefP22_11x_0)</f>
        <v>5920</v>
      </c>
      <c r="Q66" s="2"/>
      <c r="R66" s="6">
        <f t="shared" si="12"/>
        <v>1.3081220502621151E-3</v>
      </c>
      <c r="S66" s="2"/>
      <c r="T66" s="2">
        <f>SUM(OSRRefT22_11x_0)</f>
        <v>5800</v>
      </c>
      <c r="U66" s="2"/>
      <c r="V66" s="6">
        <f t="shared" si="13"/>
        <v>1.6456701849960277E-3</v>
      </c>
      <c r="W66" s="2"/>
      <c r="X66" s="2">
        <f t="shared" si="14"/>
        <v>120</v>
      </c>
      <c r="Y66" s="2"/>
      <c r="Z66" s="6">
        <f t="shared" si="15"/>
        <v>2.0689655172413793E-2</v>
      </c>
    </row>
    <row r="67" spans="1:26" s="70" customFormat="1" ht="15" hidden="1" customHeight="1" outlineLevel="2" x14ac:dyDescent="0.3">
      <c r="A67" s="26"/>
      <c r="B67" s="12" t="str">
        <f>CONCATENATE("          ","6373"," - ","MAINTENANCE CONTRACTS")</f>
        <v xml:space="preserve">          6373 - MAINTENANCE CONTRACTS</v>
      </c>
      <c r="C67" s="12"/>
      <c r="D67" s="7">
        <v>3697.26</v>
      </c>
      <c r="E67" s="3"/>
      <c r="F67" s="8">
        <f t="shared" si="8"/>
        <v>5.4684968252557281E-3</v>
      </c>
      <c r="G67" s="3"/>
      <c r="H67" s="7"/>
      <c r="I67" s="3"/>
      <c r="J67" s="8">
        <f t="shared" si="9"/>
        <v>0</v>
      </c>
      <c r="K67" s="3"/>
      <c r="L67" s="7">
        <f t="shared" si="10"/>
        <v>3697.26</v>
      </c>
      <c r="M67" s="3"/>
      <c r="N67" s="8">
        <f t="shared" si="11"/>
        <v>0</v>
      </c>
      <c r="O67" s="12"/>
      <c r="P67" s="7">
        <v>3981.97</v>
      </c>
      <c r="Q67" s="3"/>
      <c r="R67" s="8">
        <f t="shared" si="12"/>
        <v>8.7988222305443139E-4</v>
      </c>
      <c r="S67" s="3"/>
      <c r="T67" s="7">
        <v>4000</v>
      </c>
      <c r="U67" s="3"/>
      <c r="V67" s="8">
        <f t="shared" si="13"/>
        <v>1.1349449551696742E-3</v>
      </c>
      <c r="W67" s="3"/>
      <c r="X67" s="7">
        <f t="shared" si="14"/>
        <v>-18.0300000000002</v>
      </c>
      <c r="Y67" s="3"/>
      <c r="Z67" s="8">
        <f t="shared" si="15"/>
        <v>-4.5075000000000497E-3</v>
      </c>
    </row>
    <row r="68" spans="1:26" s="70" customFormat="1" ht="15" hidden="1" customHeight="1" outlineLevel="2" x14ac:dyDescent="0.3">
      <c r="A68" s="26"/>
      <c r="B68" s="12" t="str">
        <f>CONCATENATE("          ","6375"," - ","OUTSIDE REPAIRS &amp; MAINTENANCE")</f>
        <v xml:space="preserve">          6375 - OUTSIDE REPAIRS &amp; MAINTENANCE</v>
      </c>
      <c r="C68" s="12"/>
      <c r="D68" s="7">
        <v>93.5</v>
      </c>
      <c r="E68" s="3"/>
      <c r="F68" s="8">
        <f t="shared" si="8"/>
        <v>1.3829280417428325E-4</v>
      </c>
      <c r="G68" s="3"/>
      <c r="H68" s="7">
        <v>200</v>
      </c>
      <c r="I68" s="3"/>
      <c r="J68" s="8">
        <f t="shared" si="9"/>
        <v>3.7411148522259631E-4</v>
      </c>
      <c r="K68" s="3"/>
      <c r="L68" s="7">
        <f t="shared" si="10"/>
        <v>-106.5</v>
      </c>
      <c r="M68" s="3"/>
      <c r="N68" s="8">
        <f t="shared" si="11"/>
        <v>-0.53249999999999997</v>
      </c>
      <c r="O68" s="12"/>
      <c r="P68" s="7">
        <v>1938.03</v>
      </c>
      <c r="Q68" s="3"/>
      <c r="R68" s="8">
        <f t="shared" si="12"/>
        <v>4.2823982720768361E-4</v>
      </c>
      <c r="S68" s="3"/>
      <c r="T68" s="7">
        <v>1800</v>
      </c>
      <c r="U68" s="3"/>
      <c r="V68" s="8">
        <f t="shared" si="13"/>
        <v>5.1072522982635344E-4</v>
      </c>
      <c r="W68" s="3"/>
      <c r="X68" s="7">
        <f t="shared" si="14"/>
        <v>138.02999999999997</v>
      </c>
      <c r="Y68" s="3"/>
      <c r="Z68" s="8">
        <f t="shared" si="15"/>
        <v>7.6683333333333312E-2</v>
      </c>
    </row>
    <row r="69" spans="1:26" s="69" customFormat="1" ht="15" customHeight="1" outlineLevel="1" collapsed="1" x14ac:dyDescent="0.3">
      <c r="A69" s="25"/>
      <c r="B69" s="14" t="str">
        <f>CONCATENATE("     ","Services                                          ")</f>
        <v xml:space="preserve">     Services                                          </v>
      </c>
      <c r="C69" s="14"/>
      <c r="D69" s="2">
        <f>SUM(OSRRefD22_12x_0)</f>
        <v>7544.0300000000007</v>
      </c>
      <c r="E69" s="2"/>
      <c r="F69" s="6">
        <f t="shared" si="8"/>
        <v>1.1158129021122121E-2</v>
      </c>
      <c r="G69" s="2"/>
      <c r="H69" s="2">
        <f>SUM(OSRRefH22_12x_0)</f>
        <v>7422</v>
      </c>
      <c r="I69" s="2"/>
      <c r="J69" s="6">
        <f t="shared" si="9"/>
        <v>1.388327721661055E-2</v>
      </c>
      <c r="K69" s="2"/>
      <c r="L69" s="2">
        <f t="shared" si="10"/>
        <v>122.03000000000065</v>
      </c>
      <c r="M69" s="2"/>
      <c r="N69" s="6">
        <f t="shared" si="11"/>
        <v>1.644165992993811E-2</v>
      </c>
      <c r="O69" s="14"/>
      <c r="P69" s="2">
        <f>SUM(OSRRefP22_12x_0)</f>
        <v>60007.78</v>
      </c>
      <c r="Q69" s="2"/>
      <c r="R69" s="6">
        <f t="shared" si="12"/>
        <v>1.3259712872513166E-2</v>
      </c>
      <c r="S69" s="2"/>
      <c r="T69" s="2">
        <f>SUM(OSRRefT22_12x_0)</f>
        <v>65166</v>
      </c>
      <c r="U69" s="2"/>
      <c r="V69" s="6">
        <f t="shared" si="13"/>
        <v>1.8489955737146749E-2</v>
      </c>
      <c r="W69" s="2"/>
      <c r="X69" s="2">
        <f t="shared" si="14"/>
        <v>-5158.2200000000012</v>
      </c>
      <c r="Y69" s="2"/>
      <c r="Z69" s="6">
        <f t="shared" si="15"/>
        <v>-7.9155080870392552E-2</v>
      </c>
    </row>
    <row r="70" spans="1:26" s="70" customFormat="1" ht="15" hidden="1" customHeight="1" outlineLevel="2" x14ac:dyDescent="0.3">
      <c r="A70" s="26"/>
      <c r="B70" s="12" t="str">
        <f>CONCATENATE("          ","6282"," - ","JANITORIAL/EXTERMINATOR EXPENS")</f>
        <v xml:space="preserve">          6282 - JANITORIAL/EXTERMINATOR EXPENS</v>
      </c>
      <c r="C70" s="12"/>
      <c r="D70" s="7">
        <v>459.25</v>
      </c>
      <c r="E70" s="3"/>
      <c r="F70" s="8">
        <f t="shared" si="8"/>
        <v>6.7926171462074421E-4</v>
      </c>
      <c r="G70" s="3"/>
      <c r="H70" s="7">
        <v>450</v>
      </c>
      <c r="I70" s="3"/>
      <c r="J70" s="8">
        <f t="shared" si="9"/>
        <v>8.4175084175084171E-4</v>
      </c>
      <c r="K70" s="3"/>
      <c r="L70" s="7">
        <f t="shared" si="10"/>
        <v>9.25</v>
      </c>
      <c r="M70" s="3"/>
      <c r="N70" s="8">
        <f t="shared" si="11"/>
        <v>2.0555555555555556E-2</v>
      </c>
      <c r="O70" s="12"/>
      <c r="P70" s="7">
        <v>5036.8</v>
      </c>
      <c r="Q70" s="3"/>
      <c r="R70" s="8">
        <f t="shared" si="12"/>
        <v>1.1129643822230103E-3</v>
      </c>
      <c r="S70" s="3"/>
      <c r="T70" s="7">
        <v>4050</v>
      </c>
      <c r="U70" s="3"/>
      <c r="V70" s="8">
        <f t="shared" si="13"/>
        <v>1.1491317671092952E-3</v>
      </c>
      <c r="W70" s="3"/>
      <c r="X70" s="7">
        <f t="shared" si="14"/>
        <v>986.80000000000018</v>
      </c>
      <c r="Y70" s="3"/>
      <c r="Z70" s="8">
        <f t="shared" si="15"/>
        <v>0.24365432098765435</v>
      </c>
    </row>
    <row r="71" spans="1:26" s="70" customFormat="1" ht="15" hidden="1" customHeight="1" outlineLevel="2" x14ac:dyDescent="0.3">
      <c r="A71" s="26"/>
      <c r="B71" s="12" t="str">
        <f>CONCATENATE("          ","6284"," - ","TRASH REMOVAL EXPENSE")</f>
        <v xml:space="preserve">          6284 - TRASH REMOVAL EXPENSE</v>
      </c>
      <c r="C71" s="12"/>
      <c r="D71" s="7"/>
      <c r="E71" s="3"/>
      <c r="F71" s="8">
        <f t="shared" si="8"/>
        <v>0</v>
      </c>
      <c r="G71" s="3"/>
      <c r="H71" s="7">
        <v>50</v>
      </c>
      <c r="I71" s="3"/>
      <c r="J71" s="8">
        <f t="shared" si="9"/>
        <v>9.3527871305649078E-5</v>
      </c>
      <c r="K71" s="3"/>
      <c r="L71" s="7">
        <f t="shared" si="10"/>
        <v>-50</v>
      </c>
      <c r="M71" s="3"/>
      <c r="N71" s="8">
        <f t="shared" si="11"/>
        <v>-1</v>
      </c>
      <c r="O71" s="12"/>
      <c r="P71" s="7"/>
      <c r="Q71" s="3"/>
      <c r="R71" s="8">
        <f t="shared" si="12"/>
        <v>0</v>
      </c>
      <c r="S71" s="3"/>
      <c r="T71" s="7">
        <v>450</v>
      </c>
      <c r="U71" s="3"/>
      <c r="V71" s="8">
        <f t="shared" si="13"/>
        <v>1.2768130745658836E-4</v>
      </c>
      <c r="W71" s="3"/>
      <c r="X71" s="7">
        <f t="shared" si="14"/>
        <v>-450</v>
      </c>
      <c r="Y71" s="3"/>
      <c r="Z71" s="8">
        <f t="shared" si="15"/>
        <v>-1</v>
      </c>
    </row>
    <row r="72" spans="1:26" s="70" customFormat="1" ht="15" hidden="1" customHeight="1" outlineLevel="2" x14ac:dyDescent="0.3">
      <c r="A72" s="26"/>
      <c r="B72" s="12" t="str">
        <f>CONCATENATE("          ","6285"," - ","JANITORIAL SERVICES")</f>
        <v xml:space="preserve">          6285 - JANITORIAL SERVICES</v>
      </c>
      <c r="C72" s="12"/>
      <c r="D72" s="7">
        <v>5163.43</v>
      </c>
      <c r="E72" s="3"/>
      <c r="F72" s="8">
        <f t="shared" si="8"/>
        <v>7.6370611107766783E-3</v>
      </c>
      <c r="G72" s="3"/>
      <c r="H72" s="7">
        <v>5255</v>
      </c>
      <c r="I72" s="3"/>
      <c r="J72" s="8">
        <f t="shared" si="9"/>
        <v>9.8297792742237187E-3</v>
      </c>
      <c r="K72" s="3"/>
      <c r="L72" s="7">
        <f t="shared" si="10"/>
        <v>-91.569999999999709</v>
      </c>
      <c r="M72" s="3"/>
      <c r="N72" s="8">
        <f t="shared" si="11"/>
        <v>-1.7425309229305366E-2</v>
      </c>
      <c r="O72" s="12"/>
      <c r="P72" s="7">
        <v>44834.71</v>
      </c>
      <c r="Q72" s="3"/>
      <c r="R72" s="8">
        <f t="shared" si="12"/>
        <v>9.9069717513694845E-3</v>
      </c>
      <c r="S72" s="3"/>
      <c r="T72" s="7">
        <v>45663</v>
      </c>
      <c r="U72" s="3"/>
      <c r="V72" s="8">
        <f t="shared" si="13"/>
        <v>1.2956247871978209E-2</v>
      </c>
      <c r="W72" s="3"/>
      <c r="X72" s="7">
        <f t="shared" si="14"/>
        <v>-828.29000000000087</v>
      </c>
      <c r="Y72" s="3"/>
      <c r="Z72" s="8">
        <f t="shared" si="15"/>
        <v>-1.813919365788496E-2</v>
      </c>
    </row>
    <row r="73" spans="1:26" s="70" customFormat="1" ht="15" hidden="1" customHeight="1" outlineLevel="2" x14ac:dyDescent="0.3">
      <c r="A73" s="26"/>
      <c r="B73" s="12" t="str">
        <f>CONCATENATE("          ","6286"," - ","LAUNDRY EXPENSE")</f>
        <v xml:space="preserve">          6286 - LAUNDRY EXPENSE</v>
      </c>
      <c r="C73" s="12"/>
      <c r="D73" s="7">
        <v>1921.35</v>
      </c>
      <c r="E73" s="3"/>
      <c r="F73" s="8">
        <f t="shared" si="8"/>
        <v>2.8418061957246965E-3</v>
      </c>
      <c r="G73" s="3"/>
      <c r="H73" s="7">
        <v>1667</v>
      </c>
      <c r="I73" s="3"/>
      <c r="J73" s="8">
        <f t="shared" si="9"/>
        <v>3.1182192293303405E-3</v>
      </c>
      <c r="K73" s="3"/>
      <c r="L73" s="7">
        <f t="shared" si="10"/>
        <v>254.34999999999991</v>
      </c>
      <c r="M73" s="3"/>
      <c r="N73" s="8">
        <f t="shared" si="11"/>
        <v>0.15257948410317931</v>
      </c>
      <c r="O73" s="12"/>
      <c r="P73" s="7">
        <v>10136.27</v>
      </c>
      <c r="Q73" s="3"/>
      <c r="R73" s="8">
        <f t="shared" si="12"/>
        <v>2.2397767389206705E-3</v>
      </c>
      <c r="S73" s="3"/>
      <c r="T73" s="7">
        <v>15003</v>
      </c>
      <c r="U73" s="3"/>
      <c r="V73" s="8">
        <f t="shared" si="13"/>
        <v>4.256894790602656E-3</v>
      </c>
      <c r="W73" s="3"/>
      <c r="X73" s="7">
        <f t="shared" si="14"/>
        <v>-4866.7299999999996</v>
      </c>
      <c r="Y73" s="3"/>
      <c r="Z73" s="8">
        <f t="shared" si="15"/>
        <v>-0.32438378990868488</v>
      </c>
    </row>
    <row r="74" spans="1:26" s="69" customFormat="1" ht="15" customHeight="1" outlineLevel="1" collapsed="1" x14ac:dyDescent="0.3">
      <c r="A74" s="25"/>
      <c r="B74" s="14" t="str">
        <f>CONCATENATE("     ","Subscriptions &amp; Dues                              ")</f>
        <v xml:space="preserve">     Subscriptions &amp; Dues                              </v>
      </c>
      <c r="C74" s="14"/>
      <c r="D74" s="2">
        <f>SUM(OSRRefD22_13x_0)</f>
        <v>0</v>
      </c>
      <c r="E74" s="2"/>
      <c r="F74" s="6">
        <f t="shared" si="8"/>
        <v>0</v>
      </c>
      <c r="G74" s="2"/>
      <c r="H74" s="2">
        <f>SUM(OSRRefH22_13x_0)</f>
        <v>0</v>
      </c>
      <c r="I74" s="2"/>
      <c r="J74" s="6">
        <f t="shared" si="9"/>
        <v>0</v>
      </c>
      <c r="K74" s="2"/>
      <c r="L74" s="2">
        <f t="shared" si="10"/>
        <v>0</v>
      </c>
      <c r="M74" s="2"/>
      <c r="N74" s="6">
        <f t="shared" si="11"/>
        <v>0</v>
      </c>
      <c r="O74" s="14"/>
      <c r="P74" s="2">
        <f>SUM(OSRRefP22_13x_0)</f>
        <v>0</v>
      </c>
      <c r="Q74" s="2"/>
      <c r="R74" s="6">
        <f t="shared" si="12"/>
        <v>0</v>
      </c>
      <c r="S74" s="2"/>
      <c r="T74" s="2">
        <f>SUM(OSRRefT22_13x_0)</f>
        <v>795</v>
      </c>
      <c r="U74" s="2"/>
      <c r="V74" s="6">
        <f t="shared" si="13"/>
        <v>2.2557030983997277E-4</v>
      </c>
      <c r="W74" s="2"/>
      <c r="X74" s="2">
        <f t="shared" si="14"/>
        <v>-795</v>
      </c>
      <c r="Y74" s="2"/>
      <c r="Z74" s="6">
        <f t="shared" si="15"/>
        <v>-1</v>
      </c>
    </row>
    <row r="75" spans="1:26" s="70" customFormat="1" ht="15" hidden="1" customHeight="1" outlineLevel="2" x14ac:dyDescent="0.3">
      <c r="A75" s="26"/>
      <c r="B75" s="12" t="str">
        <f>CONCATENATE("          ","6258"," - ","MEMBERSHIP DUES")</f>
        <v xml:space="preserve">          6258 - MEMBERSHIP DUES</v>
      </c>
      <c r="C75" s="12"/>
      <c r="D75" s="7"/>
      <c r="E75" s="3"/>
      <c r="F75" s="8">
        <f t="shared" si="8"/>
        <v>0</v>
      </c>
      <c r="G75" s="3"/>
      <c r="H75" s="7"/>
      <c r="I75" s="3"/>
      <c r="J75" s="8">
        <f t="shared" si="9"/>
        <v>0</v>
      </c>
      <c r="K75" s="3"/>
      <c r="L75" s="7">
        <f t="shared" si="10"/>
        <v>0</v>
      </c>
      <c r="M75" s="3"/>
      <c r="N75" s="8">
        <f t="shared" si="11"/>
        <v>0</v>
      </c>
      <c r="O75" s="12"/>
      <c r="P75" s="7"/>
      <c r="Q75" s="3"/>
      <c r="R75" s="8">
        <f t="shared" si="12"/>
        <v>0</v>
      </c>
      <c r="S75" s="3"/>
      <c r="T75" s="7">
        <v>795</v>
      </c>
      <c r="U75" s="3"/>
      <c r="V75" s="8">
        <f t="shared" si="13"/>
        <v>2.2557030983997277E-4</v>
      </c>
      <c r="W75" s="3"/>
      <c r="X75" s="7">
        <f t="shared" si="14"/>
        <v>-795</v>
      </c>
      <c r="Y75" s="3"/>
      <c r="Z75" s="8">
        <f t="shared" si="15"/>
        <v>-1</v>
      </c>
    </row>
    <row r="76" spans="1:26" s="69" customFormat="1" ht="15" customHeight="1" outlineLevel="1" collapsed="1" x14ac:dyDescent="0.3">
      <c r="A76" s="25"/>
      <c r="B76" s="14" t="str">
        <f>CONCATENATE("     ","Supplies                                          ")</f>
        <v xml:space="preserve">     Supplies                                          </v>
      </c>
      <c r="C76" s="14"/>
      <c r="D76" s="2">
        <f>SUM(OSRRefD22_14x_0)</f>
        <v>7890.96</v>
      </c>
      <c r="E76" s="2"/>
      <c r="F76" s="6">
        <f t="shared" si="8"/>
        <v>1.1671261882642805E-2</v>
      </c>
      <c r="G76" s="2"/>
      <c r="H76" s="2">
        <f>SUM(OSRRefH22_14x_0)</f>
        <v>13066</v>
      </c>
      <c r="I76" s="2"/>
      <c r="J76" s="6">
        <f t="shared" si="9"/>
        <v>2.4440703329592219E-2</v>
      </c>
      <c r="K76" s="2"/>
      <c r="L76" s="2">
        <f t="shared" si="10"/>
        <v>-5175.04</v>
      </c>
      <c r="M76" s="2"/>
      <c r="N76" s="6">
        <f t="shared" si="11"/>
        <v>-0.39606918720342876</v>
      </c>
      <c r="O76" s="14"/>
      <c r="P76" s="2">
        <f>SUM(OSRRefP22_14x_0)</f>
        <v>126593.85</v>
      </c>
      <c r="Q76" s="2"/>
      <c r="R76" s="6">
        <f t="shared" si="12"/>
        <v>2.7973007873745719E-2</v>
      </c>
      <c r="S76" s="2"/>
      <c r="T76" s="2">
        <f>SUM(OSRRefT22_14x_0)</f>
        <v>117594</v>
      </c>
      <c r="U76" s="2"/>
      <c r="V76" s="6">
        <f t="shared" si="13"/>
        <v>3.3365679264555671E-2</v>
      </c>
      <c r="W76" s="2"/>
      <c r="X76" s="2">
        <f t="shared" si="14"/>
        <v>8999.8500000000058</v>
      </c>
      <c r="Y76" s="2"/>
      <c r="Z76" s="6">
        <f t="shared" si="15"/>
        <v>7.6533241491912901E-2</v>
      </c>
    </row>
    <row r="77" spans="1:26" s="70" customFormat="1" ht="15" hidden="1" customHeight="1" outlineLevel="2" x14ac:dyDescent="0.3">
      <c r="A77" s="26"/>
      <c r="B77" s="12" t="str">
        <f>CONCATENATE("          ","6234"," - ","EXPENDABLE SUPPLIES &amp; EQUIPMEN")</f>
        <v xml:space="preserve">          6234 - EXPENDABLE SUPPLIES &amp; EQUIPMEN</v>
      </c>
      <c r="C77" s="12"/>
      <c r="D77" s="7"/>
      <c r="E77" s="3"/>
      <c r="F77" s="8">
        <f t="shared" si="8"/>
        <v>0</v>
      </c>
      <c r="G77" s="3"/>
      <c r="H77" s="7"/>
      <c r="I77" s="3"/>
      <c r="J77" s="8">
        <f t="shared" si="9"/>
        <v>0</v>
      </c>
      <c r="K77" s="3"/>
      <c r="L77" s="7">
        <f t="shared" si="10"/>
        <v>0</v>
      </c>
      <c r="M77" s="3"/>
      <c r="N77" s="8">
        <f t="shared" si="11"/>
        <v>0</v>
      </c>
      <c r="O77" s="12"/>
      <c r="P77" s="7">
        <v>315</v>
      </c>
      <c r="Q77" s="3"/>
      <c r="R77" s="8">
        <f t="shared" si="12"/>
        <v>6.9604467201446997E-5</v>
      </c>
      <c r="S77" s="3"/>
      <c r="T77" s="7"/>
      <c r="U77" s="3"/>
      <c r="V77" s="8">
        <f t="shared" si="13"/>
        <v>0</v>
      </c>
      <c r="W77" s="3"/>
      <c r="X77" s="7">
        <f t="shared" si="14"/>
        <v>315</v>
      </c>
      <c r="Y77" s="3"/>
      <c r="Z77" s="8">
        <f t="shared" si="15"/>
        <v>0</v>
      </c>
    </row>
    <row r="78" spans="1:26" s="70" customFormat="1" ht="15" hidden="1" customHeight="1" outlineLevel="2" x14ac:dyDescent="0.3">
      <c r="A78" s="26"/>
      <c r="B78" s="12" t="str">
        <f>CONCATENATE("          ","6235"," - ","COVID-19 EXPENSES")</f>
        <v xml:space="preserve">          6235 - COVID-19 EXPENSES</v>
      </c>
      <c r="C78" s="12"/>
      <c r="D78" s="7"/>
      <c r="E78" s="3"/>
      <c r="F78" s="8">
        <f t="shared" si="8"/>
        <v>0</v>
      </c>
      <c r="G78" s="3"/>
      <c r="H78" s="7"/>
      <c r="I78" s="3"/>
      <c r="J78" s="8">
        <f t="shared" si="9"/>
        <v>0</v>
      </c>
      <c r="K78" s="3"/>
      <c r="L78" s="7">
        <f t="shared" si="10"/>
        <v>0</v>
      </c>
      <c r="M78" s="3"/>
      <c r="N78" s="8">
        <f t="shared" si="11"/>
        <v>0</v>
      </c>
      <c r="O78" s="12"/>
      <c r="P78" s="7">
        <v>158.76</v>
      </c>
      <c r="Q78" s="3"/>
      <c r="R78" s="8">
        <f t="shared" si="12"/>
        <v>3.5080651469529286E-5</v>
      </c>
      <c r="S78" s="3"/>
      <c r="T78" s="7"/>
      <c r="U78" s="3"/>
      <c r="V78" s="8">
        <f t="shared" si="13"/>
        <v>0</v>
      </c>
      <c r="W78" s="3"/>
      <c r="X78" s="7">
        <f t="shared" si="14"/>
        <v>158.76</v>
      </c>
      <c r="Y78" s="3"/>
      <c r="Z78" s="8">
        <f t="shared" si="15"/>
        <v>0</v>
      </c>
    </row>
    <row r="79" spans="1:26" s="70" customFormat="1" ht="15" hidden="1" customHeight="1" outlineLevel="2" x14ac:dyDescent="0.3">
      <c r="A79" s="26"/>
      <c r="B79" s="12" t="str">
        <f>CONCATENATE("          ","6237"," - ","JANITORIAL SUPPLIES")</f>
        <v xml:space="preserve">          6237 - JANITORIAL SUPPLIES</v>
      </c>
      <c r="C79" s="12"/>
      <c r="D79" s="7">
        <v>828.88</v>
      </c>
      <c r="E79" s="3"/>
      <c r="F79" s="8">
        <f t="shared" si="8"/>
        <v>1.2259694066735819E-3</v>
      </c>
      <c r="G79" s="3"/>
      <c r="H79" s="7">
        <v>3750</v>
      </c>
      <c r="I79" s="3"/>
      <c r="J79" s="8">
        <f t="shared" si="9"/>
        <v>7.0145903479236814E-3</v>
      </c>
      <c r="K79" s="3"/>
      <c r="L79" s="7">
        <f t="shared" si="10"/>
        <v>-2921.12</v>
      </c>
      <c r="M79" s="3"/>
      <c r="N79" s="8">
        <f t="shared" si="11"/>
        <v>-0.77896533333333329</v>
      </c>
      <c r="O79" s="12"/>
      <c r="P79" s="7">
        <v>20085.900000000001</v>
      </c>
      <c r="Q79" s="3"/>
      <c r="R79" s="8">
        <f t="shared" si="12"/>
        <v>4.4383122786080774E-3</v>
      </c>
      <c r="S79" s="3"/>
      <c r="T79" s="7">
        <v>33750</v>
      </c>
      <c r="U79" s="3"/>
      <c r="V79" s="8">
        <f t="shared" si="13"/>
        <v>9.5760980592441269E-3</v>
      </c>
      <c r="W79" s="3"/>
      <c r="X79" s="7">
        <f t="shared" si="14"/>
        <v>-13664.099999999999</v>
      </c>
      <c r="Y79" s="3"/>
      <c r="Z79" s="8">
        <f t="shared" si="15"/>
        <v>-0.40486222222222218</v>
      </c>
    </row>
    <row r="80" spans="1:26" s="70" customFormat="1" ht="15" hidden="1" customHeight="1" outlineLevel="2" x14ac:dyDescent="0.3">
      <c r="A80" s="26"/>
      <c r="B80" s="12" t="str">
        <f>CONCATENATE("          ","6239"," - ","KITCHEN SUPPLIES")</f>
        <v xml:space="preserve">          6239 - KITCHEN SUPPLIES</v>
      </c>
      <c r="C80" s="12"/>
      <c r="D80" s="7">
        <v>307.89</v>
      </c>
      <c r="E80" s="3"/>
      <c r="F80" s="8">
        <f t="shared" si="8"/>
        <v>4.5539006927508097E-4</v>
      </c>
      <c r="G80" s="3"/>
      <c r="H80" s="7">
        <v>1800</v>
      </c>
      <c r="I80" s="3"/>
      <c r="J80" s="8">
        <f t="shared" si="9"/>
        <v>3.3670033670033669E-3</v>
      </c>
      <c r="K80" s="3"/>
      <c r="L80" s="7">
        <f t="shared" si="10"/>
        <v>-1492.1100000000001</v>
      </c>
      <c r="M80" s="3"/>
      <c r="N80" s="8">
        <f t="shared" si="11"/>
        <v>-0.82895000000000008</v>
      </c>
      <c r="O80" s="12"/>
      <c r="P80" s="7">
        <v>10396.67</v>
      </c>
      <c r="Q80" s="3"/>
      <c r="R80" s="8">
        <f t="shared" si="12"/>
        <v>2.2973164318072E-3</v>
      </c>
      <c r="S80" s="3"/>
      <c r="T80" s="7">
        <v>16200</v>
      </c>
      <c r="U80" s="3"/>
      <c r="V80" s="8">
        <f t="shared" si="13"/>
        <v>4.5965270684371808E-3</v>
      </c>
      <c r="W80" s="3"/>
      <c r="X80" s="7">
        <f t="shared" si="14"/>
        <v>-5803.33</v>
      </c>
      <c r="Y80" s="3"/>
      <c r="Z80" s="8">
        <f t="shared" si="15"/>
        <v>-0.35823024691358024</v>
      </c>
    </row>
    <row r="81" spans="1:26" s="70" customFormat="1" ht="15" hidden="1" customHeight="1" outlineLevel="2" x14ac:dyDescent="0.3">
      <c r="A81" s="26"/>
      <c r="B81" s="12" t="str">
        <f>CONCATENATE("          ","6241"," - ","OFFICE EXPENSE")</f>
        <v xml:space="preserve">          6241 - OFFICE EXPENSE</v>
      </c>
      <c r="C81" s="12"/>
      <c r="D81" s="7">
        <v>150.32</v>
      </c>
      <c r="E81" s="3"/>
      <c r="F81" s="8">
        <f t="shared" si="8"/>
        <v>2.2233341522436641E-4</v>
      </c>
      <c r="G81" s="3"/>
      <c r="H81" s="7">
        <v>820</v>
      </c>
      <c r="I81" s="3"/>
      <c r="J81" s="8">
        <f t="shared" si="9"/>
        <v>1.5338570894126451E-3</v>
      </c>
      <c r="K81" s="3"/>
      <c r="L81" s="7">
        <f t="shared" si="10"/>
        <v>-669.68000000000006</v>
      </c>
      <c r="M81" s="3"/>
      <c r="N81" s="8">
        <f t="shared" si="11"/>
        <v>-0.81668292682926835</v>
      </c>
      <c r="O81" s="12"/>
      <c r="P81" s="7">
        <v>4008.86</v>
      </c>
      <c r="Q81" s="3"/>
      <c r="R81" s="8">
        <f t="shared" si="12"/>
        <v>8.8582401392124708E-4</v>
      </c>
      <c r="S81" s="3"/>
      <c r="T81" s="7">
        <v>7380</v>
      </c>
      <c r="U81" s="3"/>
      <c r="V81" s="8">
        <f t="shared" si="13"/>
        <v>2.0939734422880489E-3</v>
      </c>
      <c r="W81" s="3"/>
      <c r="X81" s="7">
        <f t="shared" si="14"/>
        <v>-3371.14</v>
      </c>
      <c r="Y81" s="3"/>
      <c r="Z81" s="8">
        <f t="shared" si="15"/>
        <v>-0.45679403794037937</v>
      </c>
    </row>
    <row r="82" spans="1:26" s="70" customFormat="1" ht="15" hidden="1" customHeight="1" outlineLevel="2" x14ac:dyDescent="0.3">
      <c r="A82" s="26"/>
      <c r="B82" s="12" t="str">
        <f>CONCATENATE("          ","6243"," - ","PAPER SUPPLIES")</f>
        <v xml:space="preserve">          6243 - PAPER SUPPLIES</v>
      </c>
      <c r="C82" s="12"/>
      <c r="D82" s="7">
        <v>5671.71</v>
      </c>
      <c r="E82" s="3"/>
      <c r="F82" s="8">
        <f t="shared" si="8"/>
        <v>8.3888415012120226E-3</v>
      </c>
      <c r="G82" s="3"/>
      <c r="H82" s="7">
        <v>6300</v>
      </c>
      <c r="I82" s="3"/>
      <c r="J82" s="8">
        <f t="shared" si="9"/>
        <v>1.1784511784511785E-2</v>
      </c>
      <c r="K82" s="3"/>
      <c r="L82" s="7">
        <f t="shared" si="10"/>
        <v>-628.29</v>
      </c>
      <c r="M82" s="3"/>
      <c r="N82" s="8">
        <f t="shared" si="11"/>
        <v>-9.9728571428571416E-2</v>
      </c>
      <c r="O82" s="12"/>
      <c r="P82" s="7">
        <v>88366.58</v>
      </c>
      <c r="Q82" s="3"/>
      <c r="R82" s="8">
        <f t="shared" si="12"/>
        <v>1.9526059426393787E-2</v>
      </c>
      <c r="S82" s="3"/>
      <c r="T82" s="7">
        <v>56700</v>
      </c>
      <c r="U82" s="3"/>
      <c r="V82" s="8">
        <f t="shared" si="13"/>
        <v>1.6087844739530132E-2</v>
      </c>
      <c r="W82" s="3"/>
      <c r="X82" s="7">
        <f t="shared" si="14"/>
        <v>31666.58</v>
      </c>
      <c r="Y82" s="3"/>
      <c r="Z82" s="8">
        <f t="shared" si="15"/>
        <v>0.55849347442680775</v>
      </c>
    </row>
    <row r="83" spans="1:26" s="70" customFormat="1" ht="15" hidden="1" customHeight="1" outlineLevel="2" x14ac:dyDescent="0.3">
      <c r="A83" s="26"/>
      <c r="B83" s="12" t="str">
        <f>CONCATENATE("          ","6244"," - ","SAFETY SUPPLY EXPENSE")</f>
        <v xml:space="preserve">          6244 - SAFETY SUPPLY EXPENSE</v>
      </c>
      <c r="C83" s="12"/>
      <c r="D83" s="7"/>
      <c r="E83" s="3"/>
      <c r="F83" s="8">
        <f t="shared" si="8"/>
        <v>0</v>
      </c>
      <c r="G83" s="3"/>
      <c r="H83" s="7">
        <v>200</v>
      </c>
      <c r="I83" s="3"/>
      <c r="J83" s="8">
        <f t="shared" si="9"/>
        <v>3.7411148522259631E-4</v>
      </c>
      <c r="K83" s="3"/>
      <c r="L83" s="7">
        <f t="shared" si="10"/>
        <v>-200</v>
      </c>
      <c r="M83" s="3"/>
      <c r="N83" s="8">
        <f t="shared" si="11"/>
        <v>-1</v>
      </c>
      <c r="O83" s="12"/>
      <c r="P83" s="7"/>
      <c r="Q83" s="3"/>
      <c r="R83" s="8">
        <f t="shared" si="12"/>
        <v>0</v>
      </c>
      <c r="S83" s="3"/>
      <c r="T83" s="7">
        <v>1800</v>
      </c>
      <c r="U83" s="3"/>
      <c r="V83" s="8">
        <f t="shared" si="13"/>
        <v>5.1072522982635344E-4</v>
      </c>
      <c r="W83" s="3"/>
      <c r="X83" s="7">
        <f t="shared" si="14"/>
        <v>-1800</v>
      </c>
      <c r="Y83" s="3"/>
      <c r="Z83" s="8">
        <f t="shared" si="15"/>
        <v>-1</v>
      </c>
    </row>
    <row r="84" spans="1:26" s="70" customFormat="1" ht="15" hidden="1" customHeight="1" outlineLevel="2" x14ac:dyDescent="0.3">
      <c r="A84" s="26"/>
      <c r="B84" s="12" t="str">
        <f>CONCATENATE("          ","6247"," - ","STORE SUPPLIES")</f>
        <v xml:space="preserve">          6247 - STORE SUPPLIES</v>
      </c>
      <c r="C84" s="12"/>
      <c r="D84" s="7"/>
      <c r="E84" s="3"/>
      <c r="F84" s="8">
        <f t="shared" si="8"/>
        <v>0</v>
      </c>
      <c r="G84" s="3"/>
      <c r="H84" s="7"/>
      <c r="I84" s="3"/>
      <c r="J84" s="8">
        <f t="shared" si="9"/>
        <v>0</v>
      </c>
      <c r="K84" s="3"/>
      <c r="L84" s="7">
        <f t="shared" si="10"/>
        <v>0</v>
      </c>
      <c r="M84" s="3"/>
      <c r="N84" s="8">
        <f t="shared" si="11"/>
        <v>0</v>
      </c>
      <c r="O84" s="12"/>
      <c r="P84" s="7">
        <v>459.51</v>
      </c>
      <c r="Q84" s="3"/>
      <c r="R84" s="8">
        <f t="shared" si="12"/>
        <v>1.0153634515472035E-4</v>
      </c>
      <c r="S84" s="3"/>
      <c r="T84" s="7"/>
      <c r="U84" s="3"/>
      <c r="V84" s="8">
        <f t="shared" si="13"/>
        <v>0</v>
      </c>
      <c r="W84" s="3"/>
      <c r="X84" s="7">
        <f t="shared" si="14"/>
        <v>459.51</v>
      </c>
      <c r="Y84" s="3"/>
      <c r="Z84" s="8">
        <f t="shared" si="15"/>
        <v>0</v>
      </c>
    </row>
    <row r="85" spans="1:26" s="70" customFormat="1" ht="15" hidden="1" customHeight="1" outlineLevel="2" x14ac:dyDescent="0.3">
      <c r="A85" s="26"/>
      <c r="B85" s="12" t="str">
        <f>CONCATENATE("          ","6248"," - ","UNIFORMS")</f>
        <v xml:space="preserve">          6248 - UNIFORMS</v>
      </c>
      <c r="C85" s="12"/>
      <c r="D85" s="7">
        <v>932.16</v>
      </c>
      <c r="E85" s="3"/>
      <c r="F85" s="8">
        <f t="shared" si="8"/>
        <v>1.3787274902577527E-3</v>
      </c>
      <c r="G85" s="3"/>
      <c r="H85" s="7">
        <v>196</v>
      </c>
      <c r="I85" s="3"/>
      <c r="J85" s="8">
        <f t="shared" si="9"/>
        <v>3.6662925551814439E-4</v>
      </c>
      <c r="K85" s="3"/>
      <c r="L85" s="7">
        <f t="shared" si="10"/>
        <v>736.16</v>
      </c>
      <c r="M85" s="3"/>
      <c r="N85" s="8">
        <f t="shared" si="11"/>
        <v>3.7559183673469385</v>
      </c>
      <c r="O85" s="12"/>
      <c r="P85" s="7">
        <v>2802.57</v>
      </c>
      <c r="Q85" s="3"/>
      <c r="R85" s="8">
        <f t="shared" si="12"/>
        <v>6.1927425918971218E-4</v>
      </c>
      <c r="S85" s="3"/>
      <c r="T85" s="7">
        <v>1764</v>
      </c>
      <c r="U85" s="3"/>
      <c r="V85" s="8">
        <f t="shared" si="13"/>
        <v>5.0051072522982641E-4</v>
      </c>
      <c r="W85" s="3"/>
      <c r="X85" s="7">
        <f t="shared" si="14"/>
        <v>1038.5700000000002</v>
      </c>
      <c r="Y85" s="3"/>
      <c r="Z85" s="8">
        <f t="shared" si="15"/>
        <v>0.5887585034013606</v>
      </c>
    </row>
    <row r="86" spans="1:26" s="69" customFormat="1" ht="15" customHeight="1" outlineLevel="1" collapsed="1" x14ac:dyDescent="0.3">
      <c r="A86" s="25"/>
      <c r="B86" s="14" t="str">
        <f>CONCATENATE("     ","Telephone/Data Lines                              ")</f>
        <v xml:space="preserve">     Telephone/Data Lines                              </v>
      </c>
      <c r="C86" s="14"/>
      <c r="D86" s="2">
        <f>SUM(OSRRefD22_15x_0)</f>
        <v>309</v>
      </c>
      <c r="E86" s="2"/>
      <c r="F86" s="6">
        <f t="shared" si="8"/>
        <v>4.5703183411608051E-4</v>
      </c>
      <c r="G86" s="2"/>
      <c r="H86" s="2">
        <f>SUM(OSRRefH22_15x_0)</f>
        <v>218</v>
      </c>
      <c r="I86" s="2"/>
      <c r="J86" s="6">
        <f t="shared" si="9"/>
        <v>4.0778151889263E-4</v>
      </c>
      <c r="K86" s="2"/>
      <c r="L86" s="2">
        <f t="shared" si="10"/>
        <v>91</v>
      </c>
      <c r="M86" s="2"/>
      <c r="N86" s="6">
        <f t="shared" si="11"/>
        <v>0.41743119266055045</v>
      </c>
      <c r="O86" s="14"/>
      <c r="P86" s="2">
        <f>SUM(OSRRefP22_15x_0)</f>
        <v>2689</v>
      </c>
      <c r="Q86" s="2"/>
      <c r="R86" s="6">
        <f t="shared" si="12"/>
        <v>5.9417908668155865E-4</v>
      </c>
      <c r="S86" s="2"/>
      <c r="T86" s="2">
        <f>SUM(OSRRefT22_15x_0)</f>
        <v>1962</v>
      </c>
      <c r="U86" s="2"/>
      <c r="V86" s="6">
        <f t="shared" si="13"/>
        <v>5.5669050051072519E-4</v>
      </c>
      <c r="W86" s="2"/>
      <c r="X86" s="2">
        <f t="shared" si="14"/>
        <v>727</v>
      </c>
      <c r="Y86" s="2"/>
      <c r="Z86" s="6">
        <f t="shared" si="15"/>
        <v>0.37054026503567788</v>
      </c>
    </row>
    <row r="87" spans="1:26" s="70" customFormat="1" ht="15" hidden="1" customHeight="1" outlineLevel="2" x14ac:dyDescent="0.3">
      <c r="A87" s="26"/>
      <c r="B87" s="12" t="str">
        <f>CONCATENATE("          ","6309"," - ","TELEPHONE")</f>
        <v xml:space="preserve">          6309 - TELEPHONE</v>
      </c>
      <c r="C87" s="12"/>
      <c r="D87" s="7">
        <v>309</v>
      </c>
      <c r="E87" s="3"/>
      <c r="F87" s="8">
        <f t="shared" si="8"/>
        <v>4.5703183411608051E-4</v>
      </c>
      <c r="G87" s="3"/>
      <c r="H87" s="7">
        <v>218</v>
      </c>
      <c r="I87" s="3"/>
      <c r="J87" s="8">
        <f t="shared" si="9"/>
        <v>4.0778151889263E-4</v>
      </c>
      <c r="K87" s="3"/>
      <c r="L87" s="7">
        <f t="shared" si="10"/>
        <v>91</v>
      </c>
      <c r="M87" s="3"/>
      <c r="N87" s="8">
        <f t="shared" si="11"/>
        <v>0.41743119266055045</v>
      </c>
      <c r="O87" s="12"/>
      <c r="P87" s="7">
        <v>2689</v>
      </c>
      <c r="Q87" s="3"/>
      <c r="R87" s="8">
        <f t="shared" si="12"/>
        <v>5.9417908668155865E-4</v>
      </c>
      <c r="S87" s="3"/>
      <c r="T87" s="7">
        <v>1962</v>
      </c>
      <c r="U87" s="3"/>
      <c r="V87" s="8">
        <f t="shared" si="13"/>
        <v>5.5669050051072519E-4</v>
      </c>
      <c r="W87" s="3"/>
      <c r="X87" s="7">
        <f t="shared" si="14"/>
        <v>727</v>
      </c>
      <c r="Y87" s="3"/>
      <c r="Z87" s="8">
        <f t="shared" si="15"/>
        <v>0.37054026503567788</v>
      </c>
    </row>
    <row r="88" spans="1:26" s="69" customFormat="1" ht="15" customHeight="1" outlineLevel="1" collapsed="1" x14ac:dyDescent="0.3">
      <c r="A88" s="25"/>
      <c r="B88" s="14" t="str">
        <f>CONCATENATE("     ","Training                                          ")</f>
        <v xml:space="preserve">     Training                                          </v>
      </c>
      <c r="C88" s="14"/>
      <c r="D88" s="2">
        <f>SUM(OSRRefD22_16x_0)</f>
        <v>0</v>
      </c>
      <c r="E88" s="2"/>
      <c r="F88" s="6">
        <f t="shared" si="8"/>
        <v>0</v>
      </c>
      <c r="G88" s="2"/>
      <c r="H88" s="2">
        <f>SUM(OSRRefH22_16x_0)</f>
        <v>150</v>
      </c>
      <c r="I88" s="2"/>
      <c r="J88" s="6">
        <f t="shared" si="9"/>
        <v>2.8058361391694727E-4</v>
      </c>
      <c r="K88" s="2"/>
      <c r="L88" s="2">
        <f t="shared" si="10"/>
        <v>-150</v>
      </c>
      <c r="M88" s="2"/>
      <c r="N88" s="6">
        <f t="shared" si="11"/>
        <v>-1</v>
      </c>
      <c r="O88" s="14"/>
      <c r="P88" s="2">
        <f>SUM(OSRRefP22_16x_0)</f>
        <v>245</v>
      </c>
      <c r="Q88" s="2"/>
      <c r="R88" s="6">
        <f t="shared" si="12"/>
        <v>5.4136807823347669E-5</v>
      </c>
      <c r="S88" s="2"/>
      <c r="T88" s="2">
        <f>SUM(OSRRefT22_16x_0)</f>
        <v>1550</v>
      </c>
      <c r="U88" s="2"/>
      <c r="V88" s="6">
        <f t="shared" si="13"/>
        <v>4.3979117012824876E-4</v>
      </c>
      <c r="W88" s="2"/>
      <c r="X88" s="2">
        <f t="shared" si="14"/>
        <v>-1305</v>
      </c>
      <c r="Y88" s="2"/>
      <c r="Z88" s="6">
        <f t="shared" si="15"/>
        <v>-0.84193548387096773</v>
      </c>
    </row>
    <row r="89" spans="1:26" s="70" customFormat="1" ht="15" hidden="1" customHeight="1" outlineLevel="2" x14ac:dyDescent="0.3">
      <c r="A89" s="26"/>
      <c r="B89" s="12" t="str">
        <f>CONCATENATE("          ","6376"," - ","TRAINING")</f>
        <v xml:space="preserve">          6376 - TRAINING</v>
      </c>
      <c r="C89" s="12"/>
      <c r="D89" s="7"/>
      <c r="E89" s="3"/>
      <c r="F89" s="8">
        <f t="shared" si="8"/>
        <v>0</v>
      </c>
      <c r="G89" s="3"/>
      <c r="H89" s="7">
        <v>150</v>
      </c>
      <c r="I89" s="3"/>
      <c r="J89" s="8">
        <f t="shared" si="9"/>
        <v>2.8058361391694727E-4</v>
      </c>
      <c r="K89" s="3"/>
      <c r="L89" s="7">
        <f t="shared" si="10"/>
        <v>-150</v>
      </c>
      <c r="M89" s="3"/>
      <c r="N89" s="8">
        <f t="shared" si="11"/>
        <v>-1</v>
      </c>
      <c r="O89" s="12"/>
      <c r="P89" s="7">
        <v>245</v>
      </c>
      <c r="Q89" s="3"/>
      <c r="R89" s="8">
        <f t="shared" si="12"/>
        <v>5.4136807823347669E-5</v>
      </c>
      <c r="S89" s="3"/>
      <c r="T89" s="7">
        <v>1550</v>
      </c>
      <c r="U89" s="3"/>
      <c r="V89" s="8">
        <f t="shared" si="13"/>
        <v>4.3979117012824876E-4</v>
      </c>
      <c r="W89" s="3"/>
      <c r="X89" s="7">
        <f t="shared" si="14"/>
        <v>-1305</v>
      </c>
      <c r="Y89" s="3"/>
      <c r="Z89" s="8">
        <f t="shared" si="15"/>
        <v>-0.84193548387096773</v>
      </c>
    </row>
    <row r="90" spans="1:26" s="65" customFormat="1" ht="15" customHeight="1" x14ac:dyDescent="0.3">
      <c r="A90" s="35"/>
      <c r="B90" s="35"/>
      <c r="C90" s="35"/>
      <c r="D90" s="2"/>
      <c r="E90" s="2"/>
      <c r="F90" s="6"/>
      <c r="G90" s="2"/>
      <c r="H90" s="2"/>
      <c r="I90" s="2"/>
      <c r="J90" s="6"/>
      <c r="K90" s="2"/>
      <c r="L90" s="2"/>
      <c r="M90" s="2"/>
      <c r="N90" s="6"/>
      <c r="O90" s="35"/>
      <c r="P90" s="2"/>
      <c r="Q90" s="2"/>
      <c r="R90" s="6"/>
      <c r="S90" s="2"/>
      <c r="T90" s="2"/>
      <c r="U90" s="2"/>
      <c r="V90" s="6"/>
      <c r="W90" s="2"/>
      <c r="X90" s="2"/>
      <c r="Y90" s="2"/>
      <c r="Z90" s="6"/>
    </row>
    <row r="91" spans="1:26" s="63" customFormat="1" ht="15" customHeight="1" x14ac:dyDescent="0.3">
      <c r="A91" s="11"/>
      <c r="B91" s="28" t="s">
        <v>291</v>
      </c>
      <c r="C91" s="11"/>
      <c r="D91" s="5">
        <f>SUM(0)</f>
        <v>0</v>
      </c>
      <c r="E91" s="5"/>
      <c r="F91" s="13">
        <f>IF(D$12=0,0,D91/D$12)</f>
        <v>0</v>
      </c>
      <c r="G91" s="5"/>
      <c r="H91" s="5">
        <f>SUM(0)</f>
        <v>0</v>
      </c>
      <c r="I91" s="5"/>
      <c r="J91" s="13">
        <f>IF(H$12=0,0,H91/H$12)</f>
        <v>0</v>
      </c>
      <c r="K91" s="5"/>
      <c r="L91" s="5">
        <f>+D91-H91</f>
        <v>0</v>
      </c>
      <c r="M91" s="5"/>
      <c r="N91" s="13">
        <f>IF(H91=0,0,L91/H91)</f>
        <v>0</v>
      </c>
      <c r="O91" s="11"/>
      <c r="P91" s="5">
        <f>SUM(0)</f>
        <v>0</v>
      </c>
      <c r="Q91" s="5"/>
      <c r="R91" s="13">
        <f>IF(P$12=0,0,P91/P$12)</f>
        <v>0</v>
      </c>
      <c r="S91" s="5"/>
      <c r="T91" s="5">
        <f>SUM(0)</f>
        <v>0</v>
      </c>
      <c r="U91" s="5"/>
      <c r="V91" s="13">
        <f>IF(T$12=0,0,T91/T$12)</f>
        <v>0</v>
      </c>
      <c r="W91" s="5"/>
      <c r="X91" s="5">
        <f>+P91-T91</f>
        <v>0</v>
      </c>
      <c r="Y91" s="5"/>
      <c r="Z91" s="13">
        <f>IF(T91=0,0,X91/T91)</f>
        <v>0</v>
      </c>
    </row>
    <row r="92" spans="1:26" ht="15" customHeight="1" x14ac:dyDescent="0.3">
      <c r="A92" s="10"/>
      <c r="B92" s="11"/>
      <c r="C92" s="11"/>
      <c r="D92" s="4"/>
      <c r="E92" s="4"/>
      <c r="F92" s="9"/>
      <c r="G92" s="4"/>
      <c r="H92" s="4"/>
      <c r="I92" s="4"/>
      <c r="J92" s="9"/>
      <c r="K92" s="4"/>
      <c r="L92" s="4"/>
      <c r="M92" s="4"/>
      <c r="N92" s="9"/>
      <c r="O92" s="11"/>
      <c r="P92" s="4"/>
      <c r="Q92" s="4"/>
      <c r="R92" s="9"/>
      <c r="S92" s="4"/>
      <c r="T92" s="4"/>
      <c r="U92" s="4"/>
      <c r="V92" s="9"/>
      <c r="W92" s="4"/>
      <c r="X92" s="4"/>
      <c r="Y92" s="4"/>
      <c r="Z92" s="9"/>
    </row>
    <row r="93" spans="1:26" s="63" customFormat="1" ht="15" customHeight="1" x14ac:dyDescent="0.3">
      <c r="A93" s="11"/>
      <c r="B93" s="27" t="s">
        <v>292</v>
      </c>
      <c r="C93" s="27"/>
      <c r="D93" s="21">
        <f>+D23-D25+D91</f>
        <v>296778.90999999992</v>
      </c>
      <c r="E93" s="15"/>
      <c r="F93" s="23">
        <f>IF(D$12=0,0,D93/D$12)</f>
        <v>0.43895601800734996</v>
      </c>
      <c r="G93" s="15"/>
      <c r="H93" s="21">
        <f>+H23-H25+H91</f>
        <v>146369.62830878005</v>
      </c>
      <c r="I93" s="15"/>
      <c r="J93" s="23">
        <f>IF(H$12=0,0,H93/H$12)</f>
        <v>0.27379279519038546</v>
      </c>
      <c r="K93" s="16"/>
      <c r="L93" s="21">
        <f>+D93-H93</f>
        <v>150409.28169121986</v>
      </c>
      <c r="M93" s="16"/>
      <c r="N93" s="23">
        <f>IF(H93=0,0,L93/H93)</f>
        <v>1.0275989864093784</v>
      </c>
      <c r="O93" s="28"/>
      <c r="P93" s="21">
        <f>+P23-P25+P91</f>
        <v>1760969.5499999996</v>
      </c>
      <c r="Q93" s="15"/>
      <c r="R93" s="23">
        <f>IF(P$12=0,0,P93/P$12)</f>
        <v>0.38911538820864083</v>
      </c>
      <c r="S93" s="15"/>
      <c r="T93" s="21">
        <f>+T23-T25+T91</f>
        <v>655206.36201060517</v>
      </c>
      <c r="U93" s="15"/>
      <c r="V93" s="23">
        <f>IF(T$12=0,0,T93/T$12)</f>
        <v>0.18590578878975292</v>
      </c>
      <c r="W93" s="16"/>
      <c r="X93" s="21">
        <f>+P93-T93</f>
        <v>1105763.1879893944</v>
      </c>
      <c r="Y93" s="16"/>
      <c r="Z93" s="23">
        <f>IF(T93=0,0,X93/T93)</f>
        <v>1.6876563661503283</v>
      </c>
    </row>
    <row r="94" spans="1:26" ht="15" customHeight="1" x14ac:dyDescent="0.3">
      <c r="A94" s="10"/>
      <c r="B94" s="11"/>
      <c r="C94" s="10"/>
      <c r="D94" s="4"/>
      <c r="E94" s="4"/>
      <c r="F94" s="9"/>
      <c r="G94" s="4"/>
      <c r="H94" s="4"/>
      <c r="I94" s="4"/>
      <c r="J94" s="9"/>
      <c r="K94" s="4"/>
      <c r="L94" s="4"/>
      <c r="M94" s="4"/>
      <c r="N94" s="9"/>
      <c r="P94" s="4"/>
      <c r="Q94" s="4"/>
      <c r="R94" s="9"/>
      <c r="S94" s="4"/>
      <c r="T94" s="4"/>
      <c r="U94" s="4"/>
      <c r="V94" s="9"/>
      <c r="W94" s="4"/>
      <c r="X94" s="4"/>
      <c r="Y94" s="4"/>
      <c r="Z94" s="9"/>
    </row>
    <row r="95" spans="1:26" s="63" customFormat="1" ht="15" customHeight="1" x14ac:dyDescent="0.3">
      <c r="A95" s="49"/>
      <c r="B95" s="11" t="s">
        <v>293</v>
      </c>
      <c r="C95" s="11"/>
      <c r="D95" s="5">
        <v>59614.64</v>
      </c>
      <c r="E95" s="5"/>
      <c r="F95" s="13">
        <f>IF(D$12=0,0,D95/D$12)</f>
        <v>8.8174072036795656E-2</v>
      </c>
      <c r="G95" s="5"/>
      <c r="H95" s="5">
        <v>63711</v>
      </c>
      <c r="I95" s="5"/>
      <c r="J95" s="13">
        <f>IF(H$12=0,0,H95/H$12)</f>
        <v>0.11917508417508417</v>
      </c>
      <c r="K95" s="5"/>
      <c r="L95" s="5">
        <f>+D95-H95</f>
        <v>-4096.3600000000006</v>
      </c>
      <c r="M95" s="5"/>
      <c r="N95" s="13">
        <f>IF(H95=0,0,L95/H95)</f>
        <v>-6.429596145092685E-2</v>
      </c>
      <c r="O95" s="11"/>
      <c r="P95" s="5">
        <v>540115.87</v>
      </c>
      <c r="Q95" s="5"/>
      <c r="R95" s="13">
        <f>IF(P$12=0,0,P95/P$12)</f>
        <v>0.11934754716951115</v>
      </c>
      <c r="S95" s="5"/>
      <c r="T95" s="5">
        <v>429207</v>
      </c>
      <c r="U95" s="5"/>
      <c r="V95" s="13">
        <f>IF(T$12=0,0,T95/T$12)</f>
        <v>0.12178157984337759</v>
      </c>
      <c r="W95" s="5"/>
      <c r="X95" s="5">
        <f>+P95-T95</f>
        <v>110908.87</v>
      </c>
      <c r="Y95" s="5"/>
      <c r="Z95" s="13">
        <f>IF(T95=0,0,X95/T95)</f>
        <v>0.25840414997891459</v>
      </c>
    </row>
    <row r="96" spans="1:26" ht="15" customHeight="1" x14ac:dyDescent="0.3">
      <c r="A96" s="10"/>
      <c r="B96" s="11"/>
      <c r="C96" s="11"/>
      <c r="D96" s="4"/>
      <c r="E96" s="4"/>
      <c r="F96" s="9"/>
      <c r="G96" s="4"/>
      <c r="H96" s="4"/>
      <c r="I96" s="4"/>
      <c r="J96" s="9"/>
      <c r="K96" s="4"/>
      <c r="L96" s="4"/>
      <c r="M96" s="4"/>
      <c r="N96" s="9"/>
      <c r="O96" s="11"/>
      <c r="P96" s="4"/>
      <c r="Q96" s="4"/>
      <c r="R96" s="9"/>
      <c r="S96" s="4"/>
      <c r="T96" s="4"/>
      <c r="U96" s="4"/>
      <c r="V96" s="9"/>
      <c r="W96" s="4"/>
      <c r="X96" s="4"/>
      <c r="Y96" s="4"/>
      <c r="Z96" s="9"/>
    </row>
    <row r="97" spans="1:26" s="63" customFormat="1" ht="15" customHeight="1" x14ac:dyDescent="0.3">
      <c r="A97" s="11"/>
      <c r="B97" s="27" t="s">
        <v>294</v>
      </c>
      <c r="C97" s="27"/>
      <c r="D97" s="34">
        <f>+D93-D95</f>
        <v>237164.2699999999</v>
      </c>
      <c r="E97" s="15"/>
      <c r="F97" s="29">
        <f>IF(D$12=0,0,D97/D$12)</f>
        <v>0.35078194597055429</v>
      </c>
      <c r="G97" s="15"/>
      <c r="H97" s="34">
        <f>+H93-H95</f>
        <v>82658.628308780055</v>
      </c>
      <c r="I97" s="15"/>
      <c r="J97" s="29">
        <f>IF(H$12=0,0,H97/H$12)</f>
        <v>0.15461771101530125</v>
      </c>
      <c r="K97" s="16"/>
      <c r="L97" s="34">
        <f>D97-H97</f>
        <v>154505.64169121985</v>
      </c>
      <c r="M97" s="16"/>
      <c r="N97" s="29">
        <f>IF(H97=0,0,L97/H97)</f>
        <v>1.8692016169691041</v>
      </c>
      <c r="O97" s="28"/>
      <c r="P97" s="34">
        <f>+P93-P95</f>
        <v>1220853.6799999997</v>
      </c>
      <c r="Q97" s="15"/>
      <c r="R97" s="29">
        <f>IF(P$12=0,0,P97/P$12)</f>
        <v>0.26976784103912971</v>
      </c>
      <c r="S97" s="15"/>
      <c r="T97" s="34">
        <f>+T93-T95</f>
        <v>225999.36201060517</v>
      </c>
      <c r="U97" s="15"/>
      <c r="V97" s="29">
        <f>IF(T$12=0,0,T97/T$12)</f>
        <v>6.4124208946375313E-2</v>
      </c>
      <c r="W97" s="16"/>
      <c r="X97" s="34">
        <f>P97-T97</f>
        <v>994854.31798939453</v>
      </c>
      <c r="Y97" s="16"/>
      <c r="Z97" s="29">
        <f>IF(T97=0,0,X97/T97)</f>
        <v>4.4020226833326648</v>
      </c>
    </row>
    <row r="98" spans="1:26" ht="15" customHeight="1" x14ac:dyDescent="0.3">
      <c r="A98" s="10"/>
      <c r="B98" s="10"/>
      <c r="C98" s="10"/>
      <c r="D98" s="4"/>
      <c r="E98" s="4"/>
      <c r="F98" s="9"/>
      <c r="G98" s="4"/>
      <c r="H98" s="4"/>
      <c r="I98" s="4"/>
      <c r="J98" s="9"/>
      <c r="K98" s="4"/>
      <c r="L98" s="4"/>
      <c r="M98" s="4"/>
      <c r="N98" s="9"/>
      <c r="P98" s="4"/>
      <c r="Q98" s="4"/>
      <c r="R98" s="9"/>
      <c r="S98" s="4"/>
      <c r="T98" s="4"/>
      <c r="U98" s="4"/>
      <c r="V98" s="9"/>
      <c r="W98" s="4"/>
      <c r="X98" s="4"/>
      <c r="Y98" s="4"/>
      <c r="Z98" s="9"/>
    </row>
    <row r="99" spans="1:26" ht="15" customHeight="1" x14ac:dyDescent="0.3">
      <c r="A99" s="10"/>
      <c r="B99" s="10"/>
      <c r="C99" s="10"/>
      <c r="D99" s="4"/>
      <c r="E99" s="4"/>
      <c r="F99" s="9"/>
      <c r="G99" s="4"/>
      <c r="H99" s="4"/>
      <c r="I99" s="4"/>
      <c r="J99" s="9"/>
      <c r="K99" s="4"/>
      <c r="L99" s="4"/>
      <c r="M99" s="4"/>
      <c r="N99" s="9"/>
      <c r="P99" s="4"/>
      <c r="Q99" s="4"/>
      <c r="R99" s="9"/>
      <c r="S99" s="4"/>
      <c r="T99" s="4"/>
      <c r="U99" s="4"/>
      <c r="V99" s="9"/>
      <c r="W99" s="4"/>
      <c r="X99" s="4"/>
      <c r="Y99" s="4"/>
      <c r="Z99" s="9"/>
    </row>
    <row r="100" spans="1:26" s="63" customFormat="1" ht="15" customHeight="1" x14ac:dyDescent="0.3">
      <c r="A100" s="11"/>
      <c r="B100" s="27" t="s">
        <v>297</v>
      </c>
      <c r="C100" s="27"/>
      <c r="D100" s="32">
        <f>SUM(D97:D99)</f>
        <v>237164.2699999999</v>
      </c>
      <c r="E100" s="15"/>
      <c r="F100" s="31">
        <f>IF(D$12=0,0,D100/D$12)</f>
        <v>0.35078194597055429</v>
      </c>
      <c r="G100" s="15"/>
      <c r="H100" s="32">
        <f>SUM(H97:H99)</f>
        <v>82658.628308780055</v>
      </c>
      <c r="I100" s="15"/>
      <c r="J100" s="31">
        <f>IF(H$12=0,0,H100/H$12)</f>
        <v>0.15461771101530125</v>
      </c>
      <c r="K100" s="16"/>
      <c r="L100" s="32">
        <f>+D100-H100</f>
        <v>154505.64169121985</v>
      </c>
      <c r="M100" s="16"/>
      <c r="N100" s="31">
        <f>IF(H100=0,0,L100/H100)</f>
        <v>1.8692016169691041</v>
      </c>
      <c r="O100" s="28"/>
      <c r="P100" s="32">
        <f>SUM(P97:P99)</f>
        <v>1220853.6799999997</v>
      </c>
      <c r="Q100" s="15"/>
      <c r="R100" s="31">
        <f>IF(P$12=0,0,P100/P$12)</f>
        <v>0.26976784103912971</v>
      </c>
      <c r="S100" s="15"/>
      <c r="T100" s="32">
        <f>SUM(T97:T99)</f>
        <v>225999.36201060517</v>
      </c>
      <c r="U100" s="15"/>
      <c r="V100" s="31">
        <f>IF(T$12=0,0,T100/T$12)</f>
        <v>6.4124208946375313E-2</v>
      </c>
      <c r="W100" s="16"/>
      <c r="X100" s="32">
        <f>+P100-T100</f>
        <v>994854.31798939453</v>
      </c>
      <c r="Y100" s="16"/>
      <c r="Z100" s="31">
        <f>IF(T100=0,0,X100/T100)</f>
        <v>4.4020226833326648</v>
      </c>
    </row>
    <row r="101" spans="1:26" ht="15" customHeight="1" x14ac:dyDescent="0.3">
      <c r="A101" s="10"/>
      <c r="C101" s="10"/>
      <c r="D101" s="19"/>
      <c r="E101" s="19"/>
      <c r="G101" s="19"/>
      <c r="H101" s="19"/>
      <c r="I101" s="19"/>
      <c r="J101" s="40"/>
      <c r="K101" s="19"/>
      <c r="L101" s="19"/>
      <c r="M101" s="19"/>
      <c r="P101" s="19"/>
      <c r="Q101" s="19"/>
      <c r="R101" s="40"/>
      <c r="S101" s="19"/>
      <c r="T101" s="19"/>
      <c r="U101" s="19"/>
      <c r="V101" s="40"/>
      <c r="W101" s="19"/>
      <c r="X101" s="19"/>
    </row>
    <row r="102" spans="1:26" ht="15" customHeight="1" x14ac:dyDescent="0.3">
      <c r="A102" s="10"/>
      <c r="B102" s="51">
        <v>44663.047665428239</v>
      </c>
      <c r="D102" s="19"/>
      <c r="E102" s="19"/>
      <c r="G102" s="19"/>
      <c r="H102" s="19"/>
      <c r="I102" s="19"/>
      <c r="J102" s="40"/>
      <c r="K102" s="19"/>
      <c r="L102" s="19"/>
      <c r="M102" s="19"/>
      <c r="P102" s="19"/>
      <c r="Q102" s="19"/>
      <c r="R102" s="40"/>
      <c r="S102" s="19"/>
      <c r="T102" s="19"/>
      <c r="U102" s="19"/>
      <c r="V102" s="40"/>
      <c r="W102" s="19"/>
      <c r="X102" s="19"/>
    </row>
    <row r="103" spans="1:26" ht="15" customHeight="1" x14ac:dyDescent="0.3">
      <c r="A103" s="10"/>
      <c r="B103" s="58" t="s">
        <v>298</v>
      </c>
      <c r="D103" s="19"/>
      <c r="E103" s="19"/>
      <c r="G103" s="19"/>
      <c r="H103" s="19"/>
      <c r="I103" s="19"/>
      <c r="J103" s="40"/>
      <c r="K103" s="19"/>
      <c r="L103" s="19"/>
      <c r="M103" s="19"/>
      <c r="P103" s="19"/>
      <c r="Q103" s="19"/>
      <c r="R103" s="40"/>
      <c r="S103" s="19"/>
      <c r="T103" s="19"/>
      <c r="U103" s="19"/>
      <c r="V103" s="40"/>
      <c r="W103" s="19"/>
      <c r="X103" s="19"/>
    </row>
    <row r="104" spans="1:26" ht="15" customHeight="1" x14ac:dyDescent="0.3">
      <c r="A104" s="10"/>
      <c r="B104" s="50"/>
      <c r="D104" s="19"/>
      <c r="E104" s="19"/>
      <c r="G104" s="19"/>
      <c r="H104" s="19"/>
      <c r="I104" s="19"/>
      <c r="J104" s="40"/>
      <c r="K104" s="19"/>
      <c r="L104" s="19"/>
      <c r="M104" s="19"/>
      <c r="P104" s="19"/>
      <c r="Q104" s="19"/>
      <c r="R104" s="40"/>
      <c r="S104" s="19"/>
      <c r="T104" s="19"/>
      <c r="U104" s="19"/>
      <c r="V104" s="40"/>
      <c r="W104" s="19"/>
      <c r="X104" s="19"/>
    </row>
    <row r="105" spans="1:26" ht="15" customHeight="1" x14ac:dyDescent="0.3">
      <c r="D105" s="19"/>
      <c r="E105" s="19"/>
      <c r="G105" s="19"/>
      <c r="H105" s="19"/>
      <c r="I105" s="19"/>
      <c r="J105" s="40"/>
      <c r="K105" s="19"/>
      <c r="L105" s="19"/>
      <c r="M105" s="19"/>
      <c r="P105" s="19"/>
      <c r="Q105" s="19"/>
      <c r="R105" s="40"/>
      <c r="S105" s="19"/>
      <c r="T105" s="19"/>
      <c r="U105" s="19"/>
      <c r="V105" s="40"/>
      <c r="W105" s="19"/>
      <c r="X105" s="19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9E136D-21DD-BFFA-009F-42C1FF3B228B}">
  <sheetPr>
    <tabColor rgb="FF92D050"/>
    <outlinePr summaryBelow="0" summaryRight="0"/>
  </sheetPr>
  <dimension ref="A2:Z104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6" customWidth="1"/>
    <col min="2" max="2" width="33.44140625" style="66" customWidth="1"/>
    <col min="3" max="3" width="1.88671875" style="66" customWidth="1"/>
    <col min="4" max="4" width="15" style="66" customWidth="1"/>
    <col min="5" max="5" width="1.88671875" style="66" customWidth="1" outlineLevel="1"/>
    <col min="6" max="6" width="15" style="67" customWidth="1" outlineLevel="1"/>
    <col min="7" max="7" width="1.88671875" style="66" customWidth="1" outlineLevel="1"/>
    <col min="8" max="8" width="15" style="66" customWidth="1" outlineLevel="1"/>
    <col min="9" max="9" width="1.88671875" style="66" customWidth="1" outlineLevel="1"/>
    <col min="10" max="10" width="15" style="68" customWidth="1" outlineLevel="1"/>
    <col min="11" max="11" width="1.88671875" style="66" customWidth="1" outlineLevel="1"/>
    <col min="12" max="12" width="15" style="66" customWidth="1" outlineLevel="1"/>
    <col min="13" max="13" width="1.88671875" style="66" customWidth="1" outlineLevel="1"/>
    <col min="14" max="14" width="15" style="67" customWidth="1" outlineLevel="1"/>
    <col min="15" max="15" width="1.88671875" style="64" customWidth="1"/>
    <col min="16" max="16" width="15" style="66" customWidth="1"/>
    <col min="17" max="17" width="1.88671875" style="66" customWidth="1" outlineLevel="1"/>
    <col min="18" max="18" width="15" style="68" customWidth="1" outlineLevel="1"/>
    <col min="19" max="19" width="1.88671875" style="66" customWidth="1" outlineLevel="1"/>
    <col min="20" max="20" width="15" style="66" customWidth="1" outlineLevel="1"/>
    <col min="21" max="21" width="1.88671875" style="66" customWidth="1" outlineLevel="1"/>
    <col min="22" max="22" width="15" style="68" customWidth="1" outlineLevel="1"/>
    <col min="23" max="23" width="1.88671875" style="66" customWidth="1" outlineLevel="1"/>
    <col min="24" max="24" width="15" style="66" customWidth="1" outlineLevel="1"/>
    <col min="25" max="25" width="1.88671875" style="66" customWidth="1" outlineLevel="1"/>
    <col min="26" max="26" width="15" style="68" customWidth="1" outlineLevel="1"/>
  </cols>
  <sheetData>
    <row r="2" spans="1:26" ht="15" customHeight="1" x14ac:dyDescent="0.3">
      <c r="D2" s="54" t="s">
        <v>276</v>
      </c>
    </row>
    <row r="3" spans="1:26" ht="15" customHeight="1" x14ac:dyDescent="0.3">
      <c r="D3" s="54" t="s">
        <v>277</v>
      </c>
      <c r="E3" s="18"/>
      <c r="F3" s="44"/>
      <c r="G3" s="18"/>
      <c r="H3" s="18"/>
      <c r="I3" s="18"/>
      <c r="J3" s="38"/>
      <c r="K3" s="18"/>
      <c r="L3" s="18"/>
      <c r="M3" s="18"/>
      <c r="N3" s="44"/>
      <c r="O3" s="53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ht="15" customHeight="1" x14ac:dyDescent="0.3">
      <c r="D4" s="54" t="str">
        <f>CONCATENATE("Period ",RIGHT(202209,2),", ",2022)</f>
        <v>Period 09, 2022</v>
      </c>
      <c r="E4" s="18"/>
      <c r="F4" s="44"/>
      <c r="G4" s="18"/>
      <c r="H4" s="18"/>
      <c r="I4" s="18"/>
      <c r="J4" s="38"/>
      <c r="K4" s="18"/>
      <c r="L4" s="18"/>
      <c r="M4" s="18"/>
      <c r="N4" s="44"/>
      <c r="O4" s="53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ht="15" customHeight="1" x14ac:dyDescent="0.3">
      <c r="A5" s="24"/>
      <c r="D5" s="60">
        <v>44646</v>
      </c>
      <c r="E5" s="18"/>
      <c r="F5" s="44"/>
      <c r="G5" s="18"/>
      <c r="H5" s="18"/>
      <c r="I5" s="18"/>
      <c r="J5" s="38"/>
      <c r="K5" s="18"/>
      <c r="L5" s="18"/>
      <c r="M5" s="18"/>
      <c r="N5" s="44"/>
      <c r="O5" s="53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ht="15" customHeight="1" x14ac:dyDescent="0.3">
      <c r="A6" s="24"/>
      <c r="B6" s="47"/>
      <c r="C6" s="47"/>
      <c r="D6" s="24" t="str">
        <f>CONCATENATE("Department ","450"," - ","Beachside Dining Hall")</f>
        <v>Department 450 - Beachside Dining Hall</v>
      </c>
      <c r="E6" s="18"/>
      <c r="F6" s="44"/>
      <c r="G6" s="18"/>
      <c r="H6" s="18"/>
      <c r="I6" s="18"/>
      <c r="J6" s="38"/>
      <c r="K6" s="18"/>
      <c r="L6" s="18"/>
      <c r="M6" s="18"/>
      <c r="N6" s="44"/>
      <c r="O6" s="59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ht="15" customHeight="1" x14ac:dyDescent="0.3">
      <c r="B7" s="52"/>
    </row>
    <row r="8" spans="1:26" ht="15" customHeight="1" x14ac:dyDescent="0.3">
      <c r="B8" s="52"/>
    </row>
    <row r="9" spans="1:26" ht="15" customHeight="1" x14ac:dyDescent="0.3">
      <c r="B9" s="10"/>
      <c r="C9" s="10"/>
      <c r="D9" s="17" t="s">
        <v>279</v>
      </c>
      <c r="E9" s="17"/>
      <c r="F9" s="36"/>
      <c r="G9" s="17"/>
      <c r="H9" s="17"/>
      <c r="I9" s="17"/>
      <c r="J9" s="43"/>
      <c r="K9" s="17"/>
      <c r="L9" s="17"/>
      <c r="M9" s="17"/>
      <c r="N9" s="36"/>
      <c r="P9" s="17" t="s">
        <v>280</v>
      </c>
      <c r="Q9" s="17"/>
      <c r="R9" s="36"/>
      <c r="S9" s="17"/>
      <c r="T9" s="17"/>
      <c r="U9" s="17"/>
      <c r="V9" s="43"/>
      <c r="W9" s="17"/>
      <c r="X9" s="17"/>
      <c r="Y9" s="17"/>
      <c r="Z9" s="36"/>
    </row>
    <row r="10" spans="1:26" ht="15" customHeight="1" x14ac:dyDescent="0.3">
      <c r="A10" s="11"/>
      <c r="B10" s="57"/>
      <c r="C10" s="11"/>
      <c r="D10" s="41" t="s">
        <v>281</v>
      </c>
      <c r="E10" s="33"/>
      <c r="F10" s="37" t="s">
        <v>282</v>
      </c>
      <c r="G10" s="33"/>
      <c r="H10" s="48" t="s">
        <v>283</v>
      </c>
      <c r="I10" s="33"/>
      <c r="J10" s="45" t="s">
        <v>284</v>
      </c>
      <c r="K10" s="11"/>
      <c r="L10" s="41" t="s">
        <v>285</v>
      </c>
      <c r="M10" s="11"/>
      <c r="N10" s="37" t="s">
        <v>286</v>
      </c>
      <c r="O10" s="11"/>
      <c r="P10" s="56" t="s">
        <v>281</v>
      </c>
      <c r="Q10" s="33"/>
      <c r="R10" s="37" t="s">
        <v>282</v>
      </c>
      <c r="S10" s="33"/>
      <c r="T10" s="48" t="s">
        <v>283</v>
      </c>
      <c r="U10" s="33"/>
      <c r="V10" s="45" t="s">
        <v>284</v>
      </c>
      <c r="W10" s="11"/>
      <c r="X10" s="41" t="s">
        <v>285</v>
      </c>
      <c r="Y10" s="11"/>
      <c r="Z10" s="37" t="s">
        <v>286</v>
      </c>
    </row>
    <row r="11" spans="1:26" ht="16.5" customHeight="1" x14ac:dyDescent="0.3">
      <c r="A11" s="10"/>
      <c r="B11" s="55"/>
      <c r="C11" s="10"/>
      <c r="D11" s="10"/>
      <c r="E11" s="10"/>
      <c r="F11" s="9"/>
      <c r="G11" s="10"/>
      <c r="H11" s="10"/>
      <c r="I11" s="10"/>
      <c r="J11" s="46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6"/>
      <c r="W11" s="10"/>
      <c r="X11" s="10"/>
      <c r="Y11" s="10"/>
      <c r="Z11" s="9"/>
    </row>
    <row r="12" spans="1:26" s="63" customFormat="1" ht="15" customHeight="1" collapsed="1" x14ac:dyDescent="0.3">
      <c r="A12" s="11"/>
      <c r="B12" s="28" t="s">
        <v>287</v>
      </c>
      <c r="C12" s="11"/>
      <c r="D12" s="5">
        <f>SUM(OSRRefD13x_0)</f>
        <v>258493.59999999998</v>
      </c>
      <c r="E12" s="5"/>
      <c r="F12" s="13"/>
      <c r="G12" s="5"/>
      <c r="H12" s="5">
        <f>SUM(OSRRefH13x_0)</f>
        <v>116640</v>
      </c>
      <c r="I12" s="5"/>
      <c r="J12" s="13"/>
      <c r="K12" s="5"/>
      <c r="L12" s="5">
        <f>+D12-H12</f>
        <v>141853.59999999998</v>
      </c>
      <c r="M12" s="5"/>
      <c r="N12" s="13">
        <f>IF(H12=0,0,L12/H12)</f>
        <v>1.2161659807956102</v>
      </c>
      <c r="O12" s="11"/>
      <c r="P12" s="5">
        <f>SUM(OSRRefP13x_0)</f>
        <v>1528805.4100000001</v>
      </c>
      <c r="Q12" s="5"/>
      <c r="R12" s="13"/>
      <c r="S12" s="5"/>
      <c r="T12" s="5">
        <f>SUM(OSRRefT13x_0)</f>
        <v>768960</v>
      </c>
      <c r="U12" s="5"/>
      <c r="V12" s="13"/>
      <c r="W12" s="5"/>
      <c r="X12" s="5">
        <f>+P12-T12</f>
        <v>759845.41000000015</v>
      </c>
      <c r="Y12" s="5"/>
      <c r="Z12" s="13">
        <f>IF(T12=0,0,X12/T12)</f>
        <v>0.98814686069496482</v>
      </c>
    </row>
    <row r="13" spans="1:26" s="70" customFormat="1" ht="15" hidden="1" customHeight="1" outlineLevel="1" x14ac:dyDescent="0.3">
      <c r="A13" s="42"/>
      <c r="B13" s="12" t="str">
        <f>CONCATENATE("          ","4053"," - ","TAXABLE SALES-FOOD")</f>
        <v xml:space="preserve">          4053 - TAXABLE SALES-FOOD</v>
      </c>
      <c r="C13" s="12"/>
      <c r="D13" s="3">
        <f>--36.77</f>
        <v>36.770000000000003</v>
      </c>
      <c r="E13" s="3"/>
      <c r="F13" s="20"/>
      <c r="G13" s="3"/>
      <c r="H13" s="3"/>
      <c r="I13" s="3"/>
      <c r="J13" s="20"/>
      <c r="K13" s="3"/>
      <c r="L13" s="3">
        <f>+D13-H13</f>
        <v>36.770000000000003</v>
      </c>
      <c r="M13" s="3"/>
      <c r="N13" s="20">
        <f>IF(H13=0,0,L13/H13)</f>
        <v>0</v>
      </c>
      <c r="O13" s="12"/>
      <c r="P13" s="3">
        <f>--282.61</f>
        <v>282.61</v>
      </c>
      <c r="Q13" s="3"/>
      <c r="R13" s="20"/>
      <c r="S13" s="3"/>
      <c r="T13" s="3"/>
      <c r="U13" s="3"/>
      <c r="V13" s="20"/>
      <c r="W13" s="3"/>
      <c r="X13" s="3">
        <f>+P13-T13</f>
        <v>282.61</v>
      </c>
      <c r="Y13" s="3"/>
      <c r="Z13" s="20">
        <f>IF(T13=0,0,X13/T13)</f>
        <v>0</v>
      </c>
    </row>
    <row r="14" spans="1:26" s="70" customFormat="1" ht="15" hidden="1" customHeight="1" outlineLevel="1" x14ac:dyDescent="0.3">
      <c r="A14" s="42"/>
      <c r="B14" s="12" t="str">
        <f>CONCATENATE("          ","4100"," - ","NON-TAXABLE SALES")</f>
        <v xml:space="preserve">          4100 - NON-TAXABLE SALES</v>
      </c>
      <c r="C14" s="12"/>
      <c r="D14" s="3">
        <f>0</f>
        <v>0</v>
      </c>
      <c r="E14" s="3"/>
      <c r="F14" s="20"/>
      <c r="G14" s="3"/>
      <c r="H14" s="3">
        <v>116640</v>
      </c>
      <c r="I14" s="3"/>
      <c r="J14" s="20"/>
      <c r="K14" s="3"/>
      <c r="L14" s="3">
        <f>+D14-H14</f>
        <v>-116640</v>
      </c>
      <c r="M14" s="3"/>
      <c r="N14" s="20">
        <f>IF(H14=0,0,L14/H14)</f>
        <v>-1</v>
      </c>
      <c r="O14" s="12"/>
      <c r="P14" s="3">
        <f>0</f>
        <v>0</v>
      </c>
      <c r="Q14" s="3"/>
      <c r="R14" s="20"/>
      <c r="S14" s="3"/>
      <c r="T14" s="3">
        <v>768960</v>
      </c>
      <c r="U14" s="3"/>
      <c r="V14" s="20"/>
      <c r="W14" s="3"/>
      <c r="X14" s="3">
        <f>+P14-T14</f>
        <v>-768960</v>
      </c>
      <c r="Y14" s="3"/>
      <c r="Z14" s="20">
        <f>IF(T14=0,0,X14/T14)</f>
        <v>-1</v>
      </c>
    </row>
    <row r="15" spans="1:26" s="70" customFormat="1" ht="15" hidden="1" customHeight="1" outlineLevel="1" x14ac:dyDescent="0.3">
      <c r="A15" s="42"/>
      <c r="B15" s="12" t="str">
        <f>CONCATENATE("          ","4151"," - ","NON-TAXABLE SALES-FOOD")</f>
        <v xml:space="preserve">          4151 - NON-TAXABLE SALES-FOOD</v>
      </c>
      <c r="C15" s="12"/>
      <c r="D15" s="3">
        <f>--257279.9</f>
        <v>257279.9</v>
      </c>
      <c r="E15" s="3"/>
      <c r="F15" s="20"/>
      <c r="G15" s="3"/>
      <c r="H15" s="3"/>
      <c r="I15" s="3"/>
      <c r="J15" s="20"/>
      <c r="K15" s="3"/>
      <c r="L15" s="3">
        <f>+D15-H15</f>
        <v>257279.9</v>
      </c>
      <c r="M15" s="3"/>
      <c r="N15" s="20">
        <f>IF(H15=0,0,L15/H15)</f>
        <v>0</v>
      </c>
      <c r="O15" s="12"/>
      <c r="P15" s="3">
        <f>--1521177.08</f>
        <v>1521177.08</v>
      </c>
      <c r="Q15" s="3"/>
      <c r="R15" s="20"/>
      <c r="S15" s="3"/>
      <c r="T15" s="3"/>
      <c r="U15" s="3"/>
      <c r="V15" s="20"/>
      <c r="W15" s="3"/>
      <c r="X15" s="3">
        <f>+P15-T15</f>
        <v>1521177.08</v>
      </c>
      <c r="Y15" s="3"/>
      <c r="Z15" s="20">
        <f>IF(T15=0,0,X15/T15)</f>
        <v>0</v>
      </c>
    </row>
    <row r="16" spans="1:26" s="70" customFormat="1" ht="15" hidden="1" customHeight="1" outlineLevel="1" x14ac:dyDescent="0.3">
      <c r="A16" s="42"/>
      <c r="B16" s="12" t="str">
        <f>CONCATENATE("          ","4153"," - ","NON-TAXABLE SALES-FOOD")</f>
        <v xml:space="preserve">          4153 - NON-TAXABLE SALES-FOOD</v>
      </c>
      <c r="C16" s="12"/>
      <c r="D16" s="3">
        <f>--1176.93</f>
        <v>1176.93</v>
      </c>
      <c r="E16" s="3"/>
      <c r="F16" s="20"/>
      <c r="G16" s="3"/>
      <c r="H16" s="3"/>
      <c r="I16" s="3"/>
      <c r="J16" s="20"/>
      <c r="K16" s="3"/>
      <c r="L16" s="3">
        <f>+D16-H16</f>
        <v>1176.93</v>
      </c>
      <c r="M16" s="3"/>
      <c r="N16" s="20">
        <f>IF(H16=0,0,L16/H16)</f>
        <v>0</v>
      </c>
      <c r="O16" s="12"/>
      <c r="P16" s="3">
        <f>--7345.72</f>
        <v>7345.72</v>
      </c>
      <c r="Q16" s="3"/>
      <c r="R16" s="20"/>
      <c r="S16" s="3"/>
      <c r="T16" s="3"/>
      <c r="U16" s="3"/>
      <c r="V16" s="20"/>
      <c r="W16" s="3"/>
      <c r="X16" s="3">
        <f>+P16-T16</f>
        <v>7345.72</v>
      </c>
      <c r="Y16" s="3"/>
      <c r="Z16" s="20">
        <f>IF(T16=0,0,X16/T16)</f>
        <v>0</v>
      </c>
    </row>
    <row r="17" spans="1:26" ht="15" customHeight="1" x14ac:dyDescent="0.3">
      <c r="A17" s="10"/>
      <c r="B17" s="11"/>
      <c r="C17" s="10"/>
      <c r="D17" s="4"/>
      <c r="E17" s="4"/>
      <c r="F17" s="9"/>
      <c r="G17" s="4"/>
      <c r="H17" s="4"/>
      <c r="I17" s="4"/>
      <c r="J17" s="9"/>
      <c r="K17" s="4"/>
      <c r="L17" s="4"/>
      <c r="M17" s="4"/>
      <c r="N17" s="9"/>
      <c r="P17" s="4"/>
      <c r="Q17" s="4"/>
      <c r="R17" s="9"/>
      <c r="S17" s="4"/>
      <c r="T17" s="4"/>
      <c r="U17" s="4"/>
      <c r="V17" s="9"/>
      <c r="W17" s="4"/>
      <c r="X17" s="4"/>
      <c r="Y17" s="4"/>
      <c r="Z17" s="9"/>
    </row>
    <row r="18" spans="1:26" s="63" customFormat="1" ht="15" customHeight="1" collapsed="1" x14ac:dyDescent="0.3">
      <c r="A18" s="11"/>
      <c r="B18" s="28" t="s">
        <v>288</v>
      </c>
      <c r="C18" s="11"/>
      <c r="D18" s="5">
        <f>SUM(OSRRefD16x_0)</f>
        <v>59490.44</v>
      </c>
      <c r="E18" s="5"/>
      <c r="F18" s="13">
        <f>IF(D$12=0,0,D18/D$12)</f>
        <v>0.23014279657213954</v>
      </c>
      <c r="G18" s="5"/>
      <c r="H18" s="5">
        <f>SUM(OSRRefH16x_0)</f>
        <v>27994</v>
      </c>
      <c r="I18" s="5"/>
      <c r="J18" s="13">
        <f>IF(H$12=0,0,H18/H$12)</f>
        <v>0.24000342935528121</v>
      </c>
      <c r="K18" s="5"/>
      <c r="L18" s="5">
        <f>+D18-H18</f>
        <v>31496.440000000002</v>
      </c>
      <c r="M18" s="5"/>
      <c r="N18" s="13">
        <f>IF(H18=0,0,L18/H18)</f>
        <v>1.1251139529899266</v>
      </c>
      <c r="O18" s="11"/>
      <c r="P18" s="5">
        <f>SUM(OSRRefP16x_0)</f>
        <v>372557.6</v>
      </c>
      <c r="Q18" s="5"/>
      <c r="R18" s="13">
        <f>IF(P$12=0,0,P18/P$12)</f>
        <v>0.24369196862012671</v>
      </c>
      <c r="S18" s="5"/>
      <c r="T18" s="5">
        <f>SUM(OSRRefT16x_0)</f>
        <v>201807</v>
      </c>
      <c r="U18" s="5"/>
      <c r="V18" s="13">
        <f>IF(T$12=0,0,T18/T$12)</f>
        <v>0.26244147940074908</v>
      </c>
      <c r="W18" s="5"/>
      <c r="X18" s="5">
        <f>+P18-T18</f>
        <v>170750.59999999998</v>
      </c>
      <c r="Y18" s="5"/>
      <c r="Z18" s="13">
        <f>IF(T18=0,0,X18/T18)</f>
        <v>0.84610841051103269</v>
      </c>
    </row>
    <row r="19" spans="1:26" s="70" customFormat="1" ht="15" hidden="1" customHeight="1" outlineLevel="1" x14ac:dyDescent="0.3">
      <c r="A19" s="42"/>
      <c r="B19" s="12" t="str">
        <f>CONCATENATE("          ","5000"," - ","PURCHASES @ COST")</f>
        <v xml:space="preserve">          5000 - PURCHASES @ COST</v>
      </c>
      <c r="C19" s="12"/>
      <c r="D19" s="3"/>
      <c r="E19" s="3"/>
      <c r="F19" s="20">
        <f>IF(D$12=0,0,D19/D$12)</f>
        <v>0</v>
      </c>
      <c r="G19" s="3"/>
      <c r="H19" s="3">
        <v>27994</v>
      </c>
      <c r="I19" s="3"/>
      <c r="J19" s="20">
        <f>IF(H$12=0,0,H19/H$12)</f>
        <v>0.24000342935528121</v>
      </c>
      <c r="K19" s="3"/>
      <c r="L19" s="3">
        <f>+D19-H19</f>
        <v>-27994</v>
      </c>
      <c r="M19" s="3"/>
      <c r="N19" s="20">
        <f>IF(H19=0,0,L19/H19)</f>
        <v>-1</v>
      </c>
      <c r="O19" s="12"/>
      <c r="P19" s="3"/>
      <c r="Q19" s="3"/>
      <c r="R19" s="20">
        <f>IF(P$12=0,0,P19/P$12)</f>
        <v>0</v>
      </c>
      <c r="S19" s="3"/>
      <c r="T19" s="3">
        <v>201807</v>
      </c>
      <c r="U19" s="3"/>
      <c r="V19" s="20">
        <f>IF(T$12=0,0,T19/T$12)</f>
        <v>0.26244147940074908</v>
      </c>
      <c r="W19" s="3"/>
      <c r="X19" s="3">
        <f>+P19-T19</f>
        <v>-201807</v>
      </c>
      <c r="Y19" s="3"/>
      <c r="Z19" s="20">
        <f>IF(T19=0,0,X19/T19)</f>
        <v>-1</v>
      </c>
    </row>
    <row r="20" spans="1:26" s="70" customFormat="1" ht="15" hidden="1" customHeight="1" outlineLevel="1" x14ac:dyDescent="0.3">
      <c r="A20" s="42"/>
      <c r="B20" s="12" t="str">
        <f>CONCATENATE("          ","5053"," - ","PURCHASES @ COST-FOOD")</f>
        <v xml:space="preserve">          5053 - PURCHASES @ COST-FOOD</v>
      </c>
      <c r="C20" s="12"/>
      <c r="D20" s="3">
        <v>53716.44</v>
      </c>
      <c r="E20" s="3"/>
      <c r="F20" s="20">
        <f>IF(D$12=0,0,D20/D$12)</f>
        <v>0.20780568648508127</v>
      </c>
      <c r="G20" s="3"/>
      <c r="H20" s="3"/>
      <c r="I20" s="3"/>
      <c r="J20" s="20">
        <f>IF(H$12=0,0,H20/H$12)</f>
        <v>0</v>
      </c>
      <c r="K20" s="3"/>
      <c r="L20" s="3">
        <f>+D20-H20</f>
        <v>53716.44</v>
      </c>
      <c r="M20" s="3"/>
      <c r="N20" s="20">
        <f>IF(H20=0,0,L20/H20)</f>
        <v>0</v>
      </c>
      <c r="O20" s="12"/>
      <c r="P20" s="3">
        <v>385278.66</v>
      </c>
      <c r="Q20" s="3"/>
      <c r="R20" s="20">
        <f>IF(P$12=0,0,P20/P$12)</f>
        <v>0.25201288370637043</v>
      </c>
      <c r="S20" s="3"/>
      <c r="T20" s="3"/>
      <c r="U20" s="3"/>
      <c r="V20" s="20">
        <f>IF(T$12=0,0,T20/T$12)</f>
        <v>0</v>
      </c>
      <c r="W20" s="3"/>
      <c r="X20" s="3">
        <f>+P20-T20</f>
        <v>385278.66</v>
      </c>
      <c r="Y20" s="3"/>
      <c r="Z20" s="20">
        <f>IF(T20=0,0,X20/T20)</f>
        <v>0</v>
      </c>
    </row>
    <row r="21" spans="1:26" s="70" customFormat="1" ht="15" hidden="1" customHeight="1" outlineLevel="1" x14ac:dyDescent="0.3">
      <c r="A21" s="42"/>
      <c r="B21" s="12" t="str">
        <f>CONCATENATE("          ","5059"," - ","PURCHASES @ COST-FOOD")</f>
        <v xml:space="preserve">          5059 - PURCHASES @ COST-FOOD</v>
      </c>
      <c r="C21" s="12"/>
      <c r="D21" s="3">
        <v>5774</v>
      </c>
      <c r="E21" s="3"/>
      <c r="F21" s="20">
        <f>IF(D$12=0,0,D21/D$12)</f>
        <v>2.233711008705825E-2</v>
      </c>
      <c r="G21" s="3"/>
      <c r="H21" s="3"/>
      <c r="I21" s="3"/>
      <c r="J21" s="20">
        <f>IF(H$12=0,0,H21/H$12)</f>
        <v>0</v>
      </c>
      <c r="K21" s="3"/>
      <c r="L21" s="3">
        <f>+D21-H21</f>
        <v>5774</v>
      </c>
      <c r="M21" s="3"/>
      <c r="N21" s="20">
        <f>IF(H21=0,0,L21/H21)</f>
        <v>0</v>
      </c>
      <c r="O21" s="12"/>
      <c r="P21" s="3">
        <v>-12721.06</v>
      </c>
      <c r="Q21" s="3"/>
      <c r="R21" s="20">
        <f>IF(P$12=0,0,P21/P$12)</f>
        <v>-8.3209150862437083E-3</v>
      </c>
      <c r="S21" s="3"/>
      <c r="T21" s="3"/>
      <c r="U21" s="3"/>
      <c r="V21" s="20">
        <f>IF(T$12=0,0,T21/T$12)</f>
        <v>0</v>
      </c>
      <c r="W21" s="3"/>
      <c r="X21" s="3">
        <f>+P21-T21</f>
        <v>-12721.06</v>
      </c>
      <c r="Y21" s="3"/>
      <c r="Z21" s="20">
        <f>IF(T21=0,0,X21/T21)</f>
        <v>0</v>
      </c>
    </row>
    <row r="22" spans="1:26" ht="15" customHeight="1" x14ac:dyDescent="0.3">
      <c r="A22" s="10"/>
      <c r="B22" s="11"/>
      <c r="C22" s="11"/>
      <c r="D22" s="4"/>
      <c r="E22" s="4"/>
      <c r="F22" s="9"/>
      <c r="G22" s="4"/>
      <c r="H22" s="4"/>
      <c r="I22" s="4"/>
      <c r="J22" s="9"/>
      <c r="K22" s="4"/>
      <c r="L22" s="4"/>
      <c r="M22" s="4"/>
      <c r="N22" s="9"/>
      <c r="O22" s="11"/>
      <c r="P22" s="4"/>
      <c r="Q22" s="4"/>
      <c r="R22" s="9"/>
      <c r="S22" s="4"/>
      <c r="T22" s="4"/>
      <c r="U22" s="4"/>
      <c r="V22" s="9"/>
      <c r="W22" s="4"/>
      <c r="X22" s="4"/>
      <c r="Y22" s="4"/>
      <c r="Z22" s="9"/>
    </row>
    <row r="23" spans="1:26" s="63" customFormat="1" ht="15" customHeight="1" x14ac:dyDescent="0.3">
      <c r="A23" s="11"/>
      <c r="B23" s="27" t="s">
        <v>289</v>
      </c>
      <c r="C23" s="27"/>
      <c r="D23" s="21">
        <f>D12-D18</f>
        <v>199003.15999999997</v>
      </c>
      <c r="E23" s="15"/>
      <c r="F23" s="23">
        <f>IF(D$12=0,0,D23/D$12)</f>
        <v>0.76985720342786046</v>
      </c>
      <c r="G23" s="15"/>
      <c r="H23" s="21">
        <f>H12-H18</f>
        <v>88646</v>
      </c>
      <c r="I23" s="15"/>
      <c r="J23" s="23">
        <f>IF(H$12=0,0,H23/H$12)</f>
        <v>0.75999657064471882</v>
      </c>
      <c r="K23" s="16"/>
      <c r="L23" s="21">
        <f>+D23-H23</f>
        <v>110357.15999999997</v>
      </c>
      <c r="M23" s="16"/>
      <c r="N23" s="23">
        <f>IF(H23=0,0,L23/H23)</f>
        <v>1.2449197933352885</v>
      </c>
      <c r="O23" s="28"/>
      <c r="P23" s="21">
        <f>P12-P18</f>
        <v>1156247.81</v>
      </c>
      <c r="Q23" s="15"/>
      <c r="R23" s="23">
        <f>IF(P$12=0,0,P23/P$12)</f>
        <v>0.75630803137987324</v>
      </c>
      <c r="S23" s="15"/>
      <c r="T23" s="21">
        <f>T12-T18</f>
        <v>567153</v>
      </c>
      <c r="U23" s="15"/>
      <c r="V23" s="23">
        <f>IF(T$12=0,0,T23/T$12)</f>
        <v>0.73755852059925098</v>
      </c>
      <c r="W23" s="16"/>
      <c r="X23" s="21">
        <f>+P23-T23</f>
        <v>589094.81000000006</v>
      </c>
      <c r="Y23" s="16"/>
      <c r="Z23" s="23">
        <f>IF(T23=0,0,X23/T23)</f>
        <v>1.0386876380800243</v>
      </c>
    </row>
    <row r="24" spans="1:26" ht="15" customHeight="1" x14ac:dyDescent="0.3">
      <c r="A24" s="10"/>
      <c r="B24" s="11"/>
      <c r="C24" s="10"/>
      <c r="D24" s="2"/>
      <c r="E24" s="2"/>
      <c r="F24" s="6"/>
      <c r="G24" s="2"/>
      <c r="H24" s="2"/>
      <c r="I24" s="2"/>
      <c r="J24" s="6"/>
      <c r="K24" s="2"/>
      <c r="L24" s="2"/>
      <c r="M24" s="2"/>
      <c r="N24" s="6"/>
      <c r="O24" s="35"/>
      <c r="P24" s="2"/>
      <c r="Q24" s="2"/>
      <c r="R24" s="6"/>
      <c r="S24" s="2"/>
      <c r="T24" s="2"/>
      <c r="U24" s="2"/>
      <c r="V24" s="6"/>
      <c r="W24" s="2"/>
      <c r="X24" s="2"/>
      <c r="Y24" s="2"/>
      <c r="Z24" s="6"/>
    </row>
    <row r="25" spans="1:26" s="63" customFormat="1" ht="15" customHeight="1" x14ac:dyDescent="0.3">
      <c r="A25" s="11"/>
      <c r="B25" s="28" t="s">
        <v>290</v>
      </c>
      <c r="C25" s="11"/>
      <c r="D25" s="22" cm="1">
        <f t="array" ref="D25">SUM(OSRRefD22x_0)</f>
        <v>137737.92000000004</v>
      </c>
      <c r="E25" s="22"/>
      <c r="F25" s="30">
        <f t="shared" ref="F25:F56" si="0">IF(D$12=0,0,D25/D$12)</f>
        <v>0.53284847284420211</v>
      </c>
      <c r="G25" s="22"/>
      <c r="H25" s="22" cm="1">
        <f t="array" ref="H25">SUM(OSRRefH22x_0)</f>
        <v>128830.50299692311</v>
      </c>
      <c r="I25" s="22"/>
      <c r="J25" s="30">
        <f t="shared" ref="J25:J56" si="1">IF(H$12=0,0,H25/H$12)</f>
        <v>1.1045139145826741</v>
      </c>
      <c r="K25" s="5"/>
      <c r="L25" s="22">
        <f t="shared" ref="L25:L56" si="2">+D25-H25</f>
        <v>8907.417003076931</v>
      </c>
      <c r="M25" s="5"/>
      <c r="N25" s="30">
        <f t="shared" ref="N25:N56" si="3">IF(H25=0,0,L25/H25)</f>
        <v>6.9140590123207613E-2</v>
      </c>
      <c r="O25" s="11"/>
      <c r="P25" s="22" cm="1">
        <f t="array" ref="P25">SUM(OSRRefP22x_0)</f>
        <v>1017493.73</v>
      </c>
      <c r="Q25" s="22"/>
      <c r="R25" s="30">
        <f t="shared" ref="R25:R56" si="4">IF(P$12=0,0,P25/P$12)</f>
        <v>0.66554822696500004</v>
      </c>
      <c r="S25" s="22"/>
      <c r="T25" s="22" cm="1">
        <f t="array" ref="T25">SUM(OSRRefT22x_0)</f>
        <v>1084256.8417200001</v>
      </c>
      <c r="U25" s="22"/>
      <c r="V25" s="30">
        <f t="shared" ref="V25:V56" si="5">IF(T$12=0,0,T25/T$12)</f>
        <v>1.4100302248751562</v>
      </c>
      <c r="W25" s="5"/>
      <c r="X25" s="22">
        <f t="shared" ref="X25:X56" si="6">+P25-T25</f>
        <v>-66763.111720000161</v>
      </c>
      <c r="Y25" s="5"/>
      <c r="Z25" s="30">
        <f t="shared" ref="Z25:Z56" si="7">IF(T25=0,0,X25/T25)</f>
        <v>-6.1574996948224145E-2</v>
      </c>
    </row>
    <row r="26" spans="1:26" s="69" customFormat="1" ht="15" customHeight="1" outlineLevel="1" collapsed="1" x14ac:dyDescent="0.3">
      <c r="A26" s="25"/>
      <c r="B26" s="14" t="str">
        <f>CONCATENATE("     ","*Benefits                                         ")</f>
        <v xml:space="preserve">     *Benefits                                         </v>
      </c>
      <c r="C26" s="14"/>
      <c r="D26" s="2">
        <f>SUM(OSRRefD22_0x_0)</f>
        <v>26482.829999999998</v>
      </c>
      <c r="E26" s="2"/>
      <c r="F26" s="6">
        <f t="shared" si="0"/>
        <v>0.10245062160146325</v>
      </c>
      <c r="G26" s="2"/>
      <c r="H26" s="2">
        <f>SUM(OSRRefH22_0x_0)</f>
        <v>30532.239612307727</v>
      </c>
      <c r="I26" s="2"/>
      <c r="J26" s="6">
        <f t="shared" si="1"/>
        <v>0.2617647429038728</v>
      </c>
      <c r="K26" s="2"/>
      <c r="L26" s="2">
        <f t="shared" si="2"/>
        <v>-4049.4096123077288</v>
      </c>
      <c r="M26" s="2"/>
      <c r="N26" s="6">
        <f t="shared" si="3"/>
        <v>-0.13262733634107168</v>
      </c>
      <c r="O26" s="14"/>
      <c r="P26" s="2">
        <f>SUM(OSRRefP22_0x_0)</f>
        <v>212096.95999999996</v>
      </c>
      <c r="Q26" s="2"/>
      <c r="R26" s="6">
        <f t="shared" si="4"/>
        <v>0.13873378430810232</v>
      </c>
      <c r="S26" s="2"/>
      <c r="T26" s="2">
        <f>SUM(OSRRefT22_0x_0)</f>
        <v>286863.94172</v>
      </c>
      <c r="U26" s="2"/>
      <c r="V26" s="6">
        <f t="shared" si="5"/>
        <v>0.37305443939866834</v>
      </c>
      <c r="W26" s="2"/>
      <c r="X26" s="2">
        <f t="shared" si="6"/>
        <v>-74766.98172000004</v>
      </c>
      <c r="Y26" s="2"/>
      <c r="Z26" s="6">
        <f t="shared" si="7"/>
        <v>-0.2606356911632276</v>
      </c>
    </row>
    <row r="27" spans="1:26" s="70" customFormat="1" ht="15" hidden="1" customHeight="1" outlineLevel="2" x14ac:dyDescent="0.3">
      <c r="A27" s="26"/>
      <c r="B27" s="12" t="str">
        <f>CONCATENATE("          ","6111"," - ","F.I.C.A.")</f>
        <v xml:space="preserve">          6111 - F.I.C.A.</v>
      </c>
      <c r="C27" s="12"/>
      <c r="D27" s="7">
        <v>3612.93</v>
      </c>
      <c r="E27" s="3"/>
      <c r="F27" s="8">
        <f t="shared" si="0"/>
        <v>1.3976864417532969E-2</v>
      </c>
      <c r="G27" s="3"/>
      <c r="H27" s="7">
        <v>2633.9977661538501</v>
      </c>
      <c r="I27" s="3"/>
      <c r="J27" s="8">
        <f t="shared" si="1"/>
        <v>2.2582285375118742E-2</v>
      </c>
      <c r="K27" s="3"/>
      <c r="L27" s="7">
        <f t="shared" si="2"/>
        <v>978.93223384614976</v>
      </c>
      <c r="M27" s="3"/>
      <c r="N27" s="8">
        <f t="shared" si="3"/>
        <v>0.37165264391077352</v>
      </c>
      <c r="O27" s="12"/>
      <c r="P27" s="7">
        <v>28045.5</v>
      </c>
      <c r="Q27" s="3"/>
      <c r="R27" s="8">
        <f t="shared" si="4"/>
        <v>1.8344715302910916E-2</v>
      </c>
      <c r="S27" s="3"/>
      <c r="T27" s="7">
        <v>26672.541720000001</v>
      </c>
      <c r="U27" s="3"/>
      <c r="V27" s="8">
        <f t="shared" si="5"/>
        <v>3.4686513888888888E-2</v>
      </c>
      <c r="W27" s="3"/>
      <c r="X27" s="7">
        <f t="shared" si="6"/>
        <v>1372.9582799999989</v>
      </c>
      <c r="Y27" s="3"/>
      <c r="Z27" s="8">
        <f t="shared" si="7"/>
        <v>5.1474594900361784E-2</v>
      </c>
    </row>
    <row r="28" spans="1:26" s="70" customFormat="1" ht="15" hidden="1" customHeight="1" outlineLevel="2" x14ac:dyDescent="0.3">
      <c r="A28" s="26"/>
      <c r="B28" s="12" t="str">
        <f>CONCATENATE("          ","6112"," - ","COMPENSATION INSURANCE")</f>
        <v xml:space="preserve">          6112 - COMPENSATION INSURANCE</v>
      </c>
      <c r="C28" s="12"/>
      <c r="D28" s="7">
        <v>2603.37</v>
      </c>
      <c r="E28" s="3"/>
      <c r="F28" s="8">
        <f t="shared" si="0"/>
        <v>1.0071313177579639E-2</v>
      </c>
      <c r="G28" s="3"/>
      <c r="H28" s="7">
        <v>2902.0881292307699</v>
      </c>
      <c r="I28" s="3"/>
      <c r="J28" s="8">
        <f t="shared" si="1"/>
        <v>2.4880728131265174E-2</v>
      </c>
      <c r="K28" s="3"/>
      <c r="L28" s="7">
        <f t="shared" si="2"/>
        <v>-298.71812923077005</v>
      </c>
      <c r="M28" s="3"/>
      <c r="N28" s="8">
        <f t="shared" si="3"/>
        <v>-0.1029321357342613</v>
      </c>
      <c r="O28" s="12"/>
      <c r="P28" s="7">
        <v>18236.27</v>
      </c>
      <c r="Q28" s="3"/>
      <c r="R28" s="8">
        <f t="shared" si="4"/>
        <v>1.1928444183095872E-2</v>
      </c>
      <c r="S28" s="3"/>
      <c r="T28" s="7">
        <v>23482.081999999999</v>
      </c>
      <c r="U28" s="3"/>
      <c r="V28" s="8">
        <f t="shared" si="5"/>
        <v>3.0537455784436118E-2</v>
      </c>
      <c r="W28" s="3"/>
      <c r="X28" s="7">
        <f t="shared" si="6"/>
        <v>-5245.8119999999981</v>
      </c>
      <c r="Y28" s="3"/>
      <c r="Z28" s="8">
        <f t="shared" si="7"/>
        <v>-0.22339637515957905</v>
      </c>
    </row>
    <row r="29" spans="1:26" s="70" customFormat="1" ht="15" hidden="1" customHeight="1" outlineLevel="2" x14ac:dyDescent="0.3">
      <c r="A29" s="26"/>
      <c r="B29" s="12" t="str">
        <f>CONCATENATE("          ","6113"," - ","GROUP INSURANCE")</f>
        <v xml:space="preserve">          6113 - GROUP INSURANCE</v>
      </c>
      <c r="C29" s="12"/>
      <c r="D29" s="7">
        <v>12774.24</v>
      </c>
      <c r="E29" s="3"/>
      <c r="F29" s="8">
        <f t="shared" si="0"/>
        <v>4.9418012670333043E-2</v>
      </c>
      <c r="G29" s="3"/>
      <c r="H29" s="7">
        <v>18578.538461538501</v>
      </c>
      <c r="I29" s="3"/>
      <c r="J29" s="8">
        <f t="shared" si="1"/>
        <v>0.15928102247546727</v>
      </c>
      <c r="K29" s="3"/>
      <c r="L29" s="7">
        <f t="shared" si="2"/>
        <v>-5804.2984615385012</v>
      </c>
      <c r="M29" s="3"/>
      <c r="N29" s="8">
        <f t="shared" si="3"/>
        <v>-0.31241954115791321</v>
      </c>
      <c r="O29" s="12"/>
      <c r="P29" s="7">
        <v>109800.09</v>
      </c>
      <c r="Q29" s="3"/>
      <c r="R29" s="8">
        <f t="shared" si="4"/>
        <v>7.1820840822377774E-2</v>
      </c>
      <c r="S29" s="3"/>
      <c r="T29" s="7">
        <v>179658</v>
      </c>
      <c r="U29" s="3"/>
      <c r="V29" s="8">
        <f t="shared" si="5"/>
        <v>0.23363764044943819</v>
      </c>
      <c r="W29" s="3"/>
      <c r="X29" s="7">
        <f t="shared" si="6"/>
        <v>-69857.91</v>
      </c>
      <c r="Y29" s="3"/>
      <c r="Z29" s="8">
        <f t="shared" si="7"/>
        <v>-0.38883829275623688</v>
      </c>
    </row>
    <row r="30" spans="1:26" s="70" customFormat="1" ht="15" hidden="1" customHeight="1" outlineLevel="2" x14ac:dyDescent="0.3">
      <c r="A30" s="26"/>
      <c r="B30" s="12" t="str">
        <f>CONCATENATE("          ","6114"," - ","STATE UNEMPLOYMENT INSURANCE")</f>
        <v xml:space="preserve">          6114 - STATE UNEMPLOYMENT INSURANCE</v>
      </c>
      <c r="C30" s="12"/>
      <c r="D30" s="7">
        <v>188</v>
      </c>
      <c r="E30" s="3"/>
      <c r="F30" s="8">
        <f t="shared" si="0"/>
        <v>7.2729073369708194E-4</v>
      </c>
      <c r="G30" s="3"/>
      <c r="H30" s="7">
        <v>160.80171692307701</v>
      </c>
      <c r="I30" s="3"/>
      <c r="J30" s="8">
        <f t="shared" si="1"/>
        <v>1.3786155428933214E-3</v>
      </c>
      <c r="K30" s="3"/>
      <c r="L30" s="7">
        <f t="shared" si="2"/>
        <v>27.198283076922991</v>
      </c>
      <c r="M30" s="3"/>
      <c r="N30" s="8">
        <f t="shared" si="3"/>
        <v>0.16914174548231894</v>
      </c>
      <c r="O30" s="12"/>
      <c r="P30" s="7">
        <v>1317.08</v>
      </c>
      <c r="Q30" s="3"/>
      <c r="R30" s="8">
        <f t="shared" si="4"/>
        <v>8.6150924858383374E-4</v>
      </c>
      <c r="S30" s="3"/>
      <c r="T30" s="7">
        <v>1301.1179999999999</v>
      </c>
      <c r="U30" s="3"/>
      <c r="V30" s="8">
        <f t="shared" si="5"/>
        <v>1.6920490012484394E-3</v>
      </c>
      <c r="W30" s="3"/>
      <c r="X30" s="7">
        <f t="shared" si="6"/>
        <v>15.961999999999989</v>
      </c>
      <c r="Y30" s="3"/>
      <c r="Z30" s="8">
        <f t="shared" si="7"/>
        <v>1.2267911134885529E-2</v>
      </c>
    </row>
    <row r="31" spans="1:26" s="70" customFormat="1" ht="15" hidden="1" customHeight="1" outlineLevel="2" x14ac:dyDescent="0.3">
      <c r="A31" s="26"/>
      <c r="B31" s="12" t="str">
        <f>CONCATENATE("          ","6115"," - ","P.E.R.S.")</f>
        <v xml:space="preserve">          6115 - P.E.R.S.</v>
      </c>
      <c r="C31" s="12"/>
      <c r="D31" s="7">
        <v>1247.6300000000001</v>
      </c>
      <c r="E31" s="3"/>
      <c r="F31" s="8">
        <f t="shared" si="0"/>
        <v>4.8265411600132467E-3</v>
      </c>
      <c r="G31" s="3"/>
      <c r="H31" s="7">
        <v>408.83076923076902</v>
      </c>
      <c r="I31" s="3"/>
      <c r="J31" s="8">
        <f t="shared" si="1"/>
        <v>3.5050648939537812E-3</v>
      </c>
      <c r="K31" s="3"/>
      <c r="L31" s="7">
        <f t="shared" si="2"/>
        <v>838.79923076923114</v>
      </c>
      <c r="M31" s="3"/>
      <c r="N31" s="8">
        <f t="shared" si="3"/>
        <v>2.051702792202907</v>
      </c>
      <c r="O31" s="12"/>
      <c r="P31" s="7">
        <v>7135.22</v>
      </c>
      <c r="Q31" s="3"/>
      <c r="R31" s="8">
        <f t="shared" si="4"/>
        <v>4.6671865191790498E-3</v>
      </c>
      <c r="S31" s="3"/>
      <c r="T31" s="7">
        <v>3986.1</v>
      </c>
      <c r="U31" s="3"/>
      <c r="V31" s="8">
        <f t="shared" si="5"/>
        <v>5.18375468164794E-3</v>
      </c>
      <c r="W31" s="3"/>
      <c r="X31" s="7">
        <f t="shared" si="6"/>
        <v>3149.1200000000003</v>
      </c>
      <c r="Y31" s="3"/>
      <c r="Z31" s="8">
        <f t="shared" si="7"/>
        <v>0.79002533804972286</v>
      </c>
    </row>
    <row r="32" spans="1:26" s="70" customFormat="1" ht="15" hidden="1" customHeight="1" outlineLevel="2" x14ac:dyDescent="0.3">
      <c r="A32" s="26"/>
      <c r="B32" s="12" t="str">
        <f>CONCATENATE("          ","6116"," - ","EDUCATIONAL BENEFITS")</f>
        <v xml:space="preserve">          6116 - EDUCATIONAL BENEFITS</v>
      </c>
      <c r="C32" s="12"/>
      <c r="D32" s="7"/>
      <c r="E32" s="3"/>
      <c r="F32" s="8">
        <f t="shared" si="0"/>
        <v>0</v>
      </c>
      <c r="G32" s="3"/>
      <c r="H32" s="7">
        <v>0</v>
      </c>
      <c r="I32" s="3"/>
      <c r="J32" s="8">
        <f t="shared" si="1"/>
        <v>0</v>
      </c>
      <c r="K32" s="3"/>
      <c r="L32" s="7">
        <f t="shared" si="2"/>
        <v>0</v>
      </c>
      <c r="M32" s="3"/>
      <c r="N32" s="8">
        <f t="shared" si="3"/>
        <v>0</v>
      </c>
      <c r="O32" s="12"/>
      <c r="P32" s="7"/>
      <c r="Q32" s="3"/>
      <c r="R32" s="8">
        <f t="shared" si="4"/>
        <v>0</v>
      </c>
      <c r="S32" s="3"/>
      <c r="T32" s="7">
        <v>0</v>
      </c>
      <c r="U32" s="3"/>
      <c r="V32" s="8">
        <f t="shared" si="5"/>
        <v>0</v>
      </c>
      <c r="W32" s="3"/>
      <c r="X32" s="7">
        <f t="shared" si="6"/>
        <v>0</v>
      </c>
      <c r="Y32" s="3"/>
      <c r="Z32" s="8">
        <f t="shared" si="7"/>
        <v>0</v>
      </c>
    </row>
    <row r="33" spans="1:26" s="70" customFormat="1" ht="15" hidden="1" customHeight="1" outlineLevel="2" x14ac:dyDescent="0.3">
      <c r="A33" s="26"/>
      <c r="B33" s="12" t="str">
        <f>CONCATENATE("          ","6117"," - ","RETIREMENT STAFF HOURLY")</f>
        <v xml:space="preserve">          6117 - RETIREMENT STAFF HOURLY</v>
      </c>
      <c r="C33" s="12"/>
      <c r="D33" s="7">
        <v>498.67</v>
      </c>
      <c r="E33" s="3"/>
      <c r="F33" s="8">
        <f t="shared" si="0"/>
        <v>1.9291386711315099E-3</v>
      </c>
      <c r="G33" s="3"/>
      <c r="H33" s="7"/>
      <c r="I33" s="3"/>
      <c r="J33" s="8">
        <f t="shared" si="1"/>
        <v>0</v>
      </c>
      <c r="K33" s="3"/>
      <c r="L33" s="7">
        <f t="shared" si="2"/>
        <v>498.67</v>
      </c>
      <c r="M33" s="3"/>
      <c r="N33" s="8">
        <f t="shared" si="3"/>
        <v>0</v>
      </c>
      <c r="O33" s="12"/>
      <c r="P33" s="7">
        <v>6053.37</v>
      </c>
      <c r="Q33" s="3"/>
      <c r="R33" s="8">
        <f t="shared" si="4"/>
        <v>3.9595425031888126E-3</v>
      </c>
      <c r="S33" s="3"/>
      <c r="T33" s="7"/>
      <c r="U33" s="3"/>
      <c r="V33" s="8">
        <f t="shared" si="5"/>
        <v>0</v>
      </c>
      <c r="W33" s="3"/>
      <c r="X33" s="7">
        <f t="shared" si="6"/>
        <v>6053.37</v>
      </c>
      <c r="Y33" s="3"/>
      <c r="Z33" s="8">
        <f t="shared" si="7"/>
        <v>0</v>
      </c>
    </row>
    <row r="34" spans="1:26" s="70" customFormat="1" ht="15" hidden="1" customHeight="1" outlineLevel="2" x14ac:dyDescent="0.3">
      <c r="A34" s="26"/>
      <c r="B34" s="12" t="str">
        <f>CONCATENATE("          ","6118"," - ","VACATION")</f>
        <v xml:space="preserve">          6118 - VACATION</v>
      </c>
      <c r="C34" s="12"/>
      <c r="D34" s="7">
        <v>2264.0500000000002</v>
      </c>
      <c r="E34" s="3"/>
      <c r="F34" s="8">
        <f t="shared" si="0"/>
        <v>8.7586307746110557E-3</v>
      </c>
      <c r="G34" s="3"/>
      <c r="H34" s="7">
        <v>1625.81538461538</v>
      </c>
      <c r="I34" s="3"/>
      <c r="J34" s="8">
        <f t="shared" si="1"/>
        <v>1.3938746438746399E-2</v>
      </c>
      <c r="K34" s="3"/>
      <c r="L34" s="7">
        <f t="shared" si="2"/>
        <v>638.23461538462016</v>
      </c>
      <c r="M34" s="3"/>
      <c r="N34" s="8">
        <f t="shared" si="3"/>
        <v>0.39256278506406656</v>
      </c>
      <c r="O34" s="12"/>
      <c r="P34" s="7">
        <v>16937.169999999998</v>
      </c>
      <c r="Q34" s="3"/>
      <c r="R34" s="8">
        <f t="shared" si="4"/>
        <v>1.1078695751083192E-2</v>
      </c>
      <c r="S34" s="3"/>
      <c r="T34" s="7">
        <v>15851.7</v>
      </c>
      <c r="U34" s="3"/>
      <c r="V34" s="8">
        <f t="shared" si="5"/>
        <v>2.0614466292134832E-2</v>
      </c>
      <c r="W34" s="3"/>
      <c r="X34" s="7">
        <f t="shared" si="6"/>
        <v>1085.4699999999975</v>
      </c>
      <c r="Y34" s="3"/>
      <c r="Z34" s="8">
        <f t="shared" si="7"/>
        <v>6.847656718206864E-2</v>
      </c>
    </row>
    <row r="35" spans="1:26" s="70" customFormat="1" ht="15" hidden="1" customHeight="1" outlineLevel="2" x14ac:dyDescent="0.3">
      <c r="A35" s="26"/>
      <c r="B35" s="12" t="str">
        <f>CONCATENATE("          ","6119"," - ","SICK LEAVE")</f>
        <v xml:space="preserve">          6119 - SICK LEAVE</v>
      </c>
      <c r="C35" s="12"/>
      <c r="D35" s="7">
        <v>1723.21</v>
      </c>
      <c r="E35" s="3"/>
      <c r="F35" s="8">
        <f t="shared" si="0"/>
        <v>6.6663546022029179E-3</v>
      </c>
      <c r="G35" s="3"/>
      <c r="H35" s="7">
        <v>2297.1673846153799</v>
      </c>
      <c r="I35" s="3"/>
      <c r="J35" s="8">
        <f t="shared" si="1"/>
        <v>1.9694507755618828E-2</v>
      </c>
      <c r="K35" s="3"/>
      <c r="L35" s="7">
        <f t="shared" si="2"/>
        <v>-573.95738461537985</v>
      </c>
      <c r="M35" s="3"/>
      <c r="N35" s="8">
        <f t="shared" si="3"/>
        <v>-0.24985440262616251</v>
      </c>
      <c r="O35" s="12"/>
      <c r="P35" s="7">
        <v>14374.48</v>
      </c>
      <c r="Q35" s="3"/>
      <c r="R35" s="8">
        <f t="shared" si="4"/>
        <v>9.4024261727331266E-3</v>
      </c>
      <c r="S35" s="3"/>
      <c r="T35" s="7">
        <v>18587.400000000001</v>
      </c>
      <c r="U35" s="3"/>
      <c r="V35" s="8">
        <f t="shared" si="5"/>
        <v>2.4172128589263424E-2</v>
      </c>
      <c r="W35" s="3"/>
      <c r="X35" s="7">
        <f t="shared" si="6"/>
        <v>-4212.9200000000019</v>
      </c>
      <c r="Y35" s="3"/>
      <c r="Z35" s="8">
        <f t="shared" si="7"/>
        <v>-0.22665461549221524</v>
      </c>
    </row>
    <row r="36" spans="1:26" s="70" customFormat="1" ht="15" hidden="1" customHeight="1" outlineLevel="2" x14ac:dyDescent="0.3">
      <c r="A36" s="26"/>
      <c r="B36" s="12" t="str">
        <f>CONCATENATE("          ","6156"," - ","EMPLOYEE MEALS")</f>
        <v xml:space="preserve">          6156 - EMPLOYEE MEALS</v>
      </c>
      <c r="C36" s="12"/>
      <c r="D36" s="7">
        <v>1570.73</v>
      </c>
      <c r="E36" s="3"/>
      <c r="F36" s="8">
        <f t="shared" si="0"/>
        <v>6.0764753943617954E-3</v>
      </c>
      <c r="G36" s="3"/>
      <c r="H36" s="7">
        <v>1925</v>
      </c>
      <c r="I36" s="3"/>
      <c r="J36" s="8">
        <f t="shared" si="1"/>
        <v>1.6503772290809328E-2</v>
      </c>
      <c r="K36" s="3"/>
      <c r="L36" s="7">
        <f t="shared" si="2"/>
        <v>-354.27</v>
      </c>
      <c r="M36" s="3"/>
      <c r="N36" s="8">
        <f t="shared" si="3"/>
        <v>-0.18403636363636364</v>
      </c>
      <c r="O36" s="12"/>
      <c r="P36" s="7">
        <v>10197.780000000001</v>
      </c>
      <c r="Q36" s="3"/>
      <c r="R36" s="8">
        <f t="shared" si="4"/>
        <v>6.6704238049497743E-3</v>
      </c>
      <c r="S36" s="3"/>
      <c r="T36" s="7">
        <v>17325</v>
      </c>
      <c r="U36" s="3"/>
      <c r="V36" s="8">
        <f t="shared" si="5"/>
        <v>2.2530430711610486E-2</v>
      </c>
      <c r="W36" s="3"/>
      <c r="X36" s="7">
        <f t="shared" si="6"/>
        <v>-7127.2199999999993</v>
      </c>
      <c r="Y36" s="3"/>
      <c r="Z36" s="8">
        <f t="shared" si="7"/>
        <v>-0.41138354978354974</v>
      </c>
    </row>
    <row r="37" spans="1:26" s="69" customFormat="1" ht="15" customHeight="1" outlineLevel="1" collapsed="1" x14ac:dyDescent="0.3">
      <c r="A37" s="25"/>
      <c r="B37" s="14" t="str">
        <f>CONCATENATE("     ","*Payroll                                          ")</f>
        <v xml:space="preserve">     *Payroll                                          </v>
      </c>
      <c r="C37" s="14"/>
      <c r="D37" s="2">
        <f>SUM(OSRRefD22_1x_0)</f>
        <v>76079.680000000008</v>
      </c>
      <c r="E37" s="2"/>
      <c r="F37" s="6">
        <f t="shared" si="0"/>
        <v>0.29431939514169797</v>
      </c>
      <c r="G37" s="2"/>
      <c r="H37" s="2">
        <f>SUM(OSRRefH22_1x_0)</f>
        <v>72649.263384615377</v>
      </c>
      <c r="I37" s="2"/>
      <c r="J37" s="6">
        <f t="shared" si="1"/>
        <v>0.62285033765959685</v>
      </c>
      <c r="K37" s="2"/>
      <c r="L37" s="2">
        <f t="shared" si="2"/>
        <v>3430.4166153846309</v>
      </c>
      <c r="M37" s="2"/>
      <c r="N37" s="6">
        <f t="shared" si="3"/>
        <v>4.7218876772686942E-2</v>
      </c>
      <c r="O37" s="14"/>
      <c r="P37" s="2">
        <f>SUM(OSRRefP22_1x_0)</f>
        <v>550208.17999999993</v>
      </c>
      <c r="Q37" s="2"/>
      <c r="R37" s="6">
        <f t="shared" si="4"/>
        <v>0.35989418692598679</v>
      </c>
      <c r="S37" s="2"/>
      <c r="T37" s="2">
        <f>SUM(OSRRefT22_1x_0)</f>
        <v>585140.9</v>
      </c>
      <c r="U37" s="2"/>
      <c r="V37" s="6">
        <f t="shared" si="5"/>
        <v>0.76095102476071586</v>
      </c>
      <c r="W37" s="2"/>
      <c r="X37" s="2">
        <f t="shared" si="6"/>
        <v>-34932.720000000088</v>
      </c>
      <c r="Y37" s="2"/>
      <c r="Z37" s="6">
        <f t="shared" si="7"/>
        <v>-5.9699672335329981E-2</v>
      </c>
    </row>
    <row r="38" spans="1:26" s="70" customFormat="1" ht="15" hidden="1" customHeight="1" outlineLevel="2" x14ac:dyDescent="0.3">
      <c r="A38" s="26"/>
      <c r="B38" s="12" t="str">
        <f>CONCATENATE("          ","6001"," - ","ADMINISTRATIVE SALARIES")</f>
        <v xml:space="preserve">          6001 - ADMINISTRATIVE SALARIES</v>
      </c>
      <c r="C38" s="12"/>
      <c r="D38" s="7"/>
      <c r="E38" s="3"/>
      <c r="F38" s="8">
        <f t="shared" si="0"/>
        <v>0</v>
      </c>
      <c r="G38" s="3"/>
      <c r="H38" s="7">
        <v>0</v>
      </c>
      <c r="I38" s="3"/>
      <c r="J38" s="8">
        <f t="shared" si="1"/>
        <v>0</v>
      </c>
      <c r="K38" s="3"/>
      <c r="L38" s="7">
        <f t="shared" si="2"/>
        <v>0</v>
      </c>
      <c r="M38" s="3"/>
      <c r="N38" s="8">
        <f t="shared" si="3"/>
        <v>0</v>
      </c>
      <c r="O38" s="12"/>
      <c r="P38" s="7"/>
      <c r="Q38" s="3"/>
      <c r="R38" s="8">
        <f t="shared" si="4"/>
        <v>0</v>
      </c>
      <c r="S38" s="3"/>
      <c r="T38" s="7">
        <v>0</v>
      </c>
      <c r="U38" s="3"/>
      <c r="V38" s="8">
        <f t="shared" si="5"/>
        <v>0</v>
      </c>
      <c r="W38" s="3"/>
      <c r="X38" s="7">
        <f t="shared" si="6"/>
        <v>0</v>
      </c>
      <c r="Y38" s="3"/>
      <c r="Z38" s="8">
        <f t="shared" si="7"/>
        <v>0</v>
      </c>
    </row>
    <row r="39" spans="1:26" s="70" customFormat="1" ht="15" hidden="1" customHeight="1" outlineLevel="2" x14ac:dyDescent="0.3">
      <c r="A39" s="26"/>
      <c r="B39" s="12" t="str">
        <f>CONCATENATE("          ","6002"," - ","STAFF SALARIES")</f>
        <v xml:space="preserve">          6002 - STAFF SALARIES</v>
      </c>
      <c r="C39" s="12"/>
      <c r="D39" s="7">
        <v>17273.900000000001</v>
      </c>
      <c r="E39" s="3"/>
      <c r="F39" s="8">
        <f t="shared" si="0"/>
        <v>6.6825252153244807E-2</v>
      </c>
      <c r="G39" s="3"/>
      <c r="H39" s="7">
        <v>4468.6153846153802</v>
      </c>
      <c r="I39" s="3"/>
      <c r="J39" s="8">
        <f t="shared" si="1"/>
        <v>3.8311174422285495E-2</v>
      </c>
      <c r="K39" s="3"/>
      <c r="L39" s="7">
        <f t="shared" si="2"/>
        <v>12805.284615384622</v>
      </c>
      <c r="M39" s="3"/>
      <c r="N39" s="8">
        <f t="shared" si="3"/>
        <v>2.8656045582868597</v>
      </c>
      <c r="O39" s="12"/>
      <c r="P39" s="7">
        <v>80708.92</v>
      </c>
      <c r="Q39" s="3"/>
      <c r="R39" s="8">
        <f t="shared" si="4"/>
        <v>5.279214703982503E-2</v>
      </c>
      <c r="S39" s="3"/>
      <c r="T39" s="7">
        <v>43569</v>
      </c>
      <c r="U39" s="3"/>
      <c r="V39" s="8">
        <f t="shared" si="5"/>
        <v>5.6659644194756553E-2</v>
      </c>
      <c r="W39" s="3"/>
      <c r="X39" s="7">
        <f t="shared" si="6"/>
        <v>37139.919999999998</v>
      </c>
      <c r="Y39" s="3"/>
      <c r="Z39" s="8">
        <f t="shared" si="7"/>
        <v>0.85243911955748353</v>
      </c>
    </row>
    <row r="40" spans="1:26" s="70" customFormat="1" ht="15" hidden="1" customHeight="1" outlineLevel="2" x14ac:dyDescent="0.3">
      <c r="A40" s="26"/>
      <c r="B40" s="12" t="str">
        <f>CONCATENATE("          ","6003"," - ","STAFF HOURLY-9 MONTH")</f>
        <v xml:space="preserve">          6003 - STAFF HOURLY-9 MONTH</v>
      </c>
      <c r="C40" s="12"/>
      <c r="D40" s="7"/>
      <c r="E40" s="3"/>
      <c r="F40" s="8">
        <f t="shared" si="0"/>
        <v>0</v>
      </c>
      <c r="G40" s="3"/>
      <c r="H40" s="7">
        <v>0</v>
      </c>
      <c r="I40" s="3"/>
      <c r="J40" s="8">
        <f t="shared" si="1"/>
        <v>0</v>
      </c>
      <c r="K40" s="3"/>
      <c r="L40" s="7">
        <f t="shared" si="2"/>
        <v>0</v>
      </c>
      <c r="M40" s="3"/>
      <c r="N40" s="8">
        <f t="shared" si="3"/>
        <v>0</v>
      </c>
      <c r="O40" s="12"/>
      <c r="P40" s="7"/>
      <c r="Q40" s="3"/>
      <c r="R40" s="8">
        <f t="shared" si="4"/>
        <v>0</v>
      </c>
      <c r="S40" s="3"/>
      <c r="T40" s="7">
        <v>0</v>
      </c>
      <c r="U40" s="3"/>
      <c r="V40" s="8">
        <f t="shared" si="5"/>
        <v>0</v>
      </c>
      <c r="W40" s="3"/>
      <c r="X40" s="7">
        <f t="shared" si="6"/>
        <v>0</v>
      </c>
      <c r="Y40" s="3"/>
      <c r="Z40" s="8">
        <f t="shared" si="7"/>
        <v>0</v>
      </c>
    </row>
    <row r="41" spans="1:26" s="70" customFormat="1" ht="15" hidden="1" customHeight="1" outlineLevel="2" x14ac:dyDescent="0.3">
      <c r="A41" s="26"/>
      <c r="B41" s="12" t="str">
        <f>CONCATENATE("          ","6004"," - ","STAFF HOURLY")</f>
        <v xml:space="preserve">          6004 - STAFF HOURLY</v>
      </c>
      <c r="C41" s="12"/>
      <c r="D41" s="7">
        <v>19321.88</v>
      </c>
      <c r="E41" s="3"/>
      <c r="F41" s="8">
        <f t="shared" si="0"/>
        <v>7.474800149790943E-2</v>
      </c>
      <c r="G41" s="3"/>
      <c r="H41" s="7">
        <v>27290.880000000001</v>
      </c>
      <c r="I41" s="3"/>
      <c r="J41" s="8">
        <f t="shared" si="1"/>
        <v>0.23397530864197533</v>
      </c>
      <c r="K41" s="3"/>
      <c r="L41" s="7">
        <f t="shared" si="2"/>
        <v>-7969</v>
      </c>
      <c r="M41" s="3"/>
      <c r="N41" s="8">
        <f t="shared" si="3"/>
        <v>-0.29200230992917781</v>
      </c>
      <c r="O41" s="12"/>
      <c r="P41" s="7">
        <v>216896.2</v>
      </c>
      <c r="Q41" s="3"/>
      <c r="R41" s="8">
        <f t="shared" si="4"/>
        <v>0.14187299350281601</v>
      </c>
      <c r="S41" s="3"/>
      <c r="T41" s="7">
        <v>266086.08</v>
      </c>
      <c r="U41" s="3"/>
      <c r="V41" s="8">
        <f t="shared" si="5"/>
        <v>0.34603370786516857</v>
      </c>
      <c r="W41" s="3"/>
      <c r="X41" s="7">
        <f t="shared" si="6"/>
        <v>-49189.880000000005</v>
      </c>
      <c r="Y41" s="3"/>
      <c r="Z41" s="8">
        <f t="shared" si="7"/>
        <v>-0.18486453707010905</v>
      </c>
    </row>
    <row r="42" spans="1:26" s="70" customFormat="1" ht="15" hidden="1" customHeight="1" outlineLevel="2" x14ac:dyDescent="0.3">
      <c r="A42" s="26"/>
      <c r="B42" s="12" t="str">
        <f>CONCATENATE("          ","6005"," - ","TEMPORARY WAGES-HOURLY")</f>
        <v xml:space="preserve">          6005 - TEMPORARY WAGES-HOURLY</v>
      </c>
      <c r="C42" s="12"/>
      <c r="D42" s="7">
        <v>6150.69</v>
      </c>
      <c r="E42" s="3"/>
      <c r="F42" s="8">
        <f t="shared" si="0"/>
        <v>2.3794360866187789E-2</v>
      </c>
      <c r="G42" s="3"/>
      <c r="H42" s="7">
        <v>7760</v>
      </c>
      <c r="I42" s="3"/>
      <c r="J42" s="8">
        <f t="shared" si="1"/>
        <v>6.6529492455418379E-2</v>
      </c>
      <c r="K42" s="3"/>
      <c r="L42" s="7">
        <f t="shared" si="2"/>
        <v>-1609.3100000000004</v>
      </c>
      <c r="M42" s="3"/>
      <c r="N42" s="8">
        <f t="shared" si="3"/>
        <v>-0.20738530927835055</v>
      </c>
      <c r="O42" s="12"/>
      <c r="P42" s="7">
        <v>87495.31</v>
      </c>
      <c r="Q42" s="3"/>
      <c r="R42" s="8">
        <f t="shared" si="4"/>
        <v>5.7231161943624986E-2</v>
      </c>
      <c r="S42" s="3"/>
      <c r="T42" s="7">
        <v>58898.400000000001</v>
      </c>
      <c r="U42" s="3"/>
      <c r="V42" s="8">
        <f t="shared" si="5"/>
        <v>7.6594881398252185E-2</v>
      </c>
      <c r="W42" s="3"/>
      <c r="X42" s="7">
        <f t="shared" si="6"/>
        <v>28596.909999999996</v>
      </c>
      <c r="Y42" s="3"/>
      <c r="Z42" s="8">
        <f t="shared" si="7"/>
        <v>0.4855294880675875</v>
      </c>
    </row>
    <row r="43" spans="1:26" s="70" customFormat="1" ht="15" hidden="1" customHeight="1" outlineLevel="2" x14ac:dyDescent="0.3">
      <c r="A43" s="26"/>
      <c r="B43" s="12" t="str">
        <f>CONCATENATE("          ","6006"," - ","TEMPORARY PART TIME")</f>
        <v xml:space="preserve">          6006 - TEMPORARY PART TIME</v>
      </c>
      <c r="C43" s="12"/>
      <c r="D43" s="7"/>
      <c r="E43" s="3"/>
      <c r="F43" s="8">
        <f t="shared" si="0"/>
        <v>0</v>
      </c>
      <c r="G43" s="3"/>
      <c r="H43" s="7">
        <v>0</v>
      </c>
      <c r="I43" s="3"/>
      <c r="J43" s="8">
        <f t="shared" si="1"/>
        <v>0</v>
      </c>
      <c r="K43" s="3"/>
      <c r="L43" s="7">
        <f t="shared" si="2"/>
        <v>0</v>
      </c>
      <c r="M43" s="3"/>
      <c r="N43" s="8">
        <f t="shared" si="3"/>
        <v>0</v>
      </c>
      <c r="O43" s="12"/>
      <c r="P43" s="7"/>
      <c r="Q43" s="3"/>
      <c r="R43" s="8">
        <f t="shared" si="4"/>
        <v>0</v>
      </c>
      <c r="S43" s="3"/>
      <c r="T43" s="7">
        <v>0</v>
      </c>
      <c r="U43" s="3"/>
      <c r="V43" s="8">
        <f t="shared" si="5"/>
        <v>0</v>
      </c>
      <c r="W43" s="3"/>
      <c r="X43" s="7">
        <f t="shared" si="6"/>
        <v>0</v>
      </c>
      <c r="Y43" s="3"/>
      <c r="Z43" s="8">
        <f t="shared" si="7"/>
        <v>0</v>
      </c>
    </row>
    <row r="44" spans="1:26" s="70" customFormat="1" ht="15" hidden="1" customHeight="1" outlineLevel="2" x14ac:dyDescent="0.3">
      <c r="A44" s="26"/>
      <c r="B44" s="12" t="str">
        <f>CONCATENATE("          ","6007"," - ","STUDENT HOURLY")</f>
        <v xml:space="preserve">          6007 - STUDENT HOURLY</v>
      </c>
      <c r="C44" s="12"/>
      <c r="D44" s="7">
        <v>28825.11</v>
      </c>
      <c r="E44" s="3"/>
      <c r="F44" s="8">
        <f t="shared" si="0"/>
        <v>0.11151189042978241</v>
      </c>
      <c r="G44" s="3"/>
      <c r="H44" s="7">
        <v>0</v>
      </c>
      <c r="I44" s="3"/>
      <c r="J44" s="8">
        <f t="shared" si="1"/>
        <v>0</v>
      </c>
      <c r="K44" s="3"/>
      <c r="L44" s="7">
        <f t="shared" si="2"/>
        <v>28825.11</v>
      </c>
      <c r="M44" s="3"/>
      <c r="N44" s="8">
        <f t="shared" si="3"/>
        <v>0</v>
      </c>
      <c r="O44" s="12"/>
      <c r="P44" s="7">
        <v>130596.5</v>
      </c>
      <c r="Q44" s="3"/>
      <c r="R44" s="8">
        <f t="shared" si="4"/>
        <v>8.542388661484393E-2</v>
      </c>
      <c r="S44" s="3"/>
      <c r="T44" s="7">
        <v>12561.5</v>
      </c>
      <c r="U44" s="3"/>
      <c r="V44" s="8">
        <f t="shared" si="5"/>
        <v>1.6335700166458595E-2</v>
      </c>
      <c r="W44" s="3"/>
      <c r="X44" s="7">
        <f t="shared" si="6"/>
        <v>118035</v>
      </c>
      <c r="Y44" s="3"/>
      <c r="Z44" s="8">
        <f t="shared" si="7"/>
        <v>9.3965688811049635</v>
      </c>
    </row>
    <row r="45" spans="1:26" s="70" customFormat="1" ht="15" hidden="1" customHeight="1" outlineLevel="2" x14ac:dyDescent="0.3">
      <c r="A45" s="26"/>
      <c r="B45" s="12" t="str">
        <f>CONCATENATE("          ","6008"," - ","STUDENT HOURLY-FICA EXEMPT")</f>
        <v xml:space="preserve">          6008 - STUDENT HOURLY-FICA EXEMPT</v>
      </c>
      <c r="C45" s="12"/>
      <c r="D45" s="7">
        <v>4508.1000000000004</v>
      </c>
      <c r="E45" s="3"/>
      <c r="F45" s="8">
        <f t="shared" si="0"/>
        <v>1.7439890194573485E-2</v>
      </c>
      <c r="G45" s="3"/>
      <c r="H45" s="7">
        <v>33129.767999999996</v>
      </c>
      <c r="I45" s="3"/>
      <c r="J45" s="8">
        <f t="shared" si="1"/>
        <v>0.28403436213991767</v>
      </c>
      <c r="K45" s="3"/>
      <c r="L45" s="7">
        <f t="shared" si="2"/>
        <v>-28621.667999999998</v>
      </c>
      <c r="M45" s="3"/>
      <c r="N45" s="8">
        <f t="shared" si="3"/>
        <v>-0.86392600153433008</v>
      </c>
      <c r="O45" s="12"/>
      <c r="P45" s="7">
        <v>34511.25</v>
      </c>
      <c r="Q45" s="3"/>
      <c r="R45" s="8">
        <f t="shared" si="4"/>
        <v>2.2573997824876874E-2</v>
      </c>
      <c r="S45" s="3"/>
      <c r="T45" s="7">
        <v>204025.92</v>
      </c>
      <c r="U45" s="3"/>
      <c r="V45" s="8">
        <f t="shared" si="5"/>
        <v>0.26532709113607994</v>
      </c>
      <c r="W45" s="3"/>
      <c r="X45" s="7">
        <f t="shared" si="6"/>
        <v>-169514.67</v>
      </c>
      <c r="Y45" s="3"/>
      <c r="Z45" s="8">
        <f t="shared" si="7"/>
        <v>-0.8308486980477775</v>
      </c>
    </row>
    <row r="46" spans="1:26" s="70" customFormat="1" ht="15" hidden="1" customHeight="1" outlineLevel="2" x14ac:dyDescent="0.3">
      <c r="A46" s="26"/>
      <c r="B46" s="12" t="str">
        <f>CONCATENATE("          ","6009"," - ","TEMPORARY-SEASONAL")</f>
        <v xml:space="preserve">          6009 - TEMPORARY-SEASONAL</v>
      </c>
      <c r="C46" s="12"/>
      <c r="D46" s="7"/>
      <c r="E46" s="3"/>
      <c r="F46" s="8">
        <f t="shared" si="0"/>
        <v>0</v>
      </c>
      <c r="G46" s="3"/>
      <c r="H46" s="7">
        <v>0</v>
      </c>
      <c r="I46" s="3"/>
      <c r="J46" s="8">
        <f t="shared" si="1"/>
        <v>0</v>
      </c>
      <c r="K46" s="3"/>
      <c r="L46" s="7">
        <f t="shared" si="2"/>
        <v>0</v>
      </c>
      <c r="M46" s="3"/>
      <c r="N46" s="8">
        <f t="shared" si="3"/>
        <v>0</v>
      </c>
      <c r="O46" s="12"/>
      <c r="P46" s="7"/>
      <c r="Q46" s="3"/>
      <c r="R46" s="8">
        <f t="shared" si="4"/>
        <v>0</v>
      </c>
      <c r="S46" s="3"/>
      <c r="T46" s="7">
        <v>0</v>
      </c>
      <c r="U46" s="3"/>
      <c r="V46" s="8">
        <f t="shared" si="5"/>
        <v>0</v>
      </c>
      <c r="W46" s="3"/>
      <c r="X46" s="7">
        <f t="shared" si="6"/>
        <v>0</v>
      </c>
      <c r="Y46" s="3"/>
      <c r="Z46" s="8">
        <f t="shared" si="7"/>
        <v>0</v>
      </c>
    </row>
    <row r="47" spans="1:26" s="70" customFormat="1" ht="15" hidden="1" customHeight="1" outlineLevel="2" x14ac:dyDescent="0.3">
      <c r="A47" s="26"/>
      <c r="B47" s="12" t="str">
        <f>CONCATENATE("          ","6010"," - ","GRATUITY")</f>
        <v xml:space="preserve">          6010 - GRATUITY</v>
      </c>
      <c r="C47" s="12"/>
      <c r="D47" s="7"/>
      <c r="E47" s="3"/>
      <c r="F47" s="8">
        <f t="shared" si="0"/>
        <v>0</v>
      </c>
      <c r="G47" s="3"/>
      <c r="H47" s="7">
        <v>0</v>
      </c>
      <c r="I47" s="3"/>
      <c r="J47" s="8">
        <f t="shared" si="1"/>
        <v>0</v>
      </c>
      <c r="K47" s="3"/>
      <c r="L47" s="7">
        <f t="shared" si="2"/>
        <v>0</v>
      </c>
      <c r="M47" s="3"/>
      <c r="N47" s="8">
        <f t="shared" si="3"/>
        <v>0</v>
      </c>
      <c r="O47" s="12"/>
      <c r="P47" s="7"/>
      <c r="Q47" s="3"/>
      <c r="R47" s="8">
        <f t="shared" si="4"/>
        <v>0</v>
      </c>
      <c r="S47" s="3"/>
      <c r="T47" s="7">
        <v>0</v>
      </c>
      <c r="U47" s="3"/>
      <c r="V47" s="8">
        <f t="shared" si="5"/>
        <v>0</v>
      </c>
      <c r="W47" s="3"/>
      <c r="X47" s="7">
        <f t="shared" si="6"/>
        <v>0</v>
      </c>
      <c r="Y47" s="3"/>
      <c r="Z47" s="8">
        <f t="shared" si="7"/>
        <v>0</v>
      </c>
    </row>
    <row r="48" spans="1:26" s="69" customFormat="1" ht="15" customHeight="1" outlineLevel="1" collapsed="1" x14ac:dyDescent="0.3">
      <c r="A48" s="25"/>
      <c r="B48" s="14" t="str">
        <f>CONCATENATE("     ","Advertising/Promo                                 ")</f>
        <v xml:space="preserve">     Advertising/Promo                                 </v>
      </c>
      <c r="C48" s="14"/>
      <c r="D48" s="2">
        <f>SUM(OSRRefD22_2x_0)</f>
        <v>4.41</v>
      </c>
      <c r="E48" s="2"/>
      <c r="F48" s="6">
        <f t="shared" si="0"/>
        <v>1.7060383700021977E-5</v>
      </c>
      <c r="G48" s="2"/>
      <c r="H48" s="2">
        <f>SUM(OSRRefH22_2x_0)</f>
        <v>350</v>
      </c>
      <c r="I48" s="2"/>
      <c r="J48" s="6">
        <f t="shared" si="1"/>
        <v>3.0006858710562414E-3</v>
      </c>
      <c r="K48" s="2"/>
      <c r="L48" s="2">
        <f t="shared" si="2"/>
        <v>-345.59</v>
      </c>
      <c r="M48" s="2"/>
      <c r="N48" s="6">
        <f t="shared" si="3"/>
        <v>-0.98739999999999994</v>
      </c>
      <c r="O48" s="14"/>
      <c r="P48" s="2">
        <f>SUM(OSRRefP22_2x_0)</f>
        <v>1058.1600000000001</v>
      </c>
      <c r="Q48" s="2"/>
      <c r="R48" s="6">
        <f t="shared" si="4"/>
        <v>6.921482571153382E-4</v>
      </c>
      <c r="S48" s="2"/>
      <c r="T48" s="2">
        <f>SUM(OSRRefT22_2x_0)</f>
        <v>3150</v>
      </c>
      <c r="U48" s="2"/>
      <c r="V48" s="6">
        <f t="shared" si="5"/>
        <v>4.0964419475655427E-3</v>
      </c>
      <c r="W48" s="2"/>
      <c r="X48" s="2">
        <f t="shared" si="6"/>
        <v>-2091.84</v>
      </c>
      <c r="Y48" s="2"/>
      <c r="Z48" s="6">
        <f t="shared" si="7"/>
        <v>-0.66407619047619049</v>
      </c>
    </row>
    <row r="49" spans="1:26" s="70" customFormat="1" ht="15" hidden="1" customHeight="1" outlineLevel="2" x14ac:dyDescent="0.3">
      <c r="A49" s="26"/>
      <c r="B49" s="12" t="str">
        <f>CONCATENATE("          ","6362"," - ","ADVERTISING EXPENSE")</f>
        <v xml:space="preserve">          6362 - ADVERTISING EXPENSE</v>
      </c>
      <c r="C49" s="12"/>
      <c r="D49" s="7">
        <v>4.41</v>
      </c>
      <c r="E49" s="3"/>
      <c r="F49" s="8">
        <f t="shared" si="0"/>
        <v>1.7060383700021977E-5</v>
      </c>
      <c r="G49" s="3"/>
      <c r="H49" s="7">
        <v>350</v>
      </c>
      <c r="I49" s="3"/>
      <c r="J49" s="8">
        <f t="shared" si="1"/>
        <v>3.0006858710562414E-3</v>
      </c>
      <c r="K49" s="3"/>
      <c r="L49" s="7">
        <f t="shared" si="2"/>
        <v>-345.59</v>
      </c>
      <c r="M49" s="3"/>
      <c r="N49" s="8">
        <f t="shared" si="3"/>
        <v>-0.98739999999999994</v>
      </c>
      <c r="O49" s="12"/>
      <c r="P49" s="7">
        <v>1058.1600000000001</v>
      </c>
      <c r="Q49" s="3"/>
      <c r="R49" s="8">
        <f t="shared" si="4"/>
        <v>6.921482571153382E-4</v>
      </c>
      <c r="S49" s="3"/>
      <c r="T49" s="7">
        <v>3150</v>
      </c>
      <c r="U49" s="3"/>
      <c r="V49" s="8">
        <f t="shared" si="5"/>
        <v>4.0964419475655427E-3</v>
      </c>
      <c r="W49" s="3"/>
      <c r="X49" s="7">
        <f t="shared" si="6"/>
        <v>-2091.84</v>
      </c>
      <c r="Y49" s="3"/>
      <c r="Z49" s="8">
        <f t="shared" si="7"/>
        <v>-0.66407619047619049</v>
      </c>
    </row>
    <row r="50" spans="1:26" s="69" customFormat="1" ht="15" customHeight="1" outlineLevel="1" collapsed="1" x14ac:dyDescent="0.3">
      <c r="A50" s="25"/>
      <c r="B50" s="14" t="str">
        <f>CONCATENATE("     ","Bad Debts/Over/Short                              ")</f>
        <v xml:space="preserve">     Bad Debts/Over/Short                              </v>
      </c>
      <c r="C50" s="14"/>
      <c r="D50" s="2">
        <f>SUM(OSRRefD22_3x_0)</f>
        <v>0</v>
      </c>
      <c r="E50" s="2"/>
      <c r="F50" s="6">
        <f t="shared" si="0"/>
        <v>0</v>
      </c>
      <c r="G50" s="2"/>
      <c r="H50" s="2">
        <f>SUM(OSRRefH22_3x_0)</f>
        <v>10</v>
      </c>
      <c r="I50" s="2"/>
      <c r="J50" s="6">
        <f t="shared" si="1"/>
        <v>8.573388203017832E-5</v>
      </c>
      <c r="K50" s="2"/>
      <c r="L50" s="2">
        <f t="shared" si="2"/>
        <v>-10</v>
      </c>
      <c r="M50" s="2"/>
      <c r="N50" s="6">
        <f t="shared" si="3"/>
        <v>-1</v>
      </c>
      <c r="O50" s="14"/>
      <c r="P50" s="2">
        <f>SUM(OSRRefP22_3x_0)</f>
        <v>8</v>
      </c>
      <c r="Q50" s="2"/>
      <c r="R50" s="6">
        <f t="shared" si="4"/>
        <v>5.2328438581336514E-6</v>
      </c>
      <c r="S50" s="2"/>
      <c r="T50" s="2">
        <f>SUM(OSRRefT22_3x_0)</f>
        <v>80</v>
      </c>
      <c r="U50" s="2"/>
      <c r="V50" s="6">
        <f t="shared" si="5"/>
        <v>1.0403662089055348E-4</v>
      </c>
      <c r="W50" s="2"/>
      <c r="X50" s="2">
        <f t="shared" si="6"/>
        <v>-72</v>
      </c>
      <c r="Y50" s="2"/>
      <c r="Z50" s="6">
        <f t="shared" si="7"/>
        <v>-0.9</v>
      </c>
    </row>
    <row r="51" spans="1:26" s="70" customFormat="1" ht="15" hidden="1" customHeight="1" outlineLevel="2" x14ac:dyDescent="0.3">
      <c r="A51" s="26"/>
      <c r="B51" s="12" t="str">
        <f>CONCATENATE("          ","6272"," - ","CASH (OVER/SHORT)")</f>
        <v xml:space="preserve">          6272 - CASH (OVER/SHORT)</v>
      </c>
      <c r="C51" s="12"/>
      <c r="D51" s="7"/>
      <c r="E51" s="3"/>
      <c r="F51" s="8">
        <f t="shared" si="0"/>
        <v>0</v>
      </c>
      <c r="G51" s="3"/>
      <c r="H51" s="7">
        <v>10</v>
      </c>
      <c r="I51" s="3"/>
      <c r="J51" s="8">
        <f t="shared" si="1"/>
        <v>8.573388203017832E-5</v>
      </c>
      <c r="K51" s="3"/>
      <c r="L51" s="7">
        <f t="shared" si="2"/>
        <v>-10</v>
      </c>
      <c r="M51" s="3"/>
      <c r="N51" s="8">
        <f t="shared" si="3"/>
        <v>-1</v>
      </c>
      <c r="O51" s="12"/>
      <c r="P51" s="7">
        <v>8</v>
      </c>
      <c r="Q51" s="3"/>
      <c r="R51" s="8">
        <f t="shared" si="4"/>
        <v>5.2328438581336514E-6</v>
      </c>
      <c r="S51" s="3"/>
      <c r="T51" s="7">
        <v>80</v>
      </c>
      <c r="U51" s="3"/>
      <c r="V51" s="8">
        <f t="shared" si="5"/>
        <v>1.0403662089055348E-4</v>
      </c>
      <c r="W51" s="3"/>
      <c r="X51" s="7">
        <f t="shared" si="6"/>
        <v>-72</v>
      </c>
      <c r="Y51" s="3"/>
      <c r="Z51" s="8">
        <f t="shared" si="7"/>
        <v>-0.9</v>
      </c>
    </row>
    <row r="52" spans="1:26" s="69" customFormat="1" ht="15" customHeight="1" outlineLevel="1" collapsed="1" x14ac:dyDescent="0.3">
      <c r="A52" s="25"/>
      <c r="B52" s="14" t="str">
        <f>CONCATENATE("     ","Bank/card Fees                                    ")</f>
        <v xml:space="preserve">     Bank/card Fees                                    </v>
      </c>
      <c r="C52" s="14"/>
      <c r="D52" s="2">
        <f>SUM(OSRRefD22_4x_0)</f>
        <v>65.349999999999994</v>
      </c>
      <c r="E52" s="2"/>
      <c r="F52" s="6">
        <f t="shared" si="0"/>
        <v>2.5281090131438458E-4</v>
      </c>
      <c r="G52" s="2"/>
      <c r="H52" s="2">
        <f>SUM(OSRRefH22_4x_0)</f>
        <v>25</v>
      </c>
      <c r="I52" s="2"/>
      <c r="J52" s="6">
        <f t="shared" si="1"/>
        <v>2.1433470507544581E-4</v>
      </c>
      <c r="K52" s="2"/>
      <c r="L52" s="2">
        <f t="shared" si="2"/>
        <v>40.349999999999994</v>
      </c>
      <c r="M52" s="2"/>
      <c r="N52" s="6">
        <f t="shared" si="3"/>
        <v>1.6139999999999999</v>
      </c>
      <c r="O52" s="14"/>
      <c r="P52" s="2">
        <f>SUM(OSRRefP22_4x_0)</f>
        <v>413.34</v>
      </c>
      <c r="Q52" s="2"/>
      <c r="R52" s="6">
        <f t="shared" si="4"/>
        <v>2.7036796004012041E-4</v>
      </c>
      <c r="S52" s="2"/>
      <c r="T52" s="2">
        <f>SUM(OSRRefT22_4x_0)</f>
        <v>200</v>
      </c>
      <c r="U52" s="2"/>
      <c r="V52" s="6">
        <f t="shared" si="5"/>
        <v>2.6009155222638371E-4</v>
      </c>
      <c r="W52" s="2"/>
      <c r="X52" s="2">
        <f t="shared" si="6"/>
        <v>213.33999999999997</v>
      </c>
      <c r="Y52" s="2"/>
      <c r="Z52" s="6">
        <f t="shared" si="7"/>
        <v>1.0667</v>
      </c>
    </row>
    <row r="53" spans="1:26" s="70" customFormat="1" ht="15" hidden="1" customHeight="1" outlineLevel="2" x14ac:dyDescent="0.3">
      <c r="A53" s="26"/>
      <c r="B53" s="12" t="str">
        <f>CONCATENATE("          ","6381"," - ","BANK/CREDIT CARD FEES")</f>
        <v xml:space="preserve">          6381 - BANK/CREDIT CARD FEES</v>
      </c>
      <c r="C53" s="12"/>
      <c r="D53" s="7">
        <v>65.349999999999994</v>
      </c>
      <c r="E53" s="3"/>
      <c r="F53" s="8">
        <f t="shared" si="0"/>
        <v>2.5281090131438458E-4</v>
      </c>
      <c r="G53" s="3"/>
      <c r="H53" s="7">
        <v>25</v>
      </c>
      <c r="I53" s="3"/>
      <c r="J53" s="8">
        <f t="shared" si="1"/>
        <v>2.1433470507544581E-4</v>
      </c>
      <c r="K53" s="3"/>
      <c r="L53" s="7">
        <f t="shared" si="2"/>
        <v>40.349999999999994</v>
      </c>
      <c r="M53" s="3"/>
      <c r="N53" s="8">
        <f t="shared" si="3"/>
        <v>1.6139999999999999</v>
      </c>
      <c r="O53" s="12"/>
      <c r="P53" s="7">
        <v>413.34</v>
      </c>
      <c r="Q53" s="3"/>
      <c r="R53" s="8">
        <f t="shared" si="4"/>
        <v>2.7036796004012041E-4</v>
      </c>
      <c r="S53" s="3"/>
      <c r="T53" s="7">
        <v>200</v>
      </c>
      <c r="U53" s="3"/>
      <c r="V53" s="8">
        <f t="shared" si="5"/>
        <v>2.6009155222638371E-4</v>
      </c>
      <c r="W53" s="3"/>
      <c r="X53" s="7">
        <f t="shared" si="6"/>
        <v>213.33999999999997</v>
      </c>
      <c r="Y53" s="3"/>
      <c r="Z53" s="8">
        <f t="shared" si="7"/>
        <v>1.0667</v>
      </c>
    </row>
    <row r="54" spans="1:26" s="69" customFormat="1" ht="15" customHeight="1" outlineLevel="1" collapsed="1" x14ac:dyDescent="0.3">
      <c r="A54" s="25"/>
      <c r="B54" s="14" t="str">
        <f>CONCATENATE("     ","Depreciation                                      ")</f>
        <v xml:space="preserve">     Depreciation                                      </v>
      </c>
      <c r="C54" s="14"/>
      <c r="D54" s="2">
        <f>SUM(OSRRefD22_5x_0)</f>
        <v>213.02</v>
      </c>
      <c r="E54" s="2"/>
      <c r="F54" s="6">
        <f t="shared" si="0"/>
        <v>8.2408229836251272E-4</v>
      </c>
      <c r="G54" s="2"/>
      <c r="H54" s="2">
        <f>SUM(OSRRefH22_5x_0)</f>
        <v>213</v>
      </c>
      <c r="I54" s="2"/>
      <c r="J54" s="6">
        <f t="shared" si="1"/>
        <v>1.8261316872427984E-3</v>
      </c>
      <c r="K54" s="2"/>
      <c r="L54" s="2">
        <f t="shared" si="2"/>
        <v>2.0000000000010232E-2</v>
      </c>
      <c r="M54" s="2"/>
      <c r="N54" s="6">
        <f t="shared" si="3"/>
        <v>9.3896713615071505E-5</v>
      </c>
      <c r="O54" s="14"/>
      <c r="P54" s="2">
        <f>SUM(OSRRefP22_5x_0)</f>
        <v>1917.18</v>
      </c>
      <c r="Q54" s="2"/>
      <c r="R54" s="6">
        <f t="shared" si="4"/>
        <v>1.2540379484920843E-3</v>
      </c>
      <c r="S54" s="2"/>
      <c r="T54" s="2">
        <f>SUM(OSRRefT22_5x_0)</f>
        <v>1917</v>
      </c>
      <c r="U54" s="2"/>
      <c r="V54" s="6">
        <f t="shared" si="5"/>
        <v>2.4929775280898877E-3</v>
      </c>
      <c r="W54" s="2"/>
      <c r="X54" s="2">
        <f t="shared" si="6"/>
        <v>0.18000000000006366</v>
      </c>
      <c r="Y54" s="2"/>
      <c r="Z54" s="6">
        <f t="shared" si="7"/>
        <v>9.3896713615056678E-5</v>
      </c>
    </row>
    <row r="55" spans="1:26" s="70" customFormat="1" ht="15" hidden="1" customHeight="1" outlineLevel="2" x14ac:dyDescent="0.3">
      <c r="A55" s="26"/>
      <c r="B55" s="12" t="str">
        <f>CONCATENATE("          ","6322"," - ","EQUIPMENT DEPRECIATION EXPENSE")</f>
        <v xml:space="preserve">          6322 - EQUIPMENT DEPRECIATION EXPENSE</v>
      </c>
      <c r="C55" s="12"/>
      <c r="D55" s="7">
        <v>213.02</v>
      </c>
      <c r="E55" s="3"/>
      <c r="F55" s="8">
        <f t="shared" si="0"/>
        <v>8.2408229836251272E-4</v>
      </c>
      <c r="G55" s="3"/>
      <c r="H55" s="7">
        <v>213</v>
      </c>
      <c r="I55" s="3"/>
      <c r="J55" s="8">
        <f t="shared" si="1"/>
        <v>1.8261316872427984E-3</v>
      </c>
      <c r="K55" s="3"/>
      <c r="L55" s="7">
        <f t="shared" si="2"/>
        <v>2.0000000000010232E-2</v>
      </c>
      <c r="M55" s="3"/>
      <c r="N55" s="8">
        <f t="shared" si="3"/>
        <v>9.3896713615071505E-5</v>
      </c>
      <c r="O55" s="12"/>
      <c r="P55" s="7">
        <v>1917.18</v>
      </c>
      <c r="Q55" s="3"/>
      <c r="R55" s="8">
        <f t="shared" si="4"/>
        <v>1.2540379484920843E-3</v>
      </c>
      <c r="S55" s="3"/>
      <c r="T55" s="7">
        <v>1917</v>
      </c>
      <c r="U55" s="3"/>
      <c r="V55" s="8">
        <f t="shared" si="5"/>
        <v>2.4929775280898877E-3</v>
      </c>
      <c r="W55" s="3"/>
      <c r="X55" s="7">
        <f t="shared" si="6"/>
        <v>0.18000000000006366</v>
      </c>
      <c r="Y55" s="3"/>
      <c r="Z55" s="8">
        <f t="shared" si="7"/>
        <v>9.3896713615056678E-5</v>
      </c>
    </row>
    <row r="56" spans="1:26" s="69" customFormat="1" ht="15" customHeight="1" outlineLevel="1" collapsed="1" x14ac:dyDescent="0.3">
      <c r="A56" s="25"/>
      <c r="B56" s="14" t="str">
        <f>CONCATENATE("     ","Donations                                         ")</f>
        <v xml:space="preserve">     Donations                                         </v>
      </c>
      <c r="C56" s="14"/>
      <c r="D56" s="2">
        <f>SUM(OSRRefD22_6x_0)</f>
        <v>1437.97</v>
      </c>
      <c r="E56" s="2"/>
      <c r="F56" s="6">
        <f t="shared" si="0"/>
        <v>5.5628843422042178E-3</v>
      </c>
      <c r="G56" s="2"/>
      <c r="H56" s="2">
        <f>SUM(OSRRefH22_6x_0)</f>
        <v>3000</v>
      </c>
      <c r="I56" s="2"/>
      <c r="J56" s="6">
        <f t="shared" si="1"/>
        <v>2.5720164609053499E-2</v>
      </c>
      <c r="K56" s="2"/>
      <c r="L56" s="2">
        <f t="shared" si="2"/>
        <v>-1562.03</v>
      </c>
      <c r="M56" s="2"/>
      <c r="N56" s="6">
        <f t="shared" si="3"/>
        <v>-0.52067666666666668</v>
      </c>
      <c r="O56" s="14"/>
      <c r="P56" s="2">
        <f>SUM(OSRRefP22_6x_0)</f>
        <v>9603.57</v>
      </c>
      <c r="Q56" s="2"/>
      <c r="R56" s="6">
        <f t="shared" si="4"/>
        <v>6.281747786332074E-3</v>
      </c>
      <c r="S56" s="2"/>
      <c r="T56" s="2">
        <f>SUM(OSRRefT22_6x_0)</f>
        <v>24000</v>
      </c>
      <c r="U56" s="2"/>
      <c r="V56" s="6">
        <f t="shared" si="5"/>
        <v>3.1210986267166042E-2</v>
      </c>
      <c r="W56" s="2"/>
      <c r="X56" s="2">
        <f t="shared" si="6"/>
        <v>-14396.43</v>
      </c>
      <c r="Y56" s="2"/>
      <c r="Z56" s="6">
        <f t="shared" si="7"/>
        <v>-0.59985125000000006</v>
      </c>
    </row>
    <row r="57" spans="1:26" s="70" customFormat="1" ht="15" hidden="1" customHeight="1" outlineLevel="2" x14ac:dyDescent="0.3">
      <c r="A57" s="26"/>
      <c r="B57" s="12" t="str">
        <f>CONCATENATE("          ","6399"," - ","DONATION-ON CAMPUS")</f>
        <v xml:space="preserve">          6399 - DONATION-ON CAMPUS</v>
      </c>
      <c r="C57" s="12"/>
      <c r="D57" s="7">
        <v>1437.97</v>
      </c>
      <c r="E57" s="3"/>
      <c r="F57" s="8">
        <f t="shared" ref="F57:F88" si="8">IF(D$12=0,0,D57/D$12)</f>
        <v>5.5628843422042178E-3</v>
      </c>
      <c r="G57" s="3"/>
      <c r="H57" s="7">
        <v>3000</v>
      </c>
      <c r="I57" s="3"/>
      <c r="J57" s="8">
        <f t="shared" ref="J57:J88" si="9">IF(H$12=0,0,H57/H$12)</f>
        <v>2.5720164609053499E-2</v>
      </c>
      <c r="K57" s="3"/>
      <c r="L57" s="7">
        <f t="shared" ref="L57:L88" si="10">+D57-H57</f>
        <v>-1562.03</v>
      </c>
      <c r="M57" s="3"/>
      <c r="N57" s="8">
        <f t="shared" ref="N57:N88" si="11">IF(H57=0,0,L57/H57)</f>
        <v>-0.52067666666666668</v>
      </c>
      <c r="O57" s="12"/>
      <c r="P57" s="7">
        <v>9603.57</v>
      </c>
      <c r="Q57" s="3"/>
      <c r="R57" s="8">
        <f t="shared" ref="R57:R88" si="12">IF(P$12=0,0,P57/P$12)</f>
        <v>6.281747786332074E-3</v>
      </c>
      <c r="S57" s="3"/>
      <c r="T57" s="7">
        <v>24000</v>
      </c>
      <c r="U57" s="3"/>
      <c r="V57" s="8">
        <f t="shared" ref="V57:V88" si="13">IF(T$12=0,0,T57/T$12)</f>
        <v>3.1210986267166042E-2</v>
      </c>
      <c r="W57" s="3"/>
      <c r="X57" s="7">
        <f t="shared" ref="X57:X88" si="14">+P57-T57</f>
        <v>-14396.43</v>
      </c>
      <c r="Y57" s="3"/>
      <c r="Z57" s="8">
        <f t="shared" ref="Z57:Z88" si="15">IF(T57=0,0,X57/T57)</f>
        <v>-0.59985125000000006</v>
      </c>
    </row>
    <row r="58" spans="1:26" s="69" customFormat="1" ht="15" customHeight="1" outlineLevel="1" collapsed="1" x14ac:dyDescent="0.3">
      <c r="A58" s="25"/>
      <c r="B58" s="14" t="str">
        <f>CONCATENATE("     ","Employees' Appreciation                           ")</f>
        <v xml:space="preserve">     Employees' Appreciation                           </v>
      </c>
      <c r="C58" s="14"/>
      <c r="D58" s="2">
        <f>SUM(OSRRefD22_7x_0)</f>
        <v>0</v>
      </c>
      <c r="E58" s="2"/>
      <c r="F58" s="6">
        <f t="shared" si="8"/>
        <v>0</v>
      </c>
      <c r="G58" s="2"/>
      <c r="H58" s="2">
        <f>SUM(OSRRefH22_7x_0)</f>
        <v>50</v>
      </c>
      <c r="I58" s="2"/>
      <c r="J58" s="6">
        <f t="shared" si="9"/>
        <v>4.2866941015089161E-4</v>
      </c>
      <c r="K58" s="2"/>
      <c r="L58" s="2">
        <f t="shared" si="10"/>
        <v>-50</v>
      </c>
      <c r="M58" s="2"/>
      <c r="N58" s="6">
        <f t="shared" si="11"/>
        <v>-1</v>
      </c>
      <c r="O58" s="14"/>
      <c r="P58" s="2">
        <f>SUM(OSRRefP22_7x_0)</f>
        <v>90.47</v>
      </c>
      <c r="Q58" s="2"/>
      <c r="R58" s="6">
        <f t="shared" si="12"/>
        <v>5.9176922980668935E-5</v>
      </c>
      <c r="S58" s="2"/>
      <c r="T58" s="2">
        <f>SUM(OSRRefT22_7x_0)</f>
        <v>450</v>
      </c>
      <c r="U58" s="2"/>
      <c r="V58" s="6">
        <f t="shared" si="13"/>
        <v>5.8520599250936332E-4</v>
      </c>
      <c r="W58" s="2"/>
      <c r="X58" s="2">
        <f t="shared" si="14"/>
        <v>-359.53</v>
      </c>
      <c r="Y58" s="2"/>
      <c r="Z58" s="6">
        <f t="shared" si="15"/>
        <v>-0.79895555555555553</v>
      </c>
    </row>
    <row r="59" spans="1:26" s="70" customFormat="1" ht="15" hidden="1" customHeight="1" outlineLevel="2" x14ac:dyDescent="0.3">
      <c r="A59" s="26"/>
      <c r="B59" s="12" t="str">
        <f>CONCATENATE("          ","6277"," - ","EMPLOYEE APPRECIATION")</f>
        <v xml:space="preserve">          6277 - EMPLOYEE APPRECIATION</v>
      </c>
      <c r="C59" s="12"/>
      <c r="D59" s="7"/>
      <c r="E59" s="3"/>
      <c r="F59" s="8">
        <f t="shared" si="8"/>
        <v>0</v>
      </c>
      <c r="G59" s="3"/>
      <c r="H59" s="7">
        <v>50</v>
      </c>
      <c r="I59" s="3"/>
      <c r="J59" s="8">
        <f t="shared" si="9"/>
        <v>4.2866941015089161E-4</v>
      </c>
      <c r="K59" s="3"/>
      <c r="L59" s="7">
        <f t="shared" si="10"/>
        <v>-50</v>
      </c>
      <c r="M59" s="3"/>
      <c r="N59" s="8">
        <f t="shared" si="11"/>
        <v>-1</v>
      </c>
      <c r="O59" s="12"/>
      <c r="P59" s="7">
        <v>90.47</v>
      </c>
      <c r="Q59" s="3"/>
      <c r="R59" s="8">
        <f t="shared" si="12"/>
        <v>5.9176922980668935E-5</v>
      </c>
      <c r="S59" s="3"/>
      <c r="T59" s="7">
        <v>450</v>
      </c>
      <c r="U59" s="3"/>
      <c r="V59" s="8">
        <f t="shared" si="13"/>
        <v>5.8520599250936332E-4</v>
      </c>
      <c r="W59" s="3"/>
      <c r="X59" s="7">
        <f t="shared" si="14"/>
        <v>-359.53</v>
      </c>
      <c r="Y59" s="3"/>
      <c r="Z59" s="8">
        <f t="shared" si="15"/>
        <v>-0.79895555555555553</v>
      </c>
    </row>
    <row r="60" spans="1:26" s="69" customFormat="1" ht="15" customHeight="1" outlineLevel="1" collapsed="1" x14ac:dyDescent="0.3">
      <c r="A60" s="25"/>
      <c r="B60" s="14" t="str">
        <f>CONCATENATE("     ","General                                           ")</f>
        <v xml:space="preserve">     General                                           </v>
      </c>
      <c r="C60" s="14"/>
      <c r="D60" s="2">
        <f>SUM(OSRRefD22_8x_0)</f>
        <v>227.19</v>
      </c>
      <c r="E60" s="2"/>
      <c r="F60" s="6">
        <f t="shared" si="8"/>
        <v>8.7889990313106401E-4</v>
      </c>
      <c r="G60" s="2"/>
      <c r="H60" s="2">
        <f>SUM(OSRRefH22_8x_0)</f>
        <v>600</v>
      </c>
      <c r="I60" s="2"/>
      <c r="J60" s="6">
        <f t="shared" si="9"/>
        <v>5.1440329218106996E-3</v>
      </c>
      <c r="K60" s="2"/>
      <c r="L60" s="2">
        <f t="shared" si="10"/>
        <v>-372.81</v>
      </c>
      <c r="M60" s="2"/>
      <c r="N60" s="6">
        <f t="shared" si="11"/>
        <v>-0.62134999999999996</v>
      </c>
      <c r="O60" s="14"/>
      <c r="P60" s="2">
        <f>SUM(OSRRefP22_8x_0)</f>
        <v>2071.98</v>
      </c>
      <c r="Q60" s="2"/>
      <c r="R60" s="6">
        <f t="shared" si="12"/>
        <v>1.3552934771469704E-3</v>
      </c>
      <c r="S60" s="2"/>
      <c r="T60" s="2">
        <f>SUM(OSRRefT22_8x_0)</f>
        <v>2300</v>
      </c>
      <c r="U60" s="2"/>
      <c r="V60" s="6">
        <f t="shared" si="13"/>
        <v>2.9910528506034125E-3</v>
      </c>
      <c r="W60" s="2"/>
      <c r="X60" s="2">
        <f t="shared" si="14"/>
        <v>-228.01999999999998</v>
      </c>
      <c r="Y60" s="2"/>
      <c r="Z60" s="6">
        <f t="shared" si="15"/>
        <v>-9.9139130434782605E-2</v>
      </c>
    </row>
    <row r="61" spans="1:26" s="70" customFormat="1" ht="15" hidden="1" customHeight="1" outlineLevel="2" x14ac:dyDescent="0.3">
      <c r="A61" s="26"/>
      <c r="B61" s="12" t="str">
        <f>CONCATENATE("          ","6279"," - ","GENERAL EXPENSE")</f>
        <v xml:space="preserve">          6279 - GENERAL EXPENSE</v>
      </c>
      <c r="C61" s="12"/>
      <c r="D61" s="7">
        <v>227.19</v>
      </c>
      <c r="E61" s="3"/>
      <c r="F61" s="8">
        <f t="shared" si="8"/>
        <v>8.7889990313106401E-4</v>
      </c>
      <c r="G61" s="3"/>
      <c r="H61" s="7">
        <v>600</v>
      </c>
      <c r="I61" s="3"/>
      <c r="J61" s="8">
        <f t="shared" si="9"/>
        <v>5.1440329218106996E-3</v>
      </c>
      <c r="K61" s="3"/>
      <c r="L61" s="7">
        <f t="shared" si="10"/>
        <v>-372.81</v>
      </c>
      <c r="M61" s="3"/>
      <c r="N61" s="8">
        <f t="shared" si="11"/>
        <v>-0.62134999999999996</v>
      </c>
      <c r="O61" s="12"/>
      <c r="P61" s="7">
        <v>2071.98</v>
      </c>
      <c r="Q61" s="3"/>
      <c r="R61" s="8">
        <f t="shared" si="12"/>
        <v>1.3552934771469704E-3</v>
      </c>
      <c r="S61" s="3"/>
      <c r="T61" s="7">
        <v>2300</v>
      </c>
      <c r="U61" s="3"/>
      <c r="V61" s="8">
        <f t="shared" si="13"/>
        <v>2.9910528506034125E-3</v>
      </c>
      <c r="W61" s="3"/>
      <c r="X61" s="7">
        <f t="shared" si="14"/>
        <v>-228.01999999999998</v>
      </c>
      <c r="Y61" s="3"/>
      <c r="Z61" s="8">
        <f t="shared" si="15"/>
        <v>-9.9139130434782605E-2</v>
      </c>
    </row>
    <row r="62" spans="1:26" s="69" customFormat="1" ht="15" customHeight="1" outlineLevel="1" collapsed="1" x14ac:dyDescent="0.3">
      <c r="A62" s="25"/>
      <c r="B62" s="14" t="str">
        <f>CONCATENATE("     ","Insurance                                         ")</f>
        <v xml:space="preserve">     Insurance                                         </v>
      </c>
      <c r="C62" s="14"/>
      <c r="D62" s="2">
        <f>SUM(OSRRefD22_9x_0)</f>
        <v>5.21</v>
      </c>
      <c r="E62" s="2"/>
      <c r="F62" s="6">
        <f t="shared" si="8"/>
        <v>2.0155237885967004E-5</v>
      </c>
      <c r="G62" s="2"/>
      <c r="H62" s="2">
        <f>SUM(OSRRefH22_9x_0)</f>
        <v>10</v>
      </c>
      <c r="I62" s="2"/>
      <c r="J62" s="6">
        <f t="shared" si="9"/>
        <v>8.573388203017832E-5</v>
      </c>
      <c r="K62" s="2"/>
      <c r="L62" s="2">
        <f t="shared" si="10"/>
        <v>-4.79</v>
      </c>
      <c r="M62" s="2"/>
      <c r="N62" s="6">
        <f t="shared" si="11"/>
        <v>-0.47899999999999998</v>
      </c>
      <c r="O62" s="14"/>
      <c r="P62" s="2">
        <f>SUM(OSRRefP22_9x_0)</f>
        <v>46.9</v>
      </c>
      <c r="Q62" s="2"/>
      <c r="R62" s="6">
        <f t="shared" si="12"/>
        <v>3.0677547118308535E-5</v>
      </c>
      <c r="S62" s="2"/>
      <c r="T62" s="2">
        <f>SUM(OSRRefT22_9x_0)</f>
        <v>90</v>
      </c>
      <c r="U62" s="2"/>
      <c r="V62" s="6">
        <f t="shared" si="13"/>
        <v>1.1704119850187266E-4</v>
      </c>
      <c r="W62" s="2"/>
      <c r="X62" s="2">
        <f t="shared" si="14"/>
        <v>-43.1</v>
      </c>
      <c r="Y62" s="2"/>
      <c r="Z62" s="6">
        <f t="shared" si="15"/>
        <v>-0.47888888888888892</v>
      </c>
    </row>
    <row r="63" spans="1:26" s="70" customFormat="1" ht="15" hidden="1" customHeight="1" outlineLevel="2" x14ac:dyDescent="0.3">
      <c r="A63" s="26"/>
      <c r="B63" s="12" t="str">
        <f>CONCATENATE("          ","6314"," - ","LIABILITY INSURANCE")</f>
        <v xml:space="preserve">          6314 - LIABILITY INSURANCE</v>
      </c>
      <c r="C63" s="12"/>
      <c r="D63" s="7">
        <v>5.21</v>
      </c>
      <c r="E63" s="3"/>
      <c r="F63" s="8">
        <f t="shared" si="8"/>
        <v>2.0155237885967004E-5</v>
      </c>
      <c r="G63" s="3"/>
      <c r="H63" s="7">
        <v>10</v>
      </c>
      <c r="I63" s="3"/>
      <c r="J63" s="8">
        <f t="shared" si="9"/>
        <v>8.573388203017832E-5</v>
      </c>
      <c r="K63" s="3"/>
      <c r="L63" s="7">
        <f t="shared" si="10"/>
        <v>-4.79</v>
      </c>
      <c r="M63" s="3"/>
      <c r="N63" s="8">
        <f t="shared" si="11"/>
        <v>-0.47899999999999998</v>
      </c>
      <c r="O63" s="12"/>
      <c r="P63" s="7">
        <v>46.9</v>
      </c>
      <c r="Q63" s="3"/>
      <c r="R63" s="8">
        <f t="shared" si="12"/>
        <v>3.0677547118308535E-5</v>
      </c>
      <c r="S63" s="3"/>
      <c r="T63" s="7">
        <v>90</v>
      </c>
      <c r="U63" s="3"/>
      <c r="V63" s="8">
        <f t="shared" si="13"/>
        <v>1.1704119850187266E-4</v>
      </c>
      <c r="W63" s="3"/>
      <c r="X63" s="7">
        <f t="shared" si="14"/>
        <v>-43.1</v>
      </c>
      <c r="Y63" s="3"/>
      <c r="Z63" s="8">
        <f t="shared" si="15"/>
        <v>-0.47888888888888892</v>
      </c>
    </row>
    <row r="64" spans="1:26" s="69" customFormat="1" ht="15" customHeight="1" outlineLevel="1" collapsed="1" x14ac:dyDescent="0.3">
      <c r="A64" s="25"/>
      <c r="B64" s="14" t="str">
        <f>CONCATENATE("     ","R/H Commissions                                   ")</f>
        <v xml:space="preserve">     R/H Commissions                                   </v>
      </c>
      <c r="C64" s="14"/>
      <c r="D64" s="2">
        <f>SUM(OSRRefD22_10x_0)</f>
        <v>20664.740000000002</v>
      </c>
      <c r="E64" s="2"/>
      <c r="F64" s="6">
        <f t="shared" si="8"/>
        <v>7.9942946363082121E-2</v>
      </c>
      <c r="G64" s="2"/>
      <c r="H64" s="2">
        <f>SUM(OSRRefH22_10x_0)</f>
        <v>9331</v>
      </c>
      <c r="I64" s="2"/>
      <c r="J64" s="6">
        <f t="shared" si="9"/>
        <v>7.9998285322359391E-2</v>
      </c>
      <c r="K64" s="2"/>
      <c r="L64" s="2">
        <f t="shared" si="10"/>
        <v>11333.740000000002</v>
      </c>
      <c r="M64" s="2"/>
      <c r="N64" s="6">
        <f t="shared" si="11"/>
        <v>1.2146329439502734</v>
      </c>
      <c r="O64" s="14"/>
      <c r="P64" s="2">
        <f>SUM(OSRRefP22_10x_0)</f>
        <v>117916.39</v>
      </c>
      <c r="Q64" s="2"/>
      <c r="R64" s="6">
        <f t="shared" si="12"/>
        <v>7.712975714809904E-2</v>
      </c>
      <c r="S64" s="2"/>
      <c r="T64" s="2">
        <f>SUM(OSRRefT22_10x_0)</f>
        <v>61517</v>
      </c>
      <c r="U64" s="2"/>
      <c r="V64" s="6">
        <f t="shared" si="13"/>
        <v>8.0000260091552228E-2</v>
      </c>
      <c r="W64" s="2"/>
      <c r="X64" s="2">
        <f t="shared" si="14"/>
        <v>56399.39</v>
      </c>
      <c r="Y64" s="2"/>
      <c r="Z64" s="6">
        <f t="shared" si="15"/>
        <v>0.91680982492644314</v>
      </c>
    </row>
    <row r="65" spans="1:26" s="70" customFormat="1" ht="15" hidden="1" customHeight="1" outlineLevel="2" x14ac:dyDescent="0.3">
      <c r="A65" s="26"/>
      <c r="B65" s="12" t="str">
        <f>CONCATENATE("          ","6387"," - ","COMMISSION DUE HOUSING")</f>
        <v xml:space="preserve">          6387 - COMMISSION DUE HOUSING</v>
      </c>
      <c r="C65" s="12"/>
      <c r="D65" s="7">
        <v>20664.740000000002</v>
      </c>
      <c r="E65" s="3"/>
      <c r="F65" s="8">
        <f t="shared" si="8"/>
        <v>7.9942946363082121E-2</v>
      </c>
      <c r="G65" s="3"/>
      <c r="H65" s="7">
        <v>9331</v>
      </c>
      <c r="I65" s="3"/>
      <c r="J65" s="8">
        <f t="shared" si="9"/>
        <v>7.9998285322359391E-2</v>
      </c>
      <c r="K65" s="3"/>
      <c r="L65" s="7">
        <f t="shared" si="10"/>
        <v>11333.740000000002</v>
      </c>
      <c r="M65" s="3"/>
      <c r="N65" s="8">
        <f t="shared" si="11"/>
        <v>1.2146329439502734</v>
      </c>
      <c r="O65" s="12"/>
      <c r="P65" s="7">
        <v>117916.39</v>
      </c>
      <c r="Q65" s="3"/>
      <c r="R65" s="8">
        <f t="shared" si="12"/>
        <v>7.712975714809904E-2</v>
      </c>
      <c r="S65" s="3"/>
      <c r="T65" s="7">
        <v>61517</v>
      </c>
      <c r="U65" s="3"/>
      <c r="V65" s="8">
        <f t="shared" si="13"/>
        <v>8.0000260091552228E-2</v>
      </c>
      <c r="W65" s="3"/>
      <c r="X65" s="7">
        <f t="shared" si="14"/>
        <v>56399.39</v>
      </c>
      <c r="Y65" s="3"/>
      <c r="Z65" s="8">
        <f t="shared" si="15"/>
        <v>0.91680982492644314</v>
      </c>
    </row>
    <row r="66" spans="1:26" s="69" customFormat="1" ht="15" customHeight="1" outlineLevel="1" collapsed="1" x14ac:dyDescent="0.3">
      <c r="A66" s="25"/>
      <c r="B66" s="14" t="str">
        <f>CONCATENATE("     ","Repair and Maintenance                            ")</f>
        <v xml:space="preserve">     Repair and Maintenance                            </v>
      </c>
      <c r="C66" s="14"/>
      <c r="D66" s="2">
        <f>SUM(OSRRefD22_11x_0)</f>
        <v>1402.47</v>
      </c>
      <c r="E66" s="2"/>
      <c r="F66" s="6">
        <f t="shared" si="8"/>
        <v>5.4255501877029074E-3</v>
      </c>
      <c r="G66" s="2"/>
      <c r="H66" s="2">
        <f>SUM(OSRRefH22_11x_0)</f>
        <v>100</v>
      </c>
      <c r="I66" s="2"/>
      <c r="J66" s="6">
        <f t="shared" si="9"/>
        <v>8.5733882030178323E-4</v>
      </c>
      <c r="K66" s="2"/>
      <c r="L66" s="2">
        <f t="shared" si="10"/>
        <v>1302.47</v>
      </c>
      <c r="M66" s="2"/>
      <c r="N66" s="6">
        <f t="shared" si="11"/>
        <v>13.024700000000001</v>
      </c>
      <c r="O66" s="14"/>
      <c r="P66" s="2">
        <f>SUM(OSRRefP22_11x_0)</f>
        <v>2538.2799999999997</v>
      </c>
      <c r="Q66" s="2"/>
      <c r="R66" s="6">
        <f t="shared" si="12"/>
        <v>1.6603028635279356E-3</v>
      </c>
      <c r="S66" s="2"/>
      <c r="T66" s="2">
        <f>SUM(OSRRefT22_11x_0)</f>
        <v>3900</v>
      </c>
      <c r="U66" s="2"/>
      <c r="V66" s="6">
        <f t="shared" si="13"/>
        <v>5.0717852684144821E-3</v>
      </c>
      <c r="W66" s="2"/>
      <c r="X66" s="2">
        <f t="shared" si="14"/>
        <v>-1361.7200000000003</v>
      </c>
      <c r="Y66" s="2"/>
      <c r="Z66" s="6">
        <f t="shared" si="15"/>
        <v>-0.34915897435897442</v>
      </c>
    </row>
    <row r="67" spans="1:26" s="70" customFormat="1" ht="15" hidden="1" customHeight="1" outlineLevel="2" x14ac:dyDescent="0.3">
      <c r="A67" s="26"/>
      <c r="B67" s="12" t="str">
        <f>CONCATENATE("          ","6371"," - ","COMPUTER SOFTWARE MAINTENANCE")</f>
        <v xml:space="preserve">          6371 - COMPUTER SOFTWARE MAINTENANCE</v>
      </c>
      <c r="C67" s="12"/>
      <c r="D67" s="7"/>
      <c r="E67" s="3"/>
      <c r="F67" s="8">
        <f t="shared" si="8"/>
        <v>0</v>
      </c>
      <c r="G67" s="3"/>
      <c r="H67" s="7"/>
      <c r="I67" s="3"/>
      <c r="J67" s="8">
        <f t="shared" si="9"/>
        <v>0</v>
      </c>
      <c r="K67" s="3"/>
      <c r="L67" s="7">
        <f t="shared" si="10"/>
        <v>0</v>
      </c>
      <c r="M67" s="3"/>
      <c r="N67" s="8">
        <f t="shared" si="11"/>
        <v>0</v>
      </c>
      <c r="O67" s="12"/>
      <c r="P67" s="7"/>
      <c r="Q67" s="3"/>
      <c r="R67" s="8">
        <f t="shared" si="12"/>
        <v>0</v>
      </c>
      <c r="S67" s="3"/>
      <c r="T67" s="7">
        <v>0</v>
      </c>
      <c r="U67" s="3"/>
      <c r="V67" s="8">
        <f t="shared" si="13"/>
        <v>0</v>
      </c>
      <c r="W67" s="3"/>
      <c r="X67" s="7">
        <f t="shared" si="14"/>
        <v>0</v>
      </c>
      <c r="Y67" s="3"/>
      <c r="Z67" s="8">
        <f t="shared" si="15"/>
        <v>0</v>
      </c>
    </row>
    <row r="68" spans="1:26" s="70" customFormat="1" ht="15" hidden="1" customHeight="1" outlineLevel="2" x14ac:dyDescent="0.3">
      <c r="A68" s="26"/>
      <c r="B68" s="12" t="str">
        <f>CONCATENATE("          ","6373"," - ","MAINTENANCE CONTRACTS")</f>
        <v xml:space="preserve">          6373 - MAINTENANCE CONTRACTS</v>
      </c>
      <c r="C68" s="12"/>
      <c r="D68" s="7">
        <v>74.900000000000006</v>
      </c>
      <c r="E68" s="3"/>
      <c r="F68" s="8">
        <f t="shared" si="8"/>
        <v>2.8975572315910339E-4</v>
      </c>
      <c r="G68" s="3"/>
      <c r="H68" s="7"/>
      <c r="I68" s="3"/>
      <c r="J68" s="8">
        <f t="shared" si="9"/>
        <v>0</v>
      </c>
      <c r="K68" s="3"/>
      <c r="L68" s="7">
        <f t="shared" si="10"/>
        <v>74.900000000000006</v>
      </c>
      <c r="M68" s="3"/>
      <c r="N68" s="8">
        <f t="shared" si="11"/>
        <v>0</v>
      </c>
      <c r="O68" s="12"/>
      <c r="P68" s="7">
        <v>221.66</v>
      </c>
      <c r="Q68" s="3"/>
      <c r="R68" s="8">
        <f t="shared" si="12"/>
        <v>1.4498902119923816E-4</v>
      </c>
      <c r="S68" s="3"/>
      <c r="T68" s="7">
        <v>3000</v>
      </c>
      <c r="U68" s="3"/>
      <c r="V68" s="8">
        <f t="shared" si="13"/>
        <v>3.9013732833957553E-3</v>
      </c>
      <c r="W68" s="3"/>
      <c r="X68" s="7">
        <f t="shared" si="14"/>
        <v>-2778.34</v>
      </c>
      <c r="Y68" s="3"/>
      <c r="Z68" s="8">
        <f t="shared" si="15"/>
        <v>-0.92611333333333334</v>
      </c>
    </row>
    <row r="69" spans="1:26" s="70" customFormat="1" ht="15" hidden="1" customHeight="1" outlineLevel="2" x14ac:dyDescent="0.3">
      <c r="A69" s="26"/>
      <c r="B69" s="12" t="str">
        <f>CONCATENATE("          ","6375"," - ","OUTSIDE REPAIRS &amp; MAINTENANCE")</f>
        <v xml:space="preserve">          6375 - OUTSIDE REPAIRS &amp; MAINTENANCE</v>
      </c>
      <c r="C69" s="12"/>
      <c r="D69" s="7">
        <v>1327.57</v>
      </c>
      <c r="E69" s="3"/>
      <c r="F69" s="8">
        <f t="shared" si="8"/>
        <v>5.1357944645438035E-3</v>
      </c>
      <c r="G69" s="3"/>
      <c r="H69" s="7">
        <v>100</v>
      </c>
      <c r="I69" s="3"/>
      <c r="J69" s="8">
        <f t="shared" si="9"/>
        <v>8.5733882030178323E-4</v>
      </c>
      <c r="K69" s="3"/>
      <c r="L69" s="7">
        <f t="shared" si="10"/>
        <v>1227.57</v>
      </c>
      <c r="M69" s="3"/>
      <c r="N69" s="8">
        <f t="shared" si="11"/>
        <v>12.275699999999999</v>
      </c>
      <c r="O69" s="12"/>
      <c r="P69" s="7">
        <v>2316.62</v>
      </c>
      <c r="Q69" s="3"/>
      <c r="R69" s="8">
        <f t="shared" si="12"/>
        <v>1.5153138423286974E-3</v>
      </c>
      <c r="S69" s="3"/>
      <c r="T69" s="7">
        <v>900</v>
      </c>
      <c r="U69" s="3"/>
      <c r="V69" s="8">
        <f t="shared" si="13"/>
        <v>1.1704119850187266E-3</v>
      </c>
      <c r="W69" s="3"/>
      <c r="X69" s="7">
        <f t="shared" si="14"/>
        <v>1416.62</v>
      </c>
      <c r="Y69" s="3"/>
      <c r="Z69" s="8">
        <f t="shared" si="15"/>
        <v>1.5740222222222222</v>
      </c>
    </row>
    <row r="70" spans="1:26" s="69" customFormat="1" ht="15" customHeight="1" outlineLevel="1" collapsed="1" x14ac:dyDescent="0.3">
      <c r="A70" s="25"/>
      <c r="B70" s="14" t="str">
        <f>CONCATENATE("     ","Services                                          ")</f>
        <v xml:space="preserve">     Services                                          </v>
      </c>
      <c r="C70" s="14"/>
      <c r="D70" s="2">
        <f>SUM(OSRRefD22_12x_0)</f>
        <v>6045.74</v>
      </c>
      <c r="E70" s="2"/>
      <c r="F70" s="6">
        <f t="shared" si="8"/>
        <v>2.3388354682669126E-2</v>
      </c>
      <c r="G70" s="2"/>
      <c r="H70" s="2">
        <f>SUM(OSRRefH22_12x_0)</f>
        <v>7224</v>
      </c>
      <c r="I70" s="2"/>
      <c r="J70" s="6">
        <f t="shared" si="9"/>
        <v>6.1934156378600821E-2</v>
      </c>
      <c r="K70" s="2"/>
      <c r="L70" s="2">
        <f t="shared" si="10"/>
        <v>-1178.2600000000002</v>
      </c>
      <c r="M70" s="2"/>
      <c r="N70" s="6">
        <f t="shared" si="11"/>
        <v>-0.16310354374307864</v>
      </c>
      <c r="O70" s="14"/>
      <c r="P70" s="2">
        <f>SUM(OSRRefP22_12x_0)</f>
        <v>43725.64</v>
      </c>
      <c r="Q70" s="2"/>
      <c r="R70" s="6">
        <f t="shared" si="12"/>
        <v>2.8601180839620391E-2</v>
      </c>
      <c r="S70" s="2"/>
      <c r="T70" s="2">
        <f>SUM(OSRRefT22_12x_0)</f>
        <v>61904</v>
      </c>
      <c r="U70" s="2"/>
      <c r="V70" s="6">
        <f t="shared" si="13"/>
        <v>8.0503537245110279E-2</v>
      </c>
      <c r="W70" s="2"/>
      <c r="X70" s="2">
        <f t="shared" si="14"/>
        <v>-18178.36</v>
      </c>
      <c r="Y70" s="2"/>
      <c r="Z70" s="6">
        <f t="shared" si="15"/>
        <v>-0.29365404497286124</v>
      </c>
    </row>
    <row r="71" spans="1:26" s="70" customFormat="1" ht="15" hidden="1" customHeight="1" outlineLevel="2" x14ac:dyDescent="0.3">
      <c r="A71" s="26"/>
      <c r="B71" s="12" t="str">
        <f>CONCATENATE("          ","6282"," - ","JANITORIAL/EXTERMINATOR EXPENS")</f>
        <v xml:space="preserve">          6282 - JANITORIAL/EXTERMINATOR EXPENS</v>
      </c>
      <c r="C71" s="12"/>
      <c r="D71" s="7">
        <v>1459.9</v>
      </c>
      <c r="E71" s="3"/>
      <c r="F71" s="8">
        <f t="shared" si="8"/>
        <v>5.6477220325764363E-3</v>
      </c>
      <c r="G71" s="3"/>
      <c r="H71" s="7">
        <v>670</v>
      </c>
      <c r="I71" s="3"/>
      <c r="J71" s="8">
        <f t="shared" si="9"/>
        <v>5.744170096021948E-3</v>
      </c>
      <c r="K71" s="3"/>
      <c r="L71" s="7">
        <f t="shared" si="10"/>
        <v>789.90000000000009</v>
      </c>
      <c r="M71" s="3"/>
      <c r="N71" s="8">
        <f t="shared" si="11"/>
        <v>1.1789552238805971</v>
      </c>
      <c r="O71" s="12"/>
      <c r="P71" s="7">
        <v>6608.25</v>
      </c>
      <c r="Q71" s="3"/>
      <c r="R71" s="8">
        <f t="shared" si="12"/>
        <v>4.3224925531889632E-3</v>
      </c>
      <c r="S71" s="3"/>
      <c r="T71" s="7">
        <v>6030</v>
      </c>
      <c r="U71" s="3"/>
      <c r="V71" s="8">
        <f t="shared" si="13"/>
        <v>7.8417602996254682E-3</v>
      </c>
      <c r="W71" s="3"/>
      <c r="X71" s="7">
        <f t="shared" si="14"/>
        <v>578.25</v>
      </c>
      <c r="Y71" s="3"/>
      <c r="Z71" s="8">
        <f t="shared" si="15"/>
        <v>9.5895522388059706E-2</v>
      </c>
    </row>
    <row r="72" spans="1:26" s="70" customFormat="1" ht="15" hidden="1" customHeight="1" outlineLevel="2" x14ac:dyDescent="0.3">
      <c r="A72" s="26"/>
      <c r="B72" s="12" t="str">
        <f>CONCATENATE("          ","6284"," - ","TRASH REMOVAL EXPENSE")</f>
        <v xml:space="preserve">          6284 - TRASH REMOVAL EXPENSE</v>
      </c>
      <c r="C72" s="12"/>
      <c r="D72" s="7"/>
      <c r="E72" s="3"/>
      <c r="F72" s="8">
        <f t="shared" si="8"/>
        <v>0</v>
      </c>
      <c r="G72" s="3"/>
      <c r="H72" s="7">
        <v>50</v>
      </c>
      <c r="I72" s="3"/>
      <c r="J72" s="8">
        <f t="shared" si="9"/>
        <v>4.2866941015089161E-4</v>
      </c>
      <c r="K72" s="3"/>
      <c r="L72" s="7">
        <f t="shared" si="10"/>
        <v>-50</v>
      </c>
      <c r="M72" s="3"/>
      <c r="N72" s="8">
        <f t="shared" si="11"/>
        <v>-1</v>
      </c>
      <c r="O72" s="12"/>
      <c r="P72" s="7"/>
      <c r="Q72" s="3"/>
      <c r="R72" s="8">
        <f t="shared" si="12"/>
        <v>0</v>
      </c>
      <c r="S72" s="3"/>
      <c r="T72" s="7">
        <v>450</v>
      </c>
      <c r="U72" s="3"/>
      <c r="V72" s="8">
        <f t="shared" si="13"/>
        <v>5.8520599250936332E-4</v>
      </c>
      <c r="W72" s="3"/>
      <c r="X72" s="7">
        <f t="shared" si="14"/>
        <v>-450</v>
      </c>
      <c r="Y72" s="3"/>
      <c r="Z72" s="8">
        <f t="shared" si="15"/>
        <v>-1</v>
      </c>
    </row>
    <row r="73" spans="1:26" s="70" customFormat="1" ht="15" hidden="1" customHeight="1" outlineLevel="2" x14ac:dyDescent="0.3">
      <c r="A73" s="26"/>
      <c r="B73" s="12" t="str">
        <f>CONCATENATE("          ","6285"," - ","JANITORIAL SERVICES")</f>
        <v xml:space="preserve">          6285 - JANITORIAL SERVICES</v>
      </c>
      <c r="C73" s="12"/>
      <c r="D73" s="7">
        <v>4585.84</v>
      </c>
      <c r="E73" s="3"/>
      <c r="F73" s="8">
        <f t="shared" si="8"/>
        <v>1.7740632650092694E-2</v>
      </c>
      <c r="G73" s="3"/>
      <c r="H73" s="7">
        <v>4904</v>
      </c>
      <c r="I73" s="3"/>
      <c r="J73" s="8">
        <f t="shared" si="9"/>
        <v>4.2043895747599452E-2</v>
      </c>
      <c r="K73" s="3"/>
      <c r="L73" s="7">
        <f t="shared" si="10"/>
        <v>-318.15999999999985</v>
      </c>
      <c r="M73" s="3"/>
      <c r="N73" s="8">
        <f t="shared" si="11"/>
        <v>-6.4877650897226719E-2</v>
      </c>
      <c r="O73" s="12"/>
      <c r="P73" s="7">
        <v>29862.94</v>
      </c>
      <c r="Q73" s="3"/>
      <c r="R73" s="8">
        <f t="shared" si="12"/>
        <v>1.9533512770601717E-2</v>
      </c>
      <c r="S73" s="3"/>
      <c r="T73" s="7">
        <v>42624</v>
      </c>
      <c r="U73" s="3"/>
      <c r="V73" s="8">
        <f t="shared" si="13"/>
        <v>5.5430711610486891E-2</v>
      </c>
      <c r="W73" s="3"/>
      <c r="X73" s="7">
        <f t="shared" si="14"/>
        <v>-12761.060000000001</v>
      </c>
      <c r="Y73" s="3"/>
      <c r="Z73" s="8">
        <f t="shared" si="15"/>
        <v>-0.29938673048048053</v>
      </c>
    </row>
    <row r="74" spans="1:26" s="70" customFormat="1" ht="15" hidden="1" customHeight="1" outlineLevel="2" x14ac:dyDescent="0.3">
      <c r="A74" s="26"/>
      <c r="B74" s="12" t="str">
        <f>CONCATENATE("          ","6286"," - ","LAUNDRY EXPENSE")</f>
        <v xml:space="preserve">          6286 - LAUNDRY EXPENSE</v>
      </c>
      <c r="C74" s="12"/>
      <c r="D74" s="7"/>
      <c r="E74" s="3"/>
      <c r="F74" s="8">
        <f t="shared" si="8"/>
        <v>0</v>
      </c>
      <c r="G74" s="3"/>
      <c r="H74" s="7">
        <v>1600</v>
      </c>
      <c r="I74" s="3"/>
      <c r="J74" s="8">
        <f t="shared" si="9"/>
        <v>1.3717421124828532E-2</v>
      </c>
      <c r="K74" s="3"/>
      <c r="L74" s="7">
        <f t="shared" si="10"/>
        <v>-1600</v>
      </c>
      <c r="M74" s="3"/>
      <c r="N74" s="8">
        <f t="shared" si="11"/>
        <v>-1</v>
      </c>
      <c r="O74" s="12"/>
      <c r="P74" s="7">
        <v>7254.45</v>
      </c>
      <c r="Q74" s="3"/>
      <c r="R74" s="8">
        <f t="shared" si="12"/>
        <v>4.7451755158297087E-3</v>
      </c>
      <c r="S74" s="3"/>
      <c r="T74" s="7">
        <v>12800</v>
      </c>
      <c r="U74" s="3"/>
      <c r="V74" s="8">
        <f t="shared" si="13"/>
        <v>1.6645859342488557E-2</v>
      </c>
      <c r="W74" s="3"/>
      <c r="X74" s="7">
        <f t="shared" si="14"/>
        <v>-5545.55</v>
      </c>
      <c r="Y74" s="3"/>
      <c r="Z74" s="8">
        <f t="shared" si="15"/>
        <v>-0.43324609375000001</v>
      </c>
    </row>
    <row r="75" spans="1:26" s="69" customFormat="1" ht="15" customHeight="1" outlineLevel="1" collapsed="1" x14ac:dyDescent="0.3">
      <c r="A75" s="25"/>
      <c r="B75" s="14" t="str">
        <f>CONCATENATE("     ","Supplies                                          ")</f>
        <v xml:space="preserve">     Supplies                                          </v>
      </c>
      <c r="C75" s="14"/>
      <c r="D75" s="2">
        <f>SUM(OSRRefD22_13x_0)</f>
        <v>4788.29</v>
      </c>
      <c r="E75" s="2"/>
      <c r="F75" s="6">
        <f t="shared" si="8"/>
        <v>1.8523824187523408E-2</v>
      </c>
      <c r="G75" s="2"/>
      <c r="H75" s="2">
        <f>SUM(OSRRefH22_13x_0)</f>
        <v>4446</v>
      </c>
      <c r="I75" s="2"/>
      <c r="J75" s="6">
        <f t="shared" si="9"/>
        <v>3.8117283950617281E-2</v>
      </c>
      <c r="K75" s="2"/>
      <c r="L75" s="2">
        <f t="shared" si="10"/>
        <v>342.28999999999996</v>
      </c>
      <c r="M75" s="2"/>
      <c r="N75" s="6">
        <f t="shared" si="11"/>
        <v>7.6988304093567245E-2</v>
      </c>
      <c r="O75" s="14"/>
      <c r="P75" s="2">
        <f>SUM(OSRRefP22_13x_0)</f>
        <v>74194.789999999994</v>
      </c>
      <c r="Q75" s="2"/>
      <c r="R75" s="6">
        <f t="shared" si="12"/>
        <v>4.8531218894627005E-2</v>
      </c>
      <c r="S75" s="2"/>
      <c r="T75" s="2">
        <f>SUM(OSRRefT22_13x_0)</f>
        <v>50114</v>
      </c>
      <c r="U75" s="2"/>
      <c r="V75" s="6">
        <f t="shared" si="13"/>
        <v>6.5171140241364958E-2</v>
      </c>
      <c r="W75" s="2"/>
      <c r="X75" s="2">
        <f t="shared" si="14"/>
        <v>24080.789999999994</v>
      </c>
      <c r="Y75" s="2"/>
      <c r="Z75" s="6">
        <f t="shared" si="15"/>
        <v>0.48052021391227989</v>
      </c>
    </row>
    <row r="76" spans="1:26" s="70" customFormat="1" ht="15" hidden="1" customHeight="1" outlineLevel="2" x14ac:dyDescent="0.3">
      <c r="A76" s="26"/>
      <c r="B76" s="12" t="str">
        <f>CONCATENATE("          ","6237"," - ","JANITORIAL SUPPLIES")</f>
        <v xml:space="preserve">          6237 - JANITORIAL SUPPLIES</v>
      </c>
      <c r="C76" s="12"/>
      <c r="D76" s="7">
        <v>3410.65</v>
      </c>
      <c r="E76" s="3"/>
      <c r="F76" s="8">
        <f t="shared" si="8"/>
        <v>1.3194330536616769E-2</v>
      </c>
      <c r="G76" s="3"/>
      <c r="H76" s="7">
        <v>2000</v>
      </c>
      <c r="I76" s="3"/>
      <c r="J76" s="8">
        <f t="shared" si="9"/>
        <v>1.7146776406035666E-2</v>
      </c>
      <c r="K76" s="3"/>
      <c r="L76" s="7">
        <f t="shared" si="10"/>
        <v>1410.65</v>
      </c>
      <c r="M76" s="3"/>
      <c r="N76" s="8">
        <f t="shared" si="11"/>
        <v>0.70532500000000009</v>
      </c>
      <c r="O76" s="12"/>
      <c r="P76" s="7">
        <v>18147.8</v>
      </c>
      <c r="Q76" s="3"/>
      <c r="R76" s="8">
        <f t="shared" si="12"/>
        <v>1.1870575471079736E-2</v>
      </c>
      <c r="S76" s="3"/>
      <c r="T76" s="7">
        <v>21000</v>
      </c>
      <c r="U76" s="3"/>
      <c r="V76" s="8">
        <f t="shared" si="13"/>
        <v>2.7309612983770288E-2</v>
      </c>
      <c r="W76" s="3"/>
      <c r="X76" s="7">
        <f t="shared" si="14"/>
        <v>-2852.2000000000007</v>
      </c>
      <c r="Y76" s="3"/>
      <c r="Z76" s="8">
        <f t="shared" si="15"/>
        <v>-0.13581904761904764</v>
      </c>
    </row>
    <row r="77" spans="1:26" s="70" customFormat="1" ht="15" hidden="1" customHeight="1" outlineLevel="2" x14ac:dyDescent="0.3">
      <c r="A77" s="26"/>
      <c r="B77" s="12" t="str">
        <f>CONCATENATE("          ","6239"," - ","KITCHEN SUPPLIES")</f>
        <v xml:space="preserve">          6239 - KITCHEN SUPPLIES</v>
      </c>
      <c r="C77" s="12"/>
      <c r="D77" s="7"/>
      <c r="E77" s="3"/>
      <c r="F77" s="8">
        <f t="shared" si="8"/>
        <v>0</v>
      </c>
      <c r="G77" s="3"/>
      <c r="H77" s="7"/>
      <c r="I77" s="3"/>
      <c r="J77" s="8">
        <f t="shared" si="9"/>
        <v>0</v>
      </c>
      <c r="K77" s="3"/>
      <c r="L77" s="7">
        <f t="shared" si="10"/>
        <v>0</v>
      </c>
      <c r="M77" s="3"/>
      <c r="N77" s="8">
        <f t="shared" si="11"/>
        <v>0</v>
      </c>
      <c r="O77" s="12"/>
      <c r="P77" s="7">
        <v>10019.879999999999</v>
      </c>
      <c r="Q77" s="3"/>
      <c r="R77" s="8">
        <f t="shared" si="12"/>
        <v>6.5540584396545261E-3</v>
      </c>
      <c r="S77" s="3"/>
      <c r="T77" s="7">
        <v>9100</v>
      </c>
      <c r="U77" s="3"/>
      <c r="V77" s="8">
        <f t="shared" si="13"/>
        <v>1.1834165626300458E-2</v>
      </c>
      <c r="W77" s="3"/>
      <c r="X77" s="7">
        <f t="shared" si="14"/>
        <v>919.8799999999992</v>
      </c>
      <c r="Y77" s="3"/>
      <c r="Z77" s="8">
        <f t="shared" si="15"/>
        <v>0.1010857142857142</v>
      </c>
    </row>
    <row r="78" spans="1:26" s="70" customFormat="1" ht="15" hidden="1" customHeight="1" outlineLevel="2" x14ac:dyDescent="0.3">
      <c r="A78" s="26"/>
      <c r="B78" s="12" t="str">
        <f>CONCATENATE("          ","6241"," - ","OFFICE EXPENSE")</f>
        <v xml:space="preserve">          6241 - OFFICE EXPENSE</v>
      </c>
      <c r="C78" s="12"/>
      <c r="D78" s="7">
        <v>137.5</v>
      </c>
      <c r="E78" s="3"/>
      <c r="F78" s="8">
        <f t="shared" si="8"/>
        <v>5.3192806320930192E-4</v>
      </c>
      <c r="G78" s="3"/>
      <c r="H78" s="7">
        <v>125</v>
      </c>
      <c r="I78" s="3"/>
      <c r="J78" s="8">
        <f t="shared" si="9"/>
        <v>1.0716735253772291E-3</v>
      </c>
      <c r="K78" s="3"/>
      <c r="L78" s="7">
        <f t="shared" si="10"/>
        <v>12.5</v>
      </c>
      <c r="M78" s="3"/>
      <c r="N78" s="8">
        <f t="shared" si="11"/>
        <v>0.1</v>
      </c>
      <c r="O78" s="12"/>
      <c r="P78" s="7">
        <v>6322.14</v>
      </c>
      <c r="Q78" s="3"/>
      <c r="R78" s="8">
        <f t="shared" si="12"/>
        <v>4.1353464336576357E-3</v>
      </c>
      <c r="S78" s="3"/>
      <c r="T78" s="7">
        <v>1125</v>
      </c>
      <c r="U78" s="3"/>
      <c r="V78" s="8">
        <f t="shared" si="13"/>
        <v>1.4630149812734083E-3</v>
      </c>
      <c r="W78" s="3"/>
      <c r="X78" s="7">
        <f t="shared" si="14"/>
        <v>5197.1400000000003</v>
      </c>
      <c r="Y78" s="3"/>
      <c r="Z78" s="8">
        <f t="shared" si="15"/>
        <v>4.6196800000000007</v>
      </c>
    </row>
    <row r="79" spans="1:26" s="70" customFormat="1" ht="15" hidden="1" customHeight="1" outlineLevel="2" x14ac:dyDescent="0.3">
      <c r="A79" s="26"/>
      <c r="B79" s="12" t="str">
        <f>CONCATENATE("          ","6243"," - ","PAPER SUPPLIES")</f>
        <v xml:space="preserve">          6243 - PAPER SUPPLIES</v>
      </c>
      <c r="C79" s="12"/>
      <c r="D79" s="7">
        <v>1240.1400000000001</v>
      </c>
      <c r="E79" s="3"/>
      <c r="F79" s="8">
        <f t="shared" si="8"/>
        <v>4.7975655876973363E-3</v>
      </c>
      <c r="G79" s="3"/>
      <c r="H79" s="7">
        <v>2000</v>
      </c>
      <c r="I79" s="3"/>
      <c r="J79" s="8">
        <f t="shared" si="9"/>
        <v>1.7146776406035666E-2</v>
      </c>
      <c r="K79" s="3"/>
      <c r="L79" s="7">
        <f t="shared" si="10"/>
        <v>-759.8599999999999</v>
      </c>
      <c r="M79" s="3"/>
      <c r="N79" s="8">
        <f t="shared" si="11"/>
        <v>-0.37992999999999993</v>
      </c>
      <c r="O79" s="12"/>
      <c r="P79" s="7">
        <v>37181.93</v>
      </c>
      <c r="Q79" s="3"/>
      <c r="R79" s="8">
        <f t="shared" si="12"/>
        <v>2.4320904254256922E-2</v>
      </c>
      <c r="S79" s="3"/>
      <c r="T79" s="7">
        <v>16000</v>
      </c>
      <c r="U79" s="3"/>
      <c r="V79" s="8">
        <f t="shared" si="13"/>
        <v>2.0807324178110695E-2</v>
      </c>
      <c r="W79" s="3"/>
      <c r="X79" s="7">
        <f t="shared" si="14"/>
        <v>21181.93</v>
      </c>
      <c r="Y79" s="3"/>
      <c r="Z79" s="8">
        <f t="shared" si="15"/>
        <v>1.3238706250000001</v>
      </c>
    </row>
    <row r="80" spans="1:26" s="70" customFormat="1" ht="15" hidden="1" customHeight="1" outlineLevel="2" x14ac:dyDescent="0.3">
      <c r="A80" s="26"/>
      <c r="B80" s="12" t="str">
        <f>CONCATENATE("          ","6244"," - ","SAFETY SUPPLY EXPENSE")</f>
        <v xml:space="preserve">          6244 - SAFETY SUPPLY EXPENSE</v>
      </c>
      <c r="C80" s="12"/>
      <c r="D80" s="7"/>
      <c r="E80" s="3"/>
      <c r="F80" s="8">
        <f t="shared" si="8"/>
        <v>0</v>
      </c>
      <c r="G80" s="3"/>
      <c r="H80" s="7">
        <v>125</v>
      </c>
      <c r="I80" s="3"/>
      <c r="J80" s="8">
        <f t="shared" si="9"/>
        <v>1.0716735253772291E-3</v>
      </c>
      <c r="K80" s="3"/>
      <c r="L80" s="7">
        <f t="shared" si="10"/>
        <v>-125</v>
      </c>
      <c r="M80" s="3"/>
      <c r="N80" s="8">
        <f t="shared" si="11"/>
        <v>-1</v>
      </c>
      <c r="O80" s="12"/>
      <c r="P80" s="7"/>
      <c r="Q80" s="3"/>
      <c r="R80" s="8">
        <f t="shared" si="12"/>
        <v>0</v>
      </c>
      <c r="S80" s="3"/>
      <c r="T80" s="7">
        <v>1125</v>
      </c>
      <c r="U80" s="3"/>
      <c r="V80" s="8">
        <f t="shared" si="13"/>
        <v>1.4630149812734083E-3</v>
      </c>
      <c r="W80" s="3"/>
      <c r="X80" s="7">
        <f t="shared" si="14"/>
        <v>-1125</v>
      </c>
      <c r="Y80" s="3"/>
      <c r="Z80" s="8">
        <f t="shared" si="15"/>
        <v>-1</v>
      </c>
    </row>
    <row r="81" spans="1:26" s="70" customFormat="1" ht="15" hidden="1" customHeight="1" outlineLevel="2" x14ac:dyDescent="0.3">
      <c r="A81" s="26"/>
      <c r="B81" s="12" t="str">
        <f>CONCATENATE("          ","6247"," - ","STORE SUPPLIES")</f>
        <v xml:space="preserve">          6247 - STORE SUPPLIES</v>
      </c>
      <c r="C81" s="12"/>
      <c r="D81" s="7"/>
      <c r="E81" s="3"/>
      <c r="F81" s="8">
        <f t="shared" si="8"/>
        <v>0</v>
      </c>
      <c r="G81" s="3"/>
      <c r="H81" s="7"/>
      <c r="I81" s="3"/>
      <c r="J81" s="8">
        <f t="shared" si="9"/>
        <v>0</v>
      </c>
      <c r="K81" s="3"/>
      <c r="L81" s="7">
        <f t="shared" si="10"/>
        <v>0</v>
      </c>
      <c r="M81" s="3"/>
      <c r="N81" s="8">
        <f t="shared" si="11"/>
        <v>0</v>
      </c>
      <c r="O81" s="12"/>
      <c r="P81" s="7">
        <v>652.62</v>
      </c>
      <c r="Q81" s="3"/>
      <c r="R81" s="8">
        <f t="shared" si="12"/>
        <v>4.2688231983689797E-4</v>
      </c>
      <c r="S81" s="3"/>
      <c r="T81" s="7"/>
      <c r="U81" s="3"/>
      <c r="V81" s="8">
        <f t="shared" si="13"/>
        <v>0</v>
      </c>
      <c r="W81" s="3"/>
      <c r="X81" s="7">
        <f t="shared" si="14"/>
        <v>652.62</v>
      </c>
      <c r="Y81" s="3"/>
      <c r="Z81" s="8">
        <f t="shared" si="15"/>
        <v>0</v>
      </c>
    </row>
    <row r="82" spans="1:26" s="70" customFormat="1" ht="15" hidden="1" customHeight="1" outlineLevel="2" x14ac:dyDescent="0.3">
      <c r="A82" s="26"/>
      <c r="B82" s="12" t="str">
        <f>CONCATENATE("          ","6248"," - ","UNIFORMS")</f>
        <v xml:space="preserve">          6248 - UNIFORMS</v>
      </c>
      <c r="C82" s="12"/>
      <c r="D82" s="7"/>
      <c r="E82" s="3"/>
      <c r="F82" s="8">
        <f t="shared" si="8"/>
        <v>0</v>
      </c>
      <c r="G82" s="3"/>
      <c r="H82" s="7">
        <v>196</v>
      </c>
      <c r="I82" s="3"/>
      <c r="J82" s="8">
        <f t="shared" si="9"/>
        <v>1.6803840877914953E-3</v>
      </c>
      <c r="K82" s="3"/>
      <c r="L82" s="7">
        <f t="shared" si="10"/>
        <v>-196</v>
      </c>
      <c r="M82" s="3"/>
      <c r="N82" s="8">
        <f t="shared" si="11"/>
        <v>-1</v>
      </c>
      <c r="O82" s="12"/>
      <c r="P82" s="7">
        <v>1870.42</v>
      </c>
      <c r="Q82" s="3"/>
      <c r="R82" s="8">
        <f t="shared" si="12"/>
        <v>1.2234519761412932E-3</v>
      </c>
      <c r="S82" s="3"/>
      <c r="T82" s="7">
        <v>1764</v>
      </c>
      <c r="U82" s="3"/>
      <c r="V82" s="8">
        <f t="shared" si="13"/>
        <v>2.2940074906367043E-3</v>
      </c>
      <c r="W82" s="3"/>
      <c r="X82" s="7">
        <f t="shared" si="14"/>
        <v>106.42000000000007</v>
      </c>
      <c r="Y82" s="3"/>
      <c r="Z82" s="8">
        <f t="shared" si="15"/>
        <v>6.0328798185941085E-2</v>
      </c>
    </row>
    <row r="83" spans="1:26" s="69" customFormat="1" ht="15" customHeight="1" outlineLevel="1" collapsed="1" x14ac:dyDescent="0.3">
      <c r="A83" s="25"/>
      <c r="B83" s="14" t="str">
        <f>CONCATENATE("     ","Telephone/Data Lines                              ")</f>
        <v xml:space="preserve">     Telephone/Data Lines                              </v>
      </c>
      <c r="C83" s="14"/>
      <c r="D83" s="2">
        <f>SUM(OSRRefD22_14x_0)</f>
        <v>186</v>
      </c>
      <c r="E83" s="2"/>
      <c r="F83" s="6">
        <f t="shared" si="8"/>
        <v>7.1955359823221935E-4</v>
      </c>
      <c r="G83" s="2"/>
      <c r="H83" s="2">
        <f>SUM(OSRRefH22_14x_0)</f>
        <v>125</v>
      </c>
      <c r="I83" s="2"/>
      <c r="J83" s="6">
        <f t="shared" si="9"/>
        <v>1.0716735253772291E-3</v>
      </c>
      <c r="K83" s="2"/>
      <c r="L83" s="2">
        <f t="shared" si="10"/>
        <v>61</v>
      </c>
      <c r="M83" s="2"/>
      <c r="N83" s="6">
        <f t="shared" si="11"/>
        <v>0.48799999999999999</v>
      </c>
      <c r="O83" s="14"/>
      <c r="P83" s="2">
        <f>SUM(OSRRefP22_14x_0)</f>
        <v>1364.85</v>
      </c>
      <c r="Q83" s="2"/>
      <c r="R83" s="6">
        <f t="shared" si="12"/>
        <v>8.9275586747171421E-4</v>
      </c>
      <c r="S83" s="2"/>
      <c r="T83" s="2">
        <f>SUM(OSRRefT22_14x_0)</f>
        <v>1125</v>
      </c>
      <c r="U83" s="2"/>
      <c r="V83" s="6">
        <f t="shared" si="13"/>
        <v>1.4630149812734083E-3</v>
      </c>
      <c r="W83" s="2"/>
      <c r="X83" s="2">
        <f t="shared" si="14"/>
        <v>239.84999999999991</v>
      </c>
      <c r="Y83" s="2"/>
      <c r="Z83" s="6">
        <f t="shared" si="15"/>
        <v>0.21319999999999992</v>
      </c>
    </row>
    <row r="84" spans="1:26" s="70" customFormat="1" ht="15" hidden="1" customHeight="1" outlineLevel="2" x14ac:dyDescent="0.3">
      <c r="A84" s="26"/>
      <c r="B84" s="12" t="str">
        <f>CONCATENATE("          ","6309"," - ","TELEPHONE")</f>
        <v xml:space="preserve">          6309 - TELEPHONE</v>
      </c>
      <c r="C84" s="12"/>
      <c r="D84" s="7">
        <v>186</v>
      </c>
      <c r="E84" s="3"/>
      <c r="F84" s="8">
        <f t="shared" si="8"/>
        <v>7.1955359823221935E-4</v>
      </c>
      <c r="G84" s="3"/>
      <c r="H84" s="7">
        <v>125</v>
      </c>
      <c r="I84" s="3"/>
      <c r="J84" s="8">
        <f t="shared" si="9"/>
        <v>1.0716735253772291E-3</v>
      </c>
      <c r="K84" s="3"/>
      <c r="L84" s="7">
        <f t="shared" si="10"/>
        <v>61</v>
      </c>
      <c r="M84" s="3"/>
      <c r="N84" s="8">
        <f t="shared" si="11"/>
        <v>0.48799999999999999</v>
      </c>
      <c r="O84" s="12"/>
      <c r="P84" s="7">
        <v>1364.85</v>
      </c>
      <c r="Q84" s="3"/>
      <c r="R84" s="8">
        <f t="shared" si="12"/>
        <v>8.9275586747171421E-4</v>
      </c>
      <c r="S84" s="3"/>
      <c r="T84" s="7">
        <v>1125</v>
      </c>
      <c r="U84" s="3"/>
      <c r="V84" s="8">
        <f t="shared" si="13"/>
        <v>1.4630149812734083E-3</v>
      </c>
      <c r="W84" s="3"/>
      <c r="X84" s="7">
        <f t="shared" si="14"/>
        <v>239.84999999999991</v>
      </c>
      <c r="Y84" s="3"/>
      <c r="Z84" s="8">
        <f t="shared" si="15"/>
        <v>0.21319999999999992</v>
      </c>
    </row>
    <row r="85" spans="1:26" s="69" customFormat="1" ht="15" customHeight="1" outlineLevel="1" collapsed="1" x14ac:dyDescent="0.3">
      <c r="A85" s="25"/>
      <c r="B85" s="14" t="str">
        <f>CONCATENATE("     ","Training                                          ")</f>
        <v xml:space="preserve">     Training                                          </v>
      </c>
      <c r="C85" s="14"/>
      <c r="D85" s="2">
        <f>SUM(OSRRefD22_15x_0)</f>
        <v>0</v>
      </c>
      <c r="E85" s="2"/>
      <c r="F85" s="6">
        <f t="shared" si="8"/>
        <v>0</v>
      </c>
      <c r="G85" s="2"/>
      <c r="H85" s="2">
        <f>SUM(OSRRefH22_15x_0)</f>
        <v>165</v>
      </c>
      <c r="I85" s="2"/>
      <c r="J85" s="6">
        <f t="shared" si="9"/>
        <v>1.4146090534979425E-3</v>
      </c>
      <c r="K85" s="2"/>
      <c r="L85" s="2">
        <f t="shared" si="10"/>
        <v>-165</v>
      </c>
      <c r="M85" s="2"/>
      <c r="N85" s="6">
        <f t="shared" si="11"/>
        <v>-1</v>
      </c>
      <c r="O85" s="14"/>
      <c r="P85" s="2">
        <f>SUM(OSRRefP22_15x_0)</f>
        <v>0</v>
      </c>
      <c r="Q85" s="2"/>
      <c r="R85" s="6">
        <f t="shared" si="12"/>
        <v>0</v>
      </c>
      <c r="S85" s="2"/>
      <c r="T85" s="2">
        <f>SUM(OSRRefT22_15x_0)</f>
        <v>1505</v>
      </c>
      <c r="U85" s="2"/>
      <c r="V85" s="6">
        <f t="shared" si="13"/>
        <v>1.9571889305035374E-3</v>
      </c>
      <c r="W85" s="2"/>
      <c r="X85" s="2">
        <f t="shared" si="14"/>
        <v>-1505</v>
      </c>
      <c r="Y85" s="2"/>
      <c r="Z85" s="6">
        <f t="shared" si="15"/>
        <v>-1</v>
      </c>
    </row>
    <row r="86" spans="1:26" s="70" customFormat="1" ht="15" hidden="1" customHeight="1" outlineLevel="2" x14ac:dyDescent="0.3">
      <c r="A86" s="26"/>
      <c r="B86" s="12" t="str">
        <f>CONCATENATE("          ","6376"," - ","TRAINING")</f>
        <v xml:space="preserve">          6376 - TRAINING</v>
      </c>
      <c r="C86" s="12"/>
      <c r="D86" s="7"/>
      <c r="E86" s="3"/>
      <c r="F86" s="8">
        <f t="shared" si="8"/>
        <v>0</v>
      </c>
      <c r="G86" s="3"/>
      <c r="H86" s="7">
        <v>165</v>
      </c>
      <c r="I86" s="3"/>
      <c r="J86" s="8">
        <f t="shared" si="9"/>
        <v>1.4146090534979425E-3</v>
      </c>
      <c r="K86" s="3"/>
      <c r="L86" s="7">
        <f t="shared" si="10"/>
        <v>-165</v>
      </c>
      <c r="M86" s="3"/>
      <c r="N86" s="8">
        <f t="shared" si="11"/>
        <v>-1</v>
      </c>
      <c r="O86" s="12"/>
      <c r="P86" s="7"/>
      <c r="Q86" s="3"/>
      <c r="R86" s="8">
        <f t="shared" si="12"/>
        <v>0</v>
      </c>
      <c r="S86" s="3"/>
      <c r="T86" s="7">
        <v>1505</v>
      </c>
      <c r="U86" s="3"/>
      <c r="V86" s="8">
        <f t="shared" si="13"/>
        <v>1.9571889305035374E-3</v>
      </c>
      <c r="W86" s="3"/>
      <c r="X86" s="7">
        <f t="shared" si="14"/>
        <v>-1505</v>
      </c>
      <c r="Y86" s="3"/>
      <c r="Z86" s="8">
        <f t="shared" si="15"/>
        <v>-1</v>
      </c>
    </row>
    <row r="87" spans="1:26" s="69" customFormat="1" ht="15" customHeight="1" outlineLevel="1" collapsed="1" x14ac:dyDescent="0.3">
      <c r="A87" s="25"/>
      <c r="B87" s="14" t="str">
        <f>CONCATENATE("     ","Travel                                            ")</f>
        <v xml:space="preserve">     Travel                                            </v>
      </c>
      <c r="C87" s="14"/>
      <c r="D87" s="2">
        <f>SUM(OSRRefD22_16x_0)</f>
        <v>135.02000000000001</v>
      </c>
      <c r="E87" s="2"/>
      <c r="F87" s="6">
        <f t="shared" si="8"/>
        <v>5.2233401523287242E-4</v>
      </c>
      <c r="G87" s="2"/>
      <c r="H87" s="2">
        <f>SUM(OSRRefH22_16x_0)</f>
        <v>0</v>
      </c>
      <c r="I87" s="2"/>
      <c r="J87" s="6">
        <f t="shared" si="9"/>
        <v>0</v>
      </c>
      <c r="K87" s="2"/>
      <c r="L87" s="2">
        <f t="shared" si="10"/>
        <v>135.02000000000001</v>
      </c>
      <c r="M87" s="2"/>
      <c r="N87" s="6">
        <f t="shared" si="11"/>
        <v>0</v>
      </c>
      <c r="O87" s="14"/>
      <c r="P87" s="2">
        <f>SUM(OSRRefP22_16x_0)</f>
        <v>239.04</v>
      </c>
      <c r="Q87" s="2"/>
      <c r="R87" s="6">
        <f t="shared" si="12"/>
        <v>1.5635737448103351E-4</v>
      </c>
      <c r="S87" s="2"/>
      <c r="T87" s="2">
        <f>SUM(OSRRefT22_16x_0)</f>
        <v>0</v>
      </c>
      <c r="U87" s="2"/>
      <c r="V87" s="6">
        <f t="shared" si="13"/>
        <v>0</v>
      </c>
      <c r="W87" s="2"/>
      <c r="X87" s="2">
        <f t="shared" si="14"/>
        <v>239.04</v>
      </c>
      <c r="Y87" s="2"/>
      <c r="Z87" s="6">
        <f t="shared" si="15"/>
        <v>0</v>
      </c>
    </row>
    <row r="88" spans="1:26" s="70" customFormat="1" ht="15" hidden="1" customHeight="1" outlineLevel="2" x14ac:dyDescent="0.3">
      <c r="A88" s="26"/>
      <c r="B88" s="12" t="str">
        <f>CONCATENATE("          ","6298"," - ","VEHICLE MILEAGE")</f>
        <v xml:space="preserve">          6298 - VEHICLE MILEAGE</v>
      </c>
      <c r="C88" s="12"/>
      <c r="D88" s="7">
        <v>135.02000000000001</v>
      </c>
      <c r="E88" s="3"/>
      <c r="F88" s="8">
        <f t="shared" si="8"/>
        <v>5.2233401523287242E-4</v>
      </c>
      <c r="G88" s="3"/>
      <c r="H88" s="7"/>
      <c r="I88" s="3"/>
      <c r="J88" s="8">
        <f t="shared" si="9"/>
        <v>0</v>
      </c>
      <c r="K88" s="3"/>
      <c r="L88" s="7">
        <f t="shared" si="10"/>
        <v>135.02000000000001</v>
      </c>
      <c r="M88" s="3"/>
      <c r="N88" s="8">
        <f t="shared" si="11"/>
        <v>0</v>
      </c>
      <c r="O88" s="12"/>
      <c r="P88" s="7">
        <v>239.04</v>
      </c>
      <c r="Q88" s="3"/>
      <c r="R88" s="8">
        <f t="shared" si="12"/>
        <v>1.5635737448103351E-4</v>
      </c>
      <c r="S88" s="3"/>
      <c r="T88" s="7"/>
      <c r="U88" s="3"/>
      <c r="V88" s="8">
        <f t="shared" si="13"/>
        <v>0</v>
      </c>
      <c r="W88" s="3"/>
      <c r="X88" s="7">
        <f t="shared" si="14"/>
        <v>239.04</v>
      </c>
      <c r="Y88" s="3"/>
      <c r="Z88" s="8">
        <f t="shared" si="15"/>
        <v>0</v>
      </c>
    </row>
    <row r="89" spans="1:26" s="65" customFormat="1" ht="15" customHeight="1" x14ac:dyDescent="0.3">
      <c r="A89" s="35"/>
      <c r="B89" s="35"/>
      <c r="C89" s="35"/>
      <c r="D89" s="2"/>
      <c r="E89" s="2"/>
      <c r="F89" s="6"/>
      <c r="G89" s="2"/>
      <c r="H89" s="2"/>
      <c r="I89" s="2"/>
      <c r="J89" s="6"/>
      <c r="K89" s="2"/>
      <c r="L89" s="2"/>
      <c r="M89" s="2"/>
      <c r="N89" s="6"/>
      <c r="O89" s="35"/>
      <c r="P89" s="2"/>
      <c r="Q89" s="2"/>
      <c r="R89" s="6"/>
      <c r="S89" s="2"/>
      <c r="T89" s="2"/>
      <c r="U89" s="2"/>
      <c r="V89" s="6"/>
      <c r="W89" s="2"/>
      <c r="X89" s="2"/>
      <c r="Y89" s="2"/>
      <c r="Z89" s="6"/>
    </row>
    <row r="90" spans="1:26" s="63" customFormat="1" ht="15" customHeight="1" x14ac:dyDescent="0.3">
      <c r="A90" s="11"/>
      <c r="B90" s="28" t="s">
        <v>291</v>
      </c>
      <c r="C90" s="11"/>
      <c r="D90" s="5">
        <f>SUM(0)</f>
        <v>0</v>
      </c>
      <c r="E90" s="5"/>
      <c r="F90" s="13">
        <f>IF(D$12=0,0,D90/D$12)</f>
        <v>0</v>
      </c>
      <c r="G90" s="5"/>
      <c r="H90" s="5">
        <f>SUM(0)</f>
        <v>0</v>
      </c>
      <c r="I90" s="5"/>
      <c r="J90" s="13">
        <f>IF(H$12=0,0,H90/H$12)</f>
        <v>0</v>
      </c>
      <c r="K90" s="5"/>
      <c r="L90" s="5">
        <f>+D90-H90</f>
        <v>0</v>
      </c>
      <c r="M90" s="5"/>
      <c r="N90" s="13">
        <f>IF(H90=0,0,L90/H90)</f>
        <v>0</v>
      </c>
      <c r="O90" s="11"/>
      <c r="P90" s="5">
        <f>SUM(0)</f>
        <v>0</v>
      </c>
      <c r="Q90" s="5"/>
      <c r="R90" s="13">
        <f>IF(P$12=0,0,P90/P$12)</f>
        <v>0</v>
      </c>
      <c r="S90" s="5"/>
      <c r="T90" s="5">
        <f>SUM(0)</f>
        <v>0</v>
      </c>
      <c r="U90" s="5"/>
      <c r="V90" s="13">
        <f>IF(T$12=0,0,T90/T$12)</f>
        <v>0</v>
      </c>
      <c r="W90" s="5"/>
      <c r="X90" s="5">
        <f>+P90-T90</f>
        <v>0</v>
      </c>
      <c r="Y90" s="5"/>
      <c r="Z90" s="13">
        <f>IF(T90=0,0,X90/T90)</f>
        <v>0</v>
      </c>
    </row>
    <row r="91" spans="1:26" ht="15" customHeight="1" x14ac:dyDescent="0.3">
      <c r="A91" s="10"/>
      <c r="B91" s="11"/>
      <c r="C91" s="11"/>
      <c r="D91" s="4"/>
      <c r="E91" s="4"/>
      <c r="F91" s="9"/>
      <c r="G91" s="4"/>
      <c r="H91" s="4"/>
      <c r="I91" s="4"/>
      <c r="J91" s="9"/>
      <c r="K91" s="4"/>
      <c r="L91" s="4"/>
      <c r="M91" s="4"/>
      <c r="N91" s="9"/>
      <c r="O91" s="11"/>
      <c r="P91" s="4"/>
      <c r="Q91" s="4"/>
      <c r="R91" s="9"/>
      <c r="S91" s="4"/>
      <c r="T91" s="4"/>
      <c r="U91" s="4"/>
      <c r="V91" s="9"/>
      <c r="W91" s="4"/>
      <c r="X91" s="4"/>
      <c r="Y91" s="4"/>
      <c r="Z91" s="9"/>
    </row>
    <row r="92" spans="1:26" s="63" customFormat="1" ht="15" customHeight="1" x14ac:dyDescent="0.3">
      <c r="A92" s="11"/>
      <c r="B92" s="27" t="s">
        <v>292</v>
      </c>
      <c r="C92" s="27"/>
      <c r="D92" s="21">
        <f>+D23-D25+D90</f>
        <v>61265.239999999932</v>
      </c>
      <c r="E92" s="15"/>
      <c r="F92" s="23">
        <f>IF(D$12=0,0,D92/D$12)</f>
        <v>0.23700873058365832</v>
      </c>
      <c r="G92" s="15"/>
      <c r="H92" s="21">
        <f>+H23-H25+H90</f>
        <v>-40184.502996923111</v>
      </c>
      <c r="I92" s="15"/>
      <c r="J92" s="23">
        <f>IF(H$12=0,0,H92/H$12)</f>
        <v>-0.34451734393795536</v>
      </c>
      <c r="K92" s="16"/>
      <c r="L92" s="21">
        <f>+D92-H92</f>
        <v>101449.74299692304</v>
      </c>
      <c r="M92" s="16"/>
      <c r="N92" s="23">
        <f>IF(H92=0,0,L92/H92)</f>
        <v>-2.5245986743867643</v>
      </c>
      <c r="O92" s="28"/>
      <c r="P92" s="21">
        <f>+P23-P25+P90</f>
        <v>138754.08000000007</v>
      </c>
      <c r="Q92" s="15"/>
      <c r="R92" s="23">
        <f>IF(P$12=0,0,P92/P$12)</f>
        <v>9.0759804414873219E-2</v>
      </c>
      <c r="S92" s="15"/>
      <c r="T92" s="21">
        <f>+T23-T25+T90</f>
        <v>-517103.84172000014</v>
      </c>
      <c r="U92" s="15"/>
      <c r="V92" s="23">
        <f>IF(T$12=0,0,T92/T$12)</f>
        <v>-0.6724717042759053</v>
      </c>
      <c r="W92" s="16"/>
      <c r="X92" s="21">
        <f>+P92-T92</f>
        <v>655857.92172000022</v>
      </c>
      <c r="Y92" s="16"/>
      <c r="Z92" s="23">
        <f>IF(T92=0,0,X92/T92)</f>
        <v>-1.2683292383566012</v>
      </c>
    </row>
    <row r="93" spans="1:26" ht="15" customHeight="1" x14ac:dyDescent="0.3">
      <c r="A93" s="10"/>
      <c r="B93" s="11"/>
      <c r="C93" s="10"/>
      <c r="D93" s="4"/>
      <c r="E93" s="4"/>
      <c r="F93" s="9"/>
      <c r="G93" s="4"/>
      <c r="H93" s="4"/>
      <c r="I93" s="4"/>
      <c r="J93" s="9"/>
      <c r="K93" s="4"/>
      <c r="L93" s="4"/>
      <c r="M93" s="4"/>
      <c r="N93" s="9"/>
      <c r="P93" s="4"/>
      <c r="Q93" s="4"/>
      <c r="R93" s="9"/>
      <c r="S93" s="4"/>
      <c r="T93" s="4"/>
      <c r="U93" s="4"/>
      <c r="V93" s="9"/>
      <c r="W93" s="4"/>
      <c r="X93" s="4"/>
      <c r="Y93" s="4"/>
      <c r="Z93" s="9"/>
    </row>
    <row r="94" spans="1:26" s="63" customFormat="1" ht="15" customHeight="1" x14ac:dyDescent="0.3">
      <c r="A94" s="49"/>
      <c r="B94" s="11" t="s">
        <v>293</v>
      </c>
      <c r="C94" s="11"/>
      <c r="D94" s="5">
        <v>23895.439999999999</v>
      </c>
      <c r="E94" s="5"/>
      <c r="F94" s="13">
        <f>IF(D$12=0,0,D94/D$12)</f>
        <v>9.2441128136247858E-2</v>
      </c>
      <c r="G94" s="5"/>
      <c r="H94" s="5">
        <v>13901</v>
      </c>
      <c r="I94" s="5"/>
      <c r="J94" s="13">
        <f>IF(H$12=0,0,H94/H$12)</f>
        <v>0.11917866941015089</v>
      </c>
      <c r="K94" s="5"/>
      <c r="L94" s="5">
        <f>+D94-H94</f>
        <v>9994.4399999999987</v>
      </c>
      <c r="M94" s="5"/>
      <c r="N94" s="13">
        <f>IF(H94=0,0,L94/H94)</f>
        <v>0.71897273577440457</v>
      </c>
      <c r="O94" s="11"/>
      <c r="P94" s="5">
        <v>182459.18</v>
      </c>
      <c r="Q94" s="5"/>
      <c r="R94" s="13">
        <f>IF(P$12=0,0,P94/P$12)</f>
        <v>0.11934754992788779</v>
      </c>
      <c r="S94" s="5"/>
      <c r="T94" s="5">
        <v>93645</v>
      </c>
      <c r="U94" s="5"/>
      <c r="V94" s="13">
        <f>IF(T$12=0,0,T94/T$12)</f>
        <v>0.1217813670411985</v>
      </c>
      <c r="W94" s="5"/>
      <c r="X94" s="5">
        <f>+P94-T94</f>
        <v>88814.18</v>
      </c>
      <c r="Y94" s="5"/>
      <c r="Z94" s="13">
        <f>IF(T94=0,0,X94/T94)</f>
        <v>0.94841347642693141</v>
      </c>
    </row>
    <row r="95" spans="1:26" ht="15" customHeight="1" x14ac:dyDescent="0.3">
      <c r="A95" s="10"/>
      <c r="B95" s="11"/>
      <c r="C95" s="11"/>
      <c r="D95" s="4"/>
      <c r="E95" s="4"/>
      <c r="F95" s="9"/>
      <c r="G95" s="4"/>
      <c r="H95" s="4"/>
      <c r="I95" s="4"/>
      <c r="J95" s="9"/>
      <c r="K95" s="4"/>
      <c r="L95" s="4"/>
      <c r="M95" s="4"/>
      <c r="N95" s="9"/>
      <c r="O95" s="11"/>
      <c r="P95" s="4"/>
      <c r="Q95" s="4"/>
      <c r="R95" s="9"/>
      <c r="S95" s="4"/>
      <c r="T95" s="4"/>
      <c r="U95" s="4"/>
      <c r="V95" s="9"/>
      <c r="W95" s="4"/>
      <c r="X95" s="4"/>
      <c r="Y95" s="4"/>
      <c r="Z95" s="9"/>
    </row>
    <row r="96" spans="1:26" s="63" customFormat="1" ht="15" customHeight="1" x14ac:dyDescent="0.3">
      <c r="A96" s="11"/>
      <c r="B96" s="27" t="s">
        <v>294</v>
      </c>
      <c r="C96" s="27"/>
      <c r="D96" s="34">
        <f>+D92-D94</f>
        <v>37369.79999999993</v>
      </c>
      <c r="E96" s="15"/>
      <c r="F96" s="29">
        <f>IF(D$12=0,0,D96/D$12)</f>
        <v>0.14456760244741043</v>
      </c>
      <c r="G96" s="15"/>
      <c r="H96" s="34">
        <f>+H92-H94</f>
        <v>-54085.502996923111</v>
      </c>
      <c r="I96" s="15"/>
      <c r="J96" s="29">
        <f>IF(H$12=0,0,H96/H$12)</f>
        <v>-0.46369601334810623</v>
      </c>
      <c r="K96" s="16"/>
      <c r="L96" s="34">
        <f>D96-H96</f>
        <v>91455.302996923041</v>
      </c>
      <c r="M96" s="16"/>
      <c r="N96" s="29">
        <f>IF(H96=0,0,L96/H96)</f>
        <v>-1.6909393077499135</v>
      </c>
      <c r="O96" s="28"/>
      <c r="P96" s="34">
        <f>+P92-P94</f>
        <v>-43705.099999999919</v>
      </c>
      <c r="Q96" s="15"/>
      <c r="R96" s="29">
        <f>IF(P$12=0,0,P96/P$12)</f>
        <v>-2.858774551301458E-2</v>
      </c>
      <c r="S96" s="15"/>
      <c r="T96" s="34">
        <f>+T92-T94</f>
        <v>-610748.84172000014</v>
      </c>
      <c r="U96" s="15"/>
      <c r="V96" s="29">
        <f>IF(T$12=0,0,T96/T$12)</f>
        <v>-0.79425307131710376</v>
      </c>
      <c r="W96" s="16"/>
      <c r="X96" s="34">
        <f>P96-T96</f>
        <v>567043.74172000028</v>
      </c>
      <c r="Y96" s="16"/>
      <c r="Z96" s="29">
        <f>IF(T96=0,0,X96/T96)</f>
        <v>-0.92844014263389041</v>
      </c>
    </row>
    <row r="97" spans="1:26" ht="15" customHeight="1" x14ac:dyDescent="0.3">
      <c r="A97" s="10"/>
      <c r="B97" s="10"/>
      <c r="C97" s="10"/>
      <c r="D97" s="4"/>
      <c r="E97" s="4"/>
      <c r="F97" s="9"/>
      <c r="G97" s="4"/>
      <c r="H97" s="4"/>
      <c r="I97" s="4"/>
      <c r="J97" s="9"/>
      <c r="K97" s="4"/>
      <c r="L97" s="4"/>
      <c r="M97" s="4"/>
      <c r="N97" s="9"/>
      <c r="P97" s="4"/>
      <c r="Q97" s="4"/>
      <c r="R97" s="9"/>
      <c r="S97" s="4"/>
      <c r="T97" s="4"/>
      <c r="U97" s="4"/>
      <c r="V97" s="9"/>
      <c r="W97" s="4"/>
      <c r="X97" s="4"/>
      <c r="Y97" s="4"/>
      <c r="Z97" s="9"/>
    </row>
    <row r="98" spans="1:26" ht="15" customHeight="1" x14ac:dyDescent="0.3">
      <c r="A98" s="10"/>
      <c r="B98" s="10"/>
      <c r="C98" s="10"/>
      <c r="D98" s="4"/>
      <c r="E98" s="4"/>
      <c r="F98" s="9"/>
      <c r="G98" s="4"/>
      <c r="H98" s="4"/>
      <c r="I98" s="4"/>
      <c r="J98" s="9"/>
      <c r="K98" s="4"/>
      <c r="L98" s="4"/>
      <c r="M98" s="4"/>
      <c r="N98" s="9"/>
      <c r="P98" s="4"/>
      <c r="Q98" s="4"/>
      <c r="R98" s="9"/>
      <c r="S98" s="4"/>
      <c r="T98" s="4"/>
      <c r="U98" s="4"/>
      <c r="V98" s="9"/>
      <c r="W98" s="4"/>
      <c r="X98" s="4"/>
      <c r="Y98" s="4"/>
      <c r="Z98" s="9"/>
    </row>
    <row r="99" spans="1:26" s="63" customFormat="1" ht="15" customHeight="1" x14ac:dyDescent="0.3">
      <c r="A99" s="11"/>
      <c r="B99" s="27" t="s">
        <v>297</v>
      </c>
      <c r="C99" s="27"/>
      <c r="D99" s="32">
        <f>SUM(D96:D98)</f>
        <v>37369.79999999993</v>
      </c>
      <c r="E99" s="15"/>
      <c r="F99" s="31">
        <f>IF(D$12=0,0,D99/D$12)</f>
        <v>0.14456760244741043</v>
      </c>
      <c r="G99" s="15"/>
      <c r="H99" s="32">
        <f>SUM(H96:H98)</f>
        <v>-54085.502996923111</v>
      </c>
      <c r="I99" s="15"/>
      <c r="J99" s="31">
        <f>IF(H$12=0,0,H99/H$12)</f>
        <v>-0.46369601334810623</v>
      </c>
      <c r="K99" s="16"/>
      <c r="L99" s="32">
        <f>+D99-H99</f>
        <v>91455.302996923041</v>
      </c>
      <c r="M99" s="16"/>
      <c r="N99" s="31">
        <f>IF(H99=0,0,L99/H99)</f>
        <v>-1.6909393077499135</v>
      </c>
      <c r="O99" s="28"/>
      <c r="P99" s="32">
        <f>SUM(P96:P98)</f>
        <v>-43705.099999999919</v>
      </c>
      <c r="Q99" s="15"/>
      <c r="R99" s="31">
        <f>IF(P$12=0,0,P99/P$12)</f>
        <v>-2.858774551301458E-2</v>
      </c>
      <c r="S99" s="15"/>
      <c r="T99" s="32">
        <f>SUM(T96:T98)</f>
        <v>-610748.84172000014</v>
      </c>
      <c r="U99" s="15"/>
      <c r="V99" s="31">
        <f>IF(T$12=0,0,T99/T$12)</f>
        <v>-0.79425307131710376</v>
      </c>
      <c r="W99" s="16"/>
      <c r="X99" s="32">
        <f>+P99-T99</f>
        <v>567043.74172000028</v>
      </c>
      <c r="Y99" s="16"/>
      <c r="Z99" s="31">
        <f>IF(T99=0,0,X99/T99)</f>
        <v>-0.92844014263389041</v>
      </c>
    </row>
    <row r="100" spans="1:26" ht="15" customHeight="1" x14ac:dyDescent="0.3">
      <c r="A100" s="10"/>
      <c r="C100" s="10"/>
      <c r="D100" s="19"/>
      <c r="E100" s="19"/>
      <c r="G100" s="19"/>
      <c r="H100" s="19"/>
      <c r="I100" s="19"/>
      <c r="J100" s="40"/>
      <c r="K100" s="19"/>
      <c r="L100" s="19"/>
      <c r="M100" s="19"/>
      <c r="P100" s="19"/>
      <c r="Q100" s="19"/>
      <c r="R100" s="40"/>
      <c r="S100" s="19"/>
      <c r="T100" s="19"/>
      <c r="U100" s="19"/>
      <c r="V100" s="40"/>
      <c r="W100" s="19"/>
      <c r="X100" s="19"/>
    </row>
    <row r="101" spans="1:26" ht="15" customHeight="1" x14ac:dyDescent="0.3">
      <c r="A101" s="10"/>
      <c r="B101" s="51">
        <v>44663.047665428239</v>
      </c>
      <c r="D101" s="19"/>
      <c r="E101" s="19"/>
      <c r="G101" s="19"/>
      <c r="H101" s="19"/>
      <c r="I101" s="19"/>
      <c r="J101" s="40"/>
      <c r="K101" s="19"/>
      <c r="L101" s="19"/>
      <c r="M101" s="19"/>
      <c r="P101" s="19"/>
      <c r="Q101" s="19"/>
      <c r="R101" s="40"/>
      <c r="S101" s="19"/>
      <c r="T101" s="19"/>
      <c r="U101" s="19"/>
      <c r="V101" s="40"/>
      <c r="W101" s="19"/>
      <c r="X101" s="19"/>
    </row>
    <row r="102" spans="1:26" ht="15" customHeight="1" x14ac:dyDescent="0.3">
      <c r="A102" s="10"/>
      <c r="B102" s="58" t="s">
        <v>298</v>
      </c>
      <c r="D102" s="19"/>
      <c r="E102" s="19"/>
      <c r="G102" s="19"/>
      <c r="H102" s="19"/>
      <c r="I102" s="19"/>
      <c r="J102" s="40"/>
      <c r="K102" s="19"/>
      <c r="L102" s="19"/>
      <c r="M102" s="19"/>
      <c r="P102" s="19"/>
      <c r="Q102" s="19"/>
      <c r="R102" s="40"/>
      <c r="S102" s="19"/>
      <c r="T102" s="19"/>
      <c r="U102" s="19"/>
      <c r="V102" s="40"/>
      <c r="W102" s="19"/>
      <c r="X102" s="19"/>
    </row>
    <row r="103" spans="1:26" ht="15" customHeight="1" x14ac:dyDescent="0.3">
      <c r="A103" s="10"/>
      <c r="B103" s="50"/>
      <c r="D103" s="19"/>
      <c r="E103" s="19"/>
      <c r="G103" s="19"/>
      <c r="H103" s="19"/>
      <c r="I103" s="19"/>
      <c r="J103" s="40"/>
      <c r="K103" s="19"/>
      <c r="L103" s="19"/>
      <c r="M103" s="19"/>
      <c r="P103" s="19"/>
      <c r="Q103" s="19"/>
      <c r="R103" s="40"/>
      <c r="S103" s="19"/>
      <c r="T103" s="19"/>
      <c r="U103" s="19"/>
      <c r="V103" s="40"/>
      <c r="W103" s="19"/>
      <c r="X103" s="19"/>
    </row>
    <row r="104" spans="1:26" ht="15" customHeight="1" x14ac:dyDescent="0.3">
      <c r="D104" s="19"/>
      <c r="E104" s="19"/>
      <c r="G104" s="19"/>
      <c r="H104" s="19"/>
      <c r="I104" s="19"/>
      <c r="J104" s="40"/>
      <c r="K104" s="19"/>
      <c r="L104" s="19"/>
      <c r="M104" s="19"/>
      <c r="P104" s="19"/>
      <c r="Q104" s="19"/>
      <c r="R104" s="40"/>
      <c r="S104" s="19"/>
      <c r="T104" s="19"/>
      <c r="U104" s="19"/>
      <c r="V104" s="40"/>
      <c r="W104" s="19"/>
      <c r="X104" s="19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3867CC-3802-8003-80A3-2C0623DF46E6}">
  <sheetPr>
    <tabColor rgb="FFFFC000"/>
    <outlinePr summaryBelow="0" summaryRight="0"/>
  </sheetPr>
  <dimension ref="A2:Z87"/>
  <sheetViews>
    <sheetView showGridLines="0" defaultGridColor="0" colorId="8" zoomScale="80" workbookViewId="0">
      <pane xSplit="3" ySplit="10" topLeftCell="D11" activePane="bottomRight" state="frozen"/>
      <selection activeCell="D11" sqref="D11"/>
      <selection pane="topRight" activeCell="D11" sqref="D11"/>
      <selection pane="bottomLeft" activeCell="D11" sqref="D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6" customWidth="1"/>
    <col min="2" max="2" width="33.44140625" style="66" customWidth="1"/>
    <col min="3" max="3" width="1.88671875" style="66" customWidth="1"/>
    <col min="4" max="4" width="15" style="66" customWidth="1"/>
    <col min="5" max="5" width="1.88671875" style="66" customWidth="1" outlineLevel="1"/>
    <col min="6" max="6" width="15" style="67" customWidth="1" outlineLevel="1"/>
    <col min="7" max="7" width="1.88671875" style="66" customWidth="1" outlineLevel="1"/>
    <col min="8" max="8" width="15" style="66" customWidth="1" outlineLevel="1"/>
    <col min="9" max="9" width="1.88671875" style="66" customWidth="1" outlineLevel="1"/>
    <col min="10" max="10" width="15" style="68" customWidth="1" outlineLevel="1"/>
    <col min="11" max="11" width="1.88671875" style="66" customWidth="1" outlineLevel="1"/>
    <col min="12" max="12" width="15" style="66" customWidth="1" outlineLevel="1"/>
    <col min="13" max="13" width="1.88671875" style="66" customWidth="1" outlineLevel="1"/>
    <col min="14" max="14" width="15" style="67" customWidth="1" outlineLevel="1"/>
    <col min="15" max="15" width="1.88671875" style="64" customWidth="1"/>
    <col min="16" max="16" width="15" style="66" customWidth="1"/>
    <col min="17" max="17" width="1.88671875" style="66" customWidth="1" outlineLevel="1"/>
    <col min="18" max="18" width="15" style="68" customWidth="1" outlineLevel="1"/>
    <col min="19" max="19" width="1.88671875" style="66" customWidth="1" outlineLevel="1"/>
    <col min="20" max="20" width="15" style="66" customWidth="1" outlineLevel="1"/>
    <col min="21" max="21" width="1.88671875" style="66" customWidth="1" outlineLevel="1"/>
    <col min="22" max="22" width="15" style="68" customWidth="1" outlineLevel="1"/>
    <col min="23" max="23" width="1.88671875" style="66" customWidth="1" outlineLevel="1"/>
    <col min="24" max="24" width="15" style="66" customWidth="1" outlineLevel="1"/>
    <col min="25" max="25" width="1.88671875" style="66" customWidth="1" outlineLevel="1"/>
    <col min="26" max="26" width="15" style="68" customWidth="1" outlineLevel="1"/>
  </cols>
  <sheetData>
    <row r="2" spans="1:26" ht="15" customHeight="1" x14ac:dyDescent="0.3">
      <c r="D2" s="54" t="s">
        <v>276</v>
      </c>
    </row>
    <row r="3" spans="1:26" ht="15" customHeight="1" x14ac:dyDescent="0.3">
      <c r="D3" s="54" t="s">
        <v>277</v>
      </c>
      <c r="E3" s="18"/>
      <c r="F3" s="44"/>
      <c r="G3" s="18"/>
      <c r="H3" s="18"/>
      <c r="I3" s="18"/>
      <c r="J3" s="38"/>
      <c r="K3" s="18"/>
      <c r="L3" s="18"/>
      <c r="M3" s="18"/>
      <c r="N3" s="44"/>
      <c r="O3" s="53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ht="15" customHeight="1" x14ac:dyDescent="0.3">
      <c r="D4" s="54" t="str">
        <f>CONCATENATE("Period ",RIGHT(202209,2),", ",2022)</f>
        <v>Period 09, 2022</v>
      </c>
      <c r="E4" s="18"/>
      <c r="F4" s="44"/>
      <c r="G4" s="18"/>
      <c r="H4" s="18"/>
      <c r="I4" s="18"/>
      <c r="J4" s="38"/>
      <c r="K4" s="18"/>
      <c r="L4" s="18"/>
      <c r="M4" s="18"/>
      <c r="N4" s="44"/>
      <c r="O4" s="53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ht="15" customHeight="1" x14ac:dyDescent="0.3">
      <c r="A5" s="24"/>
      <c r="D5" s="60">
        <v>44646</v>
      </c>
      <c r="E5" s="18"/>
      <c r="F5" s="44"/>
      <c r="G5" s="18"/>
      <c r="H5" s="18"/>
      <c r="I5" s="18"/>
      <c r="J5" s="38"/>
      <c r="K5" s="18"/>
      <c r="L5" s="18"/>
      <c r="M5" s="18"/>
      <c r="N5" s="44"/>
      <c r="O5" s="53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ht="15" customHeight="1" x14ac:dyDescent="0.3">
      <c r="A6" s="24"/>
      <c r="B6" s="47"/>
      <c r="C6" s="47"/>
      <c r="D6" s="24" t="s">
        <v>314</v>
      </c>
      <c r="E6" s="18"/>
      <c r="F6" s="44"/>
      <c r="G6" s="18"/>
      <c r="H6" s="18"/>
      <c r="I6" s="18"/>
      <c r="J6" s="38"/>
      <c r="K6" s="18"/>
      <c r="L6" s="18"/>
      <c r="M6" s="18"/>
      <c r="N6" s="44"/>
      <c r="O6" s="59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ht="15" customHeight="1" x14ac:dyDescent="0.3">
      <c r="B7" s="52"/>
    </row>
    <row r="8" spans="1:26" ht="15" customHeight="1" x14ac:dyDescent="0.3">
      <c r="B8" s="52"/>
    </row>
    <row r="9" spans="1:26" ht="15" customHeight="1" x14ac:dyDescent="0.3">
      <c r="B9" s="10"/>
      <c r="C9" s="10"/>
      <c r="D9" s="17" t="s">
        <v>279</v>
      </c>
      <c r="E9" s="17"/>
      <c r="F9" s="36"/>
      <c r="G9" s="17"/>
      <c r="H9" s="17"/>
      <c r="I9" s="17"/>
      <c r="J9" s="43"/>
      <c r="K9" s="17"/>
      <c r="L9" s="17"/>
      <c r="M9" s="17"/>
      <c r="N9" s="36"/>
      <c r="P9" s="17" t="s">
        <v>280</v>
      </c>
      <c r="Q9" s="17"/>
      <c r="R9" s="36"/>
      <c r="S9" s="17"/>
      <c r="T9" s="17"/>
      <c r="U9" s="17"/>
      <c r="V9" s="43"/>
      <c r="W9" s="17"/>
      <c r="X9" s="17"/>
      <c r="Y9" s="17"/>
      <c r="Z9" s="36"/>
    </row>
    <row r="10" spans="1:26" ht="15" customHeight="1" x14ac:dyDescent="0.3">
      <c r="A10" s="11"/>
      <c r="B10" s="57"/>
      <c r="C10" s="11"/>
      <c r="D10" s="41" t="s">
        <v>281</v>
      </c>
      <c r="E10" s="33"/>
      <c r="F10" s="37" t="s">
        <v>282</v>
      </c>
      <c r="G10" s="33"/>
      <c r="H10" s="48" t="s">
        <v>283</v>
      </c>
      <c r="I10" s="33"/>
      <c r="J10" s="45" t="s">
        <v>284</v>
      </c>
      <c r="K10" s="11"/>
      <c r="L10" s="41" t="s">
        <v>285</v>
      </c>
      <c r="M10" s="11"/>
      <c r="N10" s="37" t="s">
        <v>286</v>
      </c>
      <c r="O10" s="11"/>
      <c r="P10" s="56" t="s">
        <v>281</v>
      </c>
      <c r="Q10" s="33"/>
      <c r="R10" s="37" t="s">
        <v>282</v>
      </c>
      <c r="S10" s="33"/>
      <c r="T10" s="48" t="s">
        <v>283</v>
      </c>
      <c r="U10" s="33"/>
      <c r="V10" s="45" t="s">
        <v>284</v>
      </c>
      <c r="W10" s="11"/>
      <c r="X10" s="41" t="s">
        <v>285</v>
      </c>
      <c r="Y10" s="11"/>
      <c r="Z10" s="37" t="s">
        <v>286</v>
      </c>
    </row>
    <row r="11" spans="1:26" ht="16.5" customHeight="1" x14ac:dyDescent="0.3">
      <c r="A11" s="10"/>
      <c r="B11" s="55"/>
      <c r="C11" s="10"/>
      <c r="D11" s="10"/>
      <c r="E11" s="10"/>
      <c r="F11" s="9"/>
      <c r="G11" s="10"/>
      <c r="H11" s="10"/>
      <c r="I11" s="10"/>
      <c r="J11" s="46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6"/>
      <c r="W11" s="10"/>
      <c r="X11" s="10"/>
      <c r="Y11" s="10"/>
      <c r="Z11" s="9"/>
    </row>
    <row r="12" spans="1:26" s="63" customFormat="1" ht="15" customHeight="1" collapsed="1" x14ac:dyDescent="0.3">
      <c r="A12" s="11"/>
      <c r="B12" s="28" t="s">
        <v>287</v>
      </c>
      <c r="C12" s="11"/>
      <c r="D12" s="5">
        <f>SUM(OSRRefD13x_0)</f>
        <v>27907</v>
      </c>
      <c r="E12" s="5"/>
      <c r="F12" s="13"/>
      <c r="G12" s="5"/>
      <c r="H12" s="5">
        <f>SUM(OSRRefH13x_0)</f>
        <v>39157</v>
      </c>
      <c r="I12" s="5"/>
      <c r="J12" s="13"/>
      <c r="K12" s="5"/>
      <c r="L12" s="5">
        <f>+D12-H12</f>
        <v>-11250</v>
      </c>
      <c r="M12" s="5"/>
      <c r="N12" s="13">
        <f>IF(H12=0,0,L12/H12)</f>
        <v>-0.28730495186045918</v>
      </c>
      <c r="O12" s="11"/>
      <c r="P12" s="5">
        <f>SUM(OSRRefP13x_0)</f>
        <v>374405</v>
      </c>
      <c r="Q12" s="5"/>
      <c r="R12" s="13"/>
      <c r="S12" s="5"/>
      <c r="T12" s="5">
        <f>SUM(OSRRefT13x_0)</f>
        <v>482459</v>
      </c>
      <c r="U12" s="5"/>
      <c r="V12" s="13"/>
      <c r="W12" s="5"/>
      <c r="X12" s="5">
        <f>+P12-T12</f>
        <v>-108054</v>
      </c>
      <c r="Y12" s="5"/>
      <c r="Z12" s="13">
        <f>IF(T12=0,0,X12/T12)</f>
        <v>-0.22396514522477556</v>
      </c>
    </row>
    <row r="13" spans="1:26" s="70" customFormat="1" ht="15" hidden="1" customHeight="1" outlineLevel="1" x14ac:dyDescent="0.3">
      <c r="A13" s="42"/>
      <c r="B13" s="12" t="str">
        <f>CONCATENATE("          ","4100"," - ","NON-TAXABLE SALES")</f>
        <v xml:space="preserve">          4100 - NON-TAXABLE SALES</v>
      </c>
      <c r="C13" s="12"/>
      <c r="D13" s="3">
        <f>--27907</f>
        <v>27907</v>
      </c>
      <c r="E13" s="3"/>
      <c r="F13" s="20"/>
      <c r="G13" s="3"/>
      <c r="H13" s="3">
        <v>39157</v>
      </c>
      <c r="I13" s="3"/>
      <c r="J13" s="20"/>
      <c r="K13" s="3"/>
      <c r="L13" s="3">
        <f>+D13-H13</f>
        <v>-11250</v>
      </c>
      <c r="M13" s="3"/>
      <c r="N13" s="20">
        <f>IF(H13=0,0,L13/H13)</f>
        <v>-0.28730495186045918</v>
      </c>
      <c r="O13" s="12"/>
      <c r="P13" s="3">
        <f>--374405</f>
        <v>374405</v>
      </c>
      <c r="Q13" s="3"/>
      <c r="R13" s="20"/>
      <c r="S13" s="3"/>
      <c r="T13" s="3">
        <v>482459</v>
      </c>
      <c r="U13" s="3"/>
      <c r="V13" s="20"/>
      <c r="W13" s="3"/>
      <c r="X13" s="3">
        <f>+P13-T13</f>
        <v>-108054</v>
      </c>
      <c r="Y13" s="3"/>
      <c r="Z13" s="20">
        <f>IF(T13=0,0,X13/T13)</f>
        <v>-0.22396514522477556</v>
      </c>
    </row>
    <row r="14" spans="1:26" ht="15" customHeight="1" x14ac:dyDescent="0.3">
      <c r="A14" s="10"/>
      <c r="B14" s="11"/>
      <c r="C14" s="10"/>
      <c r="D14" s="4"/>
      <c r="E14" s="4"/>
      <c r="F14" s="9"/>
      <c r="G14" s="4"/>
      <c r="H14" s="4"/>
      <c r="I14" s="4"/>
      <c r="J14" s="9"/>
      <c r="K14" s="4"/>
      <c r="L14" s="4"/>
      <c r="M14" s="4"/>
      <c r="N14" s="9"/>
      <c r="P14" s="4"/>
      <c r="Q14" s="4"/>
      <c r="R14" s="9"/>
      <c r="S14" s="4"/>
      <c r="T14" s="4"/>
      <c r="U14" s="4"/>
      <c r="V14" s="9"/>
      <c r="W14" s="4"/>
      <c r="X14" s="4"/>
      <c r="Y14" s="4"/>
      <c r="Z14" s="9"/>
    </row>
    <row r="15" spans="1:26" s="63" customFormat="1" ht="15" customHeight="1" x14ac:dyDescent="0.3">
      <c r="A15" s="11"/>
      <c r="B15" s="28" t="s">
        <v>288</v>
      </c>
      <c r="C15" s="11"/>
      <c r="D15" s="5">
        <f>SUM(0)</f>
        <v>0</v>
      </c>
      <c r="E15" s="5"/>
      <c r="F15" s="13">
        <f>IF(D$12=0,0,D15/D$12)</f>
        <v>0</v>
      </c>
      <c r="G15" s="5"/>
      <c r="H15" s="5">
        <f>SUM(0)</f>
        <v>0</v>
      </c>
      <c r="I15" s="5"/>
      <c r="J15" s="13">
        <f>IF(H$12=0,0,H15/H$12)</f>
        <v>0</v>
      </c>
      <c r="K15" s="5"/>
      <c r="L15" s="5">
        <f>+D15-H15</f>
        <v>0</v>
      </c>
      <c r="M15" s="5"/>
      <c r="N15" s="13">
        <f>IF(H15=0,0,L15/H15)</f>
        <v>0</v>
      </c>
      <c r="O15" s="11"/>
      <c r="P15" s="5">
        <f>SUM(0)</f>
        <v>0</v>
      </c>
      <c r="Q15" s="5"/>
      <c r="R15" s="13">
        <f>IF(P$12=0,0,P15/P$12)</f>
        <v>0</v>
      </c>
      <c r="S15" s="5"/>
      <c r="T15" s="5">
        <f>SUM(0)</f>
        <v>0</v>
      </c>
      <c r="U15" s="5"/>
      <c r="V15" s="13">
        <f>IF(T$12=0,0,T15/T$12)</f>
        <v>0</v>
      </c>
      <c r="W15" s="5"/>
      <c r="X15" s="5">
        <f>+P15-T15</f>
        <v>0</v>
      </c>
      <c r="Y15" s="5"/>
      <c r="Z15" s="13">
        <f>IF(T15=0,0,X15/T15)</f>
        <v>0</v>
      </c>
    </row>
    <row r="16" spans="1:26" ht="15" customHeight="1" x14ac:dyDescent="0.3">
      <c r="A16" s="10"/>
      <c r="B16" s="11"/>
      <c r="C16" s="11"/>
      <c r="D16" s="4"/>
      <c r="E16" s="4"/>
      <c r="F16" s="9"/>
      <c r="G16" s="4"/>
      <c r="H16" s="4"/>
      <c r="I16" s="4"/>
      <c r="J16" s="9"/>
      <c r="K16" s="4"/>
      <c r="L16" s="4"/>
      <c r="M16" s="4"/>
      <c r="N16" s="9"/>
      <c r="O16" s="11"/>
      <c r="P16" s="4"/>
      <c r="Q16" s="4"/>
      <c r="R16" s="9"/>
      <c r="S16" s="4"/>
      <c r="T16" s="4"/>
      <c r="U16" s="4"/>
      <c r="V16" s="9"/>
      <c r="W16" s="4"/>
      <c r="X16" s="4"/>
      <c r="Y16" s="4"/>
      <c r="Z16" s="9"/>
    </row>
    <row r="17" spans="1:26" s="63" customFormat="1" ht="15" customHeight="1" x14ac:dyDescent="0.3">
      <c r="A17" s="11"/>
      <c r="B17" s="27" t="s">
        <v>289</v>
      </c>
      <c r="C17" s="27"/>
      <c r="D17" s="21">
        <f>D12-D15</f>
        <v>27907</v>
      </c>
      <c r="E17" s="15"/>
      <c r="F17" s="23">
        <f>IF(D$12=0,0,D17/D$12)</f>
        <v>1</v>
      </c>
      <c r="G17" s="15"/>
      <c r="H17" s="21">
        <f>H12-H15</f>
        <v>39157</v>
      </c>
      <c r="I17" s="15"/>
      <c r="J17" s="23">
        <f>IF(H$12=0,0,H17/H$12)</f>
        <v>1</v>
      </c>
      <c r="K17" s="16"/>
      <c r="L17" s="21">
        <f>+D17-H17</f>
        <v>-11250</v>
      </c>
      <c r="M17" s="16"/>
      <c r="N17" s="23">
        <f>IF(H17=0,0,L17/H17)</f>
        <v>-0.28730495186045918</v>
      </c>
      <c r="O17" s="28"/>
      <c r="P17" s="21">
        <f>P12-P15</f>
        <v>374405</v>
      </c>
      <c r="Q17" s="15"/>
      <c r="R17" s="23">
        <f>IF(P$12=0,0,P17/P$12)</f>
        <v>1</v>
      </c>
      <c r="S17" s="15"/>
      <c r="T17" s="21">
        <f>T12-T15</f>
        <v>482459</v>
      </c>
      <c r="U17" s="15"/>
      <c r="V17" s="23">
        <f>IF(T$12=0,0,T17/T$12)</f>
        <v>1</v>
      </c>
      <c r="W17" s="16"/>
      <c r="X17" s="21">
        <f>+P17-T17</f>
        <v>-108054</v>
      </c>
      <c r="Y17" s="16"/>
      <c r="Z17" s="23">
        <f>IF(T17=0,0,X17/T17)</f>
        <v>-0.22396514522477556</v>
      </c>
    </row>
    <row r="18" spans="1:26" ht="15" customHeight="1" x14ac:dyDescent="0.3">
      <c r="A18" s="10"/>
      <c r="B18" s="11"/>
      <c r="C18" s="10"/>
      <c r="D18" s="2"/>
      <c r="E18" s="2"/>
      <c r="F18" s="6"/>
      <c r="G18" s="2"/>
      <c r="H18" s="2"/>
      <c r="I18" s="2"/>
      <c r="J18" s="6"/>
      <c r="K18" s="2"/>
      <c r="L18" s="2"/>
      <c r="M18" s="2"/>
      <c r="N18" s="6"/>
      <c r="O18" s="35"/>
      <c r="P18" s="2"/>
      <c r="Q18" s="2"/>
      <c r="R18" s="6"/>
      <c r="S18" s="2"/>
      <c r="T18" s="2"/>
      <c r="U18" s="2"/>
      <c r="V18" s="6"/>
      <c r="W18" s="2"/>
      <c r="X18" s="2"/>
      <c r="Y18" s="2"/>
      <c r="Z18" s="6"/>
    </row>
    <row r="19" spans="1:26" s="63" customFormat="1" ht="15" customHeight="1" x14ac:dyDescent="0.3">
      <c r="A19" s="11"/>
      <c r="B19" s="28" t="s">
        <v>290</v>
      </c>
      <c r="C19" s="11"/>
      <c r="D19" s="22" cm="1">
        <f t="array" ref="D19">SUM(OSRRefD22x_0)</f>
        <v>27442.799999999999</v>
      </c>
      <c r="E19" s="22"/>
      <c r="F19" s="30">
        <f t="shared" ref="F19:F50" si="0">IF(D$12=0,0,D19/D$12)</f>
        <v>0.98336618052818292</v>
      </c>
      <c r="G19" s="22"/>
      <c r="H19" s="22" cm="1">
        <f t="array" ref="H19">SUM(OSRRefH22x_0)</f>
        <v>37555.098654177687</v>
      </c>
      <c r="I19" s="22"/>
      <c r="J19" s="30">
        <f t="shared" ref="J19:J50" si="1">IF(H$12=0,0,H19/H$12)</f>
        <v>0.95909029430696136</v>
      </c>
      <c r="K19" s="5"/>
      <c r="L19" s="22">
        <f t="shared" ref="L19:L50" si="2">+D19-H19</f>
        <v>-10112.298654177688</v>
      </c>
      <c r="M19" s="5"/>
      <c r="N19" s="30">
        <f t="shared" ref="N19:N50" si="3">IF(H19=0,0,L19/H19)</f>
        <v>-0.26926566608959712</v>
      </c>
      <c r="O19" s="11"/>
      <c r="P19" s="22" cm="1">
        <f t="array" ref="P19">SUM(OSRRefP22x_0)</f>
        <v>340728.66</v>
      </c>
      <c r="Q19" s="22"/>
      <c r="R19" s="30">
        <f t="shared" ref="R19:R50" si="4">IF(P$12=0,0,P19/P$12)</f>
        <v>0.91005371188953132</v>
      </c>
      <c r="S19" s="22"/>
      <c r="T19" s="22" cm="1">
        <f t="array" ref="T19">SUM(OSRRefT22x_0)</f>
        <v>454749.70977448253</v>
      </c>
      <c r="U19" s="22"/>
      <c r="V19" s="30">
        <f t="shared" ref="V19:V50" si="5">IF(T$12=0,0,T19/T$12)</f>
        <v>0.9425665388654425</v>
      </c>
      <c r="W19" s="5"/>
      <c r="X19" s="22">
        <f t="shared" ref="X19:X50" si="6">+P19-T19</f>
        <v>-114021.04977448256</v>
      </c>
      <c r="Y19" s="5"/>
      <c r="Z19" s="30">
        <f t="shared" ref="Z19:Z50" si="7">IF(T19=0,0,X19/T19)</f>
        <v>-0.25073363945856586</v>
      </c>
    </row>
    <row r="20" spans="1:26" s="69" customFormat="1" ht="15" customHeight="1" outlineLevel="1" collapsed="1" x14ac:dyDescent="0.3">
      <c r="A20" s="25"/>
      <c r="B20" s="14" t="str">
        <f>CONCATENATE("     ","*Benefits                                         ")</f>
        <v xml:space="preserve">     *Benefits                                         </v>
      </c>
      <c r="C20" s="14"/>
      <c r="D20" s="2">
        <f>SUM(OSRRefD22_0x_0)</f>
        <v>3508.48</v>
      </c>
      <c r="E20" s="2"/>
      <c r="F20" s="6">
        <f t="shared" si="0"/>
        <v>0.12572042856630952</v>
      </c>
      <c r="G20" s="2"/>
      <c r="H20" s="2">
        <f>SUM(OSRRefH22_0x_0)</f>
        <v>3352.8104118699998</v>
      </c>
      <c r="I20" s="2"/>
      <c r="J20" s="6">
        <f t="shared" si="1"/>
        <v>8.5624803020405038E-2</v>
      </c>
      <c r="K20" s="2"/>
      <c r="L20" s="2">
        <f t="shared" si="2"/>
        <v>155.66958813000019</v>
      </c>
      <c r="M20" s="2"/>
      <c r="N20" s="6">
        <f t="shared" si="3"/>
        <v>4.6429582650686439E-2</v>
      </c>
      <c r="O20" s="14"/>
      <c r="P20" s="2">
        <f>SUM(OSRRefP22_0x_0)</f>
        <v>37123.020000000004</v>
      </c>
      <c r="Q20" s="2"/>
      <c r="R20" s="6">
        <f t="shared" si="4"/>
        <v>9.9152041238765518E-2</v>
      </c>
      <c r="S20" s="2"/>
      <c r="T20" s="2">
        <f>SUM(OSRRefT22_0x_0)</f>
        <v>33755.086911982507</v>
      </c>
      <c r="U20" s="2"/>
      <c r="V20" s="6">
        <f t="shared" si="5"/>
        <v>6.9964674536038315E-2</v>
      </c>
      <c r="W20" s="2"/>
      <c r="X20" s="2">
        <f t="shared" si="6"/>
        <v>3367.9330880174966</v>
      </c>
      <c r="Y20" s="2"/>
      <c r="Z20" s="6">
        <f t="shared" si="7"/>
        <v>9.9775571510139854E-2</v>
      </c>
    </row>
    <row r="21" spans="1:26" s="70" customFormat="1" ht="15" hidden="1" customHeight="1" outlineLevel="2" x14ac:dyDescent="0.3">
      <c r="A21" s="26"/>
      <c r="B21" s="12" t="str">
        <f>CONCATENATE("          ","6111"," - ","F.I.C.A.")</f>
        <v xml:space="preserve">          6111 - F.I.C.A.</v>
      </c>
      <c r="C21" s="12"/>
      <c r="D21" s="7">
        <v>795.89</v>
      </c>
      <c r="E21" s="3"/>
      <c r="F21" s="8">
        <f t="shared" si="0"/>
        <v>2.8519367900526751E-2</v>
      </c>
      <c r="G21" s="3"/>
      <c r="H21" s="7">
        <v>673.19318387769204</v>
      </c>
      <c r="I21" s="3"/>
      <c r="J21" s="8">
        <f t="shared" si="1"/>
        <v>1.7192154247712848E-2</v>
      </c>
      <c r="K21" s="3"/>
      <c r="L21" s="7">
        <f t="shared" si="2"/>
        <v>122.69681612230795</v>
      </c>
      <c r="M21" s="3"/>
      <c r="N21" s="8">
        <f t="shared" si="3"/>
        <v>0.18226093053342607</v>
      </c>
      <c r="O21" s="12"/>
      <c r="P21" s="7">
        <v>9174.9500000000007</v>
      </c>
      <c r="Q21" s="3"/>
      <c r="R21" s="8">
        <f t="shared" si="4"/>
        <v>2.4505415258877422E-2</v>
      </c>
      <c r="S21" s="3"/>
      <c r="T21" s="7">
        <v>8512.5082578074998</v>
      </c>
      <c r="U21" s="3"/>
      <c r="V21" s="8">
        <f t="shared" si="5"/>
        <v>1.7644003444453309E-2</v>
      </c>
      <c r="W21" s="3"/>
      <c r="X21" s="7">
        <f t="shared" si="6"/>
        <v>662.4417421925009</v>
      </c>
      <c r="Y21" s="3"/>
      <c r="Z21" s="8">
        <f t="shared" si="7"/>
        <v>7.7819806117065765E-2</v>
      </c>
    </row>
    <row r="22" spans="1:26" s="70" customFormat="1" ht="15" hidden="1" customHeight="1" outlineLevel="2" x14ac:dyDescent="0.3">
      <c r="A22" s="26"/>
      <c r="B22" s="12" t="str">
        <f>CONCATENATE("          ","6112"," - ","COMPENSATION INSURANCE")</f>
        <v xml:space="preserve">          6112 - COMPENSATION INSURANCE</v>
      </c>
      <c r="C22" s="12"/>
      <c r="D22" s="7">
        <v>170.03</v>
      </c>
      <c r="E22" s="3"/>
      <c r="F22" s="8">
        <f t="shared" si="0"/>
        <v>6.0927365893861758E-3</v>
      </c>
      <c r="G22" s="3"/>
      <c r="H22" s="7">
        <v>309.39029640000001</v>
      </c>
      <c r="I22" s="3"/>
      <c r="J22" s="8">
        <f t="shared" si="1"/>
        <v>7.9012768189595725E-3</v>
      </c>
      <c r="K22" s="3"/>
      <c r="L22" s="7">
        <f t="shared" si="2"/>
        <v>-139.36029640000001</v>
      </c>
      <c r="M22" s="3"/>
      <c r="N22" s="8">
        <f t="shared" si="3"/>
        <v>-0.45043525288791186</v>
      </c>
      <c r="O22" s="12"/>
      <c r="P22" s="7">
        <v>1507.44</v>
      </c>
      <c r="Q22" s="3"/>
      <c r="R22" s="8">
        <f t="shared" si="4"/>
        <v>4.0262282822077699E-3</v>
      </c>
      <c r="S22" s="3"/>
      <c r="T22" s="7">
        <v>2978.3519649</v>
      </c>
      <c r="U22" s="3"/>
      <c r="V22" s="8">
        <f t="shared" si="5"/>
        <v>6.1732747547459995E-3</v>
      </c>
      <c r="W22" s="3"/>
      <c r="X22" s="7">
        <f t="shared" si="6"/>
        <v>-1470.9119648999999</v>
      </c>
      <c r="Y22" s="3"/>
      <c r="Z22" s="8">
        <f t="shared" si="7"/>
        <v>-0.49386774371691383</v>
      </c>
    </row>
    <row r="23" spans="1:26" s="70" customFormat="1" ht="15" hidden="1" customHeight="1" outlineLevel="2" x14ac:dyDescent="0.3">
      <c r="A23" s="26"/>
      <c r="B23" s="12" t="str">
        <f>CONCATENATE("          ","6113"," - ","GROUP INSURANCE")</f>
        <v xml:space="preserve">          6113 - GROUP INSURANCE</v>
      </c>
      <c r="C23" s="12"/>
      <c r="D23" s="7">
        <v>964.7</v>
      </c>
      <c r="E23" s="3"/>
      <c r="F23" s="8">
        <f t="shared" si="0"/>
        <v>3.4568387859676787E-2</v>
      </c>
      <c r="G23" s="3"/>
      <c r="H23" s="7">
        <v>1022.5</v>
      </c>
      <c r="I23" s="3"/>
      <c r="J23" s="8">
        <f t="shared" si="1"/>
        <v>2.6112827846872844E-2</v>
      </c>
      <c r="K23" s="3"/>
      <c r="L23" s="7">
        <f t="shared" si="2"/>
        <v>-57.799999999999955</v>
      </c>
      <c r="M23" s="3"/>
      <c r="N23" s="8">
        <f t="shared" si="3"/>
        <v>-5.6528117359413162E-2</v>
      </c>
      <c r="O23" s="12"/>
      <c r="P23" s="7">
        <v>9220.2000000000007</v>
      </c>
      <c r="Q23" s="3"/>
      <c r="R23" s="8">
        <f t="shared" si="4"/>
        <v>2.4626273687584303E-2</v>
      </c>
      <c r="S23" s="3"/>
      <c r="T23" s="7">
        <v>9202.5</v>
      </c>
      <c r="U23" s="3"/>
      <c r="V23" s="8">
        <f t="shared" si="5"/>
        <v>1.9074159669526324E-2</v>
      </c>
      <c r="W23" s="3"/>
      <c r="X23" s="7">
        <f t="shared" si="6"/>
        <v>17.700000000000728</v>
      </c>
      <c r="Y23" s="3"/>
      <c r="Z23" s="8">
        <f t="shared" si="7"/>
        <v>1.9233903830481638E-3</v>
      </c>
    </row>
    <row r="24" spans="1:26" s="70" customFormat="1" ht="15" hidden="1" customHeight="1" outlineLevel="2" x14ac:dyDescent="0.3">
      <c r="A24" s="26"/>
      <c r="B24" s="12" t="str">
        <f>CONCATENATE("          ","6114"," - ","STATE UNEMPLOYMENT INSURANCE")</f>
        <v xml:space="preserve">          6114 - STATE UNEMPLOYMENT INSURANCE</v>
      </c>
      <c r="C24" s="12"/>
      <c r="D24" s="7">
        <v>33.64</v>
      </c>
      <c r="E24" s="3"/>
      <c r="F24" s="8">
        <f t="shared" si="0"/>
        <v>1.2054323288063927E-3</v>
      </c>
      <c r="G24" s="3"/>
      <c r="H24" s="7">
        <v>41.648693746153803</v>
      </c>
      <c r="I24" s="3"/>
      <c r="J24" s="8">
        <f t="shared" si="1"/>
        <v>1.0636334179368644E-3</v>
      </c>
      <c r="K24" s="3"/>
      <c r="L24" s="7">
        <f t="shared" si="2"/>
        <v>-8.0086937461538028</v>
      </c>
      <c r="M24" s="3"/>
      <c r="N24" s="8">
        <f t="shared" si="3"/>
        <v>-0.19229159490490369</v>
      </c>
      <c r="O24" s="12"/>
      <c r="P24" s="7">
        <v>298.2</v>
      </c>
      <c r="Q24" s="3"/>
      <c r="R24" s="8">
        <f t="shared" si="4"/>
        <v>7.9646372243960409E-4</v>
      </c>
      <c r="S24" s="3"/>
      <c r="T24" s="7">
        <v>400.93199527500002</v>
      </c>
      <c r="U24" s="3"/>
      <c r="V24" s="8">
        <f t="shared" si="5"/>
        <v>8.310177554465768E-4</v>
      </c>
      <c r="W24" s="3"/>
      <c r="X24" s="7">
        <f t="shared" si="6"/>
        <v>-102.73199527500003</v>
      </c>
      <c r="Y24" s="3"/>
      <c r="Z24" s="8">
        <f t="shared" si="7"/>
        <v>-0.25623296839788495</v>
      </c>
    </row>
    <row r="25" spans="1:26" s="70" customFormat="1" ht="15" hidden="1" customHeight="1" outlineLevel="2" x14ac:dyDescent="0.3">
      <c r="A25" s="26"/>
      <c r="B25" s="12" t="str">
        <f>CONCATENATE("          ","6115"," - ","P.E.R.S.")</f>
        <v xml:space="preserve">          6115 - P.E.R.S.</v>
      </c>
      <c r="C25" s="12"/>
      <c r="D25" s="7">
        <v>630.69000000000005</v>
      </c>
      <c r="E25" s="3"/>
      <c r="F25" s="8">
        <f t="shared" si="0"/>
        <v>2.259970616691153E-2</v>
      </c>
      <c r="G25" s="3"/>
      <c r="H25" s="7">
        <v>576.92767246153903</v>
      </c>
      <c r="I25" s="3"/>
      <c r="J25" s="8">
        <f t="shared" si="1"/>
        <v>1.4733704636758153E-2</v>
      </c>
      <c r="K25" s="3"/>
      <c r="L25" s="7">
        <f t="shared" si="2"/>
        <v>53.762327538461022</v>
      </c>
      <c r="M25" s="3"/>
      <c r="N25" s="8">
        <f t="shared" si="3"/>
        <v>9.3187292107305003E-2</v>
      </c>
      <c r="O25" s="12"/>
      <c r="P25" s="7">
        <v>5731.11</v>
      </c>
      <c r="Q25" s="3"/>
      <c r="R25" s="8">
        <f t="shared" si="4"/>
        <v>1.5307247499365659E-2</v>
      </c>
      <c r="S25" s="3"/>
      <c r="T25" s="7">
        <v>5625.0448065000101</v>
      </c>
      <c r="U25" s="3"/>
      <c r="V25" s="8">
        <f t="shared" si="5"/>
        <v>1.1659114673993044E-2</v>
      </c>
      <c r="W25" s="3"/>
      <c r="X25" s="7">
        <f t="shared" si="6"/>
        <v>106.06519349998962</v>
      </c>
      <c r="Y25" s="3"/>
      <c r="Z25" s="8">
        <f t="shared" si="7"/>
        <v>1.8855884201566926E-2</v>
      </c>
    </row>
    <row r="26" spans="1:26" s="70" customFormat="1" ht="15" hidden="1" customHeight="1" outlineLevel="2" x14ac:dyDescent="0.3">
      <c r="A26" s="26"/>
      <c r="B26" s="12" t="str">
        <f>CONCATENATE("          ","6116"," - ","EDUCATIONAL BENEFITS")</f>
        <v xml:space="preserve">          6116 - EDUCATIONAL BENEFITS</v>
      </c>
      <c r="C26" s="12"/>
      <c r="D26" s="7"/>
      <c r="E26" s="3"/>
      <c r="F26" s="8">
        <f t="shared" si="0"/>
        <v>0</v>
      </c>
      <c r="G26" s="3"/>
      <c r="H26" s="7">
        <v>0</v>
      </c>
      <c r="I26" s="3"/>
      <c r="J26" s="8">
        <f t="shared" si="1"/>
        <v>0</v>
      </c>
      <c r="K26" s="3"/>
      <c r="L26" s="7">
        <f t="shared" si="2"/>
        <v>0</v>
      </c>
      <c r="M26" s="3"/>
      <c r="N26" s="8">
        <f t="shared" si="3"/>
        <v>0</v>
      </c>
      <c r="O26" s="12"/>
      <c r="P26" s="7"/>
      <c r="Q26" s="3"/>
      <c r="R26" s="8">
        <f t="shared" si="4"/>
        <v>0</v>
      </c>
      <c r="S26" s="3"/>
      <c r="T26" s="7">
        <v>0</v>
      </c>
      <c r="U26" s="3"/>
      <c r="V26" s="8">
        <f t="shared" si="5"/>
        <v>0</v>
      </c>
      <c r="W26" s="3"/>
      <c r="X26" s="7">
        <f t="shared" si="6"/>
        <v>0</v>
      </c>
      <c r="Y26" s="3"/>
      <c r="Z26" s="8">
        <f t="shared" si="7"/>
        <v>0</v>
      </c>
    </row>
    <row r="27" spans="1:26" s="70" customFormat="1" ht="15" hidden="1" customHeight="1" outlineLevel="2" x14ac:dyDescent="0.3">
      <c r="A27" s="26"/>
      <c r="B27" s="12" t="str">
        <f>CONCATENATE("          ","6117"," - ","RETIREMENT STAFF HOURLY")</f>
        <v xml:space="preserve">          6117 - RETIREMENT STAFF HOURLY</v>
      </c>
      <c r="C27" s="12"/>
      <c r="D27" s="7"/>
      <c r="E27" s="3"/>
      <c r="F27" s="8">
        <f t="shared" si="0"/>
        <v>0</v>
      </c>
      <c r="G27" s="3"/>
      <c r="H27" s="7"/>
      <c r="I27" s="3"/>
      <c r="J27" s="8">
        <f t="shared" si="1"/>
        <v>0</v>
      </c>
      <c r="K27" s="3"/>
      <c r="L27" s="7">
        <f t="shared" si="2"/>
        <v>0</v>
      </c>
      <c r="M27" s="3"/>
      <c r="N27" s="8">
        <f t="shared" si="3"/>
        <v>0</v>
      </c>
      <c r="O27" s="12"/>
      <c r="P27" s="7">
        <v>215.15</v>
      </c>
      <c r="Q27" s="3"/>
      <c r="R27" s="8">
        <f t="shared" si="4"/>
        <v>5.7464510356432209E-4</v>
      </c>
      <c r="S27" s="3"/>
      <c r="T27" s="7"/>
      <c r="U27" s="3"/>
      <c r="V27" s="8">
        <f t="shared" si="5"/>
        <v>0</v>
      </c>
      <c r="W27" s="3"/>
      <c r="X27" s="7">
        <f t="shared" si="6"/>
        <v>215.15</v>
      </c>
      <c r="Y27" s="3"/>
      <c r="Z27" s="8">
        <f t="shared" si="7"/>
        <v>0</v>
      </c>
    </row>
    <row r="28" spans="1:26" s="70" customFormat="1" ht="15" hidden="1" customHeight="1" outlineLevel="2" x14ac:dyDescent="0.3">
      <c r="A28" s="26"/>
      <c r="B28" s="12" t="str">
        <f>CONCATENATE("          ","6118"," - ","VACATION")</f>
        <v xml:space="preserve">          6118 - VACATION</v>
      </c>
      <c r="C28" s="12"/>
      <c r="D28" s="7">
        <v>549.65</v>
      </c>
      <c r="E28" s="3"/>
      <c r="F28" s="8">
        <f t="shared" si="0"/>
        <v>1.969577525352062E-2</v>
      </c>
      <c r="G28" s="3"/>
      <c r="H28" s="7">
        <v>201.25383923076899</v>
      </c>
      <c r="I28" s="3"/>
      <c r="J28" s="8">
        <f t="shared" si="1"/>
        <v>5.139664408171438E-3</v>
      </c>
      <c r="K28" s="3"/>
      <c r="L28" s="7">
        <f t="shared" si="2"/>
        <v>348.39616076923096</v>
      </c>
      <c r="M28" s="3"/>
      <c r="N28" s="8">
        <f t="shared" si="3"/>
        <v>1.7311280227044032</v>
      </c>
      <c r="O28" s="12"/>
      <c r="P28" s="7">
        <v>5901.04</v>
      </c>
      <c r="Q28" s="3"/>
      <c r="R28" s="8">
        <f t="shared" si="4"/>
        <v>1.5761114301358153E-2</v>
      </c>
      <c r="S28" s="3"/>
      <c r="T28" s="7">
        <v>1962.2249325</v>
      </c>
      <c r="U28" s="3"/>
      <c r="V28" s="8">
        <f t="shared" si="5"/>
        <v>4.0671330258115201E-3</v>
      </c>
      <c r="W28" s="3"/>
      <c r="X28" s="7">
        <f t="shared" si="6"/>
        <v>3938.8150674999997</v>
      </c>
      <c r="Y28" s="3"/>
      <c r="Z28" s="8">
        <f t="shared" si="7"/>
        <v>2.0073208745144715</v>
      </c>
    </row>
    <row r="29" spans="1:26" s="70" customFormat="1" ht="15" hidden="1" customHeight="1" outlineLevel="2" x14ac:dyDescent="0.3">
      <c r="A29" s="26"/>
      <c r="B29" s="12" t="str">
        <f>CONCATENATE("          ","6119"," - ","SICK LEAVE")</f>
        <v xml:space="preserve">          6119 - SICK LEAVE</v>
      </c>
      <c r="C29" s="12"/>
      <c r="D29" s="7">
        <v>290.13</v>
      </c>
      <c r="E29" s="3"/>
      <c r="F29" s="8">
        <f t="shared" si="0"/>
        <v>1.0396316336403052E-2</v>
      </c>
      <c r="G29" s="3"/>
      <c r="H29" s="7">
        <v>527.89672615384598</v>
      </c>
      <c r="I29" s="3"/>
      <c r="J29" s="8">
        <f t="shared" si="1"/>
        <v>1.3481541643993308E-2</v>
      </c>
      <c r="K29" s="3"/>
      <c r="L29" s="7">
        <f t="shared" si="2"/>
        <v>-237.76672615384598</v>
      </c>
      <c r="M29" s="3"/>
      <c r="N29" s="8">
        <f t="shared" si="3"/>
        <v>-0.45040386570715946</v>
      </c>
      <c r="O29" s="12"/>
      <c r="P29" s="7">
        <v>4498.68</v>
      </c>
      <c r="Q29" s="3"/>
      <c r="R29" s="8">
        <f t="shared" si="4"/>
        <v>1.2015544664200533E-2</v>
      </c>
      <c r="S29" s="3"/>
      <c r="T29" s="7">
        <v>5073.5249549999999</v>
      </c>
      <c r="U29" s="3"/>
      <c r="V29" s="8">
        <f t="shared" si="5"/>
        <v>1.0515971212061543E-2</v>
      </c>
      <c r="W29" s="3"/>
      <c r="X29" s="7">
        <f t="shared" si="6"/>
        <v>-574.84495499999957</v>
      </c>
      <c r="Y29" s="3"/>
      <c r="Z29" s="8">
        <f t="shared" si="7"/>
        <v>-0.1133028732683152</v>
      </c>
    </row>
    <row r="30" spans="1:26" s="70" customFormat="1" ht="15" hidden="1" customHeight="1" outlineLevel="2" x14ac:dyDescent="0.3">
      <c r="A30" s="26"/>
      <c r="B30" s="12" t="str">
        <f>CONCATENATE("          ","6156"," - ","EMPLOYEE MEALS")</f>
        <v xml:space="preserve">          6156 - EMPLOYEE MEALS</v>
      </c>
      <c r="C30" s="12"/>
      <c r="D30" s="7">
        <v>73.75</v>
      </c>
      <c r="E30" s="3"/>
      <c r="F30" s="8">
        <f t="shared" si="0"/>
        <v>2.6427061310782241E-3</v>
      </c>
      <c r="G30" s="3"/>
      <c r="H30" s="7"/>
      <c r="I30" s="3"/>
      <c r="J30" s="8">
        <f t="shared" si="1"/>
        <v>0</v>
      </c>
      <c r="K30" s="3"/>
      <c r="L30" s="7">
        <f t="shared" si="2"/>
        <v>73.75</v>
      </c>
      <c r="M30" s="3"/>
      <c r="N30" s="8">
        <f t="shared" si="3"/>
        <v>0</v>
      </c>
      <c r="O30" s="12"/>
      <c r="P30" s="7">
        <v>576.25</v>
      </c>
      <c r="Q30" s="3"/>
      <c r="R30" s="8">
        <f t="shared" si="4"/>
        <v>1.5391087191677462E-3</v>
      </c>
      <c r="S30" s="3"/>
      <c r="T30" s="7"/>
      <c r="U30" s="3"/>
      <c r="V30" s="8">
        <f t="shared" si="5"/>
        <v>0</v>
      </c>
      <c r="W30" s="3"/>
      <c r="X30" s="7">
        <f t="shared" si="6"/>
        <v>576.25</v>
      </c>
      <c r="Y30" s="3"/>
      <c r="Z30" s="8">
        <f t="shared" si="7"/>
        <v>0</v>
      </c>
    </row>
    <row r="31" spans="1:26" s="69" customFormat="1" ht="15" customHeight="1" outlineLevel="1" collapsed="1" x14ac:dyDescent="0.3">
      <c r="A31" s="25"/>
      <c r="B31" s="14" t="str">
        <f>CONCATENATE("     ","*Payroll                                          ")</f>
        <v xml:space="preserve">     *Payroll                                          </v>
      </c>
      <c r="C31" s="14"/>
      <c r="D31" s="2">
        <f>SUM(OSRRefD22_1x_0)</f>
        <v>12205.9</v>
      </c>
      <c r="E31" s="2"/>
      <c r="F31" s="6">
        <f t="shared" si="0"/>
        <v>0.43737771885190097</v>
      </c>
      <c r="G31" s="2"/>
      <c r="H31" s="2">
        <f>SUM(OSRRefH22_1x_0)</f>
        <v>19497.288242307688</v>
      </c>
      <c r="I31" s="2"/>
      <c r="J31" s="6">
        <f t="shared" si="1"/>
        <v>0.49792599643250729</v>
      </c>
      <c r="K31" s="2"/>
      <c r="L31" s="2">
        <f t="shared" si="2"/>
        <v>-7291.3882423076884</v>
      </c>
      <c r="M31" s="2"/>
      <c r="N31" s="6">
        <f t="shared" si="3"/>
        <v>-0.37396935161916056</v>
      </c>
      <c r="O31" s="14"/>
      <c r="P31" s="2">
        <f>SUM(OSRRefP22_1x_0)</f>
        <v>129265.06999999999</v>
      </c>
      <c r="Q31" s="2"/>
      <c r="R31" s="6">
        <f t="shared" si="4"/>
        <v>0.34525465738972499</v>
      </c>
      <c r="S31" s="2"/>
      <c r="T31" s="2">
        <f>SUM(OSRRefT22_1x_0)</f>
        <v>187649.62286249999</v>
      </c>
      <c r="U31" s="2"/>
      <c r="V31" s="6">
        <f t="shared" si="5"/>
        <v>0.38894418564582689</v>
      </c>
      <c r="W31" s="2"/>
      <c r="X31" s="2">
        <f t="shared" si="6"/>
        <v>-58384.552862500001</v>
      </c>
      <c r="Y31" s="2"/>
      <c r="Z31" s="6">
        <f t="shared" si="7"/>
        <v>-0.31113599895311916</v>
      </c>
    </row>
    <row r="32" spans="1:26" s="70" customFormat="1" ht="15" hidden="1" customHeight="1" outlineLevel="2" x14ac:dyDescent="0.3">
      <c r="A32" s="26"/>
      <c r="B32" s="12" t="str">
        <f>CONCATENATE("          ","6001"," - ","ADMINISTRATIVE SALARIES")</f>
        <v xml:space="preserve">          6001 - ADMINISTRATIVE SALARIES</v>
      </c>
      <c r="C32" s="12"/>
      <c r="D32" s="7">
        <v>3959.53</v>
      </c>
      <c r="E32" s="3"/>
      <c r="F32" s="8">
        <f t="shared" si="0"/>
        <v>0.14188304009746661</v>
      </c>
      <c r="G32" s="3"/>
      <c r="H32" s="7">
        <v>4139.8076923076896</v>
      </c>
      <c r="I32" s="3"/>
      <c r="J32" s="8">
        <f t="shared" si="1"/>
        <v>0.10572331108889062</v>
      </c>
      <c r="K32" s="3"/>
      <c r="L32" s="7">
        <f t="shared" si="2"/>
        <v>-180.27769230768945</v>
      </c>
      <c r="M32" s="3"/>
      <c r="N32" s="8">
        <f t="shared" si="3"/>
        <v>-4.3547359130393724E-2</v>
      </c>
      <c r="O32" s="12"/>
      <c r="P32" s="7">
        <v>42077.1</v>
      </c>
      <c r="Q32" s="3"/>
      <c r="R32" s="8">
        <f t="shared" si="4"/>
        <v>0.1123839158130901</v>
      </c>
      <c r="S32" s="3"/>
      <c r="T32" s="7">
        <v>40363.125</v>
      </c>
      <c r="U32" s="3"/>
      <c r="V32" s="8">
        <f t="shared" si="5"/>
        <v>8.3661254116930137E-2</v>
      </c>
      <c r="W32" s="3"/>
      <c r="X32" s="7">
        <f t="shared" si="6"/>
        <v>1713.9749999999985</v>
      </c>
      <c r="Y32" s="3"/>
      <c r="Z32" s="8">
        <f t="shared" si="7"/>
        <v>4.2463882566079768E-2</v>
      </c>
    </row>
    <row r="33" spans="1:26" s="70" customFormat="1" ht="15" hidden="1" customHeight="1" outlineLevel="2" x14ac:dyDescent="0.3">
      <c r="A33" s="26"/>
      <c r="B33" s="12" t="str">
        <f>CONCATENATE("          ","6002"," - ","STAFF SALARIES")</f>
        <v xml:space="preserve">          6002 - STAFF SALARIES</v>
      </c>
      <c r="C33" s="12"/>
      <c r="D33" s="7">
        <v>1632</v>
      </c>
      <c r="E33" s="3"/>
      <c r="F33" s="8">
        <f t="shared" si="0"/>
        <v>5.8479951266707277E-2</v>
      </c>
      <c r="G33" s="3"/>
      <c r="H33" s="7">
        <v>2233.2305500000002</v>
      </c>
      <c r="I33" s="3"/>
      <c r="J33" s="8">
        <f t="shared" si="1"/>
        <v>5.7032728503205052E-2</v>
      </c>
      <c r="K33" s="3"/>
      <c r="L33" s="7">
        <f t="shared" si="2"/>
        <v>-601.23055000000022</v>
      </c>
      <c r="M33" s="3"/>
      <c r="N33" s="8">
        <f t="shared" si="3"/>
        <v>-0.26922009910709854</v>
      </c>
      <c r="O33" s="12"/>
      <c r="P33" s="7">
        <v>16584.57</v>
      </c>
      <c r="Q33" s="3"/>
      <c r="R33" s="8">
        <f t="shared" si="4"/>
        <v>4.4295802673575406E-2</v>
      </c>
      <c r="S33" s="3"/>
      <c r="T33" s="7">
        <v>21773.9978625</v>
      </c>
      <c r="U33" s="3"/>
      <c r="V33" s="8">
        <f t="shared" si="5"/>
        <v>4.5131291700434652E-2</v>
      </c>
      <c r="W33" s="3"/>
      <c r="X33" s="7">
        <f t="shared" si="6"/>
        <v>-5189.4278625000006</v>
      </c>
      <c r="Y33" s="3"/>
      <c r="Z33" s="8">
        <f t="shared" si="7"/>
        <v>-0.23833142150883688</v>
      </c>
    </row>
    <row r="34" spans="1:26" s="70" customFormat="1" ht="15" hidden="1" customHeight="1" outlineLevel="2" x14ac:dyDescent="0.3">
      <c r="A34" s="26"/>
      <c r="B34" s="12" t="str">
        <f>CONCATENATE("          ","6003"," - ","STAFF HOURLY-9 MONTH")</f>
        <v xml:space="preserve">          6003 - STAFF HOURLY-9 MONTH</v>
      </c>
      <c r="C34" s="12"/>
      <c r="D34" s="7"/>
      <c r="E34" s="3"/>
      <c r="F34" s="8">
        <f t="shared" si="0"/>
        <v>0</v>
      </c>
      <c r="G34" s="3"/>
      <c r="H34" s="7">
        <v>0</v>
      </c>
      <c r="I34" s="3"/>
      <c r="J34" s="8">
        <f t="shared" si="1"/>
        <v>0</v>
      </c>
      <c r="K34" s="3"/>
      <c r="L34" s="7">
        <f t="shared" si="2"/>
        <v>0</v>
      </c>
      <c r="M34" s="3"/>
      <c r="N34" s="8">
        <f t="shared" si="3"/>
        <v>0</v>
      </c>
      <c r="O34" s="12"/>
      <c r="P34" s="7"/>
      <c r="Q34" s="3"/>
      <c r="R34" s="8">
        <f t="shared" si="4"/>
        <v>0</v>
      </c>
      <c r="S34" s="3"/>
      <c r="T34" s="7">
        <v>0</v>
      </c>
      <c r="U34" s="3"/>
      <c r="V34" s="8">
        <f t="shared" si="5"/>
        <v>0</v>
      </c>
      <c r="W34" s="3"/>
      <c r="X34" s="7">
        <f t="shared" si="6"/>
        <v>0</v>
      </c>
      <c r="Y34" s="3"/>
      <c r="Z34" s="8">
        <f t="shared" si="7"/>
        <v>0</v>
      </c>
    </row>
    <row r="35" spans="1:26" s="70" customFormat="1" ht="15" hidden="1" customHeight="1" outlineLevel="2" x14ac:dyDescent="0.3">
      <c r="A35" s="26"/>
      <c r="B35" s="12" t="str">
        <f>CONCATENATE("          ","6004"," - ","STAFF HOURLY")</f>
        <v xml:space="preserve">          6004 - STAFF HOURLY</v>
      </c>
      <c r="C35" s="12"/>
      <c r="D35" s="7">
        <v>343.23</v>
      </c>
      <c r="E35" s="3"/>
      <c r="F35" s="8">
        <f t="shared" si="0"/>
        <v>1.2299064750779375E-2</v>
      </c>
      <c r="G35" s="3"/>
      <c r="H35" s="7">
        <v>2088</v>
      </c>
      <c r="I35" s="3"/>
      <c r="J35" s="8">
        <f t="shared" si="1"/>
        <v>5.3323799065301221E-2</v>
      </c>
      <c r="K35" s="3"/>
      <c r="L35" s="7">
        <f t="shared" si="2"/>
        <v>-1744.77</v>
      </c>
      <c r="M35" s="3"/>
      <c r="N35" s="8">
        <f t="shared" si="3"/>
        <v>-0.83561781609195407</v>
      </c>
      <c r="O35" s="12"/>
      <c r="P35" s="7">
        <v>10840.47</v>
      </c>
      <c r="Q35" s="3"/>
      <c r="R35" s="8">
        <f t="shared" si="4"/>
        <v>2.8953860124731237E-2</v>
      </c>
      <c r="S35" s="3"/>
      <c r="T35" s="7">
        <v>19836</v>
      </c>
      <c r="U35" s="3"/>
      <c r="V35" s="8">
        <f t="shared" si="5"/>
        <v>4.1114374485707594E-2</v>
      </c>
      <c r="W35" s="3"/>
      <c r="X35" s="7">
        <f t="shared" si="6"/>
        <v>-8995.5300000000007</v>
      </c>
      <c r="Y35" s="3"/>
      <c r="Z35" s="8">
        <f t="shared" si="7"/>
        <v>-0.45349516031457959</v>
      </c>
    </row>
    <row r="36" spans="1:26" s="70" customFormat="1" ht="15" hidden="1" customHeight="1" outlineLevel="2" x14ac:dyDescent="0.3">
      <c r="A36" s="26"/>
      <c r="B36" s="12" t="str">
        <f>CONCATENATE("          ","6005"," - ","TEMPORARY WAGES-HOURLY")</f>
        <v xml:space="preserve">          6005 - TEMPORARY WAGES-HOURLY</v>
      </c>
      <c r="C36" s="12"/>
      <c r="D36" s="7">
        <v>2736.04</v>
      </c>
      <c r="E36" s="3"/>
      <c r="F36" s="8">
        <f t="shared" si="0"/>
        <v>9.8041351632206966E-2</v>
      </c>
      <c r="G36" s="3"/>
      <c r="H36" s="7">
        <v>0</v>
      </c>
      <c r="I36" s="3"/>
      <c r="J36" s="8">
        <f t="shared" si="1"/>
        <v>0</v>
      </c>
      <c r="K36" s="3"/>
      <c r="L36" s="7">
        <f t="shared" si="2"/>
        <v>2736.04</v>
      </c>
      <c r="M36" s="3"/>
      <c r="N36" s="8">
        <f t="shared" si="3"/>
        <v>0</v>
      </c>
      <c r="O36" s="12"/>
      <c r="P36" s="7">
        <v>48371.23</v>
      </c>
      <c r="Q36" s="3"/>
      <c r="R36" s="8">
        <f t="shared" si="4"/>
        <v>0.12919493596506457</v>
      </c>
      <c r="S36" s="3"/>
      <c r="T36" s="7">
        <v>0</v>
      </c>
      <c r="U36" s="3"/>
      <c r="V36" s="8">
        <f t="shared" si="5"/>
        <v>0</v>
      </c>
      <c r="W36" s="3"/>
      <c r="X36" s="7">
        <f t="shared" si="6"/>
        <v>48371.23</v>
      </c>
      <c r="Y36" s="3"/>
      <c r="Z36" s="8">
        <f t="shared" si="7"/>
        <v>0</v>
      </c>
    </row>
    <row r="37" spans="1:26" s="70" customFormat="1" ht="15" hidden="1" customHeight="1" outlineLevel="2" x14ac:dyDescent="0.3">
      <c r="A37" s="26"/>
      <c r="B37" s="12" t="str">
        <f>CONCATENATE("          ","6006"," - ","TEMPORARY PART TIME")</f>
        <v xml:space="preserve">          6006 - TEMPORARY PART TIME</v>
      </c>
      <c r="C37" s="12"/>
      <c r="D37" s="7"/>
      <c r="E37" s="3"/>
      <c r="F37" s="8">
        <f t="shared" si="0"/>
        <v>0</v>
      </c>
      <c r="G37" s="3"/>
      <c r="H37" s="7">
        <v>0</v>
      </c>
      <c r="I37" s="3"/>
      <c r="J37" s="8">
        <f t="shared" si="1"/>
        <v>0</v>
      </c>
      <c r="K37" s="3"/>
      <c r="L37" s="7">
        <f t="shared" si="2"/>
        <v>0</v>
      </c>
      <c r="M37" s="3"/>
      <c r="N37" s="8">
        <f t="shared" si="3"/>
        <v>0</v>
      </c>
      <c r="O37" s="12"/>
      <c r="P37" s="7"/>
      <c r="Q37" s="3"/>
      <c r="R37" s="8">
        <f t="shared" si="4"/>
        <v>0</v>
      </c>
      <c r="S37" s="3"/>
      <c r="T37" s="7">
        <v>0</v>
      </c>
      <c r="U37" s="3"/>
      <c r="V37" s="8">
        <f t="shared" si="5"/>
        <v>0</v>
      </c>
      <c r="W37" s="3"/>
      <c r="X37" s="7">
        <f t="shared" si="6"/>
        <v>0</v>
      </c>
      <c r="Y37" s="3"/>
      <c r="Z37" s="8">
        <f t="shared" si="7"/>
        <v>0</v>
      </c>
    </row>
    <row r="38" spans="1:26" s="70" customFormat="1" ht="15" hidden="1" customHeight="1" outlineLevel="2" x14ac:dyDescent="0.3">
      <c r="A38" s="26"/>
      <c r="B38" s="12" t="str">
        <f>CONCATENATE("          ","6007"," - ","STUDENT HOURLY")</f>
        <v xml:space="preserve">          6007 - STUDENT HOURLY</v>
      </c>
      <c r="C38" s="12"/>
      <c r="D38" s="7">
        <v>3535.1</v>
      </c>
      <c r="E38" s="3"/>
      <c r="F38" s="8">
        <f t="shared" si="0"/>
        <v>0.12667431110474076</v>
      </c>
      <c r="G38" s="3"/>
      <c r="H38" s="7">
        <v>0</v>
      </c>
      <c r="I38" s="3"/>
      <c r="J38" s="8">
        <f t="shared" si="1"/>
        <v>0</v>
      </c>
      <c r="K38" s="3"/>
      <c r="L38" s="7">
        <f t="shared" si="2"/>
        <v>3535.1</v>
      </c>
      <c r="M38" s="3"/>
      <c r="N38" s="8">
        <f t="shared" si="3"/>
        <v>0</v>
      </c>
      <c r="O38" s="12"/>
      <c r="P38" s="7">
        <v>11227.48</v>
      </c>
      <c r="Q38" s="3"/>
      <c r="R38" s="8">
        <f t="shared" si="4"/>
        <v>2.9987526875976549E-2</v>
      </c>
      <c r="S38" s="3"/>
      <c r="T38" s="7">
        <v>25987.5</v>
      </c>
      <c r="U38" s="3"/>
      <c r="V38" s="8">
        <f t="shared" si="5"/>
        <v>5.3864680729346949E-2</v>
      </c>
      <c r="W38" s="3"/>
      <c r="X38" s="7">
        <f t="shared" si="6"/>
        <v>-14760.02</v>
      </c>
      <c r="Y38" s="3"/>
      <c r="Z38" s="8">
        <f t="shared" si="7"/>
        <v>-0.56796613756613756</v>
      </c>
    </row>
    <row r="39" spans="1:26" s="70" customFormat="1" ht="15" hidden="1" customHeight="1" outlineLevel="2" x14ac:dyDescent="0.3">
      <c r="A39" s="26"/>
      <c r="B39" s="12" t="str">
        <f>CONCATENATE("          ","6008"," - ","STUDENT HOURLY-FICA EXEMPT")</f>
        <v xml:space="preserve">          6008 - STUDENT HOURLY-FICA EXEMPT</v>
      </c>
      <c r="C39" s="12"/>
      <c r="D39" s="7"/>
      <c r="E39" s="3"/>
      <c r="F39" s="8">
        <f t="shared" si="0"/>
        <v>0</v>
      </c>
      <c r="G39" s="3"/>
      <c r="H39" s="7">
        <v>11036.25</v>
      </c>
      <c r="I39" s="3"/>
      <c r="J39" s="8">
        <f t="shared" si="1"/>
        <v>0.28184615777511046</v>
      </c>
      <c r="K39" s="3"/>
      <c r="L39" s="7">
        <f t="shared" si="2"/>
        <v>-11036.25</v>
      </c>
      <c r="M39" s="3"/>
      <c r="N39" s="8">
        <f t="shared" si="3"/>
        <v>-1</v>
      </c>
      <c r="O39" s="12"/>
      <c r="P39" s="7">
        <v>164.22</v>
      </c>
      <c r="Q39" s="3"/>
      <c r="R39" s="8">
        <f t="shared" si="4"/>
        <v>4.3861593728716227E-4</v>
      </c>
      <c r="S39" s="3"/>
      <c r="T39" s="7">
        <v>79689</v>
      </c>
      <c r="U39" s="3"/>
      <c r="V39" s="8">
        <f t="shared" si="5"/>
        <v>0.16517258461340756</v>
      </c>
      <c r="W39" s="3"/>
      <c r="X39" s="7">
        <f t="shared" si="6"/>
        <v>-79524.78</v>
      </c>
      <c r="Y39" s="3"/>
      <c r="Z39" s="8">
        <f t="shared" si="7"/>
        <v>-0.99793923879079927</v>
      </c>
    </row>
    <row r="40" spans="1:26" s="70" customFormat="1" ht="15" hidden="1" customHeight="1" outlineLevel="2" x14ac:dyDescent="0.3">
      <c r="A40" s="26"/>
      <c r="B40" s="12" t="str">
        <f>CONCATENATE("          ","6009"," - ","TEMPORARY-SEASONAL")</f>
        <v xml:space="preserve">          6009 - TEMPORARY-SEASONAL</v>
      </c>
      <c r="C40" s="12"/>
      <c r="D40" s="7"/>
      <c r="E40" s="3"/>
      <c r="F40" s="8">
        <f t="shared" si="0"/>
        <v>0</v>
      </c>
      <c r="G40" s="3"/>
      <c r="H40" s="7">
        <v>0</v>
      </c>
      <c r="I40" s="3"/>
      <c r="J40" s="8">
        <f t="shared" si="1"/>
        <v>0</v>
      </c>
      <c r="K40" s="3"/>
      <c r="L40" s="7">
        <f t="shared" si="2"/>
        <v>0</v>
      </c>
      <c r="M40" s="3"/>
      <c r="N40" s="8">
        <f t="shared" si="3"/>
        <v>0</v>
      </c>
      <c r="O40" s="12"/>
      <c r="P40" s="7"/>
      <c r="Q40" s="3"/>
      <c r="R40" s="8">
        <f t="shared" si="4"/>
        <v>0</v>
      </c>
      <c r="S40" s="3"/>
      <c r="T40" s="7">
        <v>0</v>
      </c>
      <c r="U40" s="3"/>
      <c r="V40" s="8">
        <f t="shared" si="5"/>
        <v>0</v>
      </c>
      <c r="W40" s="3"/>
      <c r="X40" s="7">
        <f t="shared" si="6"/>
        <v>0</v>
      </c>
      <c r="Y40" s="3"/>
      <c r="Z40" s="8">
        <f t="shared" si="7"/>
        <v>0</v>
      </c>
    </row>
    <row r="41" spans="1:26" s="70" customFormat="1" ht="15" hidden="1" customHeight="1" outlineLevel="2" x14ac:dyDescent="0.3">
      <c r="A41" s="26"/>
      <c r="B41" s="12" t="str">
        <f>CONCATENATE("          ","6010"," - ","GRATUITY")</f>
        <v xml:space="preserve">          6010 - GRATUITY</v>
      </c>
      <c r="C41" s="12"/>
      <c r="D41" s="7"/>
      <c r="E41" s="3"/>
      <c r="F41" s="8">
        <f t="shared" si="0"/>
        <v>0</v>
      </c>
      <c r="G41" s="3"/>
      <c r="H41" s="7">
        <v>0</v>
      </c>
      <c r="I41" s="3"/>
      <c r="J41" s="8">
        <f t="shared" si="1"/>
        <v>0</v>
      </c>
      <c r="K41" s="3"/>
      <c r="L41" s="7">
        <f t="shared" si="2"/>
        <v>0</v>
      </c>
      <c r="M41" s="3"/>
      <c r="N41" s="8">
        <f t="shared" si="3"/>
        <v>0</v>
      </c>
      <c r="O41" s="12"/>
      <c r="P41" s="7"/>
      <c r="Q41" s="3"/>
      <c r="R41" s="8">
        <f t="shared" si="4"/>
        <v>0</v>
      </c>
      <c r="S41" s="3"/>
      <c r="T41" s="7">
        <v>0</v>
      </c>
      <c r="U41" s="3"/>
      <c r="V41" s="8">
        <f t="shared" si="5"/>
        <v>0</v>
      </c>
      <c r="W41" s="3"/>
      <c r="X41" s="7">
        <f t="shared" si="6"/>
        <v>0</v>
      </c>
      <c r="Y41" s="3"/>
      <c r="Z41" s="8">
        <f t="shared" si="7"/>
        <v>0</v>
      </c>
    </row>
    <row r="42" spans="1:26" s="69" customFormat="1" ht="15" customHeight="1" outlineLevel="1" collapsed="1" x14ac:dyDescent="0.3">
      <c r="A42" s="25"/>
      <c r="B42" s="14" t="str">
        <f>CONCATENATE("     ","Advertising/Promo                                 ")</f>
        <v xml:space="preserve">     Advertising/Promo                                 </v>
      </c>
      <c r="C42" s="14"/>
      <c r="D42" s="2">
        <f>SUM(OSRRefD22_2x_0)</f>
        <v>138.72</v>
      </c>
      <c r="E42" s="2"/>
      <c r="F42" s="6">
        <f t="shared" si="0"/>
        <v>4.9707958576701182E-3</v>
      </c>
      <c r="G42" s="2"/>
      <c r="H42" s="2">
        <f>SUM(OSRRefH22_2x_0)</f>
        <v>100</v>
      </c>
      <c r="I42" s="2"/>
      <c r="J42" s="6">
        <f t="shared" si="1"/>
        <v>2.5538217943151926E-3</v>
      </c>
      <c r="K42" s="2"/>
      <c r="L42" s="2">
        <f t="shared" si="2"/>
        <v>38.72</v>
      </c>
      <c r="M42" s="2"/>
      <c r="N42" s="6">
        <f t="shared" si="3"/>
        <v>0.38719999999999999</v>
      </c>
      <c r="O42" s="14"/>
      <c r="P42" s="2">
        <f>SUM(OSRRefP22_2x_0)</f>
        <v>251.18</v>
      </c>
      <c r="Q42" s="2"/>
      <c r="R42" s="6">
        <f t="shared" si="4"/>
        <v>6.7087779276451967E-4</v>
      </c>
      <c r="S42" s="2"/>
      <c r="T42" s="2">
        <f>SUM(OSRRefT22_2x_0)</f>
        <v>900</v>
      </c>
      <c r="U42" s="2"/>
      <c r="V42" s="6">
        <f t="shared" si="5"/>
        <v>1.8654434884622321E-3</v>
      </c>
      <c r="W42" s="2"/>
      <c r="X42" s="2">
        <f t="shared" si="6"/>
        <v>-648.81999999999994</v>
      </c>
      <c r="Y42" s="2"/>
      <c r="Z42" s="6">
        <f t="shared" si="7"/>
        <v>-0.72091111111111106</v>
      </c>
    </row>
    <row r="43" spans="1:26" s="70" customFormat="1" ht="15" hidden="1" customHeight="1" outlineLevel="2" x14ac:dyDescent="0.3">
      <c r="A43" s="26"/>
      <c r="B43" s="12" t="str">
        <f>CONCATENATE("          ","6362"," - ","ADVERTISING EXPENSE")</f>
        <v xml:space="preserve">          6362 - ADVERTISING EXPENSE</v>
      </c>
      <c r="C43" s="12"/>
      <c r="D43" s="7">
        <v>138.72</v>
      </c>
      <c r="E43" s="3"/>
      <c r="F43" s="8">
        <f t="shared" si="0"/>
        <v>4.9707958576701182E-3</v>
      </c>
      <c r="G43" s="3"/>
      <c r="H43" s="7">
        <v>100</v>
      </c>
      <c r="I43" s="3"/>
      <c r="J43" s="8">
        <f t="shared" si="1"/>
        <v>2.5538217943151926E-3</v>
      </c>
      <c r="K43" s="3"/>
      <c r="L43" s="7">
        <f t="shared" si="2"/>
        <v>38.72</v>
      </c>
      <c r="M43" s="3"/>
      <c r="N43" s="8">
        <f t="shared" si="3"/>
        <v>0.38719999999999999</v>
      </c>
      <c r="O43" s="12"/>
      <c r="P43" s="7">
        <v>251.18</v>
      </c>
      <c r="Q43" s="3"/>
      <c r="R43" s="8">
        <f t="shared" si="4"/>
        <v>6.7087779276451967E-4</v>
      </c>
      <c r="S43" s="3"/>
      <c r="T43" s="7">
        <v>900</v>
      </c>
      <c r="U43" s="3"/>
      <c r="V43" s="8">
        <f t="shared" si="5"/>
        <v>1.8654434884622321E-3</v>
      </c>
      <c r="W43" s="3"/>
      <c r="X43" s="7">
        <f t="shared" si="6"/>
        <v>-648.81999999999994</v>
      </c>
      <c r="Y43" s="3"/>
      <c r="Z43" s="8">
        <f t="shared" si="7"/>
        <v>-0.72091111111111106</v>
      </c>
    </row>
    <row r="44" spans="1:26" s="69" customFormat="1" ht="15" customHeight="1" outlineLevel="1" collapsed="1" x14ac:dyDescent="0.3">
      <c r="A44" s="25"/>
      <c r="B44" s="14" t="str">
        <f>CONCATENATE("     ","Bank/card Fees                                    ")</f>
        <v xml:space="preserve">     Bank/card Fees                                    </v>
      </c>
      <c r="C44" s="14"/>
      <c r="D44" s="2">
        <f>SUM(OSRRefD22_3x_0)</f>
        <v>662.05</v>
      </c>
      <c r="E44" s="2"/>
      <c r="F44" s="6">
        <f t="shared" si="0"/>
        <v>2.3723438563801196E-2</v>
      </c>
      <c r="G44" s="2"/>
      <c r="H44" s="2">
        <f>SUM(OSRRefH22_3x_0)</f>
        <v>1250</v>
      </c>
      <c r="I44" s="2"/>
      <c r="J44" s="6">
        <f t="shared" si="1"/>
        <v>3.1922772428939906E-2</v>
      </c>
      <c r="K44" s="2"/>
      <c r="L44" s="2">
        <f t="shared" si="2"/>
        <v>-587.95000000000005</v>
      </c>
      <c r="M44" s="2"/>
      <c r="N44" s="6">
        <f t="shared" si="3"/>
        <v>-0.47036000000000006</v>
      </c>
      <c r="O44" s="14"/>
      <c r="P44" s="2">
        <f>SUM(OSRRefP22_3x_0)</f>
        <v>3434.23</v>
      </c>
      <c r="Q44" s="2"/>
      <c r="R44" s="6">
        <f t="shared" si="4"/>
        <v>9.1725003672493699E-3</v>
      </c>
      <c r="S44" s="2"/>
      <c r="T44" s="2">
        <f>SUM(OSRRefT22_3x_0)</f>
        <v>11250</v>
      </c>
      <c r="U44" s="2"/>
      <c r="V44" s="6">
        <f t="shared" si="5"/>
        <v>2.33180436057779E-2</v>
      </c>
      <c r="W44" s="2"/>
      <c r="X44" s="2">
        <f t="shared" si="6"/>
        <v>-7815.77</v>
      </c>
      <c r="Y44" s="2"/>
      <c r="Z44" s="6">
        <f t="shared" si="7"/>
        <v>-0.69473511111111119</v>
      </c>
    </row>
    <row r="45" spans="1:26" s="70" customFormat="1" ht="15" hidden="1" customHeight="1" outlineLevel="2" x14ac:dyDescent="0.3">
      <c r="A45" s="26"/>
      <c r="B45" s="12" t="str">
        <f>CONCATENATE("          ","6381"," - ","BANK/CREDIT CARD FEES")</f>
        <v xml:space="preserve">          6381 - BANK/CREDIT CARD FEES</v>
      </c>
      <c r="C45" s="12"/>
      <c r="D45" s="7">
        <v>662.05</v>
      </c>
      <c r="E45" s="3"/>
      <c r="F45" s="8">
        <f t="shared" si="0"/>
        <v>2.3723438563801196E-2</v>
      </c>
      <c r="G45" s="3"/>
      <c r="H45" s="7">
        <v>1250</v>
      </c>
      <c r="I45" s="3"/>
      <c r="J45" s="8">
        <f t="shared" si="1"/>
        <v>3.1922772428939906E-2</v>
      </c>
      <c r="K45" s="3"/>
      <c r="L45" s="7">
        <f t="shared" si="2"/>
        <v>-587.95000000000005</v>
      </c>
      <c r="M45" s="3"/>
      <c r="N45" s="8">
        <f t="shared" si="3"/>
        <v>-0.47036000000000006</v>
      </c>
      <c r="O45" s="12"/>
      <c r="P45" s="7">
        <v>3434.23</v>
      </c>
      <c r="Q45" s="3"/>
      <c r="R45" s="8">
        <f t="shared" si="4"/>
        <v>9.1725003672493699E-3</v>
      </c>
      <c r="S45" s="3"/>
      <c r="T45" s="7">
        <v>11250</v>
      </c>
      <c r="U45" s="3"/>
      <c r="V45" s="8">
        <f t="shared" si="5"/>
        <v>2.33180436057779E-2</v>
      </c>
      <c r="W45" s="3"/>
      <c r="X45" s="7">
        <f t="shared" si="6"/>
        <v>-7815.77</v>
      </c>
      <c r="Y45" s="3"/>
      <c r="Z45" s="8">
        <f t="shared" si="7"/>
        <v>-0.69473511111111119</v>
      </c>
    </row>
    <row r="46" spans="1:26" s="69" customFormat="1" ht="15" customHeight="1" outlineLevel="1" collapsed="1" x14ac:dyDescent="0.3">
      <c r="A46" s="25"/>
      <c r="B46" s="14" t="str">
        <f>CONCATENATE("     ","Employees' Appreciation                           ")</f>
        <v xml:space="preserve">     Employees' Appreciation                           </v>
      </c>
      <c r="C46" s="14"/>
      <c r="D46" s="2">
        <f>SUM(OSRRefD22_4x_0)</f>
        <v>0</v>
      </c>
      <c r="E46" s="2"/>
      <c r="F46" s="6">
        <f t="shared" si="0"/>
        <v>0</v>
      </c>
      <c r="G46" s="2"/>
      <c r="H46" s="2">
        <f>SUM(OSRRefH22_4x_0)</f>
        <v>20</v>
      </c>
      <c r="I46" s="2"/>
      <c r="J46" s="6">
        <f t="shared" si="1"/>
        <v>5.1076435886303849E-4</v>
      </c>
      <c r="K46" s="2"/>
      <c r="L46" s="2">
        <f t="shared" si="2"/>
        <v>-20</v>
      </c>
      <c r="M46" s="2"/>
      <c r="N46" s="6">
        <f t="shared" si="3"/>
        <v>-1</v>
      </c>
      <c r="O46" s="14"/>
      <c r="P46" s="2">
        <f>SUM(OSRRefP22_4x_0)</f>
        <v>0</v>
      </c>
      <c r="Q46" s="2"/>
      <c r="R46" s="6">
        <f t="shared" si="4"/>
        <v>0</v>
      </c>
      <c r="S46" s="2"/>
      <c r="T46" s="2">
        <f>SUM(OSRRefT22_4x_0)</f>
        <v>180</v>
      </c>
      <c r="U46" s="2"/>
      <c r="V46" s="6">
        <f t="shared" si="5"/>
        <v>3.7308869769244639E-4</v>
      </c>
      <c r="W46" s="2"/>
      <c r="X46" s="2">
        <f t="shared" si="6"/>
        <v>-180</v>
      </c>
      <c r="Y46" s="2"/>
      <c r="Z46" s="6">
        <f t="shared" si="7"/>
        <v>-1</v>
      </c>
    </row>
    <row r="47" spans="1:26" s="70" customFormat="1" ht="15" hidden="1" customHeight="1" outlineLevel="2" x14ac:dyDescent="0.3">
      <c r="A47" s="26"/>
      <c r="B47" s="12" t="str">
        <f>CONCATENATE("          ","6277"," - ","EMPLOYEE APPRECIATION")</f>
        <v xml:space="preserve">          6277 - EMPLOYEE APPRECIATION</v>
      </c>
      <c r="C47" s="12"/>
      <c r="D47" s="7"/>
      <c r="E47" s="3"/>
      <c r="F47" s="8">
        <f t="shared" si="0"/>
        <v>0</v>
      </c>
      <c r="G47" s="3"/>
      <c r="H47" s="7">
        <v>20</v>
      </c>
      <c r="I47" s="3"/>
      <c r="J47" s="8">
        <f t="shared" si="1"/>
        <v>5.1076435886303849E-4</v>
      </c>
      <c r="K47" s="3"/>
      <c r="L47" s="7">
        <f t="shared" si="2"/>
        <v>-20</v>
      </c>
      <c r="M47" s="3"/>
      <c r="N47" s="8">
        <f t="shared" si="3"/>
        <v>-1</v>
      </c>
      <c r="O47" s="12"/>
      <c r="P47" s="7"/>
      <c r="Q47" s="3"/>
      <c r="R47" s="8">
        <f t="shared" si="4"/>
        <v>0</v>
      </c>
      <c r="S47" s="3"/>
      <c r="T47" s="7">
        <v>180</v>
      </c>
      <c r="U47" s="3"/>
      <c r="V47" s="8">
        <f t="shared" si="5"/>
        <v>3.7308869769244639E-4</v>
      </c>
      <c r="W47" s="3"/>
      <c r="X47" s="7">
        <f t="shared" si="6"/>
        <v>-180</v>
      </c>
      <c r="Y47" s="3"/>
      <c r="Z47" s="8">
        <f t="shared" si="7"/>
        <v>-1</v>
      </c>
    </row>
    <row r="48" spans="1:26" s="69" customFormat="1" ht="15" customHeight="1" outlineLevel="1" collapsed="1" x14ac:dyDescent="0.3">
      <c r="A48" s="25"/>
      <c r="B48" s="14" t="str">
        <f>CONCATENATE("     ","Freight out/Postage                               ")</f>
        <v xml:space="preserve">     Freight out/Postage                               </v>
      </c>
      <c r="C48" s="14"/>
      <c r="D48" s="2">
        <f>SUM(OSRRefD22_5x_0)</f>
        <v>0</v>
      </c>
      <c r="E48" s="2"/>
      <c r="F48" s="6">
        <f t="shared" si="0"/>
        <v>0</v>
      </c>
      <c r="G48" s="2"/>
      <c r="H48" s="2">
        <f>SUM(OSRRefH22_5x_0)</f>
        <v>10</v>
      </c>
      <c r="I48" s="2"/>
      <c r="J48" s="6">
        <f t="shared" si="1"/>
        <v>2.5538217943151925E-4</v>
      </c>
      <c r="K48" s="2"/>
      <c r="L48" s="2">
        <f t="shared" si="2"/>
        <v>-10</v>
      </c>
      <c r="M48" s="2"/>
      <c r="N48" s="6">
        <f t="shared" si="3"/>
        <v>-1</v>
      </c>
      <c r="O48" s="14"/>
      <c r="P48" s="2">
        <f>SUM(OSRRefP22_5x_0)</f>
        <v>0.62</v>
      </c>
      <c r="Q48" s="2"/>
      <c r="R48" s="6">
        <f t="shared" si="4"/>
        <v>1.6559607911219135E-6</v>
      </c>
      <c r="S48" s="2"/>
      <c r="T48" s="2">
        <f>SUM(OSRRefT22_5x_0)</f>
        <v>90</v>
      </c>
      <c r="U48" s="2"/>
      <c r="V48" s="6">
        <f t="shared" si="5"/>
        <v>1.865443488462232E-4</v>
      </c>
      <c r="W48" s="2"/>
      <c r="X48" s="2">
        <f t="shared" si="6"/>
        <v>-89.38</v>
      </c>
      <c r="Y48" s="2"/>
      <c r="Z48" s="6">
        <f t="shared" si="7"/>
        <v>-0.99311111111111106</v>
      </c>
    </row>
    <row r="49" spans="1:26" s="70" customFormat="1" ht="15" hidden="1" customHeight="1" outlineLevel="2" x14ac:dyDescent="0.3">
      <c r="A49" s="26"/>
      <c r="B49" s="12" t="str">
        <f>CONCATENATE("          ","6305"," - ","FREIGHT OUT")</f>
        <v xml:space="preserve">          6305 - FREIGHT OUT</v>
      </c>
      <c r="C49" s="12"/>
      <c r="D49" s="7"/>
      <c r="E49" s="3"/>
      <c r="F49" s="8">
        <f t="shared" si="0"/>
        <v>0</v>
      </c>
      <c r="G49" s="3"/>
      <c r="H49" s="7"/>
      <c r="I49" s="3"/>
      <c r="J49" s="8">
        <f t="shared" si="1"/>
        <v>0</v>
      </c>
      <c r="K49" s="3"/>
      <c r="L49" s="7">
        <f t="shared" si="2"/>
        <v>0</v>
      </c>
      <c r="M49" s="3"/>
      <c r="N49" s="8">
        <f t="shared" si="3"/>
        <v>0</v>
      </c>
      <c r="O49" s="12"/>
      <c r="P49" s="7">
        <v>0.62</v>
      </c>
      <c r="Q49" s="3"/>
      <c r="R49" s="8">
        <f t="shared" si="4"/>
        <v>1.6559607911219135E-6</v>
      </c>
      <c r="S49" s="3"/>
      <c r="T49" s="7"/>
      <c r="U49" s="3"/>
      <c r="V49" s="8">
        <f t="shared" si="5"/>
        <v>0</v>
      </c>
      <c r="W49" s="3"/>
      <c r="X49" s="7">
        <f t="shared" si="6"/>
        <v>0.62</v>
      </c>
      <c r="Y49" s="3"/>
      <c r="Z49" s="8">
        <f t="shared" si="7"/>
        <v>0</v>
      </c>
    </row>
    <row r="50" spans="1:26" s="70" customFormat="1" ht="15" hidden="1" customHeight="1" outlineLevel="2" x14ac:dyDescent="0.3">
      <c r="A50" s="26"/>
      <c r="B50" s="12" t="str">
        <f>CONCATENATE("          ","6307"," - ","POSTAGE")</f>
        <v xml:space="preserve">          6307 - POSTAGE</v>
      </c>
      <c r="C50" s="12"/>
      <c r="D50" s="7"/>
      <c r="E50" s="3"/>
      <c r="F50" s="8">
        <f t="shared" si="0"/>
        <v>0</v>
      </c>
      <c r="G50" s="3"/>
      <c r="H50" s="7">
        <v>10</v>
      </c>
      <c r="I50" s="3"/>
      <c r="J50" s="8">
        <f t="shared" si="1"/>
        <v>2.5538217943151925E-4</v>
      </c>
      <c r="K50" s="3"/>
      <c r="L50" s="7">
        <f t="shared" si="2"/>
        <v>-10</v>
      </c>
      <c r="M50" s="3"/>
      <c r="N50" s="8">
        <f t="shared" si="3"/>
        <v>-1</v>
      </c>
      <c r="O50" s="12"/>
      <c r="P50" s="7"/>
      <c r="Q50" s="3"/>
      <c r="R50" s="8">
        <f t="shared" si="4"/>
        <v>0</v>
      </c>
      <c r="S50" s="3"/>
      <c r="T50" s="7">
        <v>90</v>
      </c>
      <c r="U50" s="3"/>
      <c r="V50" s="8">
        <f t="shared" si="5"/>
        <v>1.865443488462232E-4</v>
      </c>
      <c r="W50" s="3"/>
      <c r="X50" s="7">
        <f t="shared" si="6"/>
        <v>-90</v>
      </c>
      <c r="Y50" s="3"/>
      <c r="Z50" s="8">
        <f t="shared" si="7"/>
        <v>-1</v>
      </c>
    </row>
    <row r="51" spans="1:26" s="69" customFormat="1" ht="15" customHeight="1" outlineLevel="1" collapsed="1" x14ac:dyDescent="0.3">
      <c r="A51" s="25"/>
      <c r="B51" s="14" t="str">
        <f>CONCATENATE("     ","General                                           ")</f>
        <v xml:space="preserve">     General                                           </v>
      </c>
      <c r="C51" s="14"/>
      <c r="D51" s="2">
        <f>SUM(OSRRefD22_6x_0)</f>
        <v>0</v>
      </c>
      <c r="E51" s="2"/>
      <c r="F51" s="6">
        <f t="shared" ref="F51:F70" si="8">IF(D$12=0,0,D51/D$12)</f>
        <v>0</v>
      </c>
      <c r="G51" s="2"/>
      <c r="H51" s="2">
        <f>SUM(OSRRefH22_6x_0)</f>
        <v>50</v>
      </c>
      <c r="I51" s="2"/>
      <c r="J51" s="6">
        <f t="shared" ref="J51:J70" si="9">IF(H$12=0,0,H51/H$12)</f>
        <v>1.2769108971575963E-3</v>
      </c>
      <c r="K51" s="2"/>
      <c r="L51" s="2">
        <f t="shared" ref="L51:L70" si="10">+D51-H51</f>
        <v>-50</v>
      </c>
      <c r="M51" s="2"/>
      <c r="N51" s="6">
        <f t="shared" ref="N51:N70" si="11">IF(H51=0,0,L51/H51)</f>
        <v>-1</v>
      </c>
      <c r="O51" s="14"/>
      <c r="P51" s="2">
        <f>SUM(OSRRefP22_6x_0)</f>
        <v>0</v>
      </c>
      <c r="Q51" s="2"/>
      <c r="R51" s="6">
        <f t="shared" ref="R51:R70" si="12">IF(P$12=0,0,P51/P$12)</f>
        <v>0</v>
      </c>
      <c r="S51" s="2"/>
      <c r="T51" s="2">
        <f>SUM(OSRRefT22_6x_0)</f>
        <v>450</v>
      </c>
      <c r="U51" s="2"/>
      <c r="V51" s="6">
        <f t="shared" ref="V51:V70" si="13">IF(T$12=0,0,T51/T$12)</f>
        <v>9.3272174423111604E-4</v>
      </c>
      <c r="W51" s="2"/>
      <c r="X51" s="2">
        <f t="shared" ref="X51:X70" si="14">+P51-T51</f>
        <v>-450</v>
      </c>
      <c r="Y51" s="2"/>
      <c r="Z51" s="6">
        <f t="shared" ref="Z51:Z70" si="15">IF(T51=0,0,X51/T51)</f>
        <v>-1</v>
      </c>
    </row>
    <row r="52" spans="1:26" s="70" customFormat="1" ht="15" hidden="1" customHeight="1" outlineLevel="2" x14ac:dyDescent="0.3">
      <c r="A52" s="26"/>
      <c r="B52" s="12" t="str">
        <f>CONCATENATE("          ","6279"," - ","GENERAL EXPENSE")</f>
        <v xml:space="preserve">          6279 - GENERAL EXPENSE</v>
      </c>
      <c r="C52" s="12"/>
      <c r="D52" s="7"/>
      <c r="E52" s="3"/>
      <c r="F52" s="8">
        <f t="shared" si="8"/>
        <v>0</v>
      </c>
      <c r="G52" s="3"/>
      <c r="H52" s="7">
        <v>50</v>
      </c>
      <c r="I52" s="3"/>
      <c r="J52" s="8">
        <f t="shared" si="9"/>
        <v>1.2769108971575963E-3</v>
      </c>
      <c r="K52" s="3"/>
      <c r="L52" s="7">
        <f t="shared" si="10"/>
        <v>-50</v>
      </c>
      <c r="M52" s="3"/>
      <c r="N52" s="8">
        <f t="shared" si="11"/>
        <v>-1</v>
      </c>
      <c r="O52" s="12"/>
      <c r="P52" s="7"/>
      <c r="Q52" s="3"/>
      <c r="R52" s="8">
        <f t="shared" si="12"/>
        <v>0</v>
      </c>
      <c r="S52" s="3"/>
      <c r="T52" s="7">
        <v>450</v>
      </c>
      <c r="U52" s="3"/>
      <c r="V52" s="8">
        <f t="shared" si="13"/>
        <v>9.3272174423111604E-4</v>
      </c>
      <c r="W52" s="3"/>
      <c r="X52" s="7">
        <f t="shared" si="14"/>
        <v>-450</v>
      </c>
      <c r="Y52" s="3"/>
      <c r="Z52" s="8">
        <f t="shared" si="15"/>
        <v>-1</v>
      </c>
    </row>
    <row r="53" spans="1:26" s="69" customFormat="1" ht="15" customHeight="1" outlineLevel="1" collapsed="1" x14ac:dyDescent="0.3">
      <c r="A53" s="25"/>
      <c r="B53" s="14" t="str">
        <f>CONCATENATE("     ","Insurance                                         ")</f>
        <v xml:space="preserve">     Insurance                                         </v>
      </c>
      <c r="C53" s="14"/>
      <c r="D53" s="2">
        <f>SUM(OSRRefD22_7x_0)</f>
        <v>39.43</v>
      </c>
      <c r="E53" s="2"/>
      <c r="F53" s="6">
        <f t="shared" si="8"/>
        <v>1.4129071559107033E-3</v>
      </c>
      <c r="G53" s="2"/>
      <c r="H53" s="2">
        <f>SUM(OSRRefH22_7x_0)</f>
        <v>40</v>
      </c>
      <c r="I53" s="2"/>
      <c r="J53" s="6">
        <f t="shared" si="9"/>
        <v>1.021528717726077E-3</v>
      </c>
      <c r="K53" s="2"/>
      <c r="L53" s="2">
        <f t="shared" si="10"/>
        <v>-0.57000000000000028</v>
      </c>
      <c r="M53" s="2"/>
      <c r="N53" s="6">
        <f t="shared" si="11"/>
        <v>-1.4250000000000007E-2</v>
      </c>
      <c r="O53" s="14"/>
      <c r="P53" s="2">
        <f>SUM(OSRRefP22_7x_0)</f>
        <v>354.87</v>
      </c>
      <c r="Q53" s="2"/>
      <c r="R53" s="6">
        <f t="shared" si="12"/>
        <v>9.4782388055715072E-4</v>
      </c>
      <c r="S53" s="2"/>
      <c r="T53" s="2">
        <f>SUM(OSRRefT22_7x_0)</f>
        <v>360</v>
      </c>
      <c r="U53" s="2"/>
      <c r="V53" s="6">
        <f t="shared" si="13"/>
        <v>7.4617739538489279E-4</v>
      </c>
      <c r="W53" s="2"/>
      <c r="X53" s="2">
        <f t="shared" si="14"/>
        <v>-5.1299999999999955</v>
      </c>
      <c r="Y53" s="2"/>
      <c r="Z53" s="6">
        <f t="shared" si="15"/>
        <v>-1.4249999999999987E-2</v>
      </c>
    </row>
    <row r="54" spans="1:26" s="70" customFormat="1" ht="15" hidden="1" customHeight="1" outlineLevel="2" x14ac:dyDescent="0.3">
      <c r="A54" s="26"/>
      <c r="B54" s="12" t="str">
        <f>CONCATENATE("          ","6314"," - ","LIABILITY INSURANCE")</f>
        <v xml:space="preserve">          6314 - LIABILITY INSURANCE</v>
      </c>
      <c r="C54" s="12"/>
      <c r="D54" s="7">
        <v>39.43</v>
      </c>
      <c r="E54" s="3"/>
      <c r="F54" s="8">
        <f t="shared" si="8"/>
        <v>1.4129071559107033E-3</v>
      </c>
      <c r="G54" s="3"/>
      <c r="H54" s="7">
        <v>40</v>
      </c>
      <c r="I54" s="3"/>
      <c r="J54" s="8">
        <f t="shared" si="9"/>
        <v>1.021528717726077E-3</v>
      </c>
      <c r="K54" s="3"/>
      <c r="L54" s="7">
        <f t="shared" si="10"/>
        <v>-0.57000000000000028</v>
      </c>
      <c r="M54" s="3"/>
      <c r="N54" s="8">
        <f t="shared" si="11"/>
        <v>-1.4250000000000007E-2</v>
      </c>
      <c r="O54" s="12"/>
      <c r="P54" s="7">
        <v>354.87</v>
      </c>
      <c r="Q54" s="3"/>
      <c r="R54" s="8">
        <f t="shared" si="12"/>
        <v>9.4782388055715072E-4</v>
      </c>
      <c r="S54" s="3"/>
      <c r="T54" s="7">
        <v>360</v>
      </c>
      <c r="U54" s="3"/>
      <c r="V54" s="8">
        <f t="shared" si="13"/>
        <v>7.4617739538489279E-4</v>
      </c>
      <c r="W54" s="3"/>
      <c r="X54" s="7">
        <f t="shared" si="14"/>
        <v>-5.1299999999999955</v>
      </c>
      <c r="Y54" s="3"/>
      <c r="Z54" s="8">
        <f t="shared" si="15"/>
        <v>-1.4249999999999987E-2</v>
      </c>
    </row>
    <row r="55" spans="1:26" s="69" customFormat="1" ht="15" customHeight="1" outlineLevel="1" collapsed="1" x14ac:dyDescent="0.3">
      <c r="A55" s="25"/>
      <c r="B55" s="14" t="str">
        <f>CONCATENATE("     ","Rent                                              ")</f>
        <v xml:space="preserve">     Rent                                              </v>
      </c>
      <c r="C55" s="14"/>
      <c r="D55" s="2">
        <f>SUM(OSRRefD22_8x_0)</f>
        <v>800</v>
      </c>
      <c r="E55" s="2"/>
      <c r="F55" s="6">
        <f t="shared" si="8"/>
        <v>2.8666642777797686E-2</v>
      </c>
      <c r="G55" s="2"/>
      <c r="H55" s="2">
        <f>SUM(OSRRefH22_8x_0)</f>
        <v>800</v>
      </c>
      <c r="I55" s="2"/>
      <c r="J55" s="6">
        <f t="shared" si="9"/>
        <v>2.0430574354521541E-2</v>
      </c>
      <c r="K55" s="2"/>
      <c r="L55" s="2">
        <f t="shared" si="10"/>
        <v>0</v>
      </c>
      <c r="M55" s="2"/>
      <c r="N55" s="6">
        <f t="shared" si="11"/>
        <v>0</v>
      </c>
      <c r="O55" s="14"/>
      <c r="P55" s="2">
        <f>SUM(OSRRefP22_8x_0)</f>
        <v>7200</v>
      </c>
      <c r="Q55" s="2"/>
      <c r="R55" s="6">
        <f t="shared" si="12"/>
        <v>1.9230512413028672E-2</v>
      </c>
      <c r="S55" s="2"/>
      <c r="T55" s="2">
        <f>SUM(OSRRefT22_8x_0)</f>
        <v>7200</v>
      </c>
      <c r="U55" s="2"/>
      <c r="V55" s="6">
        <f t="shared" si="13"/>
        <v>1.4923547907697857E-2</v>
      </c>
      <c r="W55" s="2"/>
      <c r="X55" s="2">
        <f t="shared" si="14"/>
        <v>0</v>
      </c>
      <c r="Y55" s="2"/>
      <c r="Z55" s="6">
        <f t="shared" si="15"/>
        <v>0</v>
      </c>
    </row>
    <row r="56" spans="1:26" s="70" customFormat="1" ht="15" hidden="1" customHeight="1" outlineLevel="2" x14ac:dyDescent="0.3">
      <c r="A56" s="26"/>
      <c r="B56" s="12" t="str">
        <f>CONCATENATE("          ","6273"," - ","RENT")</f>
        <v xml:space="preserve">          6273 - RENT</v>
      </c>
      <c r="C56" s="12"/>
      <c r="D56" s="7">
        <v>800</v>
      </c>
      <c r="E56" s="3"/>
      <c r="F56" s="8">
        <f t="shared" si="8"/>
        <v>2.8666642777797686E-2</v>
      </c>
      <c r="G56" s="3"/>
      <c r="H56" s="7">
        <v>800</v>
      </c>
      <c r="I56" s="3"/>
      <c r="J56" s="8">
        <f t="shared" si="9"/>
        <v>2.0430574354521541E-2</v>
      </c>
      <c r="K56" s="3"/>
      <c r="L56" s="7">
        <f t="shared" si="10"/>
        <v>0</v>
      </c>
      <c r="M56" s="3"/>
      <c r="N56" s="8">
        <f t="shared" si="11"/>
        <v>0</v>
      </c>
      <c r="O56" s="12"/>
      <c r="P56" s="7">
        <v>7200</v>
      </c>
      <c r="Q56" s="3"/>
      <c r="R56" s="8">
        <f t="shared" si="12"/>
        <v>1.9230512413028672E-2</v>
      </c>
      <c r="S56" s="3"/>
      <c r="T56" s="7">
        <v>7200</v>
      </c>
      <c r="U56" s="3"/>
      <c r="V56" s="8">
        <f t="shared" si="13"/>
        <v>1.4923547907697857E-2</v>
      </c>
      <c r="W56" s="3"/>
      <c r="X56" s="7">
        <f t="shared" si="14"/>
        <v>0</v>
      </c>
      <c r="Y56" s="3"/>
      <c r="Z56" s="8">
        <f t="shared" si="15"/>
        <v>0</v>
      </c>
    </row>
    <row r="57" spans="1:26" s="69" customFormat="1" ht="15" customHeight="1" outlineLevel="1" collapsed="1" x14ac:dyDescent="0.3">
      <c r="A57" s="25"/>
      <c r="B57" s="14" t="str">
        <f>CONCATENATE("     ","Repair and Maintenance                            ")</f>
        <v xml:space="preserve">     Repair and Maintenance                            </v>
      </c>
      <c r="C57" s="14"/>
      <c r="D57" s="2">
        <f>SUM(OSRRefD22_9x_0)</f>
        <v>0</v>
      </c>
      <c r="E57" s="2"/>
      <c r="F57" s="6">
        <f t="shared" si="8"/>
        <v>0</v>
      </c>
      <c r="G57" s="2"/>
      <c r="H57" s="2">
        <f>SUM(OSRRefH22_9x_0)</f>
        <v>3200</v>
      </c>
      <c r="I57" s="2"/>
      <c r="J57" s="6">
        <f t="shared" si="9"/>
        <v>8.1722297418086162E-2</v>
      </c>
      <c r="K57" s="2"/>
      <c r="L57" s="2">
        <f t="shared" si="10"/>
        <v>-3200</v>
      </c>
      <c r="M57" s="2"/>
      <c r="N57" s="6">
        <f t="shared" si="11"/>
        <v>-1</v>
      </c>
      <c r="O57" s="14"/>
      <c r="P57" s="2">
        <f>SUM(OSRRefP22_9x_0)</f>
        <v>131139.97</v>
      </c>
      <c r="Q57" s="2"/>
      <c r="R57" s="6">
        <f t="shared" si="12"/>
        <v>0.35026233624016773</v>
      </c>
      <c r="S57" s="2"/>
      <c r="T57" s="2">
        <f>SUM(OSRRefT22_9x_0)</f>
        <v>153800</v>
      </c>
      <c r="U57" s="2"/>
      <c r="V57" s="6">
        <f t="shared" si="13"/>
        <v>0.31878356502832367</v>
      </c>
      <c r="W57" s="2"/>
      <c r="X57" s="2">
        <f t="shared" si="14"/>
        <v>-22660.03</v>
      </c>
      <c r="Y57" s="2"/>
      <c r="Z57" s="6">
        <f t="shared" si="15"/>
        <v>-0.14733439531859557</v>
      </c>
    </row>
    <row r="58" spans="1:26" s="70" customFormat="1" ht="15" hidden="1" customHeight="1" outlineLevel="2" x14ac:dyDescent="0.3">
      <c r="A58" s="26"/>
      <c r="B58" s="12" t="str">
        <f>CONCATENATE("          ","6371"," - ","COMPUTER SOFTWARE MAINTENANCE")</f>
        <v xml:space="preserve">          6371 - COMPUTER SOFTWARE MAINTENANCE</v>
      </c>
      <c r="C58" s="12"/>
      <c r="D58" s="7"/>
      <c r="E58" s="3"/>
      <c r="F58" s="8">
        <f t="shared" si="8"/>
        <v>0</v>
      </c>
      <c r="G58" s="3"/>
      <c r="H58" s="7"/>
      <c r="I58" s="3"/>
      <c r="J58" s="8">
        <f t="shared" si="9"/>
        <v>0</v>
      </c>
      <c r="K58" s="3"/>
      <c r="L58" s="7">
        <f t="shared" si="10"/>
        <v>0</v>
      </c>
      <c r="M58" s="3"/>
      <c r="N58" s="8">
        <f t="shared" si="11"/>
        <v>0</v>
      </c>
      <c r="O58" s="12"/>
      <c r="P58" s="7">
        <v>7583.7</v>
      </c>
      <c r="Q58" s="3"/>
      <c r="R58" s="8">
        <f t="shared" si="12"/>
        <v>2.0255338470372992E-2</v>
      </c>
      <c r="S58" s="3"/>
      <c r="T58" s="7">
        <v>125000</v>
      </c>
      <c r="U58" s="3"/>
      <c r="V58" s="8">
        <f t="shared" si="13"/>
        <v>0.25908937339753224</v>
      </c>
      <c r="W58" s="3"/>
      <c r="X58" s="7">
        <f t="shared" si="14"/>
        <v>-117416.3</v>
      </c>
      <c r="Y58" s="3"/>
      <c r="Z58" s="8">
        <f t="shared" si="15"/>
        <v>-0.93933040000000001</v>
      </c>
    </row>
    <row r="59" spans="1:26" s="70" customFormat="1" ht="15" hidden="1" customHeight="1" outlineLevel="2" x14ac:dyDescent="0.3">
      <c r="A59" s="26"/>
      <c r="B59" s="12" t="str">
        <f>CONCATENATE("          ","6372"," - ","COMPUTER HARDWARE MAINTENANCE")</f>
        <v xml:space="preserve">          6372 - COMPUTER HARDWARE MAINTENANCE</v>
      </c>
      <c r="C59" s="12"/>
      <c r="D59" s="7"/>
      <c r="E59" s="3"/>
      <c r="F59" s="8">
        <f t="shared" si="8"/>
        <v>0</v>
      </c>
      <c r="G59" s="3"/>
      <c r="H59" s="7">
        <v>3200</v>
      </c>
      <c r="I59" s="3"/>
      <c r="J59" s="8">
        <f t="shared" si="9"/>
        <v>8.1722297418086162E-2</v>
      </c>
      <c r="K59" s="3"/>
      <c r="L59" s="7">
        <f t="shared" si="10"/>
        <v>-3200</v>
      </c>
      <c r="M59" s="3"/>
      <c r="N59" s="8">
        <f t="shared" si="11"/>
        <v>-1</v>
      </c>
      <c r="O59" s="12"/>
      <c r="P59" s="7">
        <v>1555.65</v>
      </c>
      <c r="Q59" s="3"/>
      <c r="R59" s="8">
        <f t="shared" si="12"/>
        <v>4.1549925882400076E-3</v>
      </c>
      <c r="S59" s="3"/>
      <c r="T59" s="7">
        <v>28800</v>
      </c>
      <c r="U59" s="3"/>
      <c r="V59" s="8">
        <f t="shared" si="13"/>
        <v>5.9694191630791427E-2</v>
      </c>
      <c r="W59" s="3"/>
      <c r="X59" s="7">
        <f t="shared" si="14"/>
        <v>-27244.35</v>
      </c>
      <c r="Y59" s="3"/>
      <c r="Z59" s="8">
        <f t="shared" si="15"/>
        <v>-0.94598437499999999</v>
      </c>
    </row>
    <row r="60" spans="1:26" s="70" customFormat="1" ht="15" hidden="1" customHeight="1" outlineLevel="2" x14ac:dyDescent="0.3">
      <c r="A60" s="26"/>
      <c r="B60" s="12" t="str">
        <f>CONCATENATE("          ","6373"," - ","MAINTENANCE CONTRACTS")</f>
        <v xml:space="preserve">          6373 - MAINTENANCE CONTRACTS</v>
      </c>
      <c r="C60" s="12"/>
      <c r="D60" s="7"/>
      <c r="E60" s="3"/>
      <c r="F60" s="8">
        <f t="shared" si="8"/>
        <v>0</v>
      </c>
      <c r="G60" s="3"/>
      <c r="H60" s="7"/>
      <c r="I60" s="3"/>
      <c r="J60" s="8">
        <f t="shared" si="9"/>
        <v>0</v>
      </c>
      <c r="K60" s="3"/>
      <c r="L60" s="7">
        <f t="shared" si="10"/>
        <v>0</v>
      </c>
      <c r="M60" s="3"/>
      <c r="N60" s="8">
        <f t="shared" si="11"/>
        <v>0</v>
      </c>
      <c r="O60" s="12"/>
      <c r="P60" s="7">
        <v>122000.62</v>
      </c>
      <c r="Q60" s="3"/>
      <c r="R60" s="8">
        <f t="shared" si="12"/>
        <v>0.32585200518155472</v>
      </c>
      <c r="S60" s="3"/>
      <c r="T60" s="7"/>
      <c r="U60" s="3"/>
      <c r="V60" s="8">
        <f t="shared" si="13"/>
        <v>0</v>
      </c>
      <c r="W60" s="3"/>
      <c r="X60" s="7">
        <f t="shared" si="14"/>
        <v>122000.62</v>
      </c>
      <c r="Y60" s="3"/>
      <c r="Z60" s="8">
        <f t="shared" si="15"/>
        <v>0</v>
      </c>
    </row>
    <row r="61" spans="1:26" s="69" customFormat="1" ht="15" customHeight="1" outlineLevel="1" collapsed="1" x14ac:dyDescent="0.3">
      <c r="A61" s="25"/>
      <c r="B61" s="14" t="str">
        <f>CONCATENATE("     ","Subscriptions &amp; Dues                              ")</f>
        <v xml:space="preserve">     Subscriptions &amp; Dues                              </v>
      </c>
      <c r="C61" s="14"/>
      <c r="D61" s="2">
        <f>SUM(OSRRefD22_10x_0)</f>
        <v>0</v>
      </c>
      <c r="E61" s="2"/>
      <c r="F61" s="6">
        <f t="shared" si="8"/>
        <v>0</v>
      </c>
      <c r="G61" s="2"/>
      <c r="H61" s="2">
        <f>SUM(OSRRefH22_10x_0)</f>
        <v>85</v>
      </c>
      <c r="I61" s="2"/>
      <c r="J61" s="6">
        <f t="shared" si="9"/>
        <v>2.1707485251679136E-3</v>
      </c>
      <c r="K61" s="2"/>
      <c r="L61" s="2">
        <f t="shared" si="10"/>
        <v>-85</v>
      </c>
      <c r="M61" s="2"/>
      <c r="N61" s="6">
        <f t="shared" si="11"/>
        <v>-1</v>
      </c>
      <c r="O61" s="14"/>
      <c r="P61" s="2">
        <f>SUM(OSRRefP22_10x_0)</f>
        <v>0</v>
      </c>
      <c r="Q61" s="2"/>
      <c r="R61" s="6">
        <f t="shared" si="12"/>
        <v>0</v>
      </c>
      <c r="S61" s="2"/>
      <c r="T61" s="2">
        <f>SUM(OSRRefT22_10x_0)</f>
        <v>765</v>
      </c>
      <c r="U61" s="2"/>
      <c r="V61" s="6">
        <f t="shared" si="13"/>
        <v>1.5856269651928973E-3</v>
      </c>
      <c r="W61" s="2"/>
      <c r="X61" s="2">
        <f t="shared" si="14"/>
        <v>-765</v>
      </c>
      <c r="Y61" s="2"/>
      <c r="Z61" s="6">
        <f t="shared" si="15"/>
        <v>-1</v>
      </c>
    </row>
    <row r="62" spans="1:26" s="70" customFormat="1" ht="15" hidden="1" customHeight="1" outlineLevel="2" x14ac:dyDescent="0.3">
      <c r="A62" s="26"/>
      <c r="B62" s="12" t="str">
        <f>CONCATENATE("          ","6258"," - ","MEMBERSHIP DUES")</f>
        <v xml:space="preserve">          6258 - MEMBERSHIP DUES</v>
      </c>
      <c r="C62" s="12"/>
      <c r="D62" s="7"/>
      <c r="E62" s="3"/>
      <c r="F62" s="8">
        <f t="shared" si="8"/>
        <v>0</v>
      </c>
      <c r="G62" s="3"/>
      <c r="H62" s="7">
        <v>85</v>
      </c>
      <c r="I62" s="3"/>
      <c r="J62" s="8">
        <f t="shared" si="9"/>
        <v>2.1707485251679136E-3</v>
      </c>
      <c r="K62" s="3"/>
      <c r="L62" s="7">
        <f t="shared" si="10"/>
        <v>-85</v>
      </c>
      <c r="M62" s="3"/>
      <c r="N62" s="8">
        <f t="shared" si="11"/>
        <v>-1</v>
      </c>
      <c r="O62" s="12"/>
      <c r="P62" s="7"/>
      <c r="Q62" s="3"/>
      <c r="R62" s="8">
        <f t="shared" si="12"/>
        <v>0</v>
      </c>
      <c r="S62" s="3"/>
      <c r="T62" s="7">
        <v>765</v>
      </c>
      <c r="U62" s="3"/>
      <c r="V62" s="8">
        <f t="shared" si="13"/>
        <v>1.5856269651928973E-3</v>
      </c>
      <c r="W62" s="3"/>
      <c r="X62" s="7">
        <f t="shared" si="14"/>
        <v>-765</v>
      </c>
      <c r="Y62" s="3"/>
      <c r="Z62" s="8">
        <f t="shared" si="15"/>
        <v>-1</v>
      </c>
    </row>
    <row r="63" spans="1:26" s="69" customFormat="1" ht="15" customHeight="1" outlineLevel="1" collapsed="1" x14ac:dyDescent="0.3">
      <c r="A63" s="25"/>
      <c r="B63" s="14" t="str">
        <f>CONCATENATE("     ","Supplies                                          ")</f>
        <v xml:space="preserve">     Supplies                                          </v>
      </c>
      <c r="C63" s="14"/>
      <c r="D63" s="2">
        <f>SUM(OSRRefD22_11x_0)</f>
        <v>10001.17</v>
      </c>
      <c r="E63" s="2"/>
      <c r="F63" s="6">
        <f t="shared" si="8"/>
        <v>0.35837495968753358</v>
      </c>
      <c r="G63" s="2"/>
      <c r="H63" s="2">
        <f>SUM(OSRRefH22_11x_0)</f>
        <v>5800</v>
      </c>
      <c r="I63" s="2"/>
      <c r="J63" s="6">
        <f t="shared" si="9"/>
        <v>0.14812166407028118</v>
      </c>
      <c r="K63" s="2"/>
      <c r="L63" s="2">
        <f t="shared" si="10"/>
        <v>4201.17</v>
      </c>
      <c r="M63" s="2"/>
      <c r="N63" s="6">
        <f t="shared" si="11"/>
        <v>0.72433965517241383</v>
      </c>
      <c r="O63" s="14"/>
      <c r="P63" s="2">
        <f>SUM(OSRRefP22_11x_0)</f>
        <v>29592.449999999997</v>
      </c>
      <c r="Q63" s="2"/>
      <c r="R63" s="6">
        <f t="shared" si="12"/>
        <v>7.9038607924573651E-2</v>
      </c>
      <c r="S63" s="2"/>
      <c r="T63" s="2">
        <f>SUM(OSRRefT22_11x_0)</f>
        <v>52200</v>
      </c>
      <c r="U63" s="2"/>
      <c r="V63" s="6">
        <f t="shared" si="13"/>
        <v>0.10819572233080946</v>
      </c>
      <c r="W63" s="2"/>
      <c r="X63" s="2">
        <f t="shared" si="14"/>
        <v>-22607.550000000003</v>
      </c>
      <c r="Y63" s="2"/>
      <c r="Z63" s="6">
        <f t="shared" si="15"/>
        <v>-0.43309482758620693</v>
      </c>
    </row>
    <row r="64" spans="1:26" s="70" customFormat="1" ht="15" hidden="1" customHeight="1" outlineLevel="2" x14ac:dyDescent="0.3">
      <c r="A64" s="26"/>
      <c r="B64" s="12" t="str">
        <f>CONCATENATE("          ","6234"," - ","EXPENDABLE SUPPLIES &amp; EQUIPMEN")</f>
        <v xml:space="preserve">          6234 - EXPENDABLE SUPPLIES &amp; EQUIPMEN</v>
      </c>
      <c r="C64" s="12"/>
      <c r="D64" s="7"/>
      <c r="E64" s="3"/>
      <c r="F64" s="8">
        <f t="shared" si="8"/>
        <v>0</v>
      </c>
      <c r="G64" s="3"/>
      <c r="H64" s="7">
        <v>5800</v>
      </c>
      <c r="I64" s="3"/>
      <c r="J64" s="8">
        <f t="shared" si="9"/>
        <v>0.14812166407028118</v>
      </c>
      <c r="K64" s="3"/>
      <c r="L64" s="7">
        <f t="shared" si="10"/>
        <v>-5800</v>
      </c>
      <c r="M64" s="3"/>
      <c r="N64" s="8">
        <f t="shared" si="11"/>
        <v>-1</v>
      </c>
      <c r="O64" s="12"/>
      <c r="P64" s="7"/>
      <c r="Q64" s="3"/>
      <c r="R64" s="8">
        <f t="shared" si="12"/>
        <v>0</v>
      </c>
      <c r="S64" s="3"/>
      <c r="T64" s="7">
        <v>52200</v>
      </c>
      <c r="U64" s="3"/>
      <c r="V64" s="8">
        <f t="shared" si="13"/>
        <v>0.10819572233080946</v>
      </c>
      <c r="W64" s="3"/>
      <c r="X64" s="7">
        <f t="shared" si="14"/>
        <v>-52200</v>
      </c>
      <c r="Y64" s="3"/>
      <c r="Z64" s="8">
        <f t="shared" si="15"/>
        <v>-1</v>
      </c>
    </row>
    <row r="65" spans="1:26" s="70" customFormat="1" ht="15" hidden="1" customHeight="1" outlineLevel="2" x14ac:dyDescent="0.3">
      <c r="A65" s="26"/>
      <c r="B65" s="12" t="str">
        <f>CONCATENATE("          ","6241"," - ","OFFICE EXPENSE")</f>
        <v xml:space="preserve">          6241 - OFFICE EXPENSE</v>
      </c>
      <c r="C65" s="12"/>
      <c r="D65" s="7">
        <v>9992.36</v>
      </c>
      <c r="E65" s="3"/>
      <c r="F65" s="8">
        <f t="shared" si="8"/>
        <v>0.35805926828394313</v>
      </c>
      <c r="G65" s="3"/>
      <c r="H65" s="7"/>
      <c r="I65" s="3"/>
      <c r="J65" s="8">
        <f t="shared" si="9"/>
        <v>0</v>
      </c>
      <c r="K65" s="3"/>
      <c r="L65" s="7">
        <f t="shared" si="10"/>
        <v>9992.36</v>
      </c>
      <c r="M65" s="3"/>
      <c r="N65" s="8">
        <f t="shared" si="11"/>
        <v>0</v>
      </c>
      <c r="O65" s="12"/>
      <c r="P65" s="7">
        <v>29567.1</v>
      </c>
      <c r="Q65" s="3"/>
      <c r="R65" s="8">
        <f t="shared" si="12"/>
        <v>7.8970900495452787E-2</v>
      </c>
      <c r="S65" s="3"/>
      <c r="T65" s="7"/>
      <c r="U65" s="3"/>
      <c r="V65" s="8">
        <f t="shared" si="13"/>
        <v>0</v>
      </c>
      <c r="W65" s="3"/>
      <c r="X65" s="7">
        <f t="shared" si="14"/>
        <v>29567.1</v>
      </c>
      <c r="Y65" s="3"/>
      <c r="Z65" s="8">
        <f t="shared" si="15"/>
        <v>0</v>
      </c>
    </row>
    <row r="66" spans="1:26" s="70" customFormat="1" ht="15" hidden="1" customHeight="1" outlineLevel="2" x14ac:dyDescent="0.3">
      <c r="A66" s="26"/>
      <c r="B66" s="12" t="str">
        <f>CONCATENATE("          ","6247"," - ","STORE SUPPLIES")</f>
        <v xml:space="preserve">          6247 - STORE SUPPLIES</v>
      </c>
      <c r="C66" s="12"/>
      <c r="D66" s="7">
        <v>8.81</v>
      </c>
      <c r="E66" s="3"/>
      <c r="F66" s="8">
        <f t="shared" si="8"/>
        <v>3.1569140359049701E-4</v>
      </c>
      <c r="G66" s="3"/>
      <c r="H66" s="7"/>
      <c r="I66" s="3"/>
      <c r="J66" s="8">
        <f t="shared" si="9"/>
        <v>0</v>
      </c>
      <c r="K66" s="3"/>
      <c r="L66" s="7">
        <f t="shared" si="10"/>
        <v>8.81</v>
      </c>
      <c r="M66" s="3"/>
      <c r="N66" s="8">
        <f t="shared" si="11"/>
        <v>0</v>
      </c>
      <c r="O66" s="12"/>
      <c r="P66" s="7">
        <v>25.35</v>
      </c>
      <c r="Q66" s="3"/>
      <c r="R66" s="8">
        <f t="shared" si="12"/>
        <v>6.7707429120871792E-5</v>
      </c>
      <c r="S66" s="3"/>
      <c r="T66" s="7"/>
      <c r="U66" s="3"/>
      <c r="V66" s="8">
        <f t="shared" si="13"/>
        <v>0</v>
      </c>
      <c r="W66" s="3"/>
      <c r="X66" s="7">
        <f t="shared" si="14"/>
        <v>25.35</v>
      </c>
      <c r="Y66" s="3"/>
      <c r="Z66" s="8">
        <f t="shared" si="15"/>
        <v>0</v>
      </c>
    </row>
    <row r="67" spans="1:26" s="69" customFormat="1" ht="15" customHeight="1" outlineLevel="1" collapsed="1" x14ac:dyDescent="0.3">
      <c r="A67" s="25"/>
      <c r="B67" s="14" t="str">
        <f>CONCATENATE("     ","Telephone/Data Lines                              ")</f>
        <v xml:space="preserve">     Telephone/Data Lines                              </v>
      </c>
      <c r="C67" s="14"/>
      <c r="D67" s="2">
        <f>SUM(OSRRefD22_12x_0)</f>
        <v>87.05</v>
      </c>
      <c r="E67" s="2"/>
      <c r="F67" s="6">
        <f t="shared" si="8"/>
        <v>3.1192890672591105E-3</v>
      </c>
      <c r="G67" s="2"/>
      <c r="H67" s="2">
        <f>SUM(OSRRefH22_12x_0)</f>
        <v>350</v>
      </c>
      <c r="I67" s="2"/>
      <c r="J67" s="6">
        <f t="shared" si="9"/>
        <v>8.9383762801031746E-3</v>
      </c>
      <c r="K67" s="2"/>
      <c r="L67" s="2">
        <f t="shared" si="10"/>
        <v>-262.95</v>
      </c>
      <c r="M67" s="2"/>
      <c r="N67" s="6">
        <f t="shared" si="11"/>
        <v>-0.75128571428571422</v>
      </c>
      <c r="O67" s="14"/>
      <c r="P67" s="2">
        <f>SUM(OSRRefP22_12x_0)</f>
        <v>367.25</v>
      </c>
      <c r="Q67" s="2"/>
      <c r="R67" s="6">
        <f t="shared" si="12"/>
        <v>9.8088967828955276E-4</v>
      </c>
      <c r="S67" s="2"/>
      <c r="T67" s="2">
        <f>SUM(OSRRefT22_12x_0)</f>
        <v>3150</v>
      </c>
      <c r="U67" s="2"/>
      <c r="V67" s="6">
        <f t="shared" si="13"/>
        <v>6.5290522096178123E-3</v>
      </c>
      <c r="W67" s="2"/>
      <c r="X67" s="2">
        <f t="shared" si="14"/>
        <v>-2782.75</v>
      </c>
      <c r="Y67" s="2"/>
      <c r="Z67" s="6">
        <f t="shared" si="15"/>
        <v>-0.88341269841269843</v>
      </c>
    </row>
    <row r="68" spans="1:26" s="70" customFormat="1" ht="15" hidden="1" customHeight="1" outlineLevel="2" x14ac:dyDescent="0.3">
      <c r="A68" s="26"/>
      <c r="B68" s="12" t="str">
        <f>CONCATENATE("          ","6309"," - ","TELEPHONE")</f>
        <v xml:space="preserve">          6309 - TELEPHONE</v>
      </c>
      <c r="C68" s="12"/>
      <c r="D68" s="7">
        <v>87.05</v>
      </c>
      <c r="E68" s="3"/>
      <c r="F68" s="8">
        <f t="shared" si="8"/>
        <v>3.1192890672591105E-3</v>
      </c>
      <c r="G68" s="3"/>
      <c r="H68" s="7">
        <v>350</v>
      </c>
      <c r="I68" s="3"/>
      <c r="J68" s="8">
        <f t="shared" si="9"/>
        <v>8.9383762801031746E-3</v>
      </c>
      <c r="K68" s="3"/>
      <c r="L68" s="7">
        <f t="shared" si="10"/>
        <v>-262.95</v>
      </c>
      <c r="M68" s="3"/>
      <c r="N68" s="8">
        <f t="shared" si="11"/>
        <v>-0.75128571428571422</v>
      </c>
      <c r="O68" s="12"/>
      <c r="P68" s="7">
        <v>367.25</v>
      </c>
      <c r="Q68" s="3"/>
      <c r="R68" s="8">
        <f t="shared" si="12"/>
        <v>9.8088967828955276E-4</v>
      </c>
      <c r="S68" s="3"/>
      <c r="T68" s="7">
        <v>3150</v>
      </c>
      <c r="U68" s="3"/>
      <c r="V68" s="8">
        <f t="shared" si="13"/>
        <v>6.5290522096178123E-3</v>
      </c>
      <c r="W68" s="3"/>
      <c r="X68" s="7">
        <f t="shared" si="14"/>
        <v>-2782.75</v>
      </c>
      <c r="Y68" s="3"/>
      <c r="Z68" s="8">
        <f t="shared" si="15"/>
        <v>-0.88341269841269843</v>
      </c>
    </row>
    <row r="69" spans="1:26" s="69" customFormat="1" ht="15" customHeight="1" outlineLevel="1" collapsed="1" x14ac:dyDescent="0.3">
      <c r="A69" s="25"/>
      <c r="B69" s="14" t="str">
        <f>CONCATENATE("     ","Training                                          ")</f>
        <v xml:space="preserve">     Training                                          </v>
      </c>
      <c r="C69" s="14"/>
      <c r="D69" s="2">
        <f>SUM(OSRRefD22_13x_0)</f>
        <v>0</v>
      </c>
      <c r="E69" s="2"/>
      <c r="F69" s="6">
        <f t="shared" si="8"/>
        <v>0</v>
      </c>
      <c r="G69" s="2"/>
      <c r="H69" s="2">
        <f>SUM(OSRRefH22_13x_0)</f>
        <v>3000</v>
      </c>
      <c r="I69" s="2"/>
      <c r="J69" s="6">
        <f t="shared" si="9"/>
        <v>7.6614653829455787E-2</v>
      </c>
      <c r="K69" s="2"/>
      <c r="L69" s="2">
        <f t="shared" si="10"/>
        <v>-3000</v>
      </c>
      <c r="M69" s="2"/>
      <c r="N69" s="6">
        <f t="shared" si="11"/>
        <v>-1</v>
      </c>
      <c r="O69" s="14"/>
      <c r="P69" s="2">
        <f>SUM(OSRRefP22_13x_0)</f>
        <v>2000</v>
      </c>
      <c r="Q69" s="2"/>
      <c r="R69" s="6">
        <f t="shared" si="12"/>
        <v>5.3418090036190758E-3</v>
      </c>
      <c r="S69" s="2"/>
      <c r="T69" s="2">
        <f>SUM(OSRRefT22_13x_0)</f>
        <v>3000</v>
      </c>
      <c r="U69" s="2"/>
      <c r="V69" s="6">
        <f t="shared" si="13"/>
        <v>6.2181449615407733E-3</v>
      </c>
      <c r="W69" s="2"/>
      <c r="X69" s="2">
        <f t="shared" si="14"/>
        <v>-1000</v>
      </c>
      <c r="Y69" s="2"/>
      <c r="Z69" s="6">
        <f t="shared" si="15"/>
        <v>-0.33333333333333331</v>
      </c>
    </row>
    <row r="70" spans="1:26" s="70" customFormat="1" ht="15" hidden="1" customHeight="1" outlineLevel="2" x14ac:dyDescent="0.3">
      <c r="A70" s="26"/>
      <c r="B70" s="12" t="str">
        <f>CONCATENATE("          ","6376"," - ","TRAINING")</f>
        <v xml:space="preserve">          6376 - TRAINING</v>
      </c>
      <c r="C70" s="12"/>
      <c r="D70" s="7"/>
      <c r="E70" s="3"/>
      <c r="F70" s="8">
        <f t="shared" si="8"/>
        <v>0</v>
      </c>
      <c r="G70" s="3"/>
      <c r="H70" s="7">
        <v>3000</v>
      </c>
      <c r="I70" s="3"/>
      <c r="J70" s="8">
        <f t="shared" si="9"/>
        <v>7.6614653829455787E-2</v>
      </c>
      <c r="K70" s="3"/>
      <c r="L70" s="7">
        <f t="shared" si="10"/>
        <v>-3000</v>
      </c>
      <c r="M70" s="3"/>
      <c r="N70" s="8">
        <f t="shared" si="11"/>
        <v>-1</v>
      </c>
      <c r="O70" s="12"/>
      <c r="P70" s="7">
        <v>2000</v>
      </c>
      <c r="Q70" s="3"/>
      <c r="R70" s="8">
        <f t="shared" si="12"/>
        <v>5.3418090036190758E-3</v>
      </c>
      <c r="S70" s="3"/>
      <c r="T70" s="7">
        <v>3000</v>
      </c>
      <c r="U70" s="3"/>
      <c r="V70" s="8">
        <f t="shared" si="13"/>
        <v>6.2181449615407733E-3</v>
      </c>
      <c r="W70" s="3"/>
      <c r="X70" s="7">
        <f t="shared" si="14"/>
        <v>-1000</v>
      </c>
      <c r="Y70" s="3"/>
      <c r="Z70" s="8">
        <f t="shared" si="15"/>
        <v>-0.33333333333333331</v>
      </c>
    </row>
    <row r="71" spans="1:26" s="65" customFormat="1" ht="15" customHeight="1" x14ac:dyDescent="0.3">
      <c r="A71" s="35"/>
      <c r="B71" s="35"/>
      <c r="C71" s="35"/>
      <c r="D71" s="2"/>
      <c r="E71" s="2"/>
      <c r="F71" s="6"/>
      <c r="G71" s="2"/>
      <c r="H71" s="2"/>
      <c r="I71" s="2"/>
      <c r="J71" s="6"/>
      <c r="K71" s="2"/>
      <c r="L71" s="2"/>
      <c r="M71" s="2"/>
      <c r="N71" s="6"/>
      <c r="O71" s="35"/>
      <c r="P71" s="2"/>
      <c r="Q71" s="2"/>
      <c r="R71" s="6"/>
      <c r="S71" s="2"/>
      <c r="T71" s="2"/>
      <c r="U71" s="2"/>
      <c r="V71" s="6"/>
      <c r="W71" s="2"/>
      <c r="X71" s="2"/>
      <c r="Y71" s="2"/>
      <c r="Z71" s="6"/>
    </row>
    <row r="72" spans="1:26" s="63" customFormat="1" ht="15" customHeight="1" collapsed="1" x14ac:dyDescent="0.3">
      <c r="A72" s="11"/>
      <c r="B72" s="28" t="s">
        <v>291</v>
      </c>
      <c r="C72" s="11"/>
      <c r="D72" s="5">
        <f>SUM(OSRRefD25x_0)</f>
        <v>1533.83</v>
      </c>
      <c r="E72" s="5"/>
      <c r="F72" s="13">
        <f>IF(D$12=0,0,D72/D$12)</f>
        <v>5.4962195864836777E-2</v>
      </c>
      <c r="G72" s="5"/>
      <c r="H72" s="5">
        <f>SUM(OSRRefH25x_0)</f>
        <v>2400</v>
      </c>
      <c r="I72" s="5"/>
      <c r="J72" s="13">
        <f>IF(H$12=0,0,H72/H$12)</f>
        <v>6.1291723063564625E-2</v>
      </c>
      <c r="K72" s="5"/>
      <c r="L72" s="5">
        <f>+D72-H72</f>
        <v>-866.17000000000007</v>
      </c>
      <c r="M72" s="5"/>
      <c r="N72" s="13">
        <f>IF(H72=0,0,L72/H72)</f>
        <v>-0.36090416666666669</v>
      </c>
      <c r="O72" s="11"/>
      <c r="P72" s="5">
        <f>SUM(OSRRefP25x_0)</f>
        <v>9574.8799999999992</v>
      </c>
      <c r="Q72" s="5"/>
      <c r="R72" s="13">
        <f>IF(P$12=0,0,P72/P$12)</f>
        <v>2.5573590096286104E-2</v>
      </c>
      <c r="S72" s="5"/>
      <c r="T72" s="5">
        <f>SUM(OSRRefT25x_0)</f>
        <v>21600</v>
      </c>
      <c r="U72" s="5"/>
      <c r="V72" s="13">
        <f>IF(T$12=0,0,T72/T$12)</f>
        <v>4.477064372309357E-2</v>
      </c>
      <c r="W72" s="5"/>
      <c r="X72" s="5">
        <f>+P72-T72</f>
        <v>-12025.12</v>
      </c>
      <c r="Y72" s="5"/>
      <c r="Z72" s="13">
        <f>IF(T72=0,0,X72/T72)</f>
        <v>-0.5567185185185185</v>
      </c>
    </row>
    <row r="73" spans="1:26" s="70" customFormat="1" ht="15" hidden="1" customHeight="1" outlineLevel="1" x14ac:dyDescent="0.3">
      <c r="A73" s="42"/>
      <c r="B73" s="12" t="str">
        <f>CONCATENATE("          ","9150"," - ","MISC. INCOME")</f>
        <v xml:space="preserve">          9150 - MISC. INCOME</v>
      </c>
      <c r="C73" s="12"/>
      <c r="D73" s="3">
        <f>--1533.83</f>
        <v>1533.83</v>
      </c>
      <c r="E73" s="3"/>
      <c r="F73" s="20">
        <f>IF(D$12=0,0,D73/D$12)</f>
        <v>5.4962195864836777E-2</v>
      </c>
      <c r="G73" s="3"/>
      <c r="H73" s="3">
        <v>2400</v>
      </c>
      <c r="I73" s="3"/>
      <c r="J73" s="20">
        <f>IF(H$12=0,0,H73/H$12)</f>
        <v>6.1291723063564625E-2</v>
      </c>
      <c r="K73" s="3"/>
      <c r="L73" s="3">
        <f>+D73-H73</f>
        <v>-866.17000000000007</v>
      </c>
      <c r="M73" s="3"/>
      <c r="N73" s="20">
        <f>IF(H73=0,0,L73/H73)</f>
        <v>-0.36090416666666669</v>
      </c>
      <c r="O73" s="12"/>
      <c r="P73" s="3">
        <f>--9574.88</f>
        <v>9574.8799999999992</v>
      </c>
      <c r="Q73" s="3"/>
      <c r="R73" s="20">
        <f>IF(P$12=0,0,P73/P$12)</f>
        <v>2.5573590096286104E-2</v>
      </c>
      <c r="S73" s="3"/>
      <c r="T73" s="3">
        <v>21600</v>
      </c>
      <c r="U73" s="3"/>
      <c r="V73" s="20">
        <f>IF(T$12=0,0,T73/T$12)</f>
        <v>4.477064372309357E-2</v>
      </c>
      <c r="W73" s="3"/>
      <c r="X73" s="3">
        <f>+P73-T73</f>
        <v>-12025.12</v>
      </c>
      <c r="Y73" s="3"/>
      <c r="Z73" s="20">
        <f>IF(T73=0,0,X73/T73)</f>
        <v>-0.5567185185185185</v>
      </c>
    </row>
    <row r="74" spans="1:26" ht="15" customHeight="1" x14ac:dyDescent="0.3">
      <c r="A74" s="10"/>
      <c r="B74" s="11"/>
      <c r="C74" s="11"/>
      <c r="D74" s="4"/>
      <c r="E74" s="4"/>
      <c r="F74" s="9"/>
      <c r="G74" s="4"/>
      <c r="H74" s="4"/>
      <c r="I74" s="4"/>
      <c r="J74" s="9"/>
      <c r="K74" s="4"/>
      <c r="L74" s="4"/>
      <c r="M74" s="4"/>
      <c r="N74" s="9"/>
      <c r="O74" s="11"/>
      <c r="P74" s="4"/>
      <c r="Q74" s="4"/>
      <c r="R74" s="9"/>
      <c r="S74" s="4"/>
      <c r="T74" s="4"/>
      <c r="U74" s="4"/>
      <c r="V74" s="9"/>
      <c r="W74" s="4"/>
      <c r="X74" s="4"/>
      <c r="Y74" s="4"/>
      <c r="Z74" s="9"/>
    </row>
    <row r="75" spans="1:26" s="63" customFormat="1" ht="15" customHeight="1" x14ac:dyDescent="0.3">
      <c r="A75" s="11"/>
      <c r="B75" s="27" t="s">
        <v>292</v>
      </c>
      <c r="C75" s="27"/>
      <c r="D75" s="21">
        <f>+D17-D19+D72</f>
        <v>1998.0300000000007</v>
      </c>
      <c r="E75" s="15"/>
      <c r="F75" s="23">
        <f>IF(D$12=0,0,D75/D$12)</f>
        <v>7.1596015336653912E-2</v>
      </c>
      <c r="G75" s="15"/>
      <c r="H75" s="21">
        <f>+H17-H19+H72</f>
        <v>4001.9013458223126</v>
      </c>
      <c r="I75" s="15"/>
      <c r="J75" s="23">
        <f>IF(H$12=0,0,H75/H$12)</f>
        <v>0.10220142875660322</v>
      </c>
      <c r="K75" s="16"/>
      <c r="L75" s="21">
        <f>+D75-H75</f>
        <v>-2003.8713458223119</v>
      </c>
      <c r="M75" s="16"/>
      <c r="N75" s="23">
        <f>IF(H75=0,0,L75/H75)</f>
        <v>-0.50072982131711086</v>
      </c>
      <c r="O75" s="28"/>
      <c r="P75" s="21">
        <f>+P17-P19+P72</f>
        <v>43251.220000000023</v>
      </c>
      <c r="Q75" s="15"/>
      <c r="R75" s="23">
        <f>IF(P$12=0,0,P75/P$12)</f>
        <v>0.11551987820675477</v>
      </c>
      <c r="S75" s="15"/>
      <c r="T75" s="21">
        <f>+T17-T19+T72</f>
        <v>49309.29022551747</v>
      </c>
      <c r="U75" s="15"/>
      <c r="V75" s="23">
        <f>IF(T$12=0,0,T75/T$12)</f>
        <v>0.10220410485765105</v>
      </c>
      <c r="W75" s="16"/>
      <c r="X75" s="21">
        <f>+P75-T75</f>
        <v>-6058.0702255174474</v>
      </c>
      <c r="Y75" s="16"/>
      <c r="Z75" s="23">
        <f>IF(T75=0,0,X75/T75)</f>
        <v>-0.12285859718950906</v>
      </c>
    </row>
    <row r="76" spans="1:26" ht="15" customHeight="1" x14ac:dyDescent="0.3">
      <c r="A76" s="10"/>
      <c r="B76" s="11"/>
      <c r="C76" s="10"/>
      <c r="D76" s="4"/>
      <c r="E76" s="4"/>
      <c r="F76" s="9"/>
      <c r="G76" s="4"/>
      <c r="H76" s="4"/>
      <c r="I76" s="4"/>
      <c r="J76" s="9"/>
      <c r="K76" s="4"/>
      <c r="L76" s="4"/>
      <c r="M76" s="4"/>
      <c r="N76" s="9"/>
      <c r="P76" s="4"/>
      <c r="Q76" s="4"/>
      <c r="R76" s="9"/>
      <c r="S76" s="4"/>
      <c r="T76" s="4"/>
      <c r="U76" s="4"/>
      <c r="V76" s="9"/>
      <c r="W76" s="4"/>
      <c r="X76" s="4"/>
      <c r="Y76" s="4"/>
      <c r="Z76" s="9"/>
    </row>
    <row r="77" spans="1:26" s="63" customFormat="1" ht="15" customHeight="1" x14ac:dyDescent="0.3">
      <c r="A77" s="49"/>
      <c r="B77" s="11" t="s">
        <v>293</v>
      </c>
      <c r="C77" s="11"/>
      <c r="D77" s="5">
        <v>1433.5</v>
      </c>
      <c r="E77" s="5"/>
      <c r="F77" s="13">
        <f>IF(D$12=0,0,D77/D$12)</f>
        <v>5.1367040527466226E-2</v>
      </c>
      <c r="G77" s="5"/>
      <c r="H77" s="5">
        <v>4562</v>
      </c>
      <c r="I77" s="5"/>
      <c r="J77" s="13">
        <f>IF(H$12=0,0,H77/H$12)</f>
        <v>0.11650535025665909</v>
      </c>
      <c r="K77" s="5"/>
      <c r="L77" s="5">
        <f>+D77-H77</f>
        <v>-3128.5</v>
      </c>
      <c r="M77" s="5"/>
      <c r="N77" s="13">
        <f>IF(H77=0,0,L77/H77)</f>
        <v>-0.68577378342832096</v>
      </c>
      <c r="O77" s="11"/>
      <c r="P77" s="5">
        <v>44684.32</v>
      </c>
      <c r="Q77" s="5"/>
      <c r="R77" s="13">
        <f>IF(P$12=0,0,P77/P$12)</f>
        <v>0.11934755144829796</v>
      </c>
      <c r="S77" s="5"/>
      <c r="T77" s="5">
        <v>58755</v>
      </c>
      <c r="U77" s="5"/>
      <c r="V77" s="13">
        <f>IF(T$12=0,0,T77/T$12)</f>
        <v>0.12178236907177604</v>
      </c>
      <c r="W77" s="5"/>
      <c r="X77" s="5">
        <f>+P77-T77</f>
        <v>-14070.68</v>
      </c>
      <c r="Y77" s="5"/>
      <c r="Z77" s="13">
        <f>IF(T77=0,0,X77/T77)</f>
        <v>-0.23948055484639605</v>
      </c>
    </row>
    <row r="78" spans="1:26" ht="15" customHeight="1" x14ac:dyDescent="0.3">
      <c r="A78" s="10"/>
      <c r="B78" s="11"/>
      <c r="C78" s="11"/>
      <c r="D78" s="4"/>
      <c r="E78" s="4"/>
      <c r="F78" s="9"/>
      <c r="G78" s="4"/>
      <c r="H78" s="4"/>
      <c r="I78" s="4"/>
      <c r="J78" s="9"/>
      <c r="K78" s="4"/>
      <c r="L78" s="4"/>
      <c r="M78" s="4"/>
      <c r="N78" s="9"/>
      <c r="O78" s="11"/>
      <c r="P78" s="4"/>
      <c r="Q78" s="4"/>
      <c r="R78" s="9"/>
      <c r="S78" s="4"/>
      <c r="T78" s="4"/>
      <c r="U78" s="4"/>
      <c r="V78" s="9"/>
      <c r="W78" s="4"/>
      <c r="X78" s="4"/>
      <c r="Y78" s="4"/>
      <c r="Z78" s="9"/>
    </row>
    <row r="79" spans="1:26" s="63" customFormat="1" ht="15" customHeight="1" x14ac:dyDescent="0.3">
      <c r="A79" s="11"/>
      <c r="B79" s="27" t="s">
        <v>294</v>
      </c>
      <c r="C79" s="27"/>
      <c r="D79" s="34">
        <f>+D75-D77</f>
        <v>564.53000000000065</v>
      </c>
      <c r="E79" s="15"/>
      <c r="F79" s="29">
        <f>IF(D$12=0,0,D79/D$12)</f>
        <v>2.0228974809187682E-2</v>
      </c>
      <c r="G79" s="15"/>
      <c r="H79" s="34">
        <f>+H75-H77</f>
        <v>-560.09865417768742</v>
      </c>
      <c r="I79" s="15"/>
      <c r="J79" s="29">
        <f>IF(H$12=0,0,H79/H$12)</f>
        <v>-1.4303921500055862E-2</v>
      </c>
      <c r="K79" s="16"/>
      <c r="L79" s="34">
        <f>D79-H79</f>
        <v>1124.6286541776881</v>
      </c>
      <c r="M79" s="16"/>
      <c r="N79" s="29">
        <f>IF(H79=0,0,L79/H79)</f>
        <v>-2.0079117237459161</v>
      </c>
      <c r="O79" s="28"/>
      <c r="P79" s="34">
        <f>+P75-P77</f>
        <v>-1433.0999999999767</v>
      </c>
      <c r="Q79" s="15"/>
      <c r="R79" s="29">
        <f>IF(P$12=0,0,P79/P$12)</f>
        <v>-3.8276732415431862E-3</v>
      </c>
      <c r="S79" s="15"/>
      <c r="T79" s="34">
        <f>+T75-T77</f>
        <v>-9445.7097744825296</v>
      </c>
      <c r="U79" s="15"/>
      <c r="V79" s="29">
        <f>IF(T$12=0,0,T79/T$12)</f>
        <v>-1.9578264214124994E-2</v>
      </c>
      <c r="W79" s="16"/>
      <c r="X79" s="34">
        <f>P79-T79</f>
        <v>8012.6097744825529</v>
      </c>
      <c r="Y79" s="16"/>
      <c r="Z79" s="29">
        <f>IF(T79=0,0,X79/T79)</f>
        <v>-0.84828032681339849</v>
      </c>
    </row>
    <row r="80" spans="1:26" ht="15" customHeight="1" x14ac:dyDescent="0.3">
      <c r="A80" s="10"/>
      <c r="B80" s="10"/>
      <c r="C80" s="10"/>
      <c r="D80" s="4"/>
      <c r="E80" s="4"/>
      <c r="F80" s="9"/>
      <c r="G80" s="4"/>
      <c r="H80" s="4"/>
      <c r="I80" s="4"/>
      <c r="J80" s="9"/>
      <c r="K80" s="4"/>
      <c r="L80" s="4"/>
      <c r="M80" s="4"/>
      <c r="N80" s="9"/>
      <c r="P80" s="4"/>
      <c r="Q80" s="4"/>
      <c r="R80" s="9"/>
      <c r="S80" s="4"/>
      <c r="T80" s="4"/>
      <c r="U80" s="4"/>
      <c r="V80" s="9"/>
      <c r="W80" s="4"/>
      <c r="X80" s="4"/>
      <c r="Y80" s="4"/>
      <c r="Z80" s="9"/>
    </row>
    <row r="81" spans="1:26" ht="15" customHeight="1" x14ac:dyDescent="0.3">
      <c r="A81" s="10"/>
      <c r="B81" s="10"/>
      <c r="C81" s="10"/>
      <c r="D81" s="4"/>
      <c r="E81" s="4"/>
      <c r="F81" s="9"/>
      <c r="G81" s="4"/>
      <c r="H81" s="4"/>
      <c r="I81" s="4"/>
      <c r="J81" s="9"/>
      <c r="K81" s="4"/>
      <c r="L81" s="4"/>
      <c r="M81" s="4"/>
      <c r="N81" s="9"/>
      <c r="P81" s="4"/>
      <c r="Q81" s="4"/>
      <c r="R81" s="9"/>
      <c r="S81" s="4"/>
      <c r="T81" s="4"/>
      <c r="U81" s="4"/>
      <c r="V81" s="9"/>
      <c r="W81" s="4"/>
      <c r="X81" s="4"/>
      <c r="Y81" s="4"/>
      <c r="Z81" s="9"/>
    </row>
    <row r="82" spans="1:26" s="63" customFormat="1" ht="15" customHeight="1" x14ac:dyDescent="0.3">
      <c r="A82" s="11"/>
      <c r="B82" s="27" t="s">
        <v>297</v>
      </c>
      <c r="C82" s="27"/>
      <c r="D82" s="32">
        <f>SUM(D79:D81)</f>
        <v>564.53000000000065</v>
      </c>
      <c r="E82" s="15"/>
      <c r="F82" s="31">
        <f>IF(D$12=0,0,D82/D$12)</f>
        <v>2.0228974809187682E-2</v>
      </c>
      <c r="G82" s="15"/>
      <c r="H82" s="32">
        <f>SUM(H79:H81)</f>
        <v>-560.09865417768742</v>
      </c>
      <c r="I82" s="15"/>
      <c r="J82" s="31">
        <f>IF(H$12=0,0,H82/H$12)</f>
        <v>-1.4303921500055862E-2</v>
      </c>
      <c r="K82" s="16"/>
      <c r="L82" s="32">
        <f>+D82-H82</f>
        <v>1124.6286541776881</v>
      </c>
      <c r="M82" s="16"/>
      <c r="N82" s="31">
        <f>IF(H82=0,0,L82/H82)</f>
        <v>-2.0079117237459161</v>
      </c>
      <c r="O82" s="28"/>
      <c r="P82" s="32">
        <f>SUM(P79:P81)</f>
        <v>-1433.0999999999767</v>
      </c>
      <c r="Q82" s="15"/>
      <c r="R82" s="31">
        <f>IF(P$12=0,0,P82/P$12)</f>
        <v>-3.8276732415431862E-3</v>
      </c>
      <c r="S82" s="15"/>
      <c r="T82" s="32">
        <f>SUM(T79:T81)</f>
        <v>-9445.7097744825296</v>
      </c>
      <c r="U82" s="15"/>
      <c r="V82" s="31">
        <f>IF(T$12=0,0,T82/T$12)</f>
        <v>-1.9578264214124994E-2</v>
      </c>
      <c r="W82" s="16"/>
      <c r="X82" s="32">
        <f>+P82-T82</f>
        <v>8012.6097744825529</v>
      </c>
      <c r="Y82" s="16"/>
      <c r="Z82" s="31">
        <f>IF(T82=0,0,X82/T82)</f>
        <v>-0.84828032681339849</v>
      </c>
    </row>
    <row r="83" spans="1:26" ht="15" customHeight="1" x14ac:dyDescent="0.3">
      <c r="A83" s="10"/>
      <c r="C83" s="10"/>
      <c r="D83" s="19"/>
      <c r="E83" s="19"/>
      <c r="G83" s="19"/>
      <c r="H83" s="19"/>
      <c r="I83" s="19"/>
      <c r="J83" s="40"/>
      <c r="K83" s="19"/>
      <c r="L83" s="19"/>
      <c r="M83" s="19"/>
      <c r="P83" s="19"/>
      <c r="Q83" s="19"/>
      <c r="R83" s="40"/>
      <c r="S83" s="19"/>
      <c r="T83" s="19"/>
      <c r="U83" s="19"/>
      <c r="V83" s="40"/>
      <c r="W83" s="19"/>
      <c r="X83" s="19"/>
    </row>
    <row r="84" spans="1:26" ht="15" customHeight="1" x14ac:dyDescent="0.3">
      <c r="A84" s="10"/>
      <c r="B84" s="51">
        <v>44663.047626122687</v>
      </c>
      <c r="D84" s="19"/>
      <c r="E84" s="19"/>
      <c r="G84" s="19"/>
      <c r="H84" s="19"/>
      <c r="I84" s="19"/>
      <c r="J84" s="40"/>
      <c r="K84" s="19"/>
      <c r="L84" s="19"/>
      <c r="M84" s="19"/>
      <c r="P84" s="19"/>
      <c r="Q84" s="19"/>
      <c r="R84" s="40"/>
      <c r="S84" s="19"/>
      <c r="T84" s="19"/>
      <c r="U84" s="19"/>
      <c r="V84" s="40"/>
      <c r="W84" s="19"/>
      <c r="X84" s="19"/>
    </row>
    <row r="85" spans="1:26" ht="15" customHeight="1" x14ac:dyDescent="0.3">
      <c r="A85" s="10"/>
      <c r="B85" s="58" t="s">
        <v>298</v>
      </c>
      <c r="D85" s="19"/>
      <c r="E85" s="19"/>
      <c r="G85" s="19"/>
      <c r="H85" s="19"/>
      <c r="I85" s="19"/>
      <c r="J85" s="40"/>
      <c r="K85" s="19"/>
      <c r="L85" s="19"/>
      <c r="M85" s="19"/>
      <c r="P85" s="19"/>
      <c r="Q85" s="19"/>
      <c r="R85" s="40"/>
      <c r="S85" s="19"/>
      <c r="T85" s="19"/>
      <c r="U85" s="19"/>
      <c r="V85" s="40"/>
      <c r="W85" s="19"/>
      <c r="X85" s="19"/>
    </row>
    <row r="86" spans="1:26" ht="15" customHeight="1" x14ac:dyDescent="0.3">
      <c r="A86" s="10"/>
      <c r="B86" s="50"/>
      <c r="D86" s="19"/>
      <c r="E86" s="19"/>
      <c r="G86" s="19"/>
      <c r="H86" s="19"/>
      <c r="I86" s="19"/>
      <c r="J86" s="40"/>
      <c r="K86" s="19"/>
      <c r="L86" s="19"/>
      <c r="M86" s="19"/>
      <c r="P86" s="19"/>
      <c r="Q86" s="19"/>
      <c r="R86" s="40"/>
      <c r="S86" s="19"/>
      <c r="T86" s="19"/>
      <c r="U86" s="19"/>
      <c r="V86" s="40"/>
      <c r="W86" s="19"/>
      <c r="X86" s="19"/>
    </row>
    <row r="87" spans="1:26" ht="15" customHeight="1" x14ac:dyDescent="0.3">
      <c r="D87" s="19"/>
      <c r="E87" s="19"/>
      <c r="G87" s="19"/>
      <c r="H87" s="19"/>
      <c r="I87" s="19"/>
      <c r="J87" s="40"/>
      <c r="K87" s="19"/>
      <c r="L87" s="19"/>
      <c r="M87" s="19"/>
      <c r="P87" s="19"/>
      <c r="Q87" s="19"/>
      <c r="R87" s="40"/>
      <c r="S87" s="19"/>
      <c r="T87" s="19"/>
      <c r="U87" s="19"/>
      <c r="V87" s="40"/>
      <c r="W87" s="19"/>
      <c r="X87" s="19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83208F-0F5B-28BD-0499-D02012AD90DE}">
  <sheetPr>
    <tabColor rgb="FFFFC000"/>
    <outlinePr summaryBelow="0" summaryRight="0"/>
  </sheetPr>
  <dimension ref="A2:Z41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6" customWidth="1"/>
    <col min="2" max="2" width="33.44140625" style="66" customWidth="1"/>
    <col min="3" max="3" width="1.88671875" style="66" customWidth="1"/>
    <col min="4" max="4" width="15" style="66" customWidth="1"/>
    <col min="5" max="5" width="1.88671875" style="66" customWidth="1" outlineLevel="1"/>
    <col min="6" max="6" width="15" style="67" customWidth="1" outlineLevel="1"/>
    <col min="7" max="7" width="1.88671875" style="66" customWidth="1" outlineLevel="1"/>
    <col min="8" max="8" width="15" style="66" customWidth="1" outlineLevel="1"/>
    <col min="9" max="9" width="1.88671875" style="66" customWidth="1" outlineLevel="1"/>
    <col min="10" max="10" width="15" style="68" customWidth="1" outlineLevel="1"/>
    <col min="11" max="11" width="1.88671875" style="66" customWidth="1" outlineLevel="1"/>
    <col min="12" max="12" width="15" style="66" customWidth="1" outlineLevel="1"/>
    <col min="13" max="13" width="1.88671875" style="66" customWidth="1" outlineLevel="1"/>
    <col min="14" max="14" width="15" style="67" customWidth="1" outlineLevel="1"/>
    <col min="15" max="15" width="1.88671875" style="64" customWidth="1"/>
    <col min="16" max="16" width="15" style="66" customWidth="1"/>
    <col min="17" max="17" width="1.88671875" style="66" customWidth="1" outlineLevel="1"/>
    <col min="18" max="18" width="15" style="68" customWidth="1" outlineLevel="1"/>
    <col min="19" max="19" width="1.88671875" style="66" customWidth="1" outlineLevel="1"/>
    <col min="20" max="20" width="15" style="66" customWidth="1" outlineLevel="1"/>
    <col min="21" max="21" width="1.88671875" style="66" customWidth="1" outlineLevel="1"/>
    <col min="22" max="22" width="15" style="68" customWidth="1" outlineLevel="1"/>
    <col min="23" max="23" width="1.88671875" style="66" customWidth="1" outlineLevel="1"/>
    <col min="24" max="24" width="15" style="66" customWidth="1" outlineLevel="1"/>
    <col min="25" max="25" width="1.88671875" style="66" customWidth="1" outlineLevel="1"/>
    <col min="26" max="26" width="15" style="68" customWidth="1" outlineLevel="1"/>
  </cols>
  <sheetData>
    <row r="2" spans="1:26" ht="15" customHeight="1" x14ac:dyDescent="0.3">
      <c r="D2" s="54" t="s">
        <v>276</v>
      </c>
    </row>
    <row r="3" spans="1:26" ht="15" customHeight="1" x14ac:dyDescent="0.3">
      <c r="D3" s="54" t="s">
        <v>277</v>
      </c>
      <c r="E3" s="18"/>
      <c r="F3" s="44"/>
      <c r="G3" s="18"/>
      <c r="H3" s="18"/>
      <c r="I3" s="18"/>
      <c r="J3" s="38"/>
      <c r="K3" s="18"/>
      <c r="L3" s="18"/>
      <c r="M3" s="18"/>
      <c r="N3" s="44"/>
      <c r="O3" s="53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ht="15" customHeight="1" x14ac:dyDescent="0.3">
      <c r="D4" s="54" t="e">
        <f ca="1">CONCATENATE("Period ",RIGHT(_xll.ONESTOP.REPORTPLAYER.OSRFUNCTIONS.OSRGET("Period","PeriodId"),2),", ",_xll.ONESTOP.REPORTPLAYER.OSRFUNCTIONS.OSRGET("Period","Year"))</f>
        <v>#NAME?</v>
      </c>
      <c r="E4" s="18"/>
      <c r="F4" s="44"/>
      <c r="G4" s="18"/>
      <c r="H4" s="18"/>
      <c r="I4" s="18"/>
      <c r="J4" s="38"/>
      <c r="K4" s="18"/>
      <c r="L4" s="18"/>
      <c r="M4" s="18"/>
      <c r="N4" s="44"/>
      <c r="O4" s="53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ht="15" customHeight="1" x14ac:dyDescent="0.3">
      <c r="A5" s="24"/>
      <c r="D5" s="61" t="e">
        <f ca="1">_xll.ONESTOP.REPORTPLAYER.OSRFUNCTIONS.OSRGET("Period","PeriodEnd")</f>
        <v>#NAME?</v>
      </c>
      <c r="E5" s="18"/>
      <c r="F5" s="44"/>
      <c r="G5" s="18"/>
      <c r="H5" s="18"/>
      <c r="I5" s="18"/>
      <c r="J5" s="38"/>
      <c r="K5" s="18"/>
      <c r="L5" s="18"/>
      <c r="M5" s="18"/>
      <c r="N5" s="44"/>
      <c r="O5" s="53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ht="15" customHeight="1" x14ac:dyDescent="0.3">
      <c r="A6" s="24"/>
      <c r="B6" s="47"/>
      <c r="C6" s="47"/>
      <c r="D6" s="24" t="s">
        <v>300</v>
      </c>
      <c r="E6" s="18"/>
      <c r="F6" s="44"/>
      <c r="G6" s="18"/>
      <c r="H6" s="18"/>
      <c r="I6" s="18"/>
      <c r="J6" s="38"/>
      <c r="K6" s="18"/>
      <c r="L6" s="18"/>
      <c r="M6" s="18"/>
      <c r="N6" s="44"/>
      <c r="O6" s="59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ht="15" customHeight="1" x14ac:dyDescent="0.3">
      <c r="B7" s="52"/>
    </row>
    <row r="8" spans="1:26" ht="15" customHeight="1" x14ac:dyDescent="0.3">
      <c r="B8" s="52"/>
    </row>
    <row r="9" spans="1:26" ht="15" customHeight="1" x14ac:dyDescent="0.3">
      <c r="B9" s="10"/>
      <c r="C9" s="10"/>
      <c r="D9" s="17" t="s">
        <v>279</v>
      </c>
      <c r="E9" s="17"/>
      <c r="F9" s="36"/>
      <c r="G9" s="17"/>
      <c r="H9" s="17"/>
      <c r="I9" s="17"/>
      <c r="J9" s="43"/>
      <c r="K9" s="17"/>
      <c r="L9" s="17"/>
      <c r="M9" s="17"/>
      <c r="N9" s="36"/>
      <c r="P9" s="17" t="s">
        <v>280</v>
      </c>
      <c r="Q9" s="17"/>
      <c r="R9" s="36"/>
      <c r="S9" s="17"/>
      <c r="T9" s="17"/>
      <c r="U9" s="17"/>
      <c r="V9" s="43"/>
      <c r="W9" s="17"/>
      <c r="X9" s="17"/>
      <c r="Y9" s="17"/>
      <c r="Z9" s="36"/>
    </row>
    <row r="10" spans="1:26" ht="15" customHeight="1" x14ac:dyDescent="0.3">
      <c r="A10" s="11"/>
      <c r="B10" s="57"/>
      <c r="C10" s="11"/>
      <c r="D10" s="41" t="s">
        <v>281</v>
      </c>
      <c r="E10" s="33"/>
      <c r="F10" s="37" t="s">
        <v>282</v>
      </c>
      <c r="G10" s="33"/>
      <c r="H10" s="48" t="s">
        <v>283</v>
      </c>
      <c r="I10" s="33"/>
      <c r="J10" s="45" t="s">
        <v>284</v>
      </c>
      <c r="K10" s="11"/>
      <c r="L10" s="41" t="s">
        <v>285</v>
      </c>
      <c r="M10" s="11"/>
      <c r="N10" s="37" t="s">
        <v>286</v>
      </c>
      <c r="O10" s="11"/>
      <c r="P10" s="56" t="s">
        <v>281</v>
      </c>
      <c r="Q10" s="33"/>
      <c r="R10" s="37" t="s">
        <v>282</v>
      </c>
      <c r="S10" s="33"/>
      <c r="T10" s="48" t="s">
        <v>283</v>
      </c>
      <c r="U10" s="33"/>
      <c r="V10" s="45" t="s">
        <v>284</v>
      </c>
      <c r="W10" s="11"/>
      <c r="X10" s="41" t="s">
        <v>285</v>
      </c>
      <c r="Y10" s="11"/>
      <c r="Z10" s="37" t="s">
        <v>286</v>
      </c>
    </row>
    <row r="11" spans="1:26" ht="16.5" customHeight="1" x14ac:dyDescent="0.3">
      <c r="A11" s="10"/>
      <c r="B11" s="55"/>
      <c r="C11" s="10"/>
      <c r="D11" s="10"/>
      <c r="E11" s="10"/>
      <c r="F11" s="9"/>
      <c r="G11" s="10"/>
      <c r="H11" s="10"/>
      <c r="I11" s="10"/>
      <c r="J11" s="46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6"/>
      <c r="W11" s="10"/>
      <c r="X11" s="10"/>
      <c r="Y11" s="10"/>
      <c r="Z11" s="9"/>
    </row>
    <row r="12" spans="1:26" s="63" customFormat="1" ht="15" customHeight="1" collapsed="1" x14ac:dyDescent="0.3">
      <c r="A12" s="11"/>
      <c r="B12" s="28" t="s">
        <v>287</v>
      </c>
      <c r="C12" s="11"/>
      <c r="D12" s="5" t="e">
        <f ca="1">SUM(_xll.ONESTOP.REPORTPLAYER.OSRFUNCTIONS.OSRREF(D13))</f>
        <v>#NAME?</v>
      </c>
      <c r="E12" s="5"/>
      <c r="F12" s="13"/>
      <c r="G12" s="5"/>
      <c r="H12" s="5" t="e">
        <f ca="1">SUM(_xll.ONESTOP.REPORTPLAYER.OSRFUNCTIONS.OSRREF(H13))</f>
        <v>#NAME?</v>
      </c>
      <c r="I12" s="5"/>
      <c r="J12" s="13"/>
      <c r="K12" s="5"/>
      <c r="L12" s="5" t="e">
        <f ca="1">+D12-H12</f>
        <v>#NAME?</v>
      </c>
      <c r="M12" s="5"/>
      <c r="N12" s="13" t="e">
        <f ca="1">IF(H12=0,0,L12/H12)</f>
        <v>#NAME?</v>
      </c>
      <c r="O12" s="11"/>
      <c r="P12" s="5" t="e">
        <f ca="1">SUM(_xll.ONESTOP.REPORTPLAYER.OSRFUNCTIONS.OSRREF(P13))</f>
        <v>#NAME?</v>
      </c>
      <c r="Q12" s="5"/>
      <c r="R12" s="13"/>
      <c r="S12" s="5"/>
      <c r="T12" s="5" t="e">
        <f ca="1">SUM(_xll.ONESTOP.REPORTPLAYER.OSRFUNCTIONS.OSRREF(T13))</f>
        <v>#NAME?</v>
      </c>
      <c r="U12" s="5"/>
      <c r="V12" s="13"/>
      <c r="W12" s="5"/>
      <c r="X12" s="5" t="e">
        <f ca="1">+P12-T12</f>
        <v>#NAME?</v>
      </c>
      <c r="Y12" s="5"/>
      <c r="Z12" s="13" t="e">
        <f ca="1">IF(T12=0,0,X12/T12)</f>
        <v>#NAME?</v>
      </c>
    </row>
    <row r="13" spans="1:26" s="70" customFormat="1" ht="15" hidden="1" customHeight="1" outlineLevel="1" x14ac:dyDescent="0.3">
      <c r="A13" s="42"/>
      <c r="B13" s="12" t="e">
        <f ca="1">CONCATENATE("          ",_xll.ONESTOP.REPORTPLAYER.OSRFUNCTIONS.OSRGET("d_Account","Code")," - ",_xll.ONESTOP.REPORTPLAYER.OSRFUNCTIONS.OSRGET("d_Account","Description"))</f>
        <v>#NAME?</v>
      </c>
      <c r="C13" s="12"/>
      <c r="D13" s="3" t="e">
        <f ca="1">-_xll.ONESTOP.REPORTPLAYER.OSRFUNCTIONS.OSRGET("GL_F_Trans","Value1")</f>
        <v>#NAME?</v>
      </c>
      <c r="E13" s="3"/>
      <c r="F13" s="20"/>
      <c r="G13" s="3"/>
      <c r="H13" s="3" t="e">
        <f ca="1">_xll.ONESTOP.REPORTPLAYER.OSRFUNCTIONS.OSRGET("GL_F_Trans","Value1")</f>
        <v>#NAME?</v>
      </c>
      <c r="I13" s="3"/>
      <c r="J13" s="20"/>
      <c r="K13" s="3"/>
      <c r="L13" s="3" t="e">
        <f ca="1">+D13-H13</f>
        <v>#NAME?</v>
      </c>
      <c r="M13" s="3"/>
      <c r="N13" s="20" t="e">
        <f ca="1">IF(H13=0,0,L13/H13)</f>
        <v>#NAME?</v>
      </c>
      <c r="O13" s="12"/>
      <c r="P13" s="3" t="e">
        <f ca="1">-_xll.ONESTOP.REPORTPLAYER.OSRFUNCTIONS.OSRGET("GL_F_Trans","Value1")</f>
        <v>#NAME?</v>
      </c>
      <c r="Q13" s="3"/>
      <c r="R13" s="20"/>
      <c r="S13" s="3"/>
      <c r="T13" s="3" t="e">
        <f ca="1">_xll.ONESTOP.REPORTPLAYER.OSRFUNCTIONS.OSRGET("GL_F_Trans","Value1")</f>
        <v>#NAME?</v>
      </c>
      <c r="U13" s="3"/>
      <c r="V13" s="20"/>
      <c r="W13" s="3"/>
      <c r="X13" s="3" t="e">
        <f ca="1">+P13-T13</f>
        <v>#NAME?</v>
      </c>
      <c r="Y13" s="3"/>
      <c r="Z13" s="20" t="e">
        <f ca="1">IF(T13=0,0,X13/T13)</f>
        <v>#NAME?</v>
      </c>
    </row>
    <row r="14" spans="1:26" ht="15" customHeight="1" x14ac:dyDescent="0.3">
      <c r="A14" s="10"/>
      <c r="B14" s="11"/>
      <c r="C14" s="10"/>
      <c r="D14" s="4"/>
      <c r="E14" s="4"/>
      <c r="F14" s="9"/>
      <c r="G14" s="4"/>
      <c r="H14" s="4"/>
      <c r="I14" s="4"/>
      <c r="J14" s="9"/>
      <c r="K14" s="4"/>
      <c r="L14" s="4"/>
      <c r="M14" s="4"/>
      <c r="N14" s="9"/>
      <c r="P14" s="4"/>
      <c r="Q14" s="4"/>
      <c r="R14" s="9"/>
      <c r="S14" s="4"/>
      <c r="T14" s="4"/>
      <c r="U14" s="4"/>
      <c r="V14" s="9"/>
      <c r="W14" s="4"/>
      <c r="X14" s="4"/>
      <c r="Y14" s="4"/>
      <c r="Z14" s="9"/>
    </row>
    <row r="15" spans="1:26" s="63" customFormat="1" ht="15" customHeight="1" collapsed="1" x14ac:dyDescent="0.3">
      <c r="A15" s="11"/>
      <c r="B15" s="28" t="s">
        <v>288</v>
      </c>
      <c r="C15" s="11"/>
      <c r="D15" s="5" t="e">
        <f ca="1">SUM(_xll.ONESTOP.REPORTPLAYER.OSRFUNCTIONS.OSRREF(D16))</f>
        <v>#NAME?</v>
      </c>
      <c r="E15" s="5"/>
      <c r="F15" s="13" t="e">
        <f ca="1">IF(D$12=0,0,D15/D$12)</f>
        <v>#NAME?</v>
      </c>
      <c r="G15" s="5"/>
      <c r="H15" s="5" t="e">
        <f ca="1">SUM(_xll.ONESTOP.REPORTPLAYER.OSRFUNCTIONS.OSRREF(H16))</f>
        <v>#NAME?</v>
      </c>
      <c r="I15" s="5"/>
      <c r="J15" s="13" t="e">
        <f ca="1">IF(H$12=0,0,H15/H$12)</f>
        <v>#NAME?</v>
      </c>
      <c r="K15" s="5"/>
      <c r="L15" s="5" t="e">
        <f ca="1">+D15-H15</f>
        <v>#NAME?</v>
      </c>
      <c r="M15" s="5"/>
      <c r="N15" s="13" t="e">
        <f ca="1">IF(H15=0,0,L15/H15)</f>
        <v>#NAME?</v>
      </c>
      <c r="O15" s="11"/>
      <c r="P15" s="5" t="e">
        <f ca="1">SUM(_xll.ONESTOP.REPORTPLAYER.OSRFUNCTIONS.OSRREF(P16))</f>
        <v>#NAME?</v>
      </c>
      <c r="Q15" s="5"/>
      <c r="R15" s="13" t="e">
        <f ca="1">IF(P$12=0,0,P15/P$12)</f>
        <v>#NAME?</v>
      </c>
      <c r="S15" s="5"/>
      <c r="T15" s="5" t="e">
        <f ca="1">SUM(_xll.ONESTOP.REPORTPLAYER.OSRFUNCTIONS.OSRREF(T16))</f>
        <v>#NAME?</v>
      </c>
      <c r="U15" s="5"/>
      <c r="V15" s="13" t="e">
        <f ca="1">IF(T$12=0,0,T15/T$12)</f>
        <v>#NAME?</v>
      </c>
      <c r="W15" s="5"/>
      <c r="X15" s="5" t="e">
        <f ca="1">+P15-T15</f>
        <v>#NAME?</v>
      </c>
      <c r="Y15" s="5"/>
      <c r="Z15" s="13" t="e">
        <f ca="1">IF(T15=0,0,X15/T15)</f>
        <v>#NAME?</v>
      </c>
    </row>
    <row r="16" spans="1:26" s="70" customFormat="1" ht="15" hidden="1" customHeight="1" outlineLevel="1" x14ac:dyDescent="0.3">
      <c r="A16" s="42"/>
      <c r="B16" s="12" t="e">
        <f ca="1">CONCATENATE("          ",_xll.ONESTOP.REPORTPLAYER.OSRFUNCTIONS.OSRGET("d_Account","Code")," - ",_xll.ONESTOP.REPORTPLAYER.OSRFUNCTIONS.OSRGET("d_Account","Description"))</f>
        <v>#NAME?</v>
      </c>
      <c r="C16" s="12"/>
      <c r="D16" s="3" t="e">
        <f ca="1">_xll.ONESTOP.REPORTPLAYER.OSRFUNCTIONS.OSRGET("GL_F_Trans","Value1")</f>
        <v>#NAME?</v>
      </c>
      <c r="E16" s="3"/>
      <c r="F16" s="20" t="e">
        <f ca="1">IF(D$12=0,0,D16/D$12)</f>
        <v>#NAME?</v>
      </c>
      <c r="G16" s="3"/>
      <c r="H16" s="3" t="e">
        <f ca="1">_xll.ONESTOP.REPORTPLAYER.OSRFUNCTIONS.OSRGET("GL_F_Trans","Value1")</f>
        <v>#NAME?</v>
      </c>
      <c r="I16" s="3"/>
      <c r="J16" s="20" t="e">
        <f ca="1">IF(H$12=0,0,H16/H$12)</f>
        <v>#NAME?</v>
      </c>
      <c r="K16" s="3"/>
      <c r="L16" s="3" t="e">
        <f ca="1">+D16-H16</f>
        <v>#NAME?</v>
      </c>
      <c r="M16" s="3"/>
      <c r="N16" s="20" t="e">
        <f ca="1">IF(H16=0,0,L16/H16)</f>
        <v>#NAME?</v>
      </c>
      <c r="O16" s="12"/>
      <c r="P16" s="3" t="e">
        <f ca="1">_xll.ONESTOP.REPORTPLAYER.OSRFUNCTIONS.OSRGET("GL_F_Trans","Value1")</f>
        <v>#NAME?</v>
      </c>
      <c r="Q16" s="3"/>
      <c r="R16" s="20" t="e">
        <f ca="1">IF(P$12=0,0,P16/P$12)</f>
        <v>#NAME?</v>
      </c>
      <c r="S16" s="3"/>
      <c r="T16" s="3" t="e">
        <f ca="1">_xll.ONESTOP.REPORTPLAYER.OSRFUNCTIONS.OSRGET("GL_F_Trans","Value1")</f>
        <v>#NAME?</v>
      </c>
      <c r="U16" s="3"/>
      <c r="V16" s="20" t="e">
        <f ca="1">IF(T$12=0,0,T16/T$12)</f>
        <v>#NAME?</v>
      </c>
      <c r="W16" s="3"/>
      <c r="X16" s="3" t="e">
        <f ca="1">+P16-T16</f>
        <v>#NAME?</v>
      </c>
      <c r="Y16" s="3"/>
      <c r="Z16" s="20" t="e">
        <f ca="1">IF(T16=0,0,X16/T16)</f>
        <v>#NAME?</v>
      </c>
    </row>
    <row r="17" spans="1:26" ht="15" customHeight="1" x14ac:dyDescent="0.3">
      <c r="A17" s="10"/>
      <c r="B17" s="11"/>
      <c r="C17" s="11"/>
      <c r="D17" s="4"/>
      <c r="E17" s="4"/>
      <c r="F17" s="9"/>
      <c r="G17" s="4"/>
      <c r="H17" s="4"/>
      <c r="I17" s="4"/>
      <c r="J17" s="9"/>
      <c r="K17" s="4"/>
      <c r="L17" s="4"/>
      <c r="M17" s="4"/>
      <c r="N17" s="9"/>
      <c r="O17" s="11"/>
      <c r="P17" s="4"/>
      <c r="Q17" s="4"/>
      <c r="R17" s="9"/>
      <c r="S17" s="4"/>
      <c r="T17" s="4"/>
      <c r="U17" s="4"/>
      <c r="V17" s="9"/>
      <c r="W17" s="4"/>
      <c r="X17" s="4"/>
      <c r="Y17" s="4"/>
      <c r="Z17" s="9"/>
    </row>
    <row r="18" spans="1:26" s="63" customFormat="1" ht="15" customHeight="1" x14ac:dyDescent="0.3">
      <c r="A18" s="11"/>
      <c r="B18" s="27" t="s">
        <v>289</v>
      </c>
      <c r="C18" s="27"/>
      <c r="D18" s="21" t="e">
        <f ca="1">D12-D15</f>
        <v>#NAME?</v>
      </c>
      <c r="E18" s="15"/>
      <c r="F18" s="23" t="e">
        <f ca="1">IF(D$12=0,0,D18/D$12)</f>
        <v>#NAME?</v>
      </c>
      <c r="G18" s="15"/>
      <c r="H18" s="21" t="e">
        <f ca="1">H12-H15</f>
        <v>#NAME?</v>
      </c>
      <c r="I18" s="15"/>
      <c r="J18" s="23" t="e">
        <f ca="1">IF(H$12=0,0,H18/H$12)</f>
        <v>#NAME?</v>
      </c>
      <c r="K18" s="16"/>
      <c r="L18" s="21" t="e">
        <f ca="1">+D18-H18</f>
        <v>#NAME?</v>
      </c>
      <c r="M18" s="16"/>
      <c r="N18" s="23" t="e">
        <f ca="1">IF(H18=0,0,L18/H18)</f>
        <v>#NAME?</v>
      </c>
      <c r="O18" s="28"/>
      <c r="P18" s="21" t="e">
        <f ca="1">P12-P15</f>
        <v>#NAME?</v>
      </c>
      <c r="Q18" s="15"/>
      <c r="R18" s="23" t="e">
        <f ca="1">IF(P$12=0,0,P18/P$12)</f>
        <v>#NAME?</v>
      </c>
      <c r="S18" s="15"/>
      <c r="T18" s="21" t="e">
        <f ca="1">T12-T15</f>
        <v>#NAME?</v>
      </c>
      <c r="U18" s="15"/>
      <c r="V18" s="23" t="e">
        <f ca="1">IF(T$12=0,0,T18/T$12)</f>
        <v>#NAME?</v>
      </c>
      <c r="W18" s="16"/>
      <c r="X18" s="21" t="e">
        <f ca="1">+P18-T18</f>
        <v>#NAME?</v>
      </c>
      <c r="Y18" s="16"/>
      <c r="Z18" s="23" t="e">
        <f ca="1">IF(T18=0,0,X18/T18)</f>
        <v>#NAME?</v>
      </c>
    </row>
    <row r="19" spans="1:26" ht="15" customHeight="1" x14ac:dyDescent="0.3">
      <c r="A19" s="10"/>
      <c r="B19" s="11"/>
      <c r="C19" s="10"/>
      <c r="D19" s="2"/>
      <c r="E19" s="2"/>
      <c r="F19" s="6"/>
      <c r="G19" s="2"/>
      <c r="H19" s="2"/>
      <c r="I19" s="2"/>
      <c r="J19" s="6"/>
      <c r="K19" s="2"/>
      <c r="L19" s="2"/>
      <c r="M19" s="2"/>
      <c r="N19" s="6"/>
      <c r="O19" s="35"/>
      <c r="P19" s="2"/>
      <c r="Q19" s="2"/>
      <c r="R19" s="6"/>
      <c r="S19" s="2"/>
      <c r="T19" s="2"/>
      <c r="U19" s="2"/>
      <c r="V19" s="6"/>
      <c r="W19" s="2"/>
      <c r="X19" s="2"/>
      <c r="Y19" s="2"/>
      <c r="Z19" s="6"/>
    </row>
    <row r="20" spans="1:26" s="63" customFormat="1" ht="15" customHeight="1" x14ac:dyDescent="0.3">
      <c r="A20" s="11"/>
      <c r="B20" s="28" t="s">
        <v>290</v>
      </c>
      <c r="C20" s="11"/>
      <c r="D20" s="22" t="e">
        <f ca="1">SUM(_xll.ONESTOP.REPORTPLAYER.OSRFUNCTIONS.OSRREF(D22))</f>
        <v>#NAME?</v>
      </c>
      <c r="E20" s="22"/>
      <c r="F20" s="30" t="e">
        <f ca="1">IF(D$12=0,0,D20/D$12)</f>
        <v>#NAME?</v>
      </c>
      <c r="G20" s="22"/>
      <c r="H20" s="22" t="e">
        <f ca="1">SUM(_xll.ONESTOP.REPORTPLAYER.OSRFUNCTIONS.OSRREF(H22))</f>
        <v>#NAME?</v>
      </c>
      <c r="I20" s="22"/>
      <c r="J20" s="30" t="e">
        <f ca="1">IF(H$12=0,0,H20/H$12)</f>
        <v>#NAME?</v>
      </c>
      <c r="K20" s="5"/>
      <c r="L20" s="22" t="e">
        <f ca="1">+D20-H20</f>
        <v>#NAME?</v>
      </c>
      <c r="M20" s="5"/>
      <c r="N20" s="30" t="e">
        <f ca="1">IF(H20=0,0,L20/H20)</f>
        <v>#NAME?</v>
      </c>
      <c r="O20" s="11"/>
      <c r="P20" s="22" t="e">
        <f ca="1">SUM(_xll.ONESTOP.REPORTPLAYER.OSRFUNCTIONS.OSRREF(P22))</f>
        <v>#NAME?</v>
      </c>
      <c r="Q20" s="22"/>
      <c r="R20" s="30" t="e">
        <f ca="1">IF(P$12=0,0,P20/P$12)</f>
        <v>#NAME?</v>
      </c>
      <c r="S20" s="22"/>
      <c r="T20" s="22" t="e">
        <f ca="1">SUM(_xll.ONESTOP.REPORTPLAYER.OSRFUNCTIONS.OSRREF(T22))</f>
        <v>#NAME?</v>
      </c>
      <c r="U20" s="22"/>
      <c r="V20" s="30" t="e">
        <f ca="1">IF(T$12=0,0,T20/T$12)</f>
        <v>#NAME?</v>
      </c>
      <c r="W20" s="5"/>
      <c r="X20" s="22" t="e">
        <f ca="1">+P20-T20</f>
        <v>#NAME?</v>
      </c>
      <c r="Y20" s="5"/>
      <c r="Z20" s="30" t="e">
        <f ca="1">IF(T20=0,0,X20/T20)</f>
        <v>#NAME?</v>
      </c>
    </row>
    <row r="21" spans="1:26" s="69" customFormat="1" ht="15" customHeight="1" outlineLevel="1" collapsed="1" x14ac:dyDescent="0.3">
      <c r="A21" s="25"/>
      <c r="B21" s="14" t="e">
        <f ca="1">CONCATENATE("     ",_xll.ONESTOP.REPORTPLAYER.OSRFUNCTIONS.OSRGET("d_Account","AccountCategory"))</f>
        <v>#NAME?</v>
      </c>
      <c r="C21" s="14"/>
      <c r="D21" s="2" t="e">
        <f ca="1">SUM(_xll.ONESTOP.REPORTPLAYER.OSRFUNCTIONS.OSRREF(D22))</f>
        <v>#NAME?</v>
      </c>
      <c r="E21" s="2"/>
      <c r="F21" s="6" t="e">
        <f ca="1">IF(D$12=0,0,D21/D$12)</f>
        <v>#NAME?</v>
      </c>
      <c r="G21" s="2"/>
      <c r="H21" s="2" t="e">
        <f ca="1">SUM(_xll.ONESTOP.REPORTPLAYER.OSRFUNCTIONS.OSRREF(H22))</f>
        <v>#NAME?</v>
      </c>
      <c r="I21" s="2"/>
      <c r="J21" s="6" t="e">
        <f ca="1">IF(H$12=0,0,H21/H$12)</f>
        <v>#NAME?</v>
      </c>
      <c r="K21" s="2"/>
      <c r="L21" s="2" t="e">
        <f ca="1">+D21-H21</f>
        <v>#NAME?</v>
      </c>
      <c r="M21" s="2"/>
      <c r="N21" s="6" t="e">
        <f ca="1">IF(H21=0,0,L21/H21)</f>
        <v>#NAME?</v>
      </c>
      <c r="O21" s="14"/>
      <c r="P21" s="2" t="e">
        <f ca="1">SUM(_xll.ONESTOP.REPORTPLAYER.OSRFUNCTIONS.OSRREF(P22))</f>
        <v>#NAME?</v>
      </c>
      <c r="Q21" s="2"/>
      <c r="R21" s="6" t="e">
        <f ca="1">IF(P$12=0,0,P21/P$12)</f>
        <v>#NAME?</v>
      </c>
      <c r="S21" s="2"/>
      <c r="T21" s="2" t="e">
        <f ca="1">SUM(_xll.ONESTOP.REPORTPLAYER.OSRFUNCTIONS.OSRREF(T22))</f>
        <v>#NAME?</v>
      </c>
      <c r="U21" s="2"/>
      <c r="V21" s="6" t="e">
        <f ca="1">IF(T$12=0,0,T21/T$12)</f>
        <v>#NAME?</v>
      </c>
      <c r="W21" s="2"/>
      <c r="X21" s="2" t="e">
        <f ca="1">+P21-T21</f>
        <v>#NAME?</v>
      </c>
      <c r="Y21" s="2"/>
      <c r="Z21" s="6" t="e">
        <f ca="1">IF(T21=0,0,X21/T21)</f>
        <v>#NAME?</v>
      </c>
    </row>
    <row r="22" spans="1:26" s="70" customFormat="1" ht="15" hidden="1" customHeight="1" outlineLevel="2" x14ac:dyDescent="0.3">
      <c r="A22" s="26"/>
      <c r="B22" s="12" t="e">
        <f ca="1">CONCATENATE("          ",_xll.ONESTOP.REPORTPLAYER.OSRFUNCTIONS.OSRGET("d_Account","Code")," - ",_xll.ONESTOP.REPORTPLAYER.OSRFUNCTIONS.OSRGET("d_Account","Description"))</f>
        <v>#NAME?</v>
      </c>
      <c r="C22" s="12"/>
      <c r="D22" s="7" t="e">
        <f ca="1">_xll.ONESTOP.REPORTPLAYER.OSRFUNCTIONS.OSRGET("GL_F_Trans","Value1")</f>
        <v>#NAME?</v>
      </c>
      <c r="E22" s="3"/>
      <c r="F22" s="8" t="e">
        <f ca="1">IF(D$12=0,0,D22/D$12)</f>
        <v>#NAME?</v>
      </c>
      <c r="G22" s="3"/>
      <c r="H22" s="7" t="e">
        <f ca="1">_xll.ONESTOP.REPORTPLAYER.OSRFUNCTIONS.OSRGET("GL_F_Trans","Value1")</f>
        <v>#NAME?</v>
      </c>
      <c r="I22" s="3"/>
      <c r="J22" s="8" t="e">
        <f ca="1">IF(H$12=0,0,H22/H$12)</f>
        <v>#NAME?</v>
      </c>
      <c r="K22" s="3"/>
      <c r="L22" s="7" t="e">
        <f ca="1">+D22-H22</f>
        <v>#NAME?</v>
      </c>
      <c r="M22" s="3"/>
      <c r="N22" s="8" t="e">
        <f ca="1">IF(H22=0,0,L22/H22)</f>
        <v>#NAME?</v>
      </c>
      <c r="O22" s="12"/>
      <c r="P22" s="7" t="e">
        <f ca="1">_xll.ONESTOP.REPORTPLAYER.OSRFUNCTIONS.OSRGET("GL_F_Trans","Value1")</f>
        <v>#NAME?</v>
      </c>
      <c r="Q22" s="3"/>
      <c r="R22" s="8" t="e">
        <f ca="1">IF(P$12=0,0,P22/P$12)</f>
        <v>#NAME?</v>
      </c>
      <c r="S22" s="3"/>
      <c r="T22" s="7" t="e">
        <f ca="1">_xll.ONESTOP.REPORTPLAYER.OSRFUNCTIONS.OSRGET("GL_F_Trans","Value1")</f>
        <v>#NAME?</v>
      </c>
      <c r="U22" s="3"/>
      <c r="V22" s="8" t="e">
        <f ca="1">IF(T$12=0,0,T22/T$12)</f>
        <v>#NAME?</v>
      </c>
      <c r="W22" s="3"/>
      <c r="X22" s="7" t="e">
        <f ca="1">+P22-T22</f>
        <v>#NAME?</v>
      </c>
      <c r="Y22" s="3"/>
      <c r="Z22" s="8" t="e">
        <f ca="1">IF(T22=0,0,X22/T22)</f>
        <v>#NAME?</v>
      </c>
    </row>
    <row r="23" spans="1:26" s="65" customFormat="1" ht="15" customHeight="1" x14ac:dyDescent="0.3">
      <c r="A23" s="35"/>
      <c r="B23" s="35"/>
      <c r="C23" s="35"/>
      <c r="D23" s="2"/>
      <c r="E23" s="2"/>
      <c r="F23" s="6"/>
      <c r="G23" s="2"/>
      <c r="H23" s="2"/>
      <c r="I23" s="2"/>
      <c r="J23" s="6"/>
      <c r="K23" s="2"/>
      <c r="L23" s="2"/>
      <c r="M23" s="2"/>
      <c r="N23" s="6"/>
      <c r="O23" s="35"/>
      <c r="P23" s="2"/>
      <c r="Q23" s="2"/>
      <c r="R23" s="6"/>
      <c r="S23" s="2"/>
      <c r="T23" s="2"/>
      <c r="U23" s="2"/>
      <c r="V23" s="6"/>
      <c r="W23" s="2"/>
      <c r="X23" s="2"/>
      <c r="Y23" s="2"/>
      <c r="Z23" s="6"/>
    </row>
    <row r="24" spans="1:26" s="63" customFormat="1" ht="15" customHeight="1" collapsed="1" x14ac:dyDescent="0.3">
      <c r="A24" s="11"/>
      <c r="B24" s="28" t="s">
        <v>291</v>
      </c>
      <c r="C24" s="11"/>
      <c r="D24" s="5" t="e">
        <f ca="1">SUM(_xll.ONESTOP.REPORTPLAYER.OSRFUNCTIONS.OSRREF(D25))</f>
        <v>#NAME?</v>
      </c>
      <c r="E24" s="5"/>
      <c r="F24" s="13" t="e">
        <f ca="1">IF(D$12=0,0,D24/D$12)</f>
        <v>#NAME?</v>
      </c>
      <c r="G24" s="5"/>
      <c r="H24" s="5" t="e">
        <f ca="1">SUM(_xll.ONESTOP.REPORTPLAYER.OSRFUNCTIONS.OSRREF(H25))</f>
        <v>#NAME?</v>
      </c>
      <c r="I24" s="5"/>
      <c r="J24" s="13" t="e">
        <f ca="1">IF(H$12=0,0,H24/H$12)</f>
        <v>#NAME?</v>
      </c>
      <c r="K24" s="5"/>
      <c r="L24" s="5" t="e">
        <f ca="1">+D24-H24</f>
        <v>#NAME?</v>
      </c>
      <c r="M24" s="5"/>
      <c r="N24" s="13" t="e">
        <f ca="1">IF(H24=0,0,L24/H24)</f>
        <v>#NAME?</v>
      </c>
      <c r="O24" s="11"/>
      <c r="P24" s="5" t="e">
        <f ca="1">SUM(_xll.ONESTOP.REPORTPLAYER.OSRFUNCTIONS.OSRREF(P25))</f>
        <v>#NAME?</v>
      </c>
      <c r="Q24" s="5"/>
      <c r="R24" s="13" t="e">
        <f ca="1">IF(P$12=0,0,P24/P$12)</f>
        <v>#NAME?</v>
      </c>
      <c r="S24" s="5"/>
      <c r="T24" s="5" t="e">
        <f ca="1">SUM(_xll.ONESTOP.REPORTPLAYER.OSRFUNCTIONS.OSRREF(T25))</f>
        <v>#NAME?</v>
      </c>
      <c r="U24" s="5"/>
      <c r="V24" s="13" t="e">
        <f ca="1">IF(T$12=0,0,T24/T$12)</f>
        <v>#NAME?</v>
      </c>
      <c r="W24" s="5"/>
      <c r="X24" s="5" t="e">
        <f ca="1">+P24-T24</f>
        <v>#NAME?</v>
      </c>
      <c r="Y24" s="5"/>
      <c r="Z24" s="13" t="e">
        <f ca="1">IF(T24=0,0,X24/T24)</f>
        <v>#NAME?</v>
      </c>
    </row>
    <row r="25" spans="1:26" s="70" customFormat="1" ht="15" hidden="1" customHeight="1" outlineLevel="1" x14ac:dyDescent="0.3">
      <c r="A25" s="42"/>
      <c r="B25" s="12" t="e">
        <f ca="1">CONCATENATE("          ",_xll.ONESTOP.REPORTPLAYER.OSRFUNCTIONS.OSRGET("d_Account","Code")," - ",_xll.ONESTOP.REPORTPLAYER.OSRFUNCTIONS.OSRGET("d_Account","Description"))</f>
        <v>#NAME?</v>
      </c>
      <c r="C25" s="12"/>
      <c r="D25" s="3" t="e">
        <f ca="1">-_xll.ONESTOP.REPORTPLAYER.OSRFUNCTIONS.OSRGET("GL_F_Trans","Value1")</f>
        <v>#NAME?</v>
      </c>
      <c r="E25" s="3"/>
      <c r="F25" s="20" t="e">
        <f ca="1">IF(D$12=0,0,D25/D$12)</f>
        <v>#NAME?</v>
      </c>
      <c r="G25" s="3"/>
      <c r="H25" s="3" t="e">
        <f ca="1">_xll.ONESTOP.REPORTPLAYER.OSRFUNCTIONS.OSRGET("GL_F_Trans","Value1")</f>
        <v>#NAME?</v>
      </c>
      <c r="I25" s="3"/>
      <c r="J25" s="20" t="e">
        <f ca="1">IF(H$12=0,0,H25/H$12)</f>
        <v>#NAME?</v>
      </c>
      <c r="K25" s="3"/>
      <c r="L25" s="3" t="e">
        <f ca="1">+D25-H25</f>
        <v>#NAME?</v>
      </c>
      <c r="M25" s="3"/>
      <c r="N25" s="20" t="e">
        <f ca="1">IF(H25=0,0,L25/H25)</f>
        <v>#NAME?</v>
      </c>
      <c r="O25" s="12"/>
      <c r="P25" s="3" t="e">
        <f ca="1">-_xll.ONESTOP.REPORTPLAYER.OSRFUNCTIONS.OSRGET("GL_F_Trans","Value1")</f>
        <v>#NAME?</v>
      </c>
      <c r="Q25" s="3"/>
      <c r="R25" s="20" t="e">
        <f ca="1">IF(P$12=0,0,P25/P$12)</f>
        <v>#NAME?</v>
      </c>
      <c r="S25" s="3"/>
      <c r="T25" s="3" t="e">
        <f ca="1">_xll.ONESTOP.REPORTPLAYER.OSRFUNCTIONS.OSRGET("GL_F_Trans","Value1")</f>
        <v>#NAME?</v>
      </c>
      <c r="U25" s="3"/>
      <c r="V25" s="20" t="e">
        <f ca="1">IF(T$12=0,0,T25/T$12)</f>
        <v>#NAME?</v>
      </c>
      <c r="W25" s="3"/>
      <c r="X25" s="3" t="e">
        <f ca="1">+P25-T25</f>
        <v>#NAME?</v>
      </c>
      <c r="Y25" s="3"/>
      <c r="Z25" s="20" t="e">
        <f ca="1">IF(T25=0,0,X25/T25)</f>
        <v>#NAME?</v>
      </c>
    </row>
    <row r="26" spans="1:26" ht="15" customHeight="1" x14ac:dyDescent="0.3">
      <c r="A26" s="10"/>
      <c r="B26" s="11"/>
      <c r="C26" s="11"/>
      <c r="D26" s="4"/>
      <c r="E26" s="4"/>
      <c r="F26" s="9"/>
      <c r="G26" s="4"/>
      <c r="H26" s="4"/>
      <c r="I26" s="4"/>
      <c r="J26" s="9"/>
      <c r="K26" s="4"/>
      <c r="L26" s="4"/>
      <c r="M26" s="4"/>
      <c r="N26" s="9"/>
      <c r="O26" s="11"/>
      <c r="P26" s="4"/>
      <c r="Q26" s="4"/>
      <c r="R26" s="9"/>
      <c r="S26" s="4"/>
      <c r="T26" s="4"/>
      <c r="U26" s="4"/>
      <c r="V26" s="9"/>
      <c r="W26" s="4"/>
      <c r="X26" s="4"/>
      <c r="Y26" s="4"/>
      <c r="Z26" s="9"/>
    </row>
    <row r="27" spans="1:26" s="63" customFormat="1" ht="15" customHeight="1" x14ac:dyDescent="0.3">
      <c r="A27" s="11"/>
      <c r="B27" s="27" t="s">
        <v>292</v>
      </c>
      <c r="C27" s="27"/>
      <c r="D27" s="21" t="e">
        <f ca="1">+D18-D20+D24</f>
        <v>#NAME?</v>
      </c>
      <c r="E27" s="15"/>
      <c r="F27" s="23" t="e">
        <f ca="1">IF(D$12=0,0,D27/D$12)</f>
        <v>#NAME?</v>
      </c>
      <c r="G27" s="15"/>
      <c r="H27" s="21" t="e">
        <f ca="1">+H18-H20+H24</f>
        <v>#NAME?</v>
      </c>
      <c r="I27" s="15"/>
      <c r="J27" s="23" t="e">
        <f ca="1">IF(H$12=0,0,H27/H$12)</f>
        <v>#NAME?</v>
      </c>
      <c r="K27" s="16"/>
      <c r="L27" s="21" t="e">
        <f ca="1">+D27-H27</f>
        <v>#NAME?</v>
      </c>
      <c r="M27" s="16"/>
      <c r="N27" s="23" t="e">
        <f ca="1">IF(H27=0,0,L27/H27)</f>
        <v>#NAME?</v>
      </c>
      <c r="O27" s="28"/>
      <c r="P27" s="21" t="e">
        <f ca="1">+P18-P20+P24</f>
        <v>#NAME?</v>
      </c>
      <c r="Q27" s="15"/>
      <c r="R27" s="23" t="e">
        <f ca="1">IF(P$12=0,0,P27/P$12)</f>
        <v>#NAME?</v>
      </c>
      <c r="S27" s="15"/>
      <c r="T27" s="21" t="e">
        <f ca="1">+T18-T20+T24</f>
        <v>#NAME?</v>
      </c>
      <c r="U27" s="15"/>
      <c r="V27" s="23" t="e">
        <f ca="1">IF(T$12=0,0,T27/T$12)</f>
        <v>#NAME?</v>
      </c>
      <c r="W27" s="16"/>
      <c r="X27" s="21" t="e">
        <f ca="1">+P27-T27</f>
        <v>#NAME?</v>
      </c>
      <c r="Y27" s="16"/>
      <c r="Z27" s="23" t="e">
        <f ca="1">IF(T27=0,0,X27/T27)</f>
        <v>#NAME?</v>
      </c>
    </row>
    <row r="28" spans="1:26" ht="15" customHeight="1" x14ac:dyDescent="0.3">
      <c r="A28" s="10"/>
      <c r="B28" s="11"/>
      <c r="C28" s="10"/>
      <c r="D28" s="4"/>
      <c r="E28" s="4"/>
      <c r="F28" s="9"/>
      <c r="G28" s="4"/>
      <c r="H28" s="4"/>
      <c r="I28" s="4"/>
      <c r="J28" s="9"/>
      <c r="K28" s="4"/>
      <c r="L28" s="4"/>
      <c r="M28" s="4"/>
      <c r="N28" s="9"/>
      <c r="P28" s="4"/>
      <c r="Q28" s="4"/>
      <c r="R28" s="9"/>
      <c r="S28" s="4"/>
      <c r="T28" s="4"/>
      <c r="U28" s="4"/>
      <c r="V28" s="9"/>
      <c r="W28" s="4"/>
      <c r="X28" s="4"/>
      <c r="Y28" s="4"/>
      <c r="Z28" s="9"/>
    </row>
    <row r="29" spans="1:26" s="63" customFormat="1" ht="15" customHeight="1" x14ac:dyDescent="0.3">
      <c r="A29" s="49"/>
      <c r="B29" s="11" t="s">
        <v>293</v>
      </c>
      <c r="C29" s="11"/>
      <c r="D29" s="5" t="e">
        <f ca="1">_xll.ONESTOP.REPORTPLAYER.OSRFUNCTIONS.OSRGET("GL_F_Trans","Value1")</f>
        <v>#NAME?</v>
      </c>
      <c r="E29" s="5"/>
      <c r="F29" s="13" t="e">
        <f ca="1">IF(D$12=0,0,D29/D$12)</f>
        <v>#NAME?</v>
      </c>
      <c r="G29" s="5"/>
      <c r="H29" s="5" t="e">
        <f ca="1">_xll.ONESTOP.REPORTPLAYER.OSRFUNCTIONS.OSRGET("GL_F_Trans","Value1")</f>
        <v>#NAME?</v>
      </c>
      <c r="I29" s="5"/>
      <c r="J29" s="13" t="e">
        <f ca="1">IF(H$12=0,0,H29/H$12)</f>
        <v>#NAME?</v>
      </c>
      <c r="K29" s="5"/>
      <c r="L29" s="5" t="e">
        <f ca="1">+D29-H29</f>
        <v>#NAME?</v>
      </c>
      <c r="M29" s="5"/>
      <c r="N29" s="13" t="e">
        <f ca="1">IF(H29=0,0,L29/H29)</f>
        <v>#NAME?</v>
      </c>
      <c r="O29" s="11"/>
      <c r="P29" s="5" t="e">
        <f ca="1">_xll.ONESTOP.REPORTPLAYER.OSRFUNCTIONS.OSRGET("GL_F_Trans","Value1")</f>
        <v>#NAME?</v>
      </c>
      <c r="Q29" s="5"/>
      <c r="R29" s="13" t="e">
        <f ca="1">IF(P$12=0,0,P29/P$12)</f>
        <v>#NAME?</v>
      </c>
      <c r="S29" s="5"/>
      <c r="T29" s="5" t="e">
        <f ca="1">_xll.ONESTOP.REPORTPLAYER.OSRFUNCTIONS.OSRGET("GL_F_Trans","Value1")</f>
        <v>#NAME?</v>
      </c>
      <c r="U29" s="5"/>
      <c r="V29" s="13" t="e">
        <f ca="1">IF(T$12=0,0,T29/T$12)</f>
        <v>#NAME?</v>
      </c>
      <c r="W29" s="5"/>
      <c r="X29" s="5" t="e">
        <f ca="1">+P29-T29</f>
        <v>#NAME?</v>
      </c>
      <c r="Y29" s="5"/>
      <c r="Z29" s="13" t="e">
        <f ca="1">IF(T29=0,0,X29/T29)</f>
        <v>#NAME?</v>
      </c>
    </row>
    <row r="30" spans="1:26" ht="15" customHeight="1" x14ac:dyDescent="0.3">
      <c r="A30" s="10"/>
      <c r="B30" s="11"/>
      <c r="C30" s="11"/>
      <c r="D30" s="4"/>
      <c r="E30" s="4"/>
      <c r="F30" s="9"/>
      <c r="G30" s="4"/>
      <c r="H30" s="4"/>
      <c r="I30" s="4"/>
      <c r="J30" s="9"/>
      <c r="K30" s="4"/>
      <c r="L30" s="4"/>
      <c r="M30" s="4"/>
      <c r="N30" s="9"/>
      <c r="O30" s="11"/>
      <c r="P30" s="4"/>
      <c r="Q30" s="4"/>
      <c r="R30" s="9"/>
      <c r="S30" s="4"/>
      <c r="T30" s="4"/>
      <c r="U30" s="4"/>
      <c r="V30" s="9"/>
      <c r="W30" s="4"/>
      <c r="X30" s="4"/>
      <c r="Y30" s="4"/>
      <c r="Z30" s="9"/>
    </row>
    <row r="31" spans="1:26" s="63" customFormat="1" ht="15" customHeight="1" x14ac:dyDescent="0.3">
      <c r="A31" s="11"/>
      <c r="B31" s="27" t="s">
        <v>294</v>
      </c>
      <c r="C31" s="27"/>
      <c r="D31" s="34" t="e">
        <f ca="1">+D27-D29</f>
        <v>#NAME?</v>
      </c>
      <c r="E31" s="15"/>
      <c r="F31" s="29" t="e">
        <f ca="1">IF(D$12=0,0,D31/D$12)</f>
        <v>#NAME?</v>
      </c>
      <c r="G31" s="15"/>
      <c r="H31" s="34" t="e">
        <f ca="1">+H27-H29</f>
        <v>#NAME?</v>
      </c>
      <c r="I31" s="15"/>
      <c r="J31" s="29" t="e">
        <f ca="1">IF(H$12=0,0,H31/H$12)</f>
        <v>#NAME?</v>
      </c>
      <c r="K31" s="16"/>
      <c r="L31" s="34" t="e">
        <f ca="1">D31-H31</f>
        <v>#NAME?</v>
      </c>
      <c r="M31" s="16"/>
      <c r="N31" s="29" t="e">
        <f ca="1">IF(H31=0,0,L31/H31)</f>
        <v>#NAME?</v>
      </c>
      <c r="O31" s="28"/>
      <c r="P31" s="34" t="e">
        <f ca="1">+P27-P29</f>
        <v>#NAME?</v>
      </c>
      <c r="Q31" s="15"/>
      <c r="R31" s="29" t="e">
        <f ca="1">IF(P$12=0,0,P31/P$12)</f>
        <v>#NAME?</v>
      </c>
      <c r="S31" s="15"/>
      <c r="T31" s="34" t="e">
        <f ca="1">+T27-T29</f>
        <v>#NAME?</v>
      </c>
      <c r="U31" s="15"/>
      <c r="V31" s="29" t="e">
        <f ca="1">IF(T$12=0,0,T31/T$12)</f>
        <v>#NAME?</v>
      </c>
      <c r="W31" s="16"/>
      <c r="X31" s="34" t="e">
        <f ca="1">P31-T31</f>
        <v>#NAME?</v>
      </c>
      <c r="Y31" s="16"/>
      <c r="Z31" s="29" t="e">
        <f ca="1">IF(T31=0,0,X31/T31)</f>
        <v>#NAME?</v>
      </c>
    </row>
    <row r="32" spans="1:26" ht="15" customHeight="1" x14ac:dyDescent="0.3">
      <c r="A32" s="10"/>
      <c r="B32" s="10"/>
      <c r="C32" s="10"/>
      <c r="D32" s="4"/>
      <c r="E32" s="4"/>
      <c r="F32" s="9"/>
      <c r="G32" s="4"/>
      <c r="H32" s="4"/>
      <c r="I32" s="4"/>
      <c r="J32" s="9"/>
      <c r="K32" s="4"/>
      <c r="L32" s="4"/>
      <c r="M32" s="4"/>
      <c r="N32" s="9"/>
      <c r="P32" s="4"/>
      <c r="Q32" s="4"/>
      <c r="R32" s="9"/>
      <c r="S32" s="4"/>
      <c r="T32" s="4"/>
      <c r="U32" s="4"/>
      <c r="V32" s="9"/>
      <c r="W32" s="4"/>
      <c r="X32" s="4"/>
      <c r="Y32" s="4"/>
      <c r="Z32" s="9"/>
    </row>
    <row r="33" spans="1:26" s="63" customFormat="1" ht="15" customHeight="1" x14ac:dyDescent="0.3">
      <c r="A33" s="49"/>
      <c r="B33" s="11" t="s">
        <v>295</v>
      </c>
      <c r="C33" s="11"/>
      <c r="D33" s="5" t="e">
        <f ca="1">-_xll.ONESTOP.REPORTPLAYER.OSRFUNCTIONS.OSRGET("GL_F_Trans","Value1")</f>
        <v>#NAME?</v>
      </c>
      <c r="E33" s="5"/>
      <c r="F33" s="13" t="e">
        <f ca="1">IF(D$12=0,0,D33/D$12)</f>
        <v>#NAME?</v>
      </c>
      <c r="G33" s="5"/>
      <c r="H33" s="5" t="e">
        <f ca="1">-_xll.ONESTOP.REPORTPLAYER.OSRFUNCTIONS.OSRGET("GL_F_Trans","Value1")</f>
        <v>#NAME?</v>
      </c>
      <c r="I33" s="5"/>
      <c r="J33" s="13" t="e">
        <f ca="1">IF(H$12=0,0,H33/H$12)</f>
        <v>#NAME?</v>
      </c>
      <c r="K33" s="5"/>
      <c r="L33" s="5" t="e">
        <f ca="1">+D33-H33</f>
        <v>#NAME?</v>
      </c>
      <c r="M33" s="5"/>
      <c r="N33" s="13" t="e">
        <f ca="1">IF(H33=0,0,L33/H33)</f>
        <v>#NAME?</v>
      </c>
      <c r="O33" s="11"/>
      <c r="P33" s="5" t="e">
        <f ca="1">-_xll.ONESTOP.REPORTPLAYER.OSRFUNCTIONS.OSRGET("GL_F_Trans","Value1")</f>
        <v>#NAME?</v>
      </c>
      <c r="Q33" s="5"/>
      <c r="R33" s="13" t="e">
        <f ca="1">IF(P$12=0,0,P33/P$12)</f>
        <v>#NAME?</v>
      </c>
      <c r="S33" s="5"/>
      <c r="T33" s="5" t="e">
        <f ca="1">-_xll.ONESTOP.REPORTPLAYER.OSRFUNCTIONS.OSRGET("GL_F_Trans","Value1")</f>
        <v>#NAME?</v>
      </c>
      <c r="U33" s="5"/>
      <c r="V33" s="13" t="e">
        <f ca="1">IF(T$12=0,0,T33/T$12)</f>
        <v>#NAME?</v>
      </c>
      <c r="W33" s="5"/>
      <c r="X33" s="5" t="e">
        <f ca="1">+P33-T33</f>
        <v>#NAME?</v>
      </c>
      <c r="Y33" s="5"/>
      <c r="Z33" s="13" t="e">
        <f ca="1">IF(T33=0,0,X33/T33)</f>
        <v>#NAME?</v>
      </c>
    </row>
    <row r="34" spans="1:26" s="63" customFormat="1" ht="15" customHeight="1" x14ac:dyDescent="0.3">
      <c r="A34" s="49"/>
      <c r="B34" s="11" t="s">
        <v>296</v>
      </c>
      <c r="C34" s="11"/>
      <c r="D34" s="5" t="e">
        <f ca="1">-_xll.ONESTOP.REPORTPLAYER.OSRFUNCTIONS.OSRGET("GL_F_Trans","Value1")</f>
        <v>#NAME?</v>
      </c>
      <c r="E34" s="5"/>
      <c r="F34" s="13" t="e">
        <f ca="1">IF(D$12=0,0,D34/D$12)</f>
        <v>#NAME?</v>
      </c>
      <c r="G34" s="5"/>
      <c r="H34" s="5" t="e">
        <f ca="1">-_xll.ONESTOP.REPORTPLAYER.OSRFUNCTIONS.OSRGET("GL_F_Trans","Value1")</f>
        <v>#NAME?</v>
      </c>
      <c r="I34" s="5"/>
      <c r="J34" s="13" t="e">
        <f ca="1">IF(H$12=0,0,H34/H$12)</f>
        <v>#NAME?</v>
      </c>
      <c r="K34" s="5"/>
      <c r="L34" s="5" t="e">
        <f ca="1">+D34-H34</f>
        <v>#NAME?</v>
      </c>
      <c r="M34" s="5"/>
      <c r="N34" s="13" t="e">
        <f ca="1">IF(H34=0,0,L34/H34)</f>
        <v>#NAME?</v>
      </c>
      <c r="O34" s="11"/>
      <c r="P34" s="5" t="e">
        <f ca="1">-_xll.ONESTOP.REPORTPLAYER.OSRFUNCTIONS.OSRGET("GL_F_Trans","Value1")</f>
        <v>#NAME?</v>
      </c>
      <c r="Q34" s="5"/>
      <c r="R34" s="13" t="e">
        <f ca="1">IF(P$12=0,0,P34/P$12)</f>
        <v>#NAME?</v>
      </c>
      <c r="S34" s="5"/>
      <c r="T34" s="5" t="e">
        <f ca="1">-_xll.ONESTOP.REPORTPLAYER.OSRFUNCTIONS.OSRGET("GL_F_Trans","Value1")</f>
        <v>#NAME?</v>
      </c>
      <c r="U34" s="5"/>
      <c r="V34" s="13" t="e">
        <f ca="1">IF(T$12=0,0,T34/T$12)</f>
        <v>#NAME?</v>
      </c>
      <c r="W34" s="5"/>
      <c r="X34" s="5" t="e">
        <f ca="1">+P34-T34</f>
        <v>#NAME?</v>
      </c>
      <c r="Y34" s="5"/>
      <c r="Z34" s="13" t="e">
        <f ca="1">IF(T34=0,0,X34/T34)</f>
        <v>#NAME?</v>
      </c>
    </row>
    <row r="35" spans="1:26" ht="15" customHeight="1" x14ac:dyDescent="0.3">
      <c r="A35" s="10"/>
      <c r="B35" s="10"/>
      <c r="C35" s="10"/>
      <c r="D35" s="4"/>
      <c r="E35" s="4"/>
      <c r="F35" s="9"/>
      <c r="G35" s="4"/>
      <c r="H35" s="4"/>
      <c r="I35" s="4"/>
      <c r="J35" s="9"/>
      <c r="K35" s="4"/>
      <c r="L35" s="4"/>
      <c r="M35" s="4"/>
      <c r="N35" s="9"/>
      <c r="P35" s="4"/>
      <c r="Q35" s="4"/>
      <c r="R35" s="9"/>
      <c r="S35" s="4"/>
      <c r="T35" s="4"/>
      <c r="U35" s="4"/>
      <c r="V35" s="9"/>
      <c r="W35" s="4"/>
      <c r="X35" s="4"/>
      <c r="Y35" s="4"/>
      <c r="Z35" s="9"/>
    </row>
    <row r="36" spans="1:26" s="63" customFormat="1" ht="15" customHeight="1" x14ac:dyDescent="0.3">
      <c r="A36" s="11"/>
      <c r="B36" s="27" t="s">
        <v>297</v>
      </c>
      <c r="C36" s="27"/>
      <c r="D36" s="32" t="e">
        <f ca="1">SUM(D31:D35)</f>
        <v>#NAME?</v>
      </c>
      <c r="E36" s="15"/>
      <c r="F36" s="31" t="e">
        <f ca="1">IF(D$12=0,0,D36/D$12)</f>
        <v>#NAME?</v>
      </c>
      <c r="G36" s="15"/>
      <c r="H36" s="32" t="e">
        <f ca="1">SUM(H31:H35)</f>
        <v>#NAME?</v>
      </c>
      <c r="I36" s="15"/>
      <c r="J36" s="31" t="e">
        <f ca="1">IF(H$12=0,0,H36/H$12)</f>
        <v>#NAME?</v>
      </c>
      <c r="K36" s="16"/>
      <c r="L36" s="32" t="e">
        <f ca="1">+D36-H36</f>
        <v>#NAME?</v>
      </c>
      <c r="M36" s="16"/>
      <c r="N36" s="31" t="e">
        <f ca="1">IF(H36=0,0,L36/H36)</f>
        <v>#NAME?</v>
      </c>
      <c r="O36" s="28"/>
      <c r="P36" s="32" t="e">
        <f ca="1">SUM(P31:P35)</f>
        <v>#NAME?</v>
      </c>
      <c r="Q36" s="15"/>
      <c r="R36" s="31" t="e">
        <f ca="1">IF(P$12=0,0,P36/P$12)</f>
        <v>#NAME?</v>
      </c>
      <c r="S36" s="15"/>
      <c r="T36" s="32" t="e">
        <f ca="1">SUM(T31:T35)</f>
        <v>#NAME?</v>
      </c>
      <c r="U36" s="15"/>
      <c r="V36" s="31" t="e">
        <f ca="1">IF(T$12=0,0,T36/T$12)</f>
        <v>#NAME?</v>
      </c>
      <c r="W36" s="16"/>
      <c r="X36" s="32" t="e">
        <f ca="1">+P36-T36</f>
        <v>#NAME?</v>
      </c>
      <c r="Y36" s="16"/>
      <c r="Z36" s="31" t="e">
        <f ca="1">IF(T36=0,0,X36/T36)</f>
        <v>#NAME?</v>
      </c>
    </row>
    <row r="37" spans="1:26" ht="15" customHeight="1" x14ac:dyDescent="0.3">
      <c r="A37" s="10"/>
      <c r="C37" s="10"/>
      <c r="D37" s="19"/>
      <c r="E37" s="19"/>
      <c r="G37" s="19"/>
      <c r="H37" s="19"/>
      <c r="I37" s="19"/>
      <c r="J37" s="40"/>
      <c r="K37" s="19"/>
      <c r="L37" s="19"/>
      <c r="M37" s="19"/>
      <c r="P37" s="19"/>
      <c r="Q37" s="19"/>
      <c r="R37" s="40"/>
      <c r="S37" s="19"/>
      <c r="T37" s="19"/>
      <c r="U37" s="19"/>
      <c r="V37" s="40"/>
      <c r="W37" s="19"/>
      <c r="X37" s="19"/>
    </row>
    <row r="38" spans="1:26" ht="15" customHeight="1" x14ac:dyDescent="0.3">
      <c r="A38" s="10"/>
      <c r="B38" s="51" t="e">
        <f ca="1">_xll.ONESTOP.REPORTPLAYER.OSRFUNCTIONS.OSRGET("CurrentDate","Date")</f>
        <v>#NAME?</v>
      </c>
      <c r="D38" s="19"/>
      <c r="E38" s="19"/>
      <c r="G38" s="19"/>
      <c r="H38" s="19"/>
      <c r="I38" s="19"/>
      <c r="J38" s="40"/>
      <c r="K38" s="19"/>
      <c r="L38" s="19"/>
      <c r="M38" s="19"/>
      <c r="P38" s="19"/>
      <c r="Q38" s="19"/>
      <c r="R38" s="40"/>
      <c r="S38" s="19"/>
      <c r="T38" s="19"/>
      <c r="U38" s="19"/>
      <c r="V38" s="40"/>
      <c r="W38" s="19"/>
      <c r="X38" s="19"/>
    </row>
    <row r="39" spans="1:26" ht="15" customHeight="1" x14ac:dyDescent="0.3">
      <c r="A39" s="10"/>
      <c r="B39" s="58" t="e">
        <f ca="1">_xll.ONESTOP.REPORTPLAYER.OSRFUNCTIONS.OSRGET("User","UserId")</f>
        <v>#NAME?</v>
      </c>
      <c r="D39" s="19"/>
      <c r="E39" s="19"/>
      <c r="G39" s="19"/>
      <c r="H39" s="19"/>
      <c r="I39" s="19"/>
      <c r="J39" s="40"/>
      <c r="K39" s="19"/>
      <c r="L39" s="19"/>
      <c r="M39" s="19"/>
      <c r="P39" s="19"/>
      <c r="Q39" s="19"/>
      <c r="R39" s="40"/>
      <c r="S39" s="19"/>
      <c r="T39" s="19"/>
      <c r="U39" s="19"/>
      <c r="V39" s="40"/>
      <c r="W39" s="19"/>
      <c r="X39" s="19"/>
    </row>
    <row r="40" spans="1:26" ht="15" customHeight="1" x14ac:dyDescent="0.3">
      <c r="A40" s="10"/>
      <c r="B40" s="50"/>
      <c r="D40" s="19"/>
      <c r="E40" s="19"/>
      <c r="G40" s="19"/>
      <c r="H40" s="19"/>
      <c r="I40" s="19"/>
      <c r="J40" s="40"/>
      <c r="K40" s="19"/>
      <c r="L40" s="19"/>
      <c r="M40" s="19"/>
      <c r="P40" s="19"/>
      <c r="Q40" s="19"/>
      <c r="R40" s="40"/>
      <c r="S40" s="19"/>
      <c r="T40" s="19"/>
      <c r="U40" s="19"/>
      <c r="V40" s="40"/>
      <c r="W40" s="19"/>
      <c r="X40" s="19"/>
    </row>
    <row r="41" spans="1:26" ht="15" customHeight="1" x14ac:dyDescent="0.3">
      <c r="D41" s="19"/>
      <c r="E41" s="19"/>
      <c r="G41" s="19"/>
      <c r="H41" s="19"/>
      <c r="I41" s="19"/>
      <c r="J41" s="40"/>
      <c r="K41" s="19"/>
      <c r="L41" s="19"/>
      <c r="M41" s="19"/>
      <c r="P41" s="19"/>
      <c r="Q41" s="19"/>
      <c r="R41" s="40"/>
      <c r="S41" s="19"/>
      <c r="T41" s="19"/>
      <c r="U41" s="19"/>
      <c r="V41" s="40"/>
      <c r="W41" s="19"/>
      <c r="X41" s="19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685752-4BFA-8C92-3D1B-E0700E9E455E}">
  <sheetPr>
    <tabColor rgb="FF92D050"/>
    <outlinePr summaryBelow="0" summaryRight="0"/>
  </sheetPr>
  <dimension ref="A2:Z87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6" customWidth="1"/>
    <col min="2" max="2" width="33.44140625" style="66" customWidth="1"/>
    <col min="3" max="3" width="1.88671875" style="66" customWidth="1"/>
    <col min="4" max="4" width="15" style="66" customWidth="1"/>
    <col min="5" max="5" width="1.88671875" style="66" customWidth="1" outlineLevel="1"/>
    <col min="6" max="6" width="15" style="67" customWidth="1" outlineLevel="1"/>
    <col min="7" max="7" width="1.88671875" style="66" customWidth="1" outlineLevel="1"/>
    <col min="8" max="8" width="15" style="66" customWidth="1" outlineLevel="1"/>
    <col min="9" max="9" width="1.88671875" style="66" customWidth="1" outlineLevel="1"/>
    <col min="10" max="10" width="15" style="68" customWidth="1" outlineLevel="1"/>
    <col min="11" max="11" width="1.88671875" style="66" customWidth="1" outlineLevel="1"/>
    <col min="12" max="12" width="15" style="66" customWidth="1" outlineLevel="1"/>
    <col min="13" max="13" width="1.88671875" style="66" customWidth="1" outlineLevel="1"/>
    <col min="14" max="14" width="15" style="67" customWidth="1" outlineLevel="1"/>
    <col min="15" max="15" width="1.88671875" style="64" customWidth="1"/>
    <col min="16" max="16" width="15" style="66" customWidth="1"/>
    <col min="17" max="17" width="1.88671875" style="66" customWidth="1" outlineLevel="1"/>
    <col min="18" max="18" width="15" style="68" customWidth="1" outlineLevel="1"/>
    <col min="19" max="19" width="1.88671875" style="66" customWidth="1" outlineLevel="1"/>
    <col min="20" max="20" width="15" style="66" customWidth="1" outlineLevel="1"/>
    <col min="21" max="21" width="1.88671875" style="66" customWidth="1" outlineLevel="1"/>
    <col min="22" max="22" width="15" style="68" customWidth="1" outlineLevel="1"/>
    <col min="23" max="23" width="1.88671875" style="66" customWidth="1" outlineLevel="1"/>
    <col min="24" max="24" width="15" style="66" customWidth="1" outlineLevel="1"/>
    <col min="25" max="25" width="1.88671875" style="66" customWidth="1" outlineLevel="1"/>
    <col min="26" max="26" width="15" style="68" customWidth="1" outlineLevel="1"/>
  </cols>
  <sheetData>
    <row r="2" spans="1:26" ht="15" customHeight="1" x14ac:dyDescent="0.3">
      <c r="D2" s="54" t="s">
        <v>276</v>
      </c>
    </row>
    <row r="3" spans="1:26" ht="15" customHeight="1" x14ac:dyDescent="0.3">
      <c r="D3" s="54" t="s">
        <v>277</v>
      </c>
      <c r="E3" s="18"/>
      <c r="F3" s="44"/>
      <c r="G3" s="18"/>
      <c r="H3" s="18"/>
      <c r="I3" s="18"/>
      <c r="J3" s="38"/>
      <c r="K3" s="18"/>
      <c r="L3" s="18"/>
      <c r="M3" s="18"/>
      <c r="N3" s="44"/>
      <c r="O3" s="53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ht="15" customHeight="1" x14ac:dyDescent="0.3">
      <c r="D4" s="54" t="str">
        <f>CONCATENATE("Period ",RIGHT(202209,2),", ",2022)</f>
        <v>Period 09, 2022</v>
      </c>
      <c r="E4" s="18"/>
      <c r="F4" s="44"/>
      <c r="G4" s="18"/>
      <c r="H4" s="18"/>
      <c r="I4" s="18"/>
      <c r="J4" s="38"/>
      <c r="K4" s="18"/>
      <c r="L4" s="18"/>
      <c r="M4" s="18"/>
      <c r="N4" s="44"/>
      <c r="O4" s="53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ht="15" customHeight="1" x14ac:dyDescent="0.3">
      <c r="A5" s="24"/>
      <c r="D5" s="60">
        <v>44646</v>
      </c>
      <c r="E5" s="18"/>
      <c r="F5" s="44"/>
      <c r="G5" s="18"/>
      <c r="H5" s="18"/>
      <c r="I5" s="18"/>
      <c r="J5" s="38"/>
      <c r="K5" s="18"/>
      <c r="L5" s="18"/>
      <c r="M5" s="18"/>
      <c r="N5" s="44"/>
      <c r="O5" s="53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ht="15" customHeight="1" x14ac:dyDescent="0.3">
      <c r="A6" s="24"/>
      <c r="B6" s="47"/>
      <c r="C6" s="47"/>
      <c r="D6" s="24" t="str">
        <f>CONCATENATE("Department ","501"," - ","ID Card Services")</f>
        <v>Department 501 - ID Card Services</v>
      </c>
      <c r="E6" s="18"/>
      <c r="F6" s="44"/>
      <c r="G6" s="18"/>
      <c r="H6" s="18"/>
      <c r="I6" s="18"/>
      <c r="J6" s="38"/>
      <c r="K6" s="18"/>
      <c r="L6" s="18"/>
      <c r="M6" s="18"/>
      <c r="N6" s="44"/>
      <c r="O6" s="59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ht="15" customHeight="1" x14ac:dyDescent="0.3">
      <c r="B7" s="52"/>
    </row>
    <row r="8" spans="1:26" ht="15" customHeight="1" x14ac:dyDescent="0.3">
      <c r="B8" s="52"/>
    </row>
    <row r="9" spans="1:26" ht="15" customHeight="1" x14ac:dyDescent="0.3">
      <c r="B9" s="10"/>
      <c r="C9" s="10"/>
      <c r="D9" s="17" t="s">
        <v>279</v>
      </c>
      <c r="E9" s="17"/>
      <c r="F9" s="36"/>
      <c r="G9" s="17"/>
      <c r="H9" s="17"/>
      <c r="I9" s="17"/>
      <c r="J9" s="43"/>
      <c r="K9" s="17"/>
      <c r="L9" s="17"/>
      <c r="M9" s="17"/>
      <c r="N9" s="36"/>
      <c r="P9" s="17" t="s">
        <v>280</v>
      </c>
      <c r="Q9" s="17"/>
      <c r="R9" s="36"/>
      <c r="S9" s="17"/>
      <c r="T9" s="17"/>
      <c r="U9" s="17"/>
      <c r="V9" s="43"/>
      <c r="W9" s="17"/>
      <c r="X9" s="17"/>
      <c r="Y9" s="17"/>
      <c r="Z9" s="36"/>
    </row>
    <row r="10" spans="1:26" ht="15" customHeight="1" x14ac:dyDescent="0.3">
      <c r="A10" s="11"/>
      <c r="B10" s="57"/>
      <c r="C10" s="11"/>
      <c r="D10" s="41" t="s">
        <v>281</v>
      </c>
      <c r="E10" s="33"/>
      <c r="F10" s="37" t="s">
        <v>282</v>
      </c>
      <c r="G10" s="33"/>
      <c r="H10" s="48" t="s">
        <v>283</v>
      </c>
      <c r="I10" s="33"/>
      <c r="J10" s="45" t="s">
        <v>284</v>
      </c>
      <c r="K10" s="11"/>
      <c r="L10" s="41" t="s">
        <v>285</v>
      </c>
      <c r="M10" s="11"/>
      <c r="N10" s="37" t="s">
        <v>286</v>
      </c>
      <c r="O10" s="11"/>
      <c r="P10" s="56" t="s">
        <v>281</v>
      </c>
      <c r="Q10" s="33"/>
      <c r="R10" s="37" t="s">
        <v>282</v>
      </c>
      <c r="S10" s="33"/>
      <c r="T10" s="48" t="s">
        <v>283</v>
      </c>
      <c r="U10" s="33"/>
      <c r="V10" s="45" t="s">
        <v>284</v>
      </c>
      <c r="W10" s="11"/>
      <c r="X10" s="41" t="s">
        <v>285</v>
      </c>
      <c r="Y10" s="11"/>
      <c r="Z10" s="37" t="s">
        <v>286</v>
      </c>
    </row>
    <row r="11" spans="1:26" ht="16.5" customHeight="1" x14ac:dyDescent="0.3">
      <c r="A11" s="10"/>
      <c r="B11" s="55"/>
      <c r="C11" s="10"/>
      <c r="D11" s="10"/>
      <c r="E11" s="10"/>
      <c r="F11" s="9"/>
      <c r="G11" s="10"/>
      <c r="H11" s="10"/>
      <c r="I11" s="10"/>
      <c r="J11" s="46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6"/>
      <c r="W11" s="10"/>
      <c r="X11" s="10"/>
      <c r="Y11" s="10"/>
      <c r="Z11" s="9"/>
    </row>
    <row r="12" spans="1:26" s="63" customFormat="1" ht="15" customHeight="1" collapsed="1" x14ac:dyDescent="0.3">
      <c r="A12" s="11"/>
      <c r="B12" s="28" t="s">
        <v>287</v>
      </c>
      <c r="C12" s="11"/>
      <c r="D12" s="5">
        <f>SUM(OSRRefD13x_0)</f>
        <v>27907</v>
      </c>
      <c r="E12" s="5"/>
      <c r="F12" s="13"/>
      <c r="G12" s="5"/>
      <c r="H12" s="5">
        <f>SUM(OSRRefH13x_0)</f>
        <v>39157</v>
      </c>
      <c r="I12" s="5"/>
      <c r="J12" s="13"/>
      <c r="K12" s="5"/>
      <c r="L12" s="5">
        <f>+D12-H12</f>
        <v>-11250</v>
      </c>
      <c r="M12" s="5"/>
      <c r="N12" s="13">
        <f>IF(H12=0,0,L12/H12)</f>
        <v>-0.28730495186045918</v>
      </c>
      <c r="O12" s="11"/>
      <c r="P12" s="5">
        <f>SUM(OSRRefP13x_0)</f>
        <v>374405</v>
      </c>
      <c r="Q12" s="5"/>
      <c r="R12" s="13"/>
      <c r="S12" s="5"/>
      <c r="T12" s="5">
        <f>SUM(OSRRefT13x_0)</f>
        <v>482459</v>
      </c>
      <c r="U12" s="5"/>
      <c r="V12" s="13"/>
      <c r="W12" s="5"/>
      <c r="X12" s="5">
        <f>+P12-T12</f>
        <v>-108054</v>
      </c>
      <c r="Y12" s="5"/>
      <c r="Z12" s="13">
        <f>IF(T12=0,0,X12/T12)</f>
        <v>-0.22396514522477556</v>
      </c>
    </row>
    <row r="13" spans="1:26" s="70" customFormat="1" ht="15" hidden="1" customHeight="1" outlineLevel="1" x14ac:dyDescent="0.3">
      <c r="A13" s="42"/>
      <c r="B13" s="12" t="str">
        <f>CONCATENATE("          ","4100"," - ","NON-TAXABLE SALES")</f>
        <v xml:space="preserve">          4100 - NON-TAXABLE SALES</v>
      </c>
      <c r="C13" s="12"/>
      <c r="D13" s="3">
        <f>--27907</f>
        <v>27907</v>
      </c>
      <c r="E13" s="3"/>
      <c r="F13" s="20"/>
      <c r="G13" s="3"/>
      <c r="H13" s="3">
        <v>39157</v>
      </c>
      <c r="I13" s="3"/>
      <c r="J13" s="20"/>
      <c r="K13" s="3"/>
      <c r="L13" s="3">
        <f>+D13-H13</f>
        <v>-11250</v>
      </c>
      <c r="M13" s="3"/>
      <c r="N13" s="20">
        <f>IF(H13=0,0,L13/H13)</f>
        <v>-0.28730495186045918</v>
      </c>
      <c r="O13" s="12"/>
      <c r="P13" s="3">
        <f>--374405</f>
        <v>374405</v>
      </c>
      <c r="Q13" s="3"/>
      <c r="R13" s="20"/>
      <c r="S13" s="3"/>
      <c r="T13" s="3">
        <v>482459</v>
      </c>
      <c r="U13" s="3"/>
      <c r="V13" s="20"/>
      <c r="W13" s="3"/>
      <c r="X13" s="3">
        <f>+P13-T13</f>
        <v>-108054</v>
      </c>
      <c r="Y13" s="3"/>
      <c r="Z13" s="20">
        <f>IF(T13=0,0,X13/T13)</f>
        <v>-0.22396514522477556</v>
      </c>
    </row>
    <row r="14" spans="1:26" ht="15" customHeight="1" x14ac:dyDescent="0.3">
      <c r="A14" s="10"/>
      <c r="B14" s="11"/>
      <c r="C14" s="10"/>
      <c r="D14" s="4"/>
      <c r="E14" s="4"/>
      <c r="F14" s="9"/>
      <c r="G14" s="4"/>
      <c r="H14" s="4"/>
      <c r="I14" s="4"/>
      <c r="J14" s="9"/>
      <c r="K14" s="4"/>
      <c r="L14" s="4"/>
      <c r="M14" s="4"/>
      <c r="N14" s="9"/>
      <c r="P14" s="4"/>
      <c r="Q14" s="4"/>
      <c r="R14" s="9"/>
      <c r="S14" s="4"/>
      <c r="T14" s="4"/>
      <c r="U14" s="4"/>
      <c r="V14" s="9"/>
      <c r="W14" s="4"/>
      <c r="X14" s="4"/>
      <c r="Y14" s="4"/>
      <c r="Z14" s="9"/>
    </row>
    <row r="15" spans="1:26" s="63" customFormat="1" ht="15" customHeight="1" x14ac:dyDescent="0.3">
      <c r="A15" s="11"/>
      <c r="B15" s="28" t="s">
        <v>288</v>
      </c>
      <c r="C15" s="11"/>
      <c r="D15" s="5">
        <f>SUM(0)</f>
        <v>0</v>
      </c>
      <c r="E15" s="5"/>
      <c r="F15" s="13">
        <f>IF(D$12=0,0,D15/D$12)</f>
        <v>0</v>
      </c>
      <c r="G15" s="5"/>
      <c r="H15" s="5">
        <f>SUM(0)</f>
        <v>0</v>
      </c>
      <c r="I15" s="5"/>
      <c r="J15" s="13">
        <f>IF(H$12=0,0,H15/H$12)</f>
        <v>0</v>
      </c>
      <c r="K15" s="5"/>
      <c r="L15" s="5">
        <f>+D15-H15</f>
        <v>0</v>
      </c>
      <c r="M15" s="5"/>
      <c r="N15" s="13">
        <f>IF(H15=0,0,L15/H15)</f>
        <v>0</v>
      </c>
      <c r="O15" s="11"/>
      <c r="P15" s="5">
        <f>SUM(0)</f>
        <v>0</v>
      </c>
      <c r="Q15" s="5"/>
      <c r="R15" s="13">
        <f>IF(P$12=0,0,P15/P$12)</f>
        <v>0</v>
      </c>
      <c r="S15" s="5"/>
      <c r="T15" s="5">
        <f>SUM(0)</f>
        <v>0</v>
      </c>
      <c r="U15" s="5"/>
      <c r="V15" s="13">
        <f>IF(T$12=0,0,T15/T$12)</f>
        <v>0</v>
      </c>
      <c r="W15" s="5"/>
      <c r="X15" s="5">
        <f>+P15-T15</f>
        <v>0</v>
      </c>
      <c r="Y15" s="5"/>
      <c r="Z15" s="13">
        <f>IF(T15=0,0,X15/T15)</f>
        <v>0</v>
      </c>
    </row>
    <row r="16" spans="1:26" ht="15" customHeight="1" x14ac:dyDescent="0.3">
      <c r="A16" s="10"/>
      <c r="B16" s="11"/>
      <c r="C16" s="11"/>
      <c r="D16" s="4"/>
      <c r="E16" s="4"/>
      <c r="F16" s="9"/>
      <c r="G16" s="4"/>
      <c r="H16" s="4"/>
      <c r="I16" s="4"/>
      <c r="J16" s="9"/>
      <c r="K16" s="4"/>
      <c r="L16" s="4"/>
      <c r="M16" s="4"/>
      <c r="N16" s="9"/>
      <c r="O16" s="11"/>
      <c r="P16" s="4"/>
      <c r="Q16" s="4"/>
      <c r="R16" s="9"/>
      <c r="S16" s="4"/>
      <c r="T16" s="4"/>
      <c r="U16" s="4"/>
      <c r="V16" s="9"/>
      <c r="W16" s="4"/>
      <c r="X16" s="4"/>
      <c r="Y16" s="4"/>
      <c r="Z16" s="9"/>
    </row>
    <row r="17" spans="1:26" s="63" customFormat="1" ht="15" customHeight="1" x14ac:dyDescent="0.3">
      <c r="A17" s="11"/>
      <c r="B17" s="27" t="s">
        <v>289</v>
      </c>
      <c r="C17" s="27"/>
      <c r="D17" s="21">
        <f>D12-D15</f>
        <v>27907</v>
      </c>
      <c r="E17" s="15"/>
      <c r="F17" s="23">
        <f>IF(D$12=0,0,D17/D$12)</f>
        <v>1</v>
      </c>
      <c r="G17" s="15"/>
      <c r="H17" s="21">
        <f>H12-H15</f>
        <v>39157</v>
      </c>
      <c r="I17" s="15"/>
      <c r="J17" s="23">
        <f>IF(H$12=0,0,H17/H$12)</f>
        <v>1</v>
      </c>
      <c r="K17" s="16"/>
      <c r="L17" s="21">
        <f>+D17-H17</f>
        <v>-11250</v>
      </c>
      <c r="M17" s="16"/>
      <c r="N17" s="23">
        <f>IF(H17=0,0,L17/H17)</f>
        <v>-0.28730495186045918</v>
      </c>
      <c r="O17" s="28"/>
      <c r="P17" s="21">
        <f>P12-P15</f>
        <v>374405</v>
      </c>
      <c r="Q17" s="15"/>
      <c r="R17" s="23">
        <f>IF(P$12=0,0,P17/P$12)</f>
        <v>1</v>
      </c>
      <c r="S17" s="15"/>
      <c r="T17" s="21">
        <f>T12-T15</f>
        <v>482459</v>
      </c>
      <c r="U17" s="15"/>
      <c r="V17" s="23">
        <f>IF(T$12=0,0,T17/T$12)</f>
        <v>1</v>
      </c>
      <c r="W17" s="16"/>
      <c r="X17" s="21">
        <f>+P17-T17</f>
        <v>-108054</v>
      </c>
      <c r="Y17" s="16"/>
      <c r="Z17" s="23">
        <f>IF(T17=0,0,X17/T17)</f>
        <v>-0.22396514522477556</v>
      </c>
    </row>
    <row r="18" spans="1:26" ht="15" customHeight="1" x14ac:dyDescent="0.3">
      <c r="A18" s="10"/>
      <c r="B18" s="11"/>
      <c r="C18" s="10"/>
      <c r="D18" s="2"/>
      <c r="E18" s="2"/>
      <c r="F18" s="6"/>
      <c r="G18" s="2"/>
      <c r="H18" s="2"/>
      <c r="I18" s="2"/>
      <c r="J18" s="6"/>
      <c r="K18" s="2"/>
      <c r="L18" s="2"/>
      <c r="M18" s="2"/>
      <c r="N18" s="6"/>
      <c r="O18" s="35"/>
      <c r="P18" s="2"/>
      <c r="Q18" s="2"/>
      <c r="R18" s="6"/>
      <c r="S18" s="2"/>
      <c r="T18" s="2"/>
      <c r="U18" s="2"/>
      <c r="V18" s="6"/>
      <c r="W18" s="2"/>
      <c r="X18" s="2"/>
      <c r="Y18" s="2"/>
      <c r="Z18" s="6"/>
    </row>
    <row r="19" spans="1:26" s="63" customFormat="1" ht="15" customHeight="1" x14ac:dyDescent="0.3">
      <c r="A19" s="11"/>
      <c r="B19" s="28" t="s">
        <v>290</v>
      </c>
      <c r="C19" s="11"/>
      <c r="D19" s="22" cm="1">
        <f t="array" ref="D19">SUM(OSRRefD22x_0)</f>
        <v>27442.799999999999</v>
      </c>
      <c r="E19" s="22"/>
      <c r="F19" s="30">
        <f t="shared" ref="F19:F50" si="0">IF(D$12=0,0,D19/D$12)</f>
        <v>0.98336618052818292</v>
      </c>
      <c r="G19" s="22"/>
      <c r="H19" s="22" cm="1">
        <f t="array" ref="H19">SUM(OSRRefH22x_0)</f>
        <v>37555.098654177687</v>
      </c>
      <c r="I19" s="22"/>
      <c r="J19" s="30">
        <f t="shared" ref="J19:J50" si="1">IF(H$12=0,0,H19/H$12)</f>
        <v>0.95909029430696136</v>
      </c>
      <c r="K19" s="5"/>
      <c r="L19" s="22">
        <f t="shared" ref="L19:L50" si="2">+D19-H19</f>
        <v>-10112.298654177688</v>
      </c>
      <c r="M19" s="5"/>
      <c r="N19" s="30">
        <f t="shared" ref="N19:N50" si="3">IF(H19=0,0,L19/H19)</f>
        <v>-0.26926566608959712</v>
      </c>
      <c r="O19" s="11"/>
      <c r="P19" s="22" cm="1">
        <f t="array" ref="P19">SUM(OSRRefP22x_0)</f>
        <v>340728.66</v>
      </c>
      <c r="Q19" s="22"/>
      <c r="R19" s="30">
        <f t="shared" ref="R19:R50" si="4">IF(P$12=0,0,P19/P$12)</f>
        <v>0.91005371188953132</v>
      </c>
      <c r="S19" s="22"/>
      <c r="T19" s="22" cm="1">
        <f t="array" ref="T19">SUM(OSRRefT22x_0)</f>
        <v>454749.70977448253</v>
      </c>
      <c r="U19" s="22"/>
      <c r="V19" s="30">
        <f t="shared" ref="V19:V50" si="5">IF(T$12=0,0,T19/T$12)</f>
        <v>0.9425665388654425</v>
      </c>
      <c r="W19" s="5"/>
      <c r="X19" s="22">
        <f t="shared" ref="X19:X50" si="6">+P19-T19</f>
        <v>-114021.04977448256</v>
      </c>
      <c r="Y19" s="5"/>
      <c r="Z19" s="30">
        <f t="shared" ref="Z19:Z50" si="7">IF(T19=0,0,X19/T19)</f>
        <v>-0.25073363945856586</v>
      </c>
    </row>
    <row r="20" spans="1:26" s="69" customFormat="1" ht="15" customHeight="1" outlineLevel="1" collapsed="1" x14ac:dyDescent="0.3">
      <c r="A20" s="25"/>
      <c r="B20" s="14" t="str">
        <f>CONCATENATE("     ","*Benefits                                         ")</f>
        <v xml:space="preserve">     *Benefits                                         </v>
      </c>
      <c r="C20" s="14"/>
      <c r="D20" s="2">
        <f>SUM(OSRRefD22_0x_0)</f>
        <v>3508.48</v>
      </c>
      <c r="E20" s="2"/>
      <c r="F20" s="6">
        <f t="shared" si="0"/>
        <v>0.12572042856630952</v>
      </c>
      <c r="G20" s="2"/>
      <c r="H20" s="2">
        <f>SUM(OSRRefH22_0x_0)</f>
        <v>3352.8104118699998</v>
      </c>
      <c r="I20" s="2"/>
      <c r="J20" s="6">
        <f t="shared" si="1"/>
        <v>8.5624803020405038E-2</v>
      </c>
      <c r="K20" s="2"/>
      <c r="L20" s="2">
        <f t="shared" si="2"/>
        <v>155.66958813000019</v>
      </c>
      <c r="M20" s="2"/>
      <c r="N20" s="6">
        <f t="shared" si="3"/>
        <v>4.6429582650686439E-2</v>
      </c>
      <c r="O20" s="14"/>
      <c r="P20" s="2">
        <f>SUM(OSRRefP22_0x_0)</f>
        <v>37123.020000000004</v>
      </c>
      <c r="Q20" s="2"/>
      <c r="R20" s="6">
        <f t="shared" si="4"/>
        <v>9.9152041238765518E-2</v>
      </c>
      <c r="S20" s="2"/>
      <c r="T20" s="2">
        <f>SUM(OSRRefT22_0x_0)</f>
        <v>33755.086911982507</v>
      </c>
      <c r="U20" s="2"/>
      <c r="V20" s="6">
        <f t="shared" si="5"/>
        <v>6.9964674536038315E-2</v>
      </c>
      <c r="W20" s="2"/>
      <c r="X20" s="2">
        <f t="shared" si="6"/>
        <v>3367.9330880174966</v>
      </c>
      <c r="Y20" s="2"/>
      <c r="Z20" s="6">
        <f t="shared" si="7"/>
        <v>9.9775571510139854E-2</v>
      </c>
    </row>
    <row r="21" spans="1:26" s="70" customFormat="1" ht="15" hidden="1" customHeight="1" outlineLevel="2" x14ac:dyDescent="0.3">
      <c r="A21" s="26"/>
      <c r="B21" s="12" t="str">
        <f>CONCATENATE("          ","6111"," - ","F.I.C.A.")</f>
        <v xml:space="preserve">          6111 - F.I.C.A.</v>
      </c>
      <c r="C21" s="12"/>
      <c r="D21" s="7">
        <v>795.89</v>
      </c>
      <c r="E21" s="3"/>
      <c r="F21" s="8">
        <f t="shared" si="0"/>
        <v>2.8519367900526751E-2</v>
      </c>
      <c r="G21" s="3"/>
      <c r="H21" s="7">
        <v>673.19318387769204</v>
      </c>
      <c r="I21" s="3"/>
      <c r="J21" s="8">
        <f t="shared" si="1"/>
        <v>1.7192154247712848E-2</v>
      </c>
      <c r="K21" s="3"/>
      <c r="L21" s="7">
        <f t="shared" si="2"/>
        <v>122.69681612230795</v>
      </c>
      <c r="M21" s="3"/>
      <c r="N21" s="8">
        <f t="shared" si="3"/>
        <v>0.18226093053342607</v>
      </c>
      <c r="O21" s="12"/>
      <c r="P21" s="7">
        <v>9174.9500000000007</v>
      </c>
      <c r="Q21" s="3"/>
      <c r="R21" s="8">
        <f t="shared" si="4"/>
        <v>2.4505415258877422E-2</v>
      </c>
      <c r="S21" s="3"/>
      <c r="T21" s="7">
        <v>8512.5082578074998</v>
      </c>
      <c r="U21" s="3"/>
      <c r="V21" s="8">
        <f t="shared" si="5"/>
        <v>1.7644003444453309E-2</v>
      </c>
      <c r="W21" s="3"/>
      <c r="X21" s="7">
        <f t="shared" si="6"/>
        <v>662.4417421925009</v>
      </c>
      <c r="Y21" s="3"/>
      <c r="Z21" s="8">
        <f t="shared" si="7"/>
        <v>7.7819806117065765E-2</v>
      </c>
    </row>
    <row r="22" spans="1:26" s="70" customFormat="1" ht="15" hidden="1" customHeight="1" outlineLevel="2" x14ac:dyDescent="0.3">
      <c r="A22" s="26"/>
      <c r="B22" s="12" t="str">
        <f>CONCATENATE("          ","6112"," - ","COMPENSATION INSURANCE")</f>
        <v xml:space="preserve">          6112 - COMPENSATION INSURANCE</v>
      </c>
      <c r="C22" s="12"/>
      <c r="D22" s="7">
        <v>170.03</v>
      </c>
      <c r="E22" s="3"/>
      <c r="F22" s="8">
        <f t="shared" si="0"/>
        <v>6.0927365893861758E-3</v>
      </c>
      <c r="G22" s="3"/>
      <c r="H22" s="7">
        <v>309.39029640000001</v>
      </c>
      <c r="I22" s="3"/>
      <c r="J22" s="8">
        <f t="shared" si="1"/>
        <v>7.9012768189595725E-3</v>
      </c>
      <c r="K22" s="3"/>
      <c r="L22" s="7">
        <f t="shared" si="2"/>
        <v>-139.36029640000001</v>
      </c>
      <c r="M22" s="3"/>
      <c r="N22" s="8">
        <f t="shared" si="3"/>
        <v>-0.45043525288791186</v>
      </c>
      <c r="O22" s="12"/>
      <c r="P22" s="7">
        <v>1507.44</v>
      </c>
      <c r="Q22" s="3"/>
      <c r="R22" s="8">
        <f t="shared" si="4"/>
        <v>4.0262282822077699E-3</v>
      </c>
      <c r="S22" s="3"/>
      <c r="T22" s="7">
        <v>2978.3519649</v>
      </c>
      <c r="U22" s="3"/>
      <c r="V22" s="8">
        <f t="shared" si="5"/>
        <v>6.1732747547459995E-3</v>
      </c>
      <c r="W22" s="3"/>
      <c r="X22" s="7">
        <f t="shared" si="6"/>
        <v>-1470.9119648999999</v>
      </c>
      <c r="Y22" s="3"/>
      <c r="Z22" s="8">
        <f t="shared" si="7"/>
        <v>-0.49386774371691383</v>
      </c>
    </row>
    <row r="23" spans="1:26" s="70" customFormat="1" ht="15" hidden="1" customHeight="1" outlineLevel="2" x14ac:dyDescent="0.3">
      <c r="A23" s="26"/>
      <c r="B23" s="12" t="str">
        <f>CONCATENATE("          ","6113"," - ","GROUP INSURANCE")</f>
        <v xml:space="preserve">          6113 - GROUP INSURANCE</v>
      </c>
      <c r="C23" s="12"/>
      <c r="D23" s="7">
        <v>964.7</v>
      </c>
      <c r="E23" s="3"/>
      <c r="F23" s="8">
        <f t="shared" si="0"/>
        <v>3.4568387859676787E-2</v>
      </c>
      <c r="G23" s="3"/>
      <c r="H23" s="7">
        <v>1022.5</v>
      </c>
      <c r="I23" s="3"/>
      <c r="J23" s="8">
        <f t="shared" si="1"/>
        <v>2.6112827846872844E-2</v>
      </c>
      <c r="K23" s="3"/>
      <c r="L23" s="7">
        <f t="shared" si="2"/>
        <v>-57.799999999999955</v>
      </c>
      <c r="M23" s="3"/>
      <c r="N23" s="8">
        <f t="shared" si="3"/>
        <v>-5.6528117359413162E-2</v>
      </c>
      <c r="O23" s="12"/>
      <c r="P23" s="7">
        <v>9220.2000000000007</v>
      </c>
      <c r="Q23" s="3"/>
      <c r="R23" s="8">
        <f t="shared" si="4"/>
        <v>2.4626273687584303E-2</v>
      </c>
      <c r="S23" s="3"/>
      <c r="T23" s="7">
        <v>9202.5</v>
      </c>
      <c r="U23" s="3"/>
      <c r="V23" s="8">
        <f t="shared" si="5"/>
        <v>1.9074159669526324E-2</v>
      </c>
      <c r="W23" s="3"/>
      <c r="X23" s="7">
        <f t="shared" si="6"/>
        <v>17.700000000000728</v>
      </c>
      <c r="Y23" s="3"/>
      <c r="Z23" s="8">
        <f t="shared" si="7"/>
        <v>1.9233903830481638E-3</v>
      </c>
    </row>
    <row r="24" spans="1:26" s="70" customFormat="1" ht="15" hidden="1" customHeight="1" outlineLevel="2" x14ac:dyDescent="0.3">
      <c r="A24" s="26"/>
      <c r="B24" s="12" t="str">
        <f>CONCATENATE("          ","6114"," - ","STATE UNEMPLOYMENT INSURANCE")</f>
        <v xml:space="preserve">          6114 - STATE UNEMPLOYMENT INSURANCE</v>
      </c>
      <c r="C24" s="12"/>
      <c r="D24" s="7">
        <v>33.64</v>
      </c>
      <c r="E24" s="3"/>
      <c r="F24" s="8">
        <f t="shared" si="0"/>
        <v>1.2054323288063927E-3</v>
      </c>
      <c r="G24" s="3"/>
      <c r="H24" s="7">
        <v>41.648693746153803</v>
      </c>
      <c r="I24" s="3"/>
      <c r="J24" s="8">
        <f t="shared" si="1"/>
        <v>1.0636334179368644E-3</v>
      </c>
      <c r="K24" s="3"/>
      <c r="L24" s="7">
        <f t="shared" si="2"/>
        <v>-8.0086937461538028</v>
      </c>
      <c r="M24" s="3"/>
      <c r="N24" s="8">
        <f t="shared" si="3"/>
        <v>-0.19229159490490369</v>
      </c>
      <c r="O24" s="12"/>
      <c r="P24" s="7">
        <v>298.2</v>
      </c>
      <c r="Q24" s="3"/>
      <c r="R24" s="8">
        <f t="shared" si="4"/>
        <v>7.9646372243960409E-4</v>
      </c>
      <c r="S24" s="3"/>
      <c r="T24" s="7">
        <v>400.93199527500002</v>
      </c>
      <c r="U24" s="3"/>
      <c r="V24" s="8">
        <f t="shared" si="5"/>
        <v>8.310177554465768E-4</v>
      </c>
      <c r="W24" s="3"/>
      <c r="X24" s="7">
        <f t="shared" si="6"/>
        <v>-102.73199527500003</v>
      </c>
      <c r="Y24" s="3"/>
      <c r="Z24" s="8">
        <f t="shared" si="7"/>
        <v>-0.25623296839788495</v>
      </c>
    </row>
    <row r="25" spans="1:26" s="70" customFormat="1" ht="15" hidden="1" customHeight="1" outlineLevel="2" x14ac:dyDescent="0.3">
      <c r="A25" s="26"/>
      <c r="B25" s="12" t="str">
        <f>CONCATENATE("          ","6115"," - ","P.E.R.S.")</f>
        <v xml:space="preserve">          6115 - P.E.R.S.</v>
      </c>
      <c r="C25" s="12"/>
      <c r="D25" s="7">
        <v>630.69000000000005</v>
      </c>
      <c r="E25" s="3"/>
      <c r="F25" s="8">
        <f t="shared" si="0"/>
        <v>2.259970616691153E-2</v>
      </c>
      <c r="G25" s="3"/>
      <c r="H25" s="7">
        <v>576.92767246153903</v>
      </c>
      <c r="I25" s="3"/>
      <c r="J25" s="8">
        <f t="shared" si="1"/>
        <v>1.4733704636758153E-2</v>
      </c>
      <c r="K25" s="3"/>
      <c r="L25" s="7">
        <f t="shared" si="2"/>
        <v>53.762327538461022</v>
      </c>
      <c r="M25" s="3"/>
      <c r="N25" s="8">
        <f t="shared" si="3"/>
        <v>9.3187292107305003E-2</v>
      </c>
      <c r="O25" s="12"/>
      <c r="P25" s="7">
        <v>5731.11</v>
      </c>
      <c r="Q25" s="3"/>
      <c r="R25" s="8">
        <f t="shared" si="4"/>
        <v>1.5307247499365659E-2</v>
      </c>
      <c r="S25" s="3"/>
      <c r="T25" s="7">
        <v>5625.0448065000101</v>
      </c>
      <c r="U25" s="3"/>
      <c r="V25" s="8">
        <f t="shared" si="5"/>
        <v>1.1659114673993044E-2</v>
      </c>
      <c r="W25" s="3"/>
      <c r="X25" s="7">
        <f t="shared" si="6"/>
        <v>106.06519349998962</v>
      </c>
      <c r="Y25" s="3"/>
      <c r="Z25" s="8">
        <f t="shared" si="7"/>
        <v>1.8855884201566926E-2</v>
      </c>
    </row>
    <row r="26" spans="1:26" s="70" customFormat="1" ht="15" hidden="1" customHeight="1" outlineLevel="2" x14ac:dyDescent="0.3">
      <c r="A26" s="26"/>
      <c r="B26" s="12" t="str">
        <f>CONCATENATE("          ","6116"," - ","EDUCATIONAL BENEFITS")</f>
        <v xml:space="preserve">          6116 - EDUCATIONAL BENEFITS</v>
      </c>
      <c r="C26" s="12"/>
      <c r="D26" s="7"/>
      <c r="E26" s="3"/>
      <c r="F26" s="8">
        <f t="shared" si="0"/>
        <v>0</v>
      </c>
      <c r="G26" s="3"/>
      <c r="H26" s="7">
        <v>0</v>
      </c>
      <c r="I26" s="3"/>
      <c r="J26" s="8">
        <f t="shared" si="1"/>
        <v>0</v>
      </c>
      <c r="K26" s="3"/>
      <c r="L26" s="7">
        <f t="shared" si="2"/>
        <v>0</v>
      </c>
      <c r="M26" s="3"/>
      <c r="N26" s="8">
        <f t="shared" si="3"/>
        <v>0</v>
      </c>
      <c r="O26" s="12"/>
      <c r="P26" s="7"/>
      <c r="Q26" s="3"/>
      <c r="R26" s="8">
        <f t="shared" si="4"/>
        <v>0</v>
      </c>
      <c r="S26" s="3"/>
      <c r="T26" s="7">
        <v>0</v>
      </c>
      <c r="U26" s="3"/>
      <c r="V26" s="8">
        <f t="shared" si="5"/>
        <v>0</v>
      </c>
      <c r="W26" s="3"/>
      <c r="X26" s="7">
        <f t="shared" si="6"/>
        <v>0</v>
      </c>
      <c r="Y26" s="3"/>
      <c r="Z26" s="8">
        <f t="shared" si="7"/>
        <v>0</v>
      </c>
    </row>
    <row r="27" spans="1:26" s="70" customFormat="1" ht="15" hidden="1" customHeight="1" outlineLevel="2" x14ac:dyDescent="0.3">
      <c r="A27" s="26"/>
      <c r="B27" s="12" t="str">
        <f>CONCATENATE("          ","6117"," - ","RETIREMENT STAFF HOURLY")</f>
        <v xml:space="preserve">          6117 - RETIREMENT STAFF HOURLY</v>
      </c>
      <c r="C27" s="12"/>
      <c r="D27" s="7"/>
      <c r="E27" s="3"/>
      <c r="F27" s="8">
        <f t="shared" si="0"/>
        <v>0</v>
      </c>
      <c r="G27" s="3"/>
      <c r="H27" s="7"/>
      <c r="I27" s="3"/>
      <c r="J27" s="8">
        <f t="shared" si="1"/>
        <v>0</v>
      </c>
      <c r="K27" s="3"/>
      <c r="L27" s="7">
        <f t="shared" si="2"/>
        <v>0</v>
      </c>
      <c r="M27" s="3"/>
      <c r="N27" s="8">
        <f t="shared" si="3"/>
        <v>0</v>
      </c>
      <c r="O27" s="12"/>
      <c r="P27" s="7">
        <v>215.15</v>
      </c>
      <c r="Q27" s="3"/>
      <c r="R27" s="8">
        <f t="shared" si="4"/>
        <v>5.7464510356432209E-4</v>
      </c>
      <c r="S27" s="3"/>
      <c r="T27" s="7"/>
      <c r="U27" s="3"/>
      <c r="V27" s="8">
        <f t="shared" si="5"/>
        <v>0</v>
      </c>
      <c r="W27" s="3"/>
      <c r="X27" s="7">
        <f t="shared" si="6"/>
        <v>215.15</v>
      </c>
      <c r="Y27" s="3"/>
      <c r="Z27" s="8">
        <f t="shared" si="7"/>
        <v>0</v>
      </c>
    </row>
    <row r="28" spans="1:26" s="70" customFormat="1" ht="15" hidden="1" customHeight="1" outlineLevel="2" x14ac:dyDescent="0.3">
      <c r="A28" s="26"/>
      <c r="B28" s="12" t="str">
        <f>CONCATENATE("          ","6118"," - ","VACATION")</f>
        <v xml:space="preserve">          6118 - VACATION</v>
      </c>
      <c r="C28" s="12"/>
      <c r="D28" s="7">
        <v>549.65</v>
      </c>
      <c r="E28" s="3"/>
      <c r="F28" s="8">
        <f t="shared" si="0"/>
        <v>1.969577525352062E-2</v>
      </c>
      <c r="G28" s="3"/>
      <c r="H28" s="7">
        <v>201.25383923076899</v>
      </c>
      <c r="I28" s="3"/>
      <c r="J28" s="8">
        <f t="shared" si="1"/>
        <v>5.139664408171438E-3</v>
      </c>
      <c r="K28" s="3"/>
      <c r="L28" s="7">
        <f t="shared" si="2"/>
        <v>348.39616076923096</v>
      </c>
      <c r="M28" s="3"/>
      <c r="N28" s="8">
        <f t="shared" si="3"/>
        <v>1.7311280227044032</v>
      </c>
      <c r="O28" s="12"/>
      <c r="P28" s="7">
        <v>5901.04</v>
      </c>
      <c r="Q28" s="3"/>
      <c r="R28" s="8">
        <f t="shared" si="4"/>
        <v>1.5761114301358153E-2</v>
      </c>
      <c r="S28" s="3"/>
      <c r="T28" s="7">
        <v>1962.2249325</v>
      </c>
      <c r="U28" s="3"/>
      <c r="V28" s="8">
        <f t="shared" si="5"/>
        <v>4.0671330258115201E-3</v>
      </c>
      <c r="W28" s="3"/>
      <c r="X28" s="7">
        <f t="shared" si="6"/>
        <v>3938.8150674999997</v>
      </c>
      <c r="Y28" s="3"/>
      <c r="Z28" s="8">
        <f t="shared" si="7"/>
        <v>2.0073208745144715</v>
      </c>
    </row>
    <row r="29" spans="1:26" s="70" customFormat="1" ht="15" hidden="1" customHeight="1" outlineLevel="2" x14ac:dyDescent="0.3">
      <c r="A29" s="26"/>
      <c r="B29" s="12" t="str">
        <f>CONCATENATE("          ","6119"," - ","SICK LEAVE")</f>
        <v xml:space="preserve">          6119 - SICK LEAVE</v>
      </c>
      <c r="C29" s="12"/>
      <c r="D29" s="7">
        <v>290.13</v>
      </c>
      <c r="E29" s="3"/>
      <c r="F29" s="8">
        <f t="shared" si="0"/>
        <v>1.0396316336403052E-2</v>
      </c>
      <c r="G29" s="3"/>
      <c r="H29" s="7">
        <v>527.89672615384598</v>
      </c>
      <c r="I29" s="3"/>
      <c r="J29" s="8">
        <f t="shared" si="1"/>
        <v>1.3481541643993308E-2</v>
      </c>
      <c r="K29" s="3"/>
      <c r="L29" s="7">
        <f t="shared" si="2"/>
        <v>-237.76672615384598</v>
      </c>
      <c r="M29" s="3"/>
      <c r="N29" s="8">
        <f t="shared" si="3"/>
        <v>-0.45040386570715946</v>
      </c>
      <c r="O29" s="12"/>
      <c r="P29" s="7">
        <v>4498.68</v>
      </c>
      <c r="Q29" s="3"/>
      <c r="R29" s="8">
        <f t="shared" si="4"/>
        <v>1.2015544664200533E-2</v>
      </c>
      <c r="S29" s="3"/>
      <c r="T29" s="7">
        <v>5073.5249549999999</v>
      </c>
      <c r="U29" s="3"/>
      <c r="V29" s="8">
        <f t="shared" si="5"/>
        <v>1.0515971212061543E-2</v>
      </c>
      <c r="W29" s="3"/>
      <c r="X29" s="7">
        <f t="shared" si="6"/>
        <v>-574.84495499999957</v>
      </c>
      <c r="Y29" s="3"/>
      <c r="Z29" s="8">
        <f t="shared" si="7"/>
        <v>-0.1133028732683152</v>
      </c>
    </row>
    <row r="30" spans="1:26" s="70" customFormat="1" ht="15" hidden="1" customHeight="1" outlineLevel="2" x14ac:dyDescent="0.3">
      <c r="A30" s="26"/>
      <c r="B30" s="12" t="str">
        <f>CONCATENATE("          ","6156"," - ","EMPLOYEE MEALS")</f>
        <v xml:space="preserve">          6156 - EMPLOYEE MEALS</v>
      </c>
      <c r="C30" s="12"/>
      <c r="D30" s="7">
        <v>73.75</v>
      </c>
      <c r="E30" s="3"/>
      <c r="F30" s="8">
        <f t="shared" si="0"/>
        <v>2.6427061310782241E-3</v>
      </c>
      <c r="G30" s="3"/>
      <c r="H30" s="7"/>
      <c r="I30" s="3"/>
      <c r="J30" s="8">
        <f t="shared" si="1"/>
        <v>0</v>
      </c>
      <c r="K30" s="3"/>
      <c r="L30" s="7">
        <f t="shared" si="2"/>
        <v>73.75</v>
      </c>
      <c r="M30" s="3"/>
      <c r="N30" s="8">
        <f t="shared" si="3"/>
        <v>0</v>
      </c>
      <c r="O30" s="12"/>
      <c r="P30" s="7">
        <v>576.25</v>
      </c>
      <c r="Q30" s="3"/>
      <c r="R30" s="8">
        <f t="shared" si="4"/>
        <v>1.5391087191677462E-3</v>
      </c>
      <c r="S30" s="3"/>
      <c r="T30" s="7"/>
      <c r="U30" s="3"/>
      <c r="V30" s="8">
        <f t="shared" si="5"/>
        <v>0</v>
      </c>
      <c r="W30" s="3"/>
      <c r="X30" s="7">
        <f t="shared" si="6"/>
        <v>576.25</v>
      </c>
      <c r="Y30" s="3"/>
      <c r="Z30" s="8">
        <f t="shared" si="7"/>
        <v>0</v>
      </c>
    </row>
    <row r="31" spans="1:26" s="69" customFormat="1" ht="15" customHeight="1" outlineLevel="1" collapsed="1" x14ac:dyDescent="0.3">
      <c r="A31" s="25"/>
      <c r="B31" s="14" t="str">
        <f>CONCATENATE("     ","*Payroll                                          ")</f>
        <v xml:space="preserve">     *Payroll                                          </v>
      </c>
      <c r="C31" s="14"/>
      <c r="D31" s="2">
        <f>SUM(OSRRefD22_1x_0)</f>
        <v>12205.9</v>
      </c>
      <c r="E31" s="2"/>
      <c r="F31" s="6">
        <f t="shared" si="0"/>
        <v>0.43737771885190097</v>
      </c>
      <c r="G31" s="2"/>
      <c r="H31" s="2">
        <f>SUM(OSRRefH22_1x_0)</f>
        <v>19497.288242307688</v>
      </c>
      <c r="I31" s="2"/>
      <c r="J31" s="6">
        <f t="shared" si="1"/>
        <v>0.49792599643250729</v>
      </c>
      <c r="K31" s="2"/>
      <c r="L31" s="2">
        <f t="shared" si="2"/>
        <v>-7291.3882423076884</v>
      </c>
      <c r="M31" s="2"/>
      <c r="N31" s="6">
        <f t="shared" si="3"/>
        <v>-0.37396935161916056</v>
      </c>
      <c r="O31" s="14"/>
      <c r="P31" s="2">
        <f>SUM(OSRRefP22_1x_0)</f>
        <v>129265.06999999999</v>
      </c>
      <c r="Q31" s="2"/>
      <c r="R31" s="6">
        <f t="shared" si="4"/>
        <v>0.34525465738972499</v>
      </c>
      <c r="S31" s="2"/>
      <c r="T31" s="2">
        <f>SUM(OSRRefT22_1x_0)</f>
        <v>187649.62286249999</v>
      </c>
      <c r="U31" s="2"/>
      <c r="V31" s="6">
        <f t="shared" si="5"/>
        <v>0.38894418564582689</v>
      </c>
      <c r="W31" s="2"/>
      <c r="X31" s="2">
        <f t="shared" si="6"/>
        <v>-58384.552862500001</v>
      </c>
      <c r="Y31" s="2"/>
      <c r="Z31" s="6">
        <f t="shared" si="7"/>
        <v>-0.31113599895311916</v>
      </c>
    </row>
    <row r="32" spans="1:26" s="70" customFormat="1" ht="15" hidden="1" customHeight="1" outlineLevel="2" x14ac:dyDescent="0.3">
      <c r="A32" s="26"/>
      <c r="B32" s="12" t="str">
        <f>CONCATENATE("          ","6001"," - ","ADMINISTRATIVE SALARIES")</f>
        <v xml:space="preserve">          6001 - ADMINISTRATIVE SALARIES</v>
      </c>
      <c r="C32" s="12"/>
      <c r="D32" s="7">
        <v>3959.53</v>
      </c>
      <c r="E32" s="3"/>
      <c r="F32" s="8">
        <f t="shared" si="0"/>
        <v>0.14188304009746661</v>
      </c>
      <c r="G32" s="3"/>
      <c r="H32" s="7">
        <v>4139.8076923076896</v>
      </c>
      <c r="I32" s="3"/>
      <c r="J32" s="8">
        <f t="shared" si="1"/>
        <v>0.10572331108889062</v>
      </c>
      <c r="K32" s="3"/>
      <c r="L32" s="7">
        <f t="shared" si="2"/>
        <v>-180.27769230768945</v>
      </c>
      <c r="M32" s="3"/>
      <c r="N32" s="8">
        <f t="shared" si="3"/>
        <v>-4.3547359130393724E-2</v>
      </c>
      <c r="O32" s="12"/>
      <c r="P32" s="7">
        <v>42077.1</v>
      </c>
      <c r="Q32" s="3"/>
      <c r="R32" s="8">
        <f t="shared" si="4"/>
        <v>0.1123839158130901</v>
      </c>
      <c r="S32" s="3"/>
      <c r="T32" s="7">
        <v>40363.125</v>
      </c>
      <c r="U32" s="3"/>
      <c r="V32" s="8">
        <f t="shared" si="5"/>
        <v>8.3661254116930137E-2</v>
      </c>
      <c r="W32" s="3"/>
      <c r="X32" s="7">
        <f t="shared" si="6"/>
        <v>1713.9749999999985</v>
      </c>
      <c r="Y32" s="3"/>
      <c r="Z32" s="8">
        <f t="shared" si="7"/>
        <v>4.2463882566079768E-2</v>
      </c>
    </row>
    <row r="33" spans="1:26" s="70" customFormat="1" ht="15" hidden="1" customHeight="1" outlineLevel="2" x14ac:dyDescent="0.3">
      <c r="A33" s="26"/>
      <c r="B33" s="12" t="str">
        <f>CONCATENATE("          ","6002"," - ","STAFF SALARIES")</f>
        <v xml:space="preserve">          6002 - STAFF SALARIES</v>
      </c>
      <c r="C33" s="12"/>
      <c r="D33" s="7">
        <v>1632</v>
      </c>
      <c r="E33" s="3"/>
      <c r="F33" s="8">
        <f t="shared" si="0"/>
        <v>5.8479951266707277E-2</v>
      </c>
      <c r="G33" s="3"/>
      <c r="H33" s="7">
        <v>2233.2305500000002</v>
      </c>
      <c r="I33" s="3"/>
      <c r="J33" s="8">
        <f t="shared" si="1"/>
        <v>5.7032728503205052E-2</v>
      </c>
      <c r="K33" s="3"/>
      <c r="L33" s="7">
        <f t="shared" si="2"/>
        <v>-601.23055000000022</v>
      </c>
      <c r="M33" s="3"/>
      <c r="N33" s="8">
        <f t="shared" si="3"/>
        <v>-0.26922009910709854</v>
      </c>
      <c r="O33" s="12"/>
      <c r="P33" s="7">
        <v>16584.57</v>
      </c>
      <c r="Q33" s="3"/>
      <c r="R33" s="8">
        <f t="shared" si="4"/>
        <v>4.4295802673575406E-2</v>
      </c>
      <c r="S33" s="3"/>
      <c r="T33" s="7">
        <v>21773.9978625</v>
      </c>
      <c r="U33" s="3"/>
      <c r="V33" s="8">
        <f t="shared" si="5"/>
        <v>4.5131291700434652E-2</v>
      </c>
      <c r="W33" s="3"/>
      <c r="X33" s="7">
        <f t="shared" si="6"/>
        <v>-5189.4278625000006</v>
      </c>
      <c r="Y33" s="3"/>
      <c r="Z33" s="8">
        <f t="shared" si="7"/>
        <v>-0.23833142150883688</v>
      </c>
    </row>
    <row r="34" spans="1:26" s="70" customFormat="1" ht="15" hidden="1" customHeight="1" outlineLevel="2" x14ac:dyDescent="0.3">
      <c r="A34" s="26"/>
      <c r="B34" s="12" t="str">
        <f>CONCATENATE("          ","6003"," - ","STAFF HOURLY-9 MONTH")</f>
        <v xml:space="preserve">          6003 - STAFF HOURLY-9 MONTH</v>
      </c>
      <c r="C34" s="12"/>
      <c r="D34" s="7"/>
      <c r="E34" s="3"/>
      <c r="F34" s="8">
        <f t="shared" si="0"/>
        <v>0</v>
      </c>
      <c r="G34" s="3"/>
      <c r="H34" s="7">
        <v>0</v>
      </c>
      <c r="I34" s="3"/>
      <c r="J34" s="8">
        <f t="shared" si="1"/>
        <v>0</v>
      </c>
      <c r="K34" s="3"/>
      <c r="L34" s="7">
        <f t="shared" si="2"/>
        <v>0</v>
      </c>
      <c r="M34" s="3"/>
      <c r="N34" s="8">
        <f t="shared" si="3"/>
        <v>0</v>
      </c>
      <c r="O34" s="12"/>
      <c r="P34" s="7"/>
      <c r="Q34" s="3"/>
      <c r="R34" s="8">
        <f t="shared" si="4"/>
        <v>0</v>
      </c>
      <c r="S34" s="3"/>
      <c r="T34" s="7">
        <v>0</v>
      </c>
      <c r="U34" s="3"/>
      <c r="V34" s="8">
        <f t="shared" si="5"/>
        <v>0</v>
      </c>
      <c r="W34" s="3"/>
      <c r="X34" s="7">
        <f t="shared" si="6"/>
        <v>0</v>
      </c>
      <c r="Y34" s="3"/>
      <c r="Z34" s="8">
        <f t="shared" si="7"/>
        <v>0</v>
      </c>
    </row>
    <row r="35" spans="1:26" s="70" customFormat="1" ht="15" hidden="1" customHeight="1" outlineLevel="2" x14ac:dyDescent="0.3">
      <c r="A35" s="26"/>
      <c r="B35" s="12" t="str">
        <f>CONCATENATE("          ","6004"," - ","STAFF HOURLY")</f>
        <v xml:space="preserve">          6004 - STAFF HOURLY</v>
      </c>
      <c r="C35" s="12"/>
      <c r="D35" s="7">
        <v>343.23</v>
      </c>
      <c r="E35" s="3"/>
      <c r="F35" s="8">
        <f t="shared" si="0"/>
        <v>1.2299064750779375E-2</v>
      </c>
      <c r="G35" s="3"/>
      <c r="H35" s="7">
        <v>2088</v>
      </c>
      <c r="I35" s="3"/>
      <c r="J35" s="8">
        <f t="shared" si="1"/>
        <v>5.3323799065301221E-2</v>
      </c>
      <c r="K35" s="3"/>
      <c r="L35" s="7">
        <f t="shared" si="2"/>
        <v>-1744.77</v>
      </c>
      <c r="M35" s="3"/>
      <c r="N35" s="8">
        <f t="shared" si="3"/>
        <v>-0.83561781609195407</v>
      </c>
      <c r="O35" s="12"/>
      <c r="P35" s="7">
        <v>10840.47</v>
      </c>
      <c r="Q35" s="3"/>
      <c r="R35" s="8">
        <f t="shared" si="4"/>
        <v>2.8953860124731237E-2</v>
      </c>
      <c r="S35" s="3"/>
      <c r="T35" s="7">
        <v>19836</v>
      </c>
      <c r="U35" s="3"/>
      <c r="V35" s="8">
        <f t="shared" si="5"/>
        <v>4.1114374485707594E-2</v>
      </c>
      <c r="W35" s="3"/>
      <c r="X35" s="7">
        <f t="shared" si="6"/>
        <v>-8995.5300000000007</v>
      </c>
      <c r="Y35" s="3"/>
      <c r="Z35" s="8">
        <f t="shared" si="7"/>
        <v>-0.45349516031457959</v>
      </c>
    </row>
    <row r="36" spans="1:26" s="70" customFormat="1" ht="15" hidden="1" customHeight="1" outlineLevel="2" x14ac:dyDescent="0.3">
      <c r="A36" s="26"/>
      <c r="B36" s="12" t="str">
        <f>CONCATENATE("          ","6005"," - ","TEMPORARY WAGES-HOURLY")</f>
        <v xml:space="preserve">          6005 - TEMPORARY WAGES-HOURLY</v>
      </c>
      <c r="C36" s="12"/>
      <c r="D36" s="7">
        <v>2736.04</v>
      </c>
      <c r="E36" s="3"/>
      <c r="F36" s="8">
        <f t="shared" si="0"/>
        <v>9.8041351632206966E-2</v>
      </c>
      <c r="G36" s="3"/>
      <c r="H36" s="7">
        <v>0</v>
      </c>
      <c r="I36" s="3"/>
      <c r="J36" s="8">
        <f t="shared" si="1"/>
        <v>0</v>
      </c>
      <c r="K36" s="3"/>
      <c r="L36" s="7">
        <f t="shared" si="2"/>
        <v>2736.04</v>
      </c>
      <c r="M36" s="3"/>
      <c r="N36" s="8">
        <f t="shared" si="3"/>
        <v>0</v>
      </c>
      <c r="O36" s="12"/>
      <c r="P36" s="7">
        <v>48371.23</v>
      </c>
      <c r="Q36" s="3"/>
      <c r="R36" s="8">
        <f t="shared" si="4"/>
        <v>0.12919493596506457</v>
      </c>
      <c r="S36" s="3"/>
      <c r="T36" s="7">
        <v>0</v>
      </c>
      <c r="U36" s="3"/>
      <c r="V36" s="8">
        <f t="shared" si="5"/>
        <v>0</v>
      </c>
      <c r="W36" s="3"/>
      <c r="X36" s="7">
        <f t="shared" si="6"/>
        <v>48371.23</v>
      </c>
      <c r="Y36" s="3"/>
      <c r="Z36" s="8">
        <f t="shared" si="7"/>
        <v>0</v>
      </c>
    </row>
    <row r="37" spans="1:26" s="70" customFormat="1" ht="15" hidden="1" customHeight="1" outlineLevel="2" x14ac:dyDescent="0.3">
      <c r="A37" s="26"/>
      <c r="B37" s="12" t="str">
        <f>CONCATENATE("          ","6006"," - ","TEMPORARY PART TIME")</f>
        <v xml:space="preserve">          6006 - TEMPORARY PART TIME</v>
      </c>
      <c r="C37" s="12"/>
      <c r="D37" s="7"/>
      <c r="E37" s="3"/>
      <c r="F37" s="8">
        <f t="shared" si="0"/>
        <v>0</v>
      </c>
      <c r="G37" s="3"/>
      <c r="H37" s="7">
        <v>0</v>
      </c>
      <c r="I37" s="3"/>
      <c r="J37" s="8">
        <f t="shared" si="1"/>
        <v>0</v>
      </c>
      <c r="K37" s="3"/>
      <c r="L37" s="7">
        <f t="shared" si="2"/>
        <v>0</v>
      </c>
      <c r="M37" s="3"/>
      <c r="N37" s="8">
        <f t="shared" si="3"/>
        <v>0</v>
      </c>
      <c r="O37" s="12"/>
      <c r="P37" s="7"/>
      <c r="Q37" s="3"/>
      <c r="R37" s="8">
        <f t="shared" si="4"/>
        <v>0</v>
      </c>
      <c r="S37" s="3"/>
      <c r="T37" s="7">
        <v>0</v>
      </c>
      <c r="U37" s="3"/>
      <c r="V37" s="8">
        <f t="shared" si="5"/>
        <v>0</v>
      </c>
      <c r="W37" s="3"/>
      <c r="X37" s="7">
        <f t="shared" si="6"/>
        <v>0</v>
      </c>
      <c r="Y37" s="3"/>
      <c r="Z37" s="8">
        <f t="shared" si="7"/>
        <v>0</v>
      </c>
    </row>
    <row r="38" spans="1:26" s="70" customFormat="1" ht="15" hidden="1" customHeight="1" outlineLevel="2" x14ac:dyDescent="0.3">
      <c r="A38" s="26"/>
      <c r="B38" s="12" t="str">
        <f>CONCATENATE("          ","6007"," - ","STUDENT HOURLY")</f>
        <v xml:space="preserve">          6007 - STUDENT HOURLY</v>
      </c>
      <c r="C38" s="12"/>
      <c r="D38" s="7">
        <v>3535.1</v>
      </c>
      <c r="E38" s="3"/>
      <c r="F38" s="8">
        <f t="shared" si="0"/>
        <v>0.12667431110474076</v>
      </c>
      <c r="G38" s="3"/>
      <c r="H38" s="7">
        <v>0</v>
      </c>
      <c r="I38" s="3"/>
      <c r="J38" s="8">
        <f t="shared" si="1"/>
        <v>0</v>
      </c>
      <c r="K38" s="3"/>
      <c r="L38" s="7">
        <f t="shared" si="2"/>
        <v>3535.1</v>
      </c>
      <c r="M38" s="3"/>
      <c r="N38" s="8">
        <f t="shared" si="3"/>
        <v>0</v>
      </c>
      <c r="O38" s="12"/>
      <c r="P38" s="7">
        <v>11227.48</v>
      </c>
      <c r="Q38" s="3"/>
      <c r="R38" s="8">
        <f t="shared" si="4"/>
        <v>2.9987526875976549E-2</v>
      </c>
      <c r="S38" s="3"/>
      <c r="T38" s="7">
        <v>25987.5</v>
      </c>
      <c r="U38" s="3"/>
      <c r="V38" s="8">
        <f t="shared" si="5"/>
        <v>5.3864680729346949E-2</v>
      </c>
      <c r="W38" s="3"/>
      <c r="X38" s="7">
        <f t="shared" si="6"/>
        <v>-14760.02</v>
      </c>
      <c r="Y38" s="3"/>
      <c r="Z38" s="8">
        <f t="shared" si="7"/>
        <v>-0.56796613756613756</v>
      </c>
    </row>
    <row r="39" spans="1:26" s="70" customFormat="1" ht="15" hidden="1" customHeight="1" outlineLevel="2" x14ac:dyDescent="0.3">
      <c r="A39" s="26"/>
      <c r="B39" s="12" t="str">
        <f>CONCATENATE("          ","6008"," - ","STUDENT HOURLY-FICA EXEMPT")</f>
        <v xml:space="preserve">          6008 - STUDENT HOURLY-FICA EXEMPT</v>
      </c>
      <c r="C39" s="12"/>
      <c r="D39" s="7"/>
      <c r="E39" s="3"/>
      <c r="F39" s="8">
        <f t="shared" si="0"/>
        <v>0</v>
      </c>
      <c r="G39" s="3"/>
      <c r="H39" s="7">
        <v>11036.25</v>
      </c>
      <c r="I39" s="3"/>
      <c r="J39" s="8">
        <f t="shared" si="1"/>
        <v>0.28184615777511046</v>
      </c>
      <c r="K39" s="3"/>
      <c r="L39" s="7">
        <f t="shared" si="2"/>
        <v>-11036.25</v>
      </c>
      <c r="M39" s="3"/>
      <c r="N39" s="8">
        <f t="shared" si="3"/>
        <v>-1</v>
      </c>
      <c r="O39" s="12"/>
      <c r="P39" s="7">
        <v>164.22</v>
      </c>
      <c r="Q39" s="3"/>
      <c r="R39" s="8">
        <f t="shared" si="4"/>
        <v>4.3861593728716227E-4</v>
      </c>
      <c r="S39" s="3"/>
      <c r="T39" s="7">
        <v>79689</v>
      </c>
      <c r="U39" s="3"/>
      <c r="V39" s="8">
        <f t="shared" si="5"/>
        <v>0.16517258461340756</v>
      </c>
      <c r="W39" s="3"/>
      <c r="X39" s="7">
        <f t="shared" si="6"/>
        <v>-79524.78</v>
      </c>
      <c r="Y39" s="3"/>
      <c r="Z39" s="8">
        <f t="shared" si="7"/>
        <v>-0.99793923879079927</v>
      </c>
    </row>
    <row r="40" spans="1:26" s="70" customFormat="1" ht="15" hidden="1" customHeight="1" outlineLevel="2" x14ac:dyDescent="0.3">
      <c r="A40" s="26"/>
      <c r="B40" s="12" t="str">
        <f>CONCATENATE("          ","6009"," - ","TEMPORARY-SEASONAL")</f>
        <v xml:space="preserve">          6009 - TEMPORARY-SEASONAL</v>
      </c>
      <c r="C40" s="12"/>
      <c r="D40" s="7"/>
      <c r="E40" s="3"/>
      <c r="F40" s="8">
        <f t="shared" si="0"/>
        <v>0</v>
      </c>
      <c r="G40" s="3"/>
      <c r="H40" s="7">
        <v>0</v>
      </c>
      <c r="I40" s="3"/>
      <c r="J40" s="8">
        <f t="shared" si="1"/>
        <v>0</v>
      </c>
      <c r="K40" s="3"/>
      <c r="L40" s="7">
        <f t="shared" si="2"/>
        <v>0</v>
      </c>
      <c r="M40" s="3"/>
      <c r="N40" s="8">
        <f t="shared" si="3"/>
        <v>0</v>
      </c>
      <c r="O40" s="12"/>
      <c r="P40" s="7"/>
      <c r="Q40" s="3"/>
      <c r="R40" s="8">
        <f t="shared" si="4"/>
        <v>0</v>
      </c>
      <c r="S40" s="3"/>
      <c r="T40" s="7">
        <v>0</v>
      </c>
      <c r="U40" s="3"/>
      <c r="V40" s="8">
        <f t="shared" si="5"/>
        <v>0</v>
      </c>
      <c r="W40" s="3"/>
      <c r="X40" s="7">
        <f t="shared" si="6"/>
        <v>0</v>
      </c>
      <c r="Y40" s="3"/>
      <c r="Z40" s="8">
        <f t="shared" si="7"/>
        <v>0</v>
      </c>
    </row>
    <row r="41" spans="1:26" s="70" customFormat="1" ht="15" hidden="1" customHeight="1" outlineLevel="2" x14ac:dyDescent="0.3">
      <c r="A41" s="26"/>
      <c r="B41" s="12" t="str">
        <f>CONCATENATE("          ","6010"," - ","GRATUITY")</f>
        <v xml:space="preserve">          6010 - GRATUITY</v>
      </c>
      <c r="C41" s="12"/>
      <c r="D41" s="7"/>
      <c r="E41" s="3"/>
      <c r="F41" s="8">
        <f t="shared" si="0"/>
        <v>0</v>
      </c>
      <c r="G41" s="3"/>
      <c r="H41" s="7">
        <v>0</v>
      </c>
      <c r="I41" s="3"/>
      <c r="J41" s="8">
        <f t="shared" si="1"/>
        <v>0</v>
      </c>
      <c r="K41" s="3"/>
      <c r="L41" s="7">
        <f t="shared" si="2"/>
        <v>0</v>
      </c>
      <c r="M41" s="3"/>
      <c r="N41" s="8">
        <f t="shared" si="3"/>
        <v>0</v>
      </c>
      <c r="O41" s="12"/>
      <c r="P41" s="7"/>
      <c r="Q41" s="3"/>
      <c r="R41" s="8">
        <f t="shared" si="4"/>
        <v>0</v>
      </c>
      <c r="S41" s="3"/>
      <c r="T41" s="7">
        <v>0</v>
      </c>
      <c r="U41" s="3"/>
      <c r="V41" s="8">
        <f t="shared" si="5"/>
        <v>0</v>
      </c>
      <c r="W41" s="3"/>
      <c r="X41" s="7">
        <f t="shared" si="6"/>
        <v>0</v>
      </c>
      <c r="Y41" s="3"/>
      <c r="Z41" s="8">
        <f t="shared" si="7"/>
        <v>0</v>
      </c>
    </row>
    <row r="42" spans="1:26" s="69" customFormat="1" ht="15" customHeight="1" outlineLevel="1" collapsed="1" x14ac:dyDescent="0.3">
      <c r="A42" s="25"/>
      <c r="B42" s="14" t="str">
        <f>CONCATENATE("     ","Advertising/Promo                                 ")</f>
        <v xml:space="preserve">     Advertising/Promo                                 </v>
      </c>
      <c r="C42" s="14"/>
      <c r="D42" s="2">
        <f>SUM(OSRRefD22_2x_0)</f>
        <v>138.72</v>
      </c>
      <c r="E42" s="2"/>
      <c r="F42" s="6">
        <f t="shared" si="0"/>
        <v>4.9707958576701182E-3</v>
      </c>
      <c r="G42" s="2"/>
      <c r="H42" s="2">
        <f>SUM(OSRRefH22_2x_0)</f>
        <v>100</v>
      </c>
      <c r="I42" s="2"/>
      <c r="J42" s="6">
        <f t="shared" si="1"/>
        <v>2.5538217943151926E-3</v>
      </c>
      <c r="K42" s="2"/>
      <c r="L42" s="2">
        <f t="shared" si="2"/>
        <v>38.72</v>
      </c>
      <c r="M42" s="2"/>
      <c r="N42" s="6">
        <f t="shared" si="3"/>
        <v>0.38719999999999999</v>
      </c>
      <c r="O42" s="14"/>
      <c r="P42" s="2">
        <f>SUM(OSRRefP22_2x_0)</f>
        <v>251.18</v>
      </c>
      <c r="Q42" s="2"/>
      <c r="R42" s="6">
        <f t="shared" si="4"/>
        <v>6.7087779276451967E-4</v>
      </c>
      <c r="S42" s="2"/>
      <c r="T42" s="2">
        <f>SUM(OSRRefT22_2x_0)</f>
        <v>900</v>
      </c>
      <c r="U42" s="2"/>
      <c r="V42" s="6">
        <f t="shared" si="5"/>
        <v>1.8654434884622321E-3</v>
      </c>
      <c r="W42" s="2"/>
      <c r="X42" s="2">
        <f t="shared" si="6"/>
        <v>-648.81999999999994</v>
      </c>
      <c r="Y42" s="2"/>
      <c r="Z42" s="6">
        <f t="shared" si="7"/>
        <v>-0.72091111111111106</v>
      </c>
    </row>
    <row r="43" spans="1:26" s="70" customFormat="1" ht="15" hidden="1" customHeight="1" outlineLevel="2" x14ac:dyDescent="0.3">
      <c r="A43" s="26"/>
      <c r="B43" s="12" t="str">
        <f>CONCATENATE("          ","6362"," - ","ADVERTISING EXPENSE")</f>
        <v xml:space="preserve">          6362 - ADVERTISING EXPENSE</v>
      </c>
      <c r="C43" s="12"/>
      <c r="D43" s="7">
        <v>138.72</v>
      </c>
      <c r="E43" s="3"/>
      <c r="F43" s="8">
        <f t="shared" si="0"/>
        <v>4.9707958576701182E-3</v>
      </c>
      <c r="G43" s="3"/>
      <c r="H43" s="7">
        <v>100</v>
      </c>
      <c r="I43" s="3"/>
      <c r="J43" s="8">
        <f t="shared" si="1"/>
        <v>2.5538217943151926E-3</v>
      </c>
      <c r="K43" s="3"/>
      <c r="L43" s="7">
        <f t="shared" si="2"/>
        <v>38.72</v>
      </c>
      <c r="M43" s="3"/>
      <c r="N43" s="8">
        <f t="shared" si="3"/>
        <v>0.38719999999999999</v>
      </c>
      <c r="O43" s="12"/>
      <c r="P43" s="7">
        <v>251.18</v>
      </c>
      <c r="Q43" s="3"/>
      <c r="R43" s="8">
        <f t="shared" si="4"/>
        <v>6.7087779276451967E-4</v>
      </c>
      <c r="S43" s="3"/>
      <c r="T43" s="7">
        <v>900</v>
      </c>
      <c r="U43" s="3"/>
      <c r="V43" s="8">
        <f t="shared" si="5"/>
        <v>1.8654434884622321E-3</v>
      </c>
      <c r="W43" s="3"/>
      <c r="X43" s="7">
        <f t="shared" si="6"/>
        <v>-648.81999999999994</v>
      </c>
      <c r="Y43" s="3"/>
      <c r="Z43" s="8">
        <f t="shared" si="7"/>
        <v>-0.72091111111111106</v>
      </c>
    </row>
    <row r="44" spans="1:26" s="69" customFormat="1" ht="15" customHeight="1" outlineLevel="1" collapsed="1" x14ac:dyDescent="0.3">
      <c r="A44" s="25"/>
      <c r="B44" s="14" t="str">
        <f>CONCATENATE("     ","Bank/card Fees                                    ")</f>
        <v xml:space="preserve">     Bank/card Fees                                    </v>
      </c>
      <c r="C44" s="14"/>
      <c r="D44" s="2">
        <f>SUM(OSRRefD22_3x_0)</f>
        <v>662.05</v>
      </c>
      <c r="E44" s="2"/>
      <c r="F44" s="6">
        <f t="shared" si="0"/>
        <v>2.3723438563801196E-2</v>
      </c>
      <c r="G44" s="2"/>
      <c r="H44" s="2">
        <f>SUM(OSRRefH22_3x_0)</f>
        <v>1250</v>
      </c>
      <c r="I44" s="2"/>
      <c r="J44" s="6">
        <f t="shared" si="1"/>
        <v>3.1922772428939906E-2</v>
      </c>
      <c r="K44" s="2"/>
      <c r="L44" s="2">
        <f t="shared" si="2"/>
        <v>-587.95000000000005</v>
      </c>
      <c r="M44" s="2"/>
      <c r="N44" s="6">
        <f t="shared" si="3"/>
        <v>-0.47036000000000006</v>
      </c>
      <c r="O44" s="14"/>
      <c r="P44" s="2">
        <f>SUM(OSRRefP22_3x_0)</f>
        <v>3434.23</v>
      </c>
      <c r="Q44" s="2"/>
      <c r="R44" s="6">
        <f t="shared" si="4"/>
        <v>9.1725003672493699E-3</v>
      </c>
      <c r="S44" s="2"/>
      <c r="T44" s="2">
        <f>SUM(OSRRefT22_3x_0)</f>
        <v>11250</v>
      </c>
      <c r="U44" s="2"/>
      <c r="V44" s="6">
        <f t="shared" si="5"/>
        <v>2.33180436057779E-2</v>
      </c>
      <c r="W44" s="2"/>
      <c r="X44" s="2">
        <f t="shared" si="6"/>
        <v>-7815.77</v>
      </c>
      <c r="Y44" s="2"/>
      <c r="Z44" s="6">
        <f t="shared" si="7"/>
        <v>-0.69473511111111119</v>
      </c>
    </row>
    <row r="45" spans="1:26" s="70" customFormat="1" ht="15" hidden="1" customHeight="1" outlineLevel="2" x14ac:dyDescent="0.3">
      <c r="A45" s="26"/>
      <c r="B45" s="12" t="str">
        <f>CONCATENATE("          ","6381"," - ","BANK/CREDIT CARD FEES")</f>
        <v xml:space="preserve">          6381 - BANK/CREDIT CARD FEES</v>
      </c>
      <c r="C45" s="12"/>
      <c r="D45" s="7">
        <v>662.05</v>
      </c>
      <c r="E45" s="3"/>
      <c r="F45" s="8">
        <f t="shared" si="0"/>
        <v>2.3723438563801196E-2</v>
      </c>
      <c r="G45" s="3"/>
      <c r="H45" s="7">
        <v>1250</v>
      </c>
      <c r="I45" s="3"/>
      <c r="J45" s="8">
        <f t="shared" si="1"/>
        <v>3.1922772428939906E-2</v>
      </c>
      <c r="K45" s="3"/>
      <c r="L45" s="7">
        <f t="shared" si="2"/>
        <v>-587.95000000000005</v>
      </c>
      <c r="M45" s="3"/>
      <c r="N45" s="8">
        <f t="shared" si="3"/>
        <v>-0.47036000000000006</v>
      </c>
      <c r="O45" s="12"/>
      <c r="P45" s="7">
        <v>3434.23</v>
      </c>
      <c r="Q45" s="3"/>
      <c r="R45" s="8">
        <f t="shared" si="4"/>
        <v>9.1725003672493699E-3</v>
      </c>
      <c r="S45" s="3"/>
      <c r="T45" s="7">
        <v>11250</v>
      </c>
      <c r="U45" s="3"/>
      <c r="V45" s="8">
        <f t="shared" si="5"/>
        <v>2.33180436057779E-2</v>
      </c>
      <c r="W45" s="3"/>
      <c r="X45" s="7">
        <f t="shared" si="6"/>
        <v>-7815.77</v>
      </c>
      <c r="Y45" s="3"/>
      <c r="Z45" s="8">
        <f t="shared" si="7"/>
        <v>-0.69473511111111119</v>
      </c>
    </row>
    <row r="46" spans="1:26" s="69" customFormat="1" ht="15" customHeight="1" outlineLevel="1" collapsed="1" x14ac:dyDescent="0.3">
      <c r="A46" s="25"/>
      <c r="B46" s="14" t="str">
        <f>CONCATENATE("     ","Employees' Appreciation                           ")</f>
        <v xml:space="preserve">     Employees' Appreciation                           </v>
      </c>
      <c r="C46" s="14"/>
      <c r="D46" s="2">
        <f>SUM(OSRRefD22_4x_0)</f>
        <v>0</v>
      </c>
      <c r="E46" s="2"/>
      <c r="F46" s="6">
        <f t="shared" si="0"/>
        <v>0</v>
      </c>
      <c r="G46" s="2"/>
      <c r="H46" s="2">
        <f>SUM(OSRRefH22_4x_0)</f>
        <v>20</v>
      </c>
      <c r="I46" s="2"/>
      <c r="J46" s="6">
        <f t="shared" si="1"/>
        <v>5.1076435886303849E-4</v>
      </c>
      <c r="K46" s="2"/>
      <c r="L46" s="2">
        <f t="shared" si="2"/>
        <v>-20</v>
      </c>
      <c r="M46" s="2"/>
      <c r="N46" s="6">
        <f t="shared" si="3"/>
        <v>-1</v>
      </c>
      <c r="O46" s="14"/>
      <c r="P46" s="2">
        <f>SUM(OSRRefP22_4x_0)</f>
        <v>0</v>
      </c>
      <c r="Q46" s="2"/>
      <c r="R46" s="6">
        <f t="shared" si="4"/>
        <v>0</v>
      </c>
      <c r="S46" s="2"/>
      <c r="T46" s="2">
        <f>SUM(OSRRefT22_4x_0)</f>
        <v>180</v>
      </c>
      <c r="U46" s="2"/>
      <c r="V46" s="6">
        <f t="shared" si="5"/>
        <v>3.7308869769244639E-4</v>
      </c>
      <c r="W46" s="2"/>
      <c r="X46" s="2">
        <f t="shared" si="6"/>
        <v>-180</v>
      </c>
      <c r="Y46" s="2"/>
      <c r="Z46" s="6">
        <f t="shared" si="7"/>
        <v>-1</v>
      </c>
    </row>
    <row r="47" spans="1:26" s="70" customFormat="1" ht="15" hidden="1" customHeight="1" outlineLevel="2" x14ac:dyDescent="0.3">
      <c r="A47" s="26"/>
      <c r="B47" s="12" t="str">
        <f>CONCATENATE("          ","6277"," - ","EMPLOYEE APPRECIATION")</f>
        <v xml:space="preserve">          6277 - EMPLOYEE APPRECIATION</v>
      </c>
      <c r="C47" s="12"/>
      <c r="D47" s="7"/>
      <c r="E47" s="3"/>
      <c r="F47" s="8">
        <f t="shared" si="0"/>
        <v>0</v>
      </c>
      <c r="G47" s="3"/>
      <c r="H47" s="7">
        <v>20</v>
      </c>
      <c r="I47" s="3"/>
      <c r="J47" s="8">
        <f t="shared" si="1"/>
        <v>5.1076435886303849E-4</v>
      </c>
      <c r="K47" s="3"/>
      <c r="L47" s="7">
        <f t="shared" si="2"/>
        <v>-20</v>
      </c>
      <c r="M47" s="3"/>
      <c r="N47" s="8">
        <f t="shared" si="3"/>
        <v>-1</v>
      </c>
      <c r="O47" s="12"/>
      <c r="P47" s="7"/>
      <c r="Q47" s="3"/>
      <c r="R47" s="8">
        <f t="shared" si="4"/>
        <v>0</v>
      </c>
      <c r="S47" s="3"/>
      <c r="T47" s="7">
        <v>180</v>
      </c>
      <c r="U47" s="3"/>
      <c r="V47" s="8">
        <f t="shared" si="5"/>
        <v>3.7308869769244639E-4</v>
      </c>
      <c r="W47" s="3"/>
      <c r="X47" s="7">
        <f t="shared" si="6"/>
        <v>-180</v>
      </c>
      <c r="Y47" s="3"/>
      <c r="Z47" s="8">
        <f t="shared" si="7"/>
        <v>-1</v>
      </c>
    </row>
    <row r="48" spans="1:26" s="69" customFormat="1" ht="15" customHeight="1" outlineLevel="1" collapsed="1" x14ac:dyDescent="0.3">
      <c r="A48" s="25"/>
      <c r="B48" s="14" t="str">
        <f>CONCATENATE("     ","Freight out/Postage                               ")</f>
        <v xml:space="preserve">     Freight out/Postage                               </v>
      </c>
      <c r="C48" s="14"/>
      <c r="D48" s="2">
        <f>SUM(OSRRefD22_5x_0)</f>
        <v>0</v>
      </c>
      <c r="E48" s="2"/>
      <c r="F48" s="6">
        <f t="shared" si="0"/>
        <v>0</v>
      </c>
      <c r="G48" s="2"/>
      <c r="H48" s="2">
        <f>SUM(OSRRefH22_5x_0)</f>
        <v>10</v>
      </c>
      <c r="I48" s="2"/>
      <c r="J48" s="6">
        <f t="shared" si="1"/>
        <v>2.5538217943151925E-4</v>
      </c>
      <c r="K48" s="2"/>
      <c r="L48" s="2">
        <f t="shared" si="2"/>
        <v>-10</v>
      </c>
      <c r="M48" s="2"/>
      <c r="N48" s="6">
        <f t="shared" si="3"/>
        <v>-1</v>
      </c>
      <c r="O48" s="14"/>
      <c r="P48" s="2">
        <f>SUM(OSRRefP22_5x_0)</f>
        <v>0.62</v>
      </c>
      <c r="Q48" s="2"/>
      <c r="R48" s="6">
        <f t="shared" si="4"/>
        <v>1.6559607911219135E-6</v>
      </c>
      <c r="S48" s="2"/>
      <c r="T48" s="2">
        <f>SUM(OSRRefT22_5x_0)</f>
        <v>90</v>
      </c>
      <c r="U48" s="2"/>
      <c r="V48" s="6">
        <f t="shared" si="5"/>
        <v>1.865443488462232E-4</v>
      </c>
      <c r="W48" s="2"/>
      <c r="X48" s="2">
        <f t="shared" si="6"/>
        <v>-89.38</v>
      </c>
      <c r="Y48" s="2"/>
      <c r="Z48" s="6">
        <f t="shared" si="7"/>
        <v>-0.99311111111111106</v>
      </c>
    </row>
    <row r="49" spans="1:26" s="70" customFormat="1" ht="15" hidden="1" customHeight="1" outlineLevel="2" x14ac:dyDescent="0.3">
      <c r="A49" s="26"/>
      <c r="B49" s="12" t="str">
        <f>CONCATENATE("          ","6305"," - ","FREIGHT OUT")</f>
        <v xml:space="preserve">          6305 - FREIGHT OUT</v>
      </c>
      <c r="C49" s="12"/>
      <c r="D49" s="7"/>
      <c r="E49" s="3"/>
      <c r="F49" s="8">
        <f t="shared" si="0"/>
        <v>0</v>
      </c>
      <c r="G49" s="3"/>
      <c r="H49" s="7"/>
      <c r="I49" s="3"/>
      <c r="J49" s="8">
        <f t="shared" si="1"/>
        <v>0</v>
      </c>
      <c r="K49" s="3"/>
      <c r="L49" s="7">
        <f t="shared" si="2"/>
        <v>0</v>
      </c>
      <c r="M49" s="3"/>
      <c r="N49" s="8">
        <f t="shared" si="3"/>
        <v>0</v>
      </c>
      <c r="O49" s="12"/>
      <c r="P49" s="7">
        <v>0.62</v>
      </c>
      <c r="Q49" s="3"/>
      <c r="R49" s="8">
        <f t="shared" si="4"/>
        <v>1.6559607911219135E-6</v>
      </c>
      <c r="S49" s="3"/>
      <c r="T49" s="7"/>
      <c r="U49" s="3"/>
      <c r="V49" s="8">
        <f t="shared" si="5"/>
        <v>0</v>
      </c>
      <c r="W49" s="3"/>
      <c r="X49" s="7">
        <f t="shared" si="6"/>
        <v>0.62</v>
      </c>
      <c r="Y49" s="3"/>
      <c r="Z49" s="8">
        <f t="shared" si="7"/>
        <v>0</v>
      </c>
    </row>
    <row r="50" spans="1:26" s="70" customFormat="1" ht="15" hidden="1" customHeight="1" outlineLevel="2" x14ac:dyDescent="0.3">
      <c r="A50" s="26"/>
      <c r="B50" s="12" t="str">
        <f>CONCATENATE("          ","6307"," - ","POSTAGE")</f>
        <v xml:space="preserve">          6307 - POSTAGE</v>
      </c>
      <c r="C50" s="12"/>
      <c r="D50" s="7"/>
      <c r="E50" s="3"/>
      <c r="F50" s="8">
        <f t="shared" si="0"/>
        <v>0</v>
      </c>
      <c r="G50" s="3"/>
      <c r="H50" s="7">
        <v>10</v>
      </c>
      <c r="I50" s="3"/>
      <c r="J50" s="8">
        <f t="shared" si="1"/>
        <v>2.5538217943151925E-4</v>
      </c>
      <c r="K50" s="3"/>
      <c r="L50" s="7">
        <f t="shared" si="2"/>
        <v>-10</v>
      </c>
      <c r="M50" s="3"/>
      <c r="N50" s="8">
        <f t="shared" si="3"/>
        <v>-1</v>
      </c>
      <c r="O50" s="12"/>
      <c r="P50" s="7"/>
      <c r="Q50" s="3"/>
      <c r="R50" s="8">
        <f t="shared" si="4"/>
        <v>0</v>
      </c>
      <c r="S50" s="3"/>
      <c r="T50" s="7">
        <v>90</v>
      </c>
      <c r="U50" s="3"/>
      <c r="V50" s="8">
        <f t="shared" si="5"/>
        <v>1.865443488462232E-4</v>
      </c>
      <c r="W50" s="3"/>
      <c r="X50" s="7">
        <f t="shared" si="6"/>
        <v>-90</v>
      </c>
      <c r="Y50" s="3"/>
      <c r="Z50" s="8">
        <f t="shared" si="7"/>
        <v>-1</v>
      </c>
    </row>
    <row r="51" spans="1:26" s="69" customFormat="1" ht="15" customHeight="1" outlineLevel="1" collapsed="1" x14ac:dyDescent="0.3">
      <c r="A51" s="25"/>
      <c r="B51" s="14" t="str">
        <f>CONCATENATE("     ","General                                           ")</f>
        <v xml:space="preserve">     General                                           </v>
      </c>
      <c r="C51" s="14"/>
      <c r="D51" s="2">
        <f>SUM(OSRRefD22_6x_0)</f>
        <v>0</v>
      </c>
      <c r="E51" s="2"/>
      <c r="F51" s="6">
        <f t="shared" ref="F51:F70" si="8">IF(D$12=0,0,D51/D$12)</f>
        <v>0</v>
      </c>
      <c r="G51" s="2"/>
      <c r="H51" s="2">
        <f>SUM(OSRRefH22_6x_0)</f>
        <v>50</v>
      </c>
      <c r="I51" s="2"/>
      <c r="J51" s="6">
        <f t="shared" ref="J51:J70" si="9">IF(H$12=0,0,H51/H$12)</f>
        <v>1.2769108971575963E-3</v>
      </c>
      <c r="K51" s="2"/>
      <c r="L51" s="2">
        <f t="shared" ref="L51:L70" si="10">+D51-H51</f>
        <v>-50</v>
      </c>
      <c r="M51" s="2"/>
      <c r="N51" s="6">
        <f t="shared" ref="N51:N70" si="11">IF(H51=0,0,L51/H51)</f>
        <v>-1</v>
      </c>
      <c r="O51" s="14"/>
      <c r="P51" s="2">
        <f>SUM(OSRRefP22_6x_0)</f>
        <v>0</v>
      </c>
      <c r="Q51" s="2"/>
      <c r="R51" s="6">
        <f t="shared" ref="R51:R70" si="12">IF(P$12=0,0,P51/P$12)</f>
        <v>0</v>
      </c>
      <c r="S51" s="2"/>
      <c r="T51" s="2">
        <f>SUM(OSRRefT22_6x_0)</f>
        <v>450</v>
      </c>
      <c r="U51" s="2"/>
      <c r="V51" s="6">
        <f t="shared" ref="V51:V70" si="13">IF(T$12=0,0,T51/T$12)</f>
        <v>9.3272174423111604E-4</v>
      </c>
      <c r="W51" s="2"/>
      <c r="X51" s="2">
        <f t="shared" ref="X51:X70" si="14">+P51-T51</f>
        <v>-450</v>
      </c>
      <c r="Y51" s="2"/>
      <c r="Z51" s="6">
        <f t="shared" ref="Z51:Z70" si="15">IF(T51=0,0,X51/T51)</f>
        <v>-1</v>
      </c>
    </row>
    <row r="52" spans="1:26" s="70" customFormat="1" ht="15" hidden="1" customHeight="1" outlineLevel="2" x14ac:dyDescent="0.3">
      <c r="A52" s="26"/>
      <c r="B52" s="12" t="str">
        <f>CONCATENATE("          ","6279"," - ","GENERAL EXPENSE")</f>
        <v xml:space="preserve">          6279 - GENERAL EXPENSE</v>
      </c>
      <c r="C52" s="12"/>
      <c r="D52" s="7"/>
      <c r="E52" s="3"/>
      <c r="F52" s="8">
        <f t="shared" si="8"/>
        <v>0</v>
      </c>
      <c r="G52" s="3"/>
      <c r="H52" s="7">
        <v>50</v>
      </c>
      <c r="I52" s="3"/>
      <c r="J52" s="8">
        <f t="shared" si="9"/>
        <v>1.2769108971575963E-3</v>
      </c>
      <c r="K52" s="3"/>
      <c r="L52" s="7">
        <f t="shared" si="10"/>
        <v>-50</v>
      </c>
      <c r="M52" s="3"/>
      <c r="N52" s="8">
        <f t="shared" si="11"/>
        <v>-1</v>
      </c>
      <c r="O52" s="12"/>
      <c r="P52" s="7"/>
      <c r="Q52" s="3"/>
      <c r="R52" s="8">
        <f t="shared" si="12"/>
        <v>0</v>
      </c>
      <c r="S52" s="3"/>
      <c r="T52" s="7">
        <v>450</v>
      </c>
      <c r="U52" s="3"/>
      <c r="V52" s="8">
        <f t="shared" si="13"/>
        <v>9.3272174423111604E-4</v>
      </c>
      <c r="W52" s="3"/>
      <c r="X52" s="7">
        <f t="shared" si="14"/>
        <v>-450</v>
      </c>
      <c r="Y52" s="3"/>
      <c r="Z52" s="8">
        <f t="shared" si="15"/>
        <v>-1</v>
      </c>
    </row>
    <row r="53" spans="1:26" s="69" customFormat="1" ht="15" customHeight="1" outlineLevel="1" collapsed="1" x14ac:dyDescent="0.3">
      <c r="A53" s="25"/>
      <c r="B53" s="14" t="str">
        <f>CONCATENATE("     ","Insurance                                         ")</f>
        <v xml:space="preserve">     Insurance                                         </v>
      </c>
      <c r="C53" s="14"/>
      <c r="D53" s="2">
        <f>SUM(OSRRefD22_7x_0)</f>
        <v>39.43</v>
      </c>
      <c r="E53" s="2"/>
      <c r="F53" s="6">
        <f t="shared" si="8"/>
        <v>1.4129071559107033E-3</v>
      </c>
      <c r="G53" s="2"/>
      <c r="H53" s="2">
        <f>SUM(OSRRefH22_7x_0)</f>
        <v>40</v>
      </c>
      <c r="I53" s="2"/>
      <c r="J53" s="6">
        <f t="shared" si="9"/>
        <v>1.021528717726077E-3</v>
      </c>
      <c r="K53" s="2"/>
      <c r="L53" s="2">
        <f t="shared" si="10"/>
        <v>-0.57000000000000028</v>
      </c>
      <c r="M53" s="2"/>
      <c r="N53" s="6">
        <f t="shared" si="11"/>
        <v>-1.4250000000000007E-2</v>
      </c>
      <c r="O53" s="14"/>
      <c r="P53" s="2">
        <f>SUM(OSRRefP22_7x_0)</f>
        <v>354.87</v>
      </c>
      <c r="Q53" s="2"/>
      <c r="R53" s="6">
        <f t="shared" si="12"/>
        <v>9.4782388055715072E-4</v>
      </c>
      <c r="S53" s="2"/>
      <c r="T53" s="2">
        <f>SUM(OSRRefT22_7x_0)</f>
        <v>360</v>
      </c>
      <c r="U53" s="2"/>
      <c r="V53" s="6">
        <f t="shared" si="13"/>
        <v>7.4617739538489279E-4</v>
      </c>
      <c r="W53" s="2"/>
      <c r="X53" s="2">
        <f t="shared" si="14"/>
        <v>-5.1299999999999955</v>
      </c>
      <c r="Y53" s="2"/>
      <c r="Z53" s="6">
        <f t="shared" si="15"/>
        <v>-1.4249999999999987E-2</v>
      </c>
    </row>
    <row r="54" spans="1:26" s="70" customFormat="1" ht="15" hidden="1" customHeight="1" outlineLevel="2" x14ac:dyDescent="0.3">
      <c r="A54" s="26"/>
      <c r="B54" s="12" t="str">
        <f>CONCATENATE("          ","6314"," - ","LIABILITY INSURANCE")</f>
        <v xml:space="preserve">          6314 - LIABILITY INSURANCE</v>
      </c>
      <c r="C54" s="12"/>
      <c r="D54" s="7">
        <v>39.43</v>
      </c>
      <c r="E54" s="3"/>
      <c r="F54" s="8">
        <f t="shared" si="8"/>
        <v>1.4129071559107033E-3</v>
      </c>
      <c r="G54" s="3"/>
      <c r="H54" s="7">
        <v>40</v>
      </c>
      <c r="I54" s="3"/>
      <c r="J54" s="8">
        <f t="shared" si="9"/>
        <v>1.021528717726077E-3</v>
      </c>
      <c r="K54" s="3"/>
      <c r="L54" s="7">
        <f t="shared" si="10"/>
        <v>-0.57000000000000028</v>
      </c>
      <c r="M54" s="3"/>
      <c r="N54" s="8">
        <f t="shared" si="11"/>
        <v>-1.4250000000000007E-2</v>
      </c>
      <c r="O54" s="12"/>
      <c r="P54" s="7">
        <v>354.87</v>
      </c>
      <c r="Q54" s="3"/>
      <c r="R54" s="8">
        <f t="shared" si="12"/>
        <v>9.4782388055715072E-4</v>
      </c>
      <c r="S54" s="3"/>
      <c r="T54" s="7">
        <v>360</v>
      </c>
      <c r="U54" s="3"/>
      <c r="V54" s="8">
        <f t="shared" si="13"/>
        <v>7.4617739538489279E-4</v>
      </c>
      <c r="W54" s="3"/>
      <c r="X54" s="7">
        <f t="shared" si="14"/>
        <v>-5.1299999999999955</v>
      </c>
      <c r="Y54" s="3"/>
      <c r="Z54" s="8">
        <f t="shared" si="15"/>
        <v>-1.4249999999999987E-2</v>
      </c>
    </row>
    <row r="55" spans="1:26" s="69" customFormat="1" ht="15" customHeight="1" outlineLevel="1" collapsed="1" x14ac:dyDescent="0.3">
      <c r="A55" s="25"/>
      <c r="B55" s="14" t="str">
        <f>CONCATENATE("     ","Rent                                              ")</f>
        <v xml:space="preserve">     Rent                                              </v>
      </c>
      <c r="C55" s="14"/>
      <c r="D55" s="2">
        <f>SUM(OSRRefD22_8x_0)</f>
        <v>800</v>
      </c>
      <c r="E55" s="2"/>
      <c r="F55" s="6">
        <f t="shared" si="8"/>
        <v>2.8666642777797686E-2</v>
      </c>
      <c r="G55" s="2"/>
      <c r="H55" s="2">
        <f>SUM(OSRRefH22_8x_0)</f>
        <v>800</v>
      </c>
      <c r="I55" s="2"/>
      <c r="J55" s="6">
        <f t="shared" si="9"/>
        <v>2.0430574354521541E-2</v>
      </c>
      <c r="K55" s="2"/>
      <c r="L55" s="2">
        <f t="shared" si="10"/>
        <v>0</v>
      </c>
      <c r="M55" s="2"/>
      <c r="N55" s="6">
        <f t="shared" si="11"/>
        <v>0</v>
      </c>
      <c r="O55" s="14"/>
      <c r="P55" s="2">
        <f>SUM(OSRRefP22_8x_0)</f>
        <v>7200</v>
      </c>
      <c r="Q55" s="2"/>
      <c r="R55" s="6">
        <f t="shared" si="12"/>
        <v>1.9230512413028672E-2</v>
      </c>
      <c r="S55" s="2"/>
      <c r="T55" s="2">
        <f>SUM(OSRRefT22_8x_0)</f>
        <v>7200</v>
      </c>
      <c r="U55" s="2"/>
      <c r="V55" s="6">
        <f t="shared" si="13"/>
        <v>1.4923547907697857E-2</v>
      </c>
      <c r="W55" s="2"/>
      <c r="X55" s="2">
        <f t="shared" si="14"/>
        <v>0</v>
      </c>
      <c r="Y55" s="2"/>
      <c r="Z55" s="6">
        <f t="shared" si="15"/>
        <v>0</v>
      </c>
    </row>
    <row r="56" spans="1:26" s="70" customFormat="1" ht="15" hidden="1" customHeight="1" outlineLevel="2" x14ac:dyDescent="0.3">
      <c r="A56" s="26"/>
      <c r="B56" s="12" t="str">
        <f>CONCATENATE("          ","6273"," - ","RENT")</f>
        <v xml:space="preserve">          6273 - RENT</v>
      </c>
      <c r="C56" s="12"/>
      <c r="D56" s="7">
        <v>800</v>
      </c>
      <c r="E56" s="3"/>
      <c r="F56" s="8">
        <f t="shared" si="8"/>
        <v>2.8666642777797686E-2</v>
      </c>
      <c r="G56" s="3"/>
      <c r="H56" s="7">
        <v>800</v>
      </c>
      <c r="I56" s="3"/>
      <c r="J56" s="8">
        <f t="shared" si="9"/>
        <v>2.0430574354521541E-2</v>
      </c>
      <c r="K56" s="3"/>
      <c r="L56" s="7">
        <f t="shared" si="10"/>
        <v>0</v>
      </c>
      <c r="M56" s="3"/>
      <c r="N56" s="8">
        <f t="shared" si="11"/>
        <v>0</v>
      </c>
      <c r="O56" s="12"/>
      <c r="P56" s="7">
        <v>7200</v>
      </c>
      <c r="Q56" s="3"/>
      <c r="R56" s="8">
        <f t="shared" si="12"/>
        <v>1.9230512413028672E-2</v>
      </c>
      <c r="S56" s="3"/>
      <c r="T56" s="7">
        <v>7200</v>
      </c>
      <c r="U56" s="3"/>
      <c r="V56" s="8">
        <f t="shared" si="13"/>
        <v>1.4923547907697857E-2</v>
      </c>
      <c r="W56" s="3"/>
      <c r="X56" s="7">
        <f t="shared" si="14"/>
        <v>0</v>
      </c>
      <c r="Y56" s="3"/>
      <c r="Z56" s="8">
        <f t="shared" si="15"/>
        <v>0</v>
      </c>
    </row>
    <row r="57" spans="1:26" s="69" customFormat="1" ht="15" customHeight="1" outlineLevel="1" collapsed="1" x14ac:dyDescent="0.3">
      <c r="A57" s="25"/>
      <c r="B57" s="14" t="str">
        <f>CONCATENATE("     ","Repair and Maintenance                            ")</f>
        <v xml:space="preserve">     Repair and Maintenance                            </v>
      </c>
      <c r="C57" s="14"/>
      <c r="D57" s="2">
        <f>SUM(OSRRefD22_9x_0)</f>
        <v>0</v>
      </c>
      <c r="E57" s="2"/>
      <c r="F57" s="6">
        <f t="shared" si="8"/>
        <v>0</v>
      </c>
      <c r="G57" s="2"/>
      <c r="H57" s="2">
        <f>SUM(OSRRefH22_9x_0)</f>
        <v>3200</v>
      </c>
      <c r="I57" s="2"/>
      <c r="J57" s="6">
        <f t="shared" si="9"/>
        <v>8.1722297418086162E-2</v>
      </c>
      <c r="K57" s="2"/>
      <c r="L57" s="2">
        <f t="shared" si="10"/>
        <v>-3200</v>
      </c>
      <c r="M57" s="2"/>
      <c r="N57" s="6">
        <f t="shared" si="11"/>
        <v>-1</v>
      </c>
      <c r="O57" s="14"/>
      <c r="P57" s="2">
        <f>SUM(OSRRefP22_9x_0)</f>
        <v>131139.97</v>
      </c>
      <c r="Q57" s="2"/>
      <c r="R57" s="6">
        <f t="shared" si="12"/>
        <v>0.35026233624016773</v>
      </c>
      <c r="S57" s="2"/>
      <c r="T57" s="2">
        <f>SUM(OSRRefT22_9x_0)</f>
        <v>153800</v>
      </c>
      <c r="U57" s="2"/>
      <c r="V57" s="6">
        <f t="shared" si="13"/>
        <v>0.31878356502832367</v>
      </c>
      <c r="W57" s="2"/>
      <c r="X57" s="2">
        <f t="shared" si="14"/>
        <v>-22660.03</v>
      </c>
      <c r="Y57" s="2"/>
      <c r="Z57" s="6">
        <f t="shared" si="15"/>
        <v>-0.14733439531859557</v>
      </c>
    </row>
    <row r="58" spans="1:26" s="70" customFormat="1" ht="15" hidden="1" customHeight="1" outlineLevel="2" x14ac:dyDescent="0.3">
      <c r="A58" s="26"/>
      <c r="B58" s="12" t="str">
        <f>CONCATENATE("          ","6371"," - ","COMPUTER SOFTWARE MAINTENANCE")</f>
        <v xml:space="preserve">          6371 - COMPUTER SOFTWARE MAINTENANCE</v>
      </c>
      <c r="C58" s="12"/>
      <c r="D58" s="7"/>
      <c r="E58" s="3"/>
      <c r="F58" s="8">
        <f t="shared" si="8"/>
        <v>0</v>
      </c>
      <c r="G58" s="3"/>
      <c r="H58" s="7"/>
      <c r="I58" s="3"/>
      <c r="J58" s="8">
        <f t="shared" si="9"/>
        <v>0</v>
      </c>
      <c r="K58" s="3"/>
      <c r="L58" s="7">
        <f t="shared" si="10"/>
        <v>0</v>
      </c>
      <c r="M58" s="3"/>
      <c r="N58" s="8">
        <f t="shared" si="11"/>
        <v>0</v>
      </c>
      <c r="O58" s="12"/>
      <c r="P58" s="7">
        <v>7583.7</v>
      </c>
      <c r="Q58" s="3"/>
      <c r="R58" s="8">
        <f t="shared" si="12"/>
        <v>2.0255338470372992E-2</v>
      </c>
      <c r="S58" s="3"/>
      <c r="T58" s="7">
        <v>125000</v>
      </c>
      <c r="U58" s="3"/>
      <c r="V58" s="8">
        <f t="shared" si="13"/>
        <v>0.25908937339753224</v>
      </c>
      <c r="W58" s="3"/>
      <c r="X58" s="7">
        <f t="shared" si="14"/>
        <v>-117416.3</v>
      </c>
      <c r="Y58" s="3"/>
      <c r="Z58" s="8">
        <f t="shared" si="15"/>
        <v>-0.93933040000000001</v>
      </c>
    </row>
    <row r="59" spans="1:26" s="70" customFormat="1" ht="15" hidden="1" customHeight="1" outlineLevel="2" x14ac:dyDescent="0.3">
      <c r="A59" s="26"/>
      <c r="B59" s="12" t="str">
        <f>CONCATENATE("          ","6372"," - ","COMPUTER HARDWARE MAINTENANCE")</f>
        <v xml:space="preserve">          6372 - COMPUTER HARDWARE MAINTENANCE</v>
      </c>
      <c r="C59" s="12"/>
      <c r="D59" s="7"/>
      <c r="E59" s="3"/>
      <c r="F59" s="8">
        <f t="shared" si="8"/>
        <v>0</v>
      </c>
      <c r="G59" s="3"/>
      <c r="H59" s="7">
        <v>3200</v>
      </c>
      <c r="I59" s="3"/>
      <c r="J59" s="8">
        <f t="shared" si="9"/>
        <v>8.1722297418086162E-2</v>
      </c>
      <c r="K59" s="3"/>
      <c r="L59" s="7">
        <f t="shared" si="10"/>
        <v>-3200</v>
      </c>
      <c r="M59" s="3"/>
      <c r="N59" s="8">
        <f t="shared" si="11"/>
        <v>-1</v>
      </c>
      <c r="O59" s="12"/>
      <c r="P59" s="7">
        <v>1555.65</v>
      </c>
      <c r="Q59" s="3"/>
      <c r="R59" s="8">
        <f t="shared" si="12"/>
        <v>4.1549925882400076E-3</v>
      </c>
      <c r="S59" s="3"/>
      <c r="T59" s="7">
        <v>28800</v>
      </c>
      <c r="U59" s="3"/>
      <c r="V59" s="8">
        <f t="shared" si="13"/>
        <v>5.9694191630791427E-2</v>
      </c>
      <c r="W59" s="3"/>
      <c r="X59" s="7">
        <f t="shared" si="14"/>
        <v>-27244.35</v>
      </c>
      <c r="Y59" s="3"/>
      <c r="Z59" s="8">
        <f t="shared" si="15"/>
        <v>-0.94598437499999999</v>
      </c>
    </row>
    <row r="60" spans="1:26" s="70" customFormat="1" ht="15" hidden="1" customHeight="1" outlineLevel="2" x14ac:dyDescent="0.3">
      <c r="A60" s="26"/>
      <c r="B60" s="12" t="str">
        <f>CONCATENATE("          ","6373"," - ","MAINTENANCE CONTRACTS")</f>
        <v xml:space="preserve">          6373 - MAINTENANCE CONTRACTS</v>
      </c>
      <c r="C60" s="12"/>
      <c r="D60" s="7"/>
      <c r="E60" s="3"/>
      <c r="F60" s="8">
        <f t="shared" si="8"/>
        <v>0</v>
      </c>
      <c r="G60" s="3"/>
      <c r="H60" s="7"/>
      <c r="I60" s="3"/>
      <c r="J60" s="8">
        <f t="shared" si="9"/>
        <v>0</v>
      </c>
      <c r="K60" s="3"/>
      <c r="L60" s="7">
        <f t="shared" si="10"/>
        <v>0</v>
      </c>
      <c r="M60" s="3"/>
      <c r="N60" s="8">
        <f t="shared" si="11"/>
        <v>0</v>
      </c>
      <c r="O60" s="12"/>
      <c r="P60" s="7">
        <v>122000.62</v>
      </c>
      <c r="Q60" s="3"/>
      <c r="R60" s="8">
        <f t="shared" si="12"/>
        <v>0.32585200518155472</v>
      </c>
      <c r="S60" s="3"/>
      <c r="T60" s="7"/>
      <c r="U60" s="3"/>
      <c r="V60" s="8">
        <f t="shared" si="13"/>
        <v>0</v>
      </c>
      <c r="W60" s="3"/>
      <c r="X60" s="7">
        <f t="shared" si="14"/>
        <v>122000.62</v>
      </c>
      <c r="Y60" s="3"/>
      <c r="Z60" s="8">
        <f t="shared" si="15"/>
        <v>0</v>
      </c>
    </row>
    <row r="61" spans="1:26" s="69" customFormat="1" ht="15" customHeight="1" outlineLevel="1" collapsed="1" x14ac:dyDescent="0.3">
      <c r="A61" s="25"/>
      <c r="B61" s="14" t="str">
        <f>CONCATENATE("     ","Subscriptions &amp; Dues                              ")</f>
        <v xml:space="preserve">     Subscriptions &amp; Dues                              </v>
      </c>
      <c r="C61" s="14"/>
      <c r="D61" s="2">
        <f>SUM(OSRRefD22_10x_0)</f>
        <v>0</v>
      </c>
      <c r="E61" s="2"/>
      <c r="F61" s="6">
        <f t="shared" si="8"/>
        <v>0</v>
      </c>
      <c r="G61" s="2"/>
      <c r="H61" s="2">
        <f>SUM(OSRRefH22_10x_0)</f>
        <v>85</v>
      </c>
      <c r="I61" s="2"/>
      <c r="J61" s="6">
        <f t="shared" si="9"/>
        <v>2.1707485251679136E-3</v>
      </c>
      <c r="K61" s="2"/>
      <c r="L61" s="2">
        <f t="shared" si="10"/>
        <v>-85</v>
      </c>
      <c r="M61" s="2"/>
      <c r="N61" s="6">
        <f t="shared" si="11"/>
        <v>-1</v>
      </c>
      <c r="O61" s="14"/>
      <c r="P61" s="2">
        <f>SUM(OSRRefP22_10x_0)</f>
        <v>0</v>
      </c>
      <c r="Q61" s="2"/>
      <c r="R61" s="6">
        <f t="shared" si="12"/>
        <v>0</v>
      </c>
      <c r="S61" s="2"/>
      <c r="T61" s="2">
        <f>SUM(OSRRefT22_10x_0)</f>
        <v>765</v>
      </c>
      <c r="U61" s="2"/>
      <c r="V61" s="6">
        <f t="shared" si="13"/>
        <v>1.5856269651928973E-3</v>
      </c>
      <c r="W61" s="2"/>
      <c r="X61" s="2">
        <f t="shared" si="14"/>
        <v>-765</v>
      </c>
      <c r="Y61" s="2"/>
      <c r="Z61" s="6">
        <f t="shared" si="15"/>
        <v>-1</v>
      </c>
    </row>
    <row r="62" spans="1:26" s="70" customFormat="1" ht="15" hidden="1" customHeight="1" outlineLevel="2" x14ac:dyDescent="0.3">
      <c r="A62" s="26"/>
      <c r="B62" s="12" t="str">
        <f>CONCATENATE("          ","6258"," - ","MEMBERSHIP DUES")</f>
        <v xml:space="preserve">          6258 - MEMBERSHIP DUES</v>
      </c>
      <c r="C62" s="12"/>
      <c r="D62" s="7"/>
      <c r="E62" s="3"/>
      <c r="F62" s="8">
        <f t="shared" si="8"/>
        <v>0</v>
      </c>
      <c r="G62" s="3"/>
      <c r="H62" s="7">
        <v>85</v>
      </c>
      <c r="I62" s="3"/>
      <c r="J62" s="8">
        <f t="shared" si="9"/>
        <v>2.1707485251679136E-3</v>
      </c>
      <c r="K62" s="3"/>
      <c r="L62" s="7">
        <f t="shared" si="10"/>
        <v>-85</v>
      </c>
      <c r="M62" s="3"/>
      <c r="N62" s="8">
        <f t="shared" si="11"/>
        <v>-1</v>
      </c>
      <c r="O62" s="12"/>
      <c r="P62" s="7"/>
      <c r="Q62" s="3"/>
      <c r="R62" s="8">
        <f t="shared" si="12"/>
        <v>0</v>
      </c>
      <c r="S62" s="3"/>
      <c r="T62" s="7">
        <v>765</v>
      </c>
      <c r="U62" s="3"/>
      <c r="V62" s="8">
        <f t="shared" si="13"/>
        <v>1.5856269651928973E-3</v>
      </c>
      <c r="W62" s="3"/>
      <c r="X62" s="7">
        <f t="shared" si="14"/>
        <v>-765</v>
      </c>
      <c r="Y62" s="3"/>
      <c r="Z62" s="8">
        <f t="shared" si="15"/>
        <v>-1</v>
      </c>
    </row>
    <row r="63" spans="1:26" s="69" customFormat="1" ht="15" customHeight="1" outlineLevel="1" collapsed="1" x14ac:dyDescent="0.3">
      <c r="A63" s="25"/>
      <c r="B63" s="14" t="str">
        <f>CONCATENATE("     ","Supplies                                          ")</f>
        <v xml:space="preserve">     Supplies                                          </v>
      </c>
      <c r="C63" s="14"/>
      <c r="D63" s="2">
        <f>SUM(OSRRefD22_11x_0)</f>
        <v>10001.17</v>
      </c>
      <c r="E63" s="2"/>
      <c r="F63" s="6">
        <f t="shared" si="8"/>
        <v>0.35837495968753358</v>
      </c>
      <c r="G63" s="2"/>
      <c r="H63" s="2">
        <f>SUM(OSRRefH22_11x_0)</f>
        <v>5800</v>
      </c>
      <c r="I63" s="2"/>
      <c r="J63" s="6">
        <f t="shared" si="9"/>
        <v>0.14812166407028118</v>
      </c>
      <c r="K63" s="2"/>
      <c r="L63" s="2">
        <f t="shared" si="10"/>
        <v>4201.17</v>
      </c>
      <c r="M63" s="2"/>
      <c r="N63" s="6">
        <f t="shared" si="11"/>
        <v>0.72433965517241383</v>
      </c>
      <c r="O63" s="14"/>
      <c r="P63" s="2">
        <f>SUM(OSRRefP22_11x_0)</f>
        <v>29592.449999999997</v>
      </c>
      <c r="Q63" s="2"/>
      <c r="R63" s="6">
        <f t="shared" si="12"/>
        <v>7.9038607924573651E-2</v>
      </c>
      <c r="S63" s="2"/>
      <c r="T63" s="2">
        <f>SUM(OSRRefT22_11x_0)</f>
        <v>52200</v>
      </c>
      <c r="U63" s="2"/>
      <c r="V63" s="6">
        <f t="shared" si="13"/>
        <v>0.10819572233080946</v>
      </c>
      <c r="W63" s="2"/>
      <c r="X63" s="2">
        <f t="shared" si="14"/>
        <v>-22607.550000000003</v>
      </c>
      <c r="Y63" s="2"/>
      <c r="Z63" s="6">
        <f t="shared" si="15"/>
        <v>-0.43309482758620693</v>
      </c>
    </row>
    <row r="64" spans="1:26" s="70" customFormat="1" ht="15" hidden="1" customHeight="1" outlineLevel="2" x14ac:dyDescent="0.3">
      <c r="A64" s="26"/>
      <c r="B64" s="12" t="str">
        <f>CONCATENATE("          ","6234"," - ","EXPENDABLE SUPPLIES &amp; EQUIPMEN")</f>
        <v xml:space="preserve">          6234 - EXPENDABLE SUPPLIES &amp; EQUIPMEN</v>
      </c>
      <c r="C64" s="12"/>
      <c r="D64" s="7"/>
      <c r="E64" s="3"/>
      <c r="F64" s="8">
        <f t="shared" si="8"/>
        <v>0</v>
      </c>
      <c r="G64" s="3"/>
      <c r="H64" s="7">
        <v>5800</v>
      </c>
      <c r="I64" s="3"/>
      <c r="J64" s="8">
        <f t="shared" si="9"/>
        <v>0.14812166407028118</v>
      </c>
      <c r="K64" s="3"/>
      <c r="L64" s="7">
        <f t="shared" si="10"/>
        <v>-5800</v>
      </c>
      <c r="M64" s="3"/>
      <c r="N64" s="8">
        <f t="shared" si="11"/>
        <v>-1</v>
      </c>
      <c r="O64" s="12"/>
      <c r="P64" s="7"/>
      <c r="Q64" s="3"/>
      <c r="R64" s="8">
        <f t="shared" si="12"/>
        <v>0</v>
      </c>
      <c r="S64" s="3"/>
      <c r="T64" s="7">
        <v>52200</v>
      </c>
      <c r="U64" s="3"/>
      <c r="V64" s="8">
        <f t="shared" si="13"/>
        <v>0.10819572233080946</v>
      </c>
      <c r="W64" s="3"/>
      <c r="X64" s="7">
        <f t="shared" si="14"/>
        <v>-52200</v>
      </c>
      <c r="Y64" s="3"/>
      <c r="Z64" s="8">
        <f t="shared" si="15"/>
        <v>-1</v>
      </c>
    </row>
    <row r="65" spans="1:26" s="70" customFormat="1" ht="15" hidden="1" customHeight="1" outlineLevel="2" x14ac:dyDescent="0.3">
      <c r="A65" s="26"/>
      <c r="B65" s="12" t="str">
        <f>CONCATENATE("          ","6241"," - ","OFFICE EXPENSE")</f>
        <v xml:space="preserve">          6241 - OFFICE EXPENSE</v>
      </c>
      <c r="C65" s="12"/>
      <c r="D65" s="7">
        <v>9992.36</v>
      </c>
      <c r="E65" s="3"/>
      <c r="F65" s="8">
        <f t="shared" si="8"/>
        <v>0.35805926828394313</v>
      </c>
      <c r="G65" s="3"/>
      <c r="H65" s="7"/>
      <c r="I65" s="3"/>
      <c r="J65" s="8">
        <f t="shared" si="9"/>
        <v>0</v>
      </c>
      <c r="K65" s="3"/>
      <c r="L65" s="7">
        <f t="shared" si="10"/>
        <v>9992.36</v>
      </c>
      <c r="M65" s="3"/>
      <c r="N65" s="8">
        <f t="shared" si="11"/>
        <v>0</v>
      </c>
      <c r="O65" s="12"/>
      <c r="P65" s="7">
        <v>29567.1</v>
      </c>
      <c r="Q65" s="3"/>
      <c r="R65" s="8">
        <f t="shared" si="12"/>
        <v>7.8970900495452787E-2</v>
      </c>
      <c r="S65" s="3"/>
      <c r="T65" s="7"/>
      <c r="U65" s="3"/>
      <c r="V65" s="8">
        <f t="shared" si="13"/>
        <v>0</v>
      </c>
      <c r="W65" s="3"/>
      <c r="X65" s="7">
        <f t="shared" si="14"/>
        <v>29567.1</v>
      </c>
      <c r="Y65" s="3"/>
      <c r="Z65" s="8">
        <f t="shared" si="15"/>
        <v>0</v>
      </c>
    </row>
    <row r="66" spans="1:26" s="70" customFormat="1" ht="15" hidden="1" customHeight="1" outlineLevel="2" x14ac:dyDescent="0.3">
      <c r="A66" s="26"/>
      <c r="B66" s="12" t="str">
        <f>CONCATENATE("          ","6247"," - ","STORE SUPPLIES")</f>
        <v xml:space="preserve">          6247 - STORE SUPPLIES</v>
      </c>
      <c r="C66" s="12"/>
      <c r="D66" s="7">
        <v>8.81</v>
      </c>
      <c r="E66" s="3"/>
      <c r="F66" s="8">
        <f t="shared" si="8"/>
        <v>3.1569140359049701E-4</v>
      </c>
      <c r="G66" s="3"/>
      <c r="H66" s="7"/>
      <c r="I66" s="3"/>
      <c r="J66" s="8">
        <f t="shared" si="9"/>
        <v>0</v>
      </c>
      <c r="K66" s="3"/>
      <c r="L66" s="7">
        <f t="shared" si="10"/>
        <v>8.81</v>
      </c>
      <c r="M66" s="3"/>
      <c r="N66" s="8">
        <f t="shared" si="11"/>
        <v>0</v>
      </c>
      <c r="O66" s="12"/>
      <c r="P66" s="7">
        <v>25.35</v>
      </c>
      <c r="Q66" s="3"/>
      <c r="R66" s="8">
        <f t="shared" si="12"/>
        <v>6.7707429120871792E-5</v>
      </c>
      <c r="S66" s="3"/>
      <c r="T66" s="7"/>
      <c r="U66" s="3"/>
      <c r="V66" s="8">
        <f t="shared" si="13"/>
        <v>0</v>
      </c>
      <c r="W66" s="3"/>
      <c r="X66" s="7">
        <f t="shared" si="14"/>
        <v>25.35</v>
      </c>
      <c r="Y66" s="3"/>
      <c r="Z66" s="8">
        <f t="shared" si="15"/>
        <v>0</v>
      </c>
    </row>
    <row r="67" spans="1:26" s="69" customFormat="1" ht="15" customHeight="1" outlineLevel="1" collapsed="1" x14ac:dyDescent="0.3">
      <c r="A67" s="25"/>
      <c r="B67" s="14" t="str">
        <f>CONCATENATE("     ","Telephone/Data Lines                              ")</f>
        <v xml:space="preserve">     Telephone/Data Lines                              </v>
      </c>
      <c r="C67" s="14"/>
      <c r="D67" s="2">
        <f>SUM(OSRRefD22_12x_0)</f>
        <v>87.05</v>
      </c>
      <c r="E67" s="2"/>
      <c r="F67" s="6">
        <f t="shared" si="8"/>
        <v>3.1192890672591105E-3</v>
      </c>
      <c r="G67" s="2"/>
      <c r="H67" s="2">
        <f>SUM(OSRRefH22_12x_0)</f>
        <v>350</v>
      </c>
      <c r="I67" s="2"/>
      <c r="J67" s="6">
        <f t="shared" si="9"/>
        <v>8.9383762801031746E-3</v>
      </c>
      <c r="K67" s="2"/>
      <c r="L67" s="2">
        <f t="shared" si="10"/>
        <v>-262.95</v>
      </c>
      <c r="M67" s="2"/>
      <c r="N67" s="6">
        <f t="shared" si="11"/>
        <v>-0.75128571428571422</v>
      </c>
      <c r="O67" s="14"/>
      <c r="P67" s="2">
        <f>SUM(OSRRefP22_12x_0)</f>
        <v>367.25</v>
      </c>
      <c r="Q67" s="2"/>
      <c r="R67" s="6">
        <f t="shared" si="12"/>
        <v>9.8088967828955276E-4</v>
      </c>
      <c r="S67" s="2"/>
      <c r="T67" s="2">
        <f>SUM(OSRRefT22_12x_0)</f>
        <v>3150</v>
      </c>
      <c r="U67" s="2"/>
      <c r="V67" s="6">
        <f t="shared" si="13"/>
        <v>6.5290522096178123E-3</v>
      </c>
      <c r="W67" s="2"/>
      <c r="X67" s="2">
        <f t="shared" si="14"/>
        <v>-2782.75</v>
      </c>
      <c r="Y67" s="2"/>
      <c r="Z67" s="6">
        <f t="shared" si="15"/>
        <v>-0.88341269841269843</v>
      </c>
    </row>
    <row r="68" spans="1:26" s="70" customFormat="1" ht="15" hidden="1" customHeight="1" outlineLevel="2" x14ac:dyDescent="0.3">
      <c r="A68" s="26"/>
      <c r="B68" s="12" t="str">
        <f>CONCATENATE("          ","6309"," - ","TELEPHONE")</f>
        <v xml:space="preserve">          6309 - TELEPHONE</v>
      </c>
      <c r="C68" s="12"/>
      <c r="D68" s="7">
        <v>87.05</v>
      </c>
      <c r="E68" s="3"/>
      <c r="F68" s="8">
        <f t="shared" si="8"/>
        <v>3.1192890672591105E-3</v>
      </c>
      <c r="G68" s="3"/>
      <c r="H68" s="7">
        <v>350</v>
      </c>
      <c r="I68" s="3"/>
      <c r="J68" s="8">
        <f t="shared" si="9"/>
        <v>8.9383762801031746E-3</v>
      </c>
      <c r="K68" s="3"/>
      <c r="L68" s="7">
        <f t="shared" si="10"/>
        <v>-262.95</v>
      </c>
      <c r="M68" s="3"/>
      <c r="N68" s="8">
        <f t="shared" si="11"/>
        <v>-0.75128571428571422</v>
      </c>
      <c r="O68" s="12"/>
      <c r="P68" s="7">
        <v>367.25</v>
      </c>
      <c r="Q68" s="3"/>
      <c r="R68" s="8">
        <f t="shared" si="12"/>
        <v>9.8088967828955276E-4</v>
      </c>
      <c r="S68" s="3"/>
      <c r="T68" s="7">
        <v>3150</v>
      </c>
      <c r="U68" s="3"/>
      <c r="V68" s="8">
        <f t="shared" si="13"/>
        <v>6.5290522096178123E-3</v>
      </c>
      <c r="W68" s="3"/>
      <c r="X68" s="7">
        <f t="shared" si="14"/>
        <v>-2782.75</v>
      </c>
      <c r="Y68" s="3"/>
      <c r="Z68" s="8">
        <f t="shared" si="15"/>
        <v>-0.88341269841269843</v>
      </c>
    </row>
    <row r="69" spans="1:26" s="69" customFormat="1" ht="15" customHeight="1" outlineLevel="1" collapsed="1" x14ac:dyDescent="0.3">
      <c r="A69" s="25"/>
      <c r="B69" s="14" t="str">
        <f>CONCATENATE("     ","Training                                          ")</f>
        <v xml:space="preserve">     Training                                          </v>
      </c>
      <c r="C69" s="14"/>
      <c r="D69" s="2">
        <f>SUM(OSRRefD22_13x_0)</f>
        <v>0</v>
      </c>
      <c r="E69" s="2"/>
      <c r="F69" s="6">
        <f t="shared" si="8"/>
        <v>0</v>
      </c>
      <c r="G69" s="2"/>
      <c r="H69" s="2">
        <f>SUM(OSRRefH22_13x_0)</f>
        <v>3000</v>
      </c>
      <c r="I69" s="2"/>
      <c r="J69" s="6">
        <f t="shared" si="9"/>
        <v>7.6614653829455787E-2</v>
      </c>
      <c r="K69" s="2"/>
      <c r="L69" s="2">
        <f t="shared" si="10"/>
        <v>-3000</v>
      </c>
      <c r="M69" s="2"/>
      <c r="N69" s="6">
        <f t="shared" si="11"/>
        <v>-1</v>
      </c>
      <c r="O69" s="14"/>
      <c r="P69" s="2">
        <f>SUM(OSRRefP22_13x_0)</f>
        <v>2000</v>
      </c>
      <c r="Q69" s="2"/>
      <c r="R69" s="6">
        <f t="shared" si="12"/>
        <v>5.3418090036190758E-3</v>
      </c>
      <c r="S69" s="2"/>
      <c r="T69" s="2">
        <f>SUM(OSRRefT22_13x_0)</f>
        <v>3000</v>
      </c>
      <c r="U69" s="2"/>
      <c r="V69" s="6">
        <f t="shared" si="13"/>
        <v>6.2181449615407733E-3</v>
      </c>
      <c r="W69" s="2"/>
      <c r="X69" s="2">
        <f t="shared" si="14"/>
        <v>-1000</v>
      </c>
      <c r="Y69" s="2"/>
      <c r="Z69" s="6">
        <f t="shared" si="15"/>
        <v>-0.33333333333333331</v>
      </c>
    </row>
    <row r="70" spans="1:26" s="70" customFormat="1" ht="15" hidden="1" customHeight="1" outlineLevel="2" x14ac:dyDescent="0.3">
      <c r="A70" s="26"/>
      <c r="B70" s="12" t="str">
        <f>CONCATENATE("          ","6376"," - ","TRAINING")</f>
        <v xml:space="preserve">          6376 - TRAINING</v>
      </c>
      <c r="C70" s="12"/>
      <c r="D70" s="7"/>
      <c r="E70" s="3"/>
      <c r="F70" s="8">
        <f t="shared" si="8"/>
        <v>0</v>
      </c>
      <c r="G70" s="3"/>
      <c r="H70" s="7">
        <v>3000</v>
      </c>
      <c r="I70" s="3"/>
      <c r="J70" s="8">
        <f t="shared" si="9"/>
        <v>7.6614653829455787E-2</v>
      </c>
      <c r="K70" s="3"/>
      <c r="L70" s="7">
        <f t="shared" si="10"/>
        <v>-3000</v>
      </c>
      <c r="M70" s="3"/>
      <c r="N70" s="8">
        <f t="shared" si="11"/>
        <v>-1</v>
      </c>
      <c r="O70" s="12"/>
      <c r="P70" s="7">
        <v>2000</v>
      </c>
      <c r="Q70" s="3"/>
      <c r="R70" s="8">
        <f t="shared" si="12"/>
        <v>5.3418090036190758E-3</v>
      </c>
      <c r="S70" s="3"/>
      <c r="T70" s="7">
        <v>3000</v>
      </c>
      <c r="U70" s="3"/>
      <c r="V70" s="8">
        <f t="shared" si="13"/>
        <v>6.2181449615407733E-3</v>
      </c>
      <c r="W70" s="3"/>
      <c r="X70" s="7">
        <f t="shared" si="14"/>
        <v>-1000</v>
      </c>
      <c r="Y70" s="3"/>
      <c r="Z70" s="8">
        <f t="shared" si="15"/>
        <v>-0.33333333333333331</v>
      </c>
    </row>
    <row r="71" spans="1:26" s="65" customFormat="1" ht="15" customHeight="1" x14ac:dyDescent="0.3">
      <c r="A71" s="35"/>
      <c r="B71" s="35"/>
      <c r="C71" s="35"/>
      <c r="D71" s="2"/>
      <c r="E71" s="2"/>
      <c r="F71" s="6"/>
      <c r="G71" s="2"/>
      <c r="H71" s="2"/>
      <c r="I71" s="2"/>
      <c r="J71" s="6"/>
      <c r="K71" s="2"/>
      <c r="L71" s="2"/>
      <c r="M71" s="2"/>
      <c r="N71" s="6"/>
      <c r="O71" s="35"/>
      <c r="P71" s="2"/>
      <c r="Q71" s="2"/>
      <c r="R71" s="6"/>
      <c r="S71" s="2"/>
      <c r="T71" s="2"/>
      <c r="U71" s="2"/>
      <c r="V71" s="6"/>
      <c r="W71" s="2"/>
      <c r="X71" s="2"/>
      <c r="Y71" s="2"/>
      <c r="Z71" s="6"/>
    </row>
    <row r="72" spans="1:26" s="63" customFormat="1" ht="15" customHeight="1" collapsed="1" x14ac:dyDescent="0.3">
      <c r="A72" s="11"/>
      <c r="B72" s="28" t="s">
        <v>291</v>
      </c>
      <c r="C72" s="11"/>
      <c r="D72" s="5">
        <f>SUM(OSRRefD25x_0)</f>
        <v>1533.83</v>
      </c>
      <c r="E72" s="5"/>
      <c r="F72" s="13">
        <f>IF(D$12=0,0,D72/D$12)</f>
        <v>5.4962195864836777E-2</v>
      </c>
      <c r="G72" s="5"/>
      <c r="H72" s="5">
        <f>SUM(OSRRefH25x_0)</f>
        <v>2400</v>
      </c>
      <c r="I72" s="5"/>
      <c r="J72" s="13">
        <f>IF(H$12=0,0,H72/H$12)</f>
        <v>6.1291723063564625E-2</v>
      </c>
      <c r="K72" s="5"/>
      <c r="L72" s="5">
        <f>+D72-H72</f>
        <v>-866.17000000000007</v>
      </c>
      <c r="M72" s="5"/>
      <c r="N72" s="13">
        <f>IF(H72=0,0,L72/H72)</f>
        <v>-0.36090416666666669</v>
      </c>
      <c r="O72" s="11"/>
      <c r="P72" s="5">
        <f>SUM(OSRRefP25x_0)</f>
        <v>9574.8799999999992</v>
      </c>
      <c r="Q72" s="5"/>
      <c r="R72" s="13">
        <f>IF(P$12=0,0,P72/P$12)</f>
        <v>2.5573590096286104E-2</v>
      </c>
      <c r="S72" s="5"/>
      <c r="T72" s="5">
        <f>SUM(OSRRefT25x_0)</f>
        <v>21600</v>
      </c>
      <c r="U72" s="5"/>
      <c r="V72" s="13">
        <f>IF(T$12=0,0,T72/T$12)</f>
        <v>4.477064372309357E-2</v>
      </c>
      <c r="W72" s="5"/>
      <c r="X72" s="5">
        <f>+P72-T72</f>
        <v>-12025.12</v>
      </c>
      <c r="Y72" s="5"/>
      <c r="Z72" s="13">
        <f>IF(T72=0,0,X72/T72)</f>
        <v>-0.5567185185185185</v>
      </c>
    </row>
    <row r="73" spans="1:26" s="70" customFormat="1" ht="15" hidden="1" customHeight="1" outlineLevel="1" x14ac:dyDescent="0.3">
      <c r="A73" s="42"/>
      <c r="B73" s="12" t="str">
        <f>CONCATENATE("          ","9150"," - ","MISC. INCOME")</f>
        <v xml:space="preserve">          9150 - MISC. INCOME</v>
      </c>
      <c r="C73" s="12"/>
      <c r="D73" s="3">
        <f>--1533.83</f>
        <v>1533.83</v>
      </c>
      <c r="E73" s="3"/>
      <c r="F73" s="20">
        <f>IF(D$12=0,0,D73/D$12)</f>
        <v>5.4962195864836777E-2</v>
      </c>
      <c r="G73" s="3"/>
      <c r="H73" s="3">
        <v>2400</v>
      </c>
      <c r="I73" s="3"/>
      <c r="J73" s="20">
        <f>IF(H$12=0,0,H73/H$12)</f>
        <v>6.1291723063564625E-2</v>
      </c>
      <c r="K73" s="3"/>
      <c r="L73" s="3">
        <f>+D73-H73</f>
        <v>-866.17000000000007</v>
      </c>
      <c r="M73" s="3"/>
      <c r="N73" s="20">
        <f>IF(H73=0,0,L73/H73)</f>
        <v>-0.36090416666666669</v>
      </c>
      <c r="O73" s="12"/>
      <c r="P73" s="3">
        <f>--9574.88</f>
        <v>9574.8799999999992</v>
      </c>
      <c r="Q73" s="3"/>
      <c r="R73" s="20">
        <f>IF(P$12=0,0,P73/P$12)</f>
        <v>2.5573590096286104E-2</v>
      </c>
      <c r="S73" s="3"/>
      <c r="T73" s="3">
        <v>21600</v>
      </c>
      <c r="U73" s="3"/>
      <c r="V73" s="20">
        <f>IF(T$12=0,0,T73/T$12)</f>
        <v>4.477064372309357E-2</v>
      </c>
      <c r="W73" s="3"/>
      <c r="X73" s="3">
        <f>+P73-T73</f>
        <v>-12025.12</v>
      </c>
      <c r="Y73" s="3"/>
      <c r="Z73" s="20">
        <f>IF(T73=0,0,X73/T73)</f>
        <v>-0.5567185185185185</v>
      </c>
    </row>
    <row r="74" spans="1:26" ht="15" customHeight="1" x14ac:dyDescent="0.3">
      <c r="A74" s="10"/>
      <c r="B74" s="11"/>
      <c r="C74" s="11"/>
      <c r="D74" s="4"/>
      <c r="E74" s="4"/>
      <c r="F74" s="9"/>
      <c r="G74" s="4"/>
      <c r="H74" s="4"/>
      <c r="I74" s="4"/>
      <c r="J74" s="9"/>
      <c r="K74" s="4"/>
      <c r="L74" s="4"/>
      <c r="M74" s="4"/>
      <c r="N74" s="9"/>
      <c r="O74" s="11"/>
      <c r="P74" s="4"/>
      <c r="Q74" s="4"/>
      <c r="R74" s="9"/>
      <c r="S74" s="4"/>
      <c r="T74" s="4"/>
      <c r="U74" s="4"/>
      <c r="V74" s="9"/>
      <c r="W74" s="4"/>
      <c r="X74" s="4"/>
      <c r="Y74" s="4"/>
      <c r="Z74" s="9"/>
    </row>
    <row r="75" spans="1:26" s="63" customFormat="1" ht="15" customHeight="1" x14ac:dyDescent="0.3">
      <c r="A75" s="11"/>
      <c r="B75" s="27" t="s">
        <v>292</v>
      </c>
      <c r="C75" s="27"/>
      <c r="D75" s="21">
        <f>+D17-D19+D72</f>
        <v>1998.0300000000007</v>
      </c>
      <c r="E75" s="15"/>
      <c r="F75" s="23">
        <f>IF(D$12=0,0,D75/D$12)</f>
        <v>7.1596015336653912E-2</v>
      </c>
      <c r="G75" s="15"/>
      <c r="H75" s="21">
        <f>+H17-H19+H72</f>
        <v>4001.9013458223126</v>
      </c>
      <c r="I75" s="15"/>
      <c r="J75" s="23">
        <f>IF(H$12=0,0,H75/H$12)</f>
        <v>0.10220142875660322</v>
      </c>
      <c r="K75" s="16"/>
      <c r="L75" s="21">
        <f>+D75-H75</f>
        <v>-2003.8713458223119</v>
      </c>
      <c r="M75" s="16"/>
      <c r="N75" s="23">
        <f>IF(H75=0,0,L75/H75)</f>
        <v>-0.50072982131711086</v>
      </c>
      <c r="O75" s="28"/>
      <c r="P75" s="21">
        <f>+P17-P19+P72</f>
        <v>43251.220000000023</v>
      </c>
      <c r="Q75" s="15"/>
      <c r="R75" s="23">
        <f>IF(P$12=0,0,P75/P$12)</f>
        <v>0.11551987820675477</v>
      </c>
      <c r="S75" s="15"/>
      <c r="T75" s="21">
        <f>+T17-T19+T72</f>
        <v>49309.29022551747</v>
      </c>
      <c r="U75" s="15"/>
      <c r="V75" s="23">
        <f>IF(T$12=0,0,T75/T$12)</f>
        <v>0.10220410485765105</v>
      </c>
      <c r="W75" s="16"/>
      <c r="X75" s="21">
        <f>+P75-T75</f>
        <v>-6058.0702255174474</v>
      </c>
      <c r="Y75" s="16"/>
      <c r="Z75" s="23">
        <f>IF(T75=0,0,X75/T75)</f>
        <v>-0.12285859718950906</v>
      </c>
    </row>
    <row r="76" spans="1:26" ht="15" customHeight="1" x14ac:dyDescent="0.3">
      <c r="A76" s="10"/>
      <c r="B76" s="11"/>
      <c r="C76" s="10"/>
      <c r="D76" s="4"/>
      <c r="E76" s="4"/>
      <c r="F76" s="9"/>
      <c r="G76" s="4"/>
      <c r="H76" s="4"/>
      <c r="I76" s="4"/>
      <c r="J76" s="9"/>
      <c r="K76" s="4"/>
      <c r="L76" s="4"/>
      <c r="M76" s="4"/>
      <c r="N76" s="9"/>
      <c r="P76" s="4"/>
      <c r="Q76" s="4"/>
      <c r="R76" s="9"/>
      <c r="S76" s="4"/>
      <c r="T76" s="4"/>
      <c r="U76" s="4"/>
      <c r="V76" s="9"/>
      <c r="W76" s="4"/>
      <c r="X76" s="4"/>
      <c r="Y76" s="4"/>
      <c r="Z76" s="9"/>
    </row>
    <row r="77" spans="1:26" s="63" customFormat="1" ht="15" customHeight="1" x14ac:dyDescent="0.3">
      <c r="A77" s="49"/>
      <c r="B77" s="11" t="s">
        <v>293</v>
      </c>
      <c r="C77" s="11"/>
      <c r="D77" s="5">
        <v>1433.5</v>
      </c>
      <c r="E77" s="5"/>
      <c r="F77" s="13">
        <f>IF(D$12=0,0,D77/D$12)</f>
        <v>5.1367040527466226E-2</v>
      </c>
      <c r="G77" s="5"/>
      <c r="H77" s="5">
        <v>4562</v>
      </c>
      <c r="I77" s="5"/>
      <c r="J77" s="13">
        <f>IF(H$12=0,0,H77/H$12)</f>
        <v>0.11650535025665909</v>
      </c>
      <c r="K77" s="5"/>
      <c r="L77" s="5">
        <f>+D77-H77</f>
        <v>-3128.5</v>
      </c>
      <c r="M77" s="5"/>
      <c r="N77" s="13">
        <f>IF(H77=0,0,L77/H77)</f>
        <v>-0.68577378342832096</v>
      </c>
      <c r="O77" s="11"/>
      <c r="P77" s="5">
        <v>44684.32</v>
      </c>
      <c r="Q77" s="5"/>
      <c r="R77" s="13">
        <f>IF(P$12=0,0,P77/P$12)</f>
        <v>0.11934755144829796</v>
      </c>
      <c r="S77" s="5"/>
      <c r="T77" s="5">
        <v>58755</v>
      </c>
      <c r="U77" s="5"/>
      <c r="V77" s="13">
        <f>IF(T$12=0,0,T77/T$12)</f>
        <v>0.12178236907177604</v>
      </c>
      <c r="W77" s="5"/>
      <c r="X77" s="5">
        <f>+P77-T77</f>
        <v>-14070.68</v>
      </c>
      <c r="Y77" s="5"/>
      <c r="Z77" s="13">
        <f>IF(T77=0,0,X77/T77)</f>
        <v>-0.23948055484639605</v>
      </c>
    </row>
    <row r="78" spans="1:26" ht="15" customHeight="1" x14ac:dyDescent="0.3">
      <c r="A78" s="10"/>
      <c r="B78" s="11"/>
      <c r="C78" s="11"/>
      <c r="D78" s="4"/>
      <c r="E78" s="4"/>
      <c r="F78" s="9"/>
      <c r="G78" s="4"/>
      <c r="H78" s="4"/>
      <c r="I78" s="4"/>
      <c r="J78" s="9"/>
      <c r="K78" s="4"/>
      <c r="L78" s="4"/>
      <c r="M78" s="4"/>
      <c r="N78" s="9"/>
      <c r="O78" s="11"/>
      <c r="P78" s="4"/>
      <c r="Q78" s="4"/>
      <c r="R78" s="9"/>
      <c r="S78" s="4"/>
      <c r="T78" s="4"/>
      <c r="U78" s="4"/>
      <c r="V78" s="9"/>
      <c r="W78" s="4"/>
      <c r="X78" s="4"/>
      <c r="Y78" s="4"/>
      <c r="Z78" s="9"/>
    </row>
    <row r="79" spans="1:26" s="63" customFormat="1" ht="15" customHeight="1" x14ac:dyDescent="0.3">
      <c r="A79" s="11"/>
      <c r="B79" s="27" t="s">
        <v>294</v>
      </c>
      <c r="C79" s="27"/>
      <c r="D79" s="34">
        <f>+D75-D77</f>
        <v>564.53000000000065</v>
      </c>
      <c r="E79" s="15"/>
      <c r="F79" s="29">
        <f>IF(D$12=0,0,D79/D$12)</f>
        <v>2.0228974809187682E-2</v>
      </c>
      <c r="G79" s="15"/>
      <c r="H79" s="34">
        <f>+H75-H77</f>
        <v>-560.09865417768742</v>
      </c>
      <c r="I79" s="15"/>
      <c r="J79" s="29">
        <f>IF(H$12=0,0,H79/H$12)</f>
        <v>-1.4303921500055862E-2</v>
      </c>
      <c r="K79" s="16"/>
      <c r="L79" s="34">
        <f>D79-H79</f>
        <v>1124.6286541776881</v>
      </c>
      <c r="M79" s="16"/>
      <c r="N79" s="29">
        <f>IF(H79=0,0,L79/H79)</f>
        <v>-2.0079117237459161</v>
      </c>
      <c r="O79" s="28"/>
      <c r="P79" s="34">
        <f>+P75-P77</f>
        <v>-1433.0999999999767</v>
      </c>
      <c r="Q79" s="15"/>
      <c r="R79" s="29">
        <f>IF(P$12=0,0,P79/P$12)</f>
        <v>-3.8276732415431862E-3</v>
      </c>
      <c r="S79" s="15"/>
      <c r="T79" s="34">
        <f>+T75-T77</f>
        <v>-9445.7097744825296</v>
      </c>
      <c r="U79" s="15"/>
      <c r="V79" s="29">
        <f>IF(T$12=0,0,T79/T$12)</f>
        <v>-1.9578264214124994E-2</v>
      </c>
      <c r="W79" s="16"/>
      <c r="X79" s="34">
        <f>P79-T79</f>
        <v>8012.6097744825529</v>
      </c>
      <c r="Y79" s="16"/>
      <c r="Z79" s="29">
        <f>IF(T79=0,0,X79/T79)</f>
        <v>-0.84828032681339849</v>
      </c>
    </row>
    <row r="80" spans="1:26" ht="15" customHeight="1" x14ac:dyDescent="0.3">
      <c r="A80" s="10"/>
      <c r="B80" s="10"/>
      <c r="C80" s="10"/>
      <c r="D80" s="4"/>
      <c r="E80" s="4"/>
      <c r="F80" s="9"/>
      <c r="G80" s="4"/>
      <c r="H80" s="4"/>
      <c r="I80" s="4"/>
      <c r="J80" s="9"/>
      <c r="K80" s="4"/>
      <c r="L80" s="4"/>
      <c r="M80" s="4"/>
      <c r="N80" s="9"/>
      <c r="P80" s="4"/>
      <c r="Q80" s="4"/>
      <c r="R80" s="9"/>
      <c r="S80" s="4"/>
      <c r="T80" s="4"/>
      <c r="U80" s="4"/>
      <c r="V80" s="9"/>
      <c r="W80" s="4"/>
      <c r="X80" s="4"/>
      <c r="Y80" s="4"/>
      <c r="Z80" s="9"/>
    </row>
    <row r="81" spans="1:26" ht="15" customHeight="1" x14ac:dyDescent="0.3">
      <c r="A81" s="10"/>
      <c r="B81" s="10"/>
      <c r="C81" s="10"/>
      <c r="D81" s="4"/>
      <c r="E81" s="4"/>
      <c r="F81" s="9"/>
      <c r="G81" s="4"/>
      <c r="H81" s="4"/>
      <c r="I81" s="4"/>
      <c r="J81" s="9"/>
      <c r="K81" s="4"/>
      <c r="L81" s="4"/>
      <c r="M81" s="4"/>
      <c r="N81" s="9"/>
      <c r="P81" s="4"/>
      <c r="Q81" s="4"/>
      <c r="R81" s="9"/>
      <c r="S81" s="4"/>
      <c r="T81" s="4"/>
      <c r="U81" s="4"/>
      <c r="V81" s="9"/>
      <c r="W81" s="4"/>
      <c r="X81" s="4"/>
      <c r="Y81" s="4"/>
      <c r="Z81" s="9"/>
    </row>
    <row r="82" spans="1:26" s="63" customFormat="1" ht="15" customHeight="1" x14ac:dyDescent="0.3">
      <c r="A82" s="11"/>
      <c r="B82" s="27" t="s">
        <v>297</v>
      </c>
      <c r="C82" s="27"/>
      <c r="D82" s="32">
        <f>SUM(D79:D81)</f>
        <v>564.53000000000065</v>
      </c>
      <c r="E82" s="15"/>
      <c r="F82" s="31">
        <f>IF(D$12=0,0,D82/D$12)</f>
        <v>2.0228974809187682E-2</v>
      </c>
      <c r="G82" s="15"/>
      <c r="H82" s="32">
        <f>SUM(H79:H81)</f>
        <v>-560.09865417768742</v>
      </c>
      <c r="I82" s="15"/>
      <c r="J82" s="31">
        <f>IF(H$12=0,0,H82/H$12)</f>
        <v>-1.4303921500055862E-2</v>
      </c>
      <c r="K82" s="16"/>
      <c r="L82" s="32">
        <f>+D82-H82</f>
        <v>1124.6286541776881</v>
      </c>
      <c r="M82" s="16"/>
      <c r="N82" s="31">
        <f>IF(H82=0,0,L82/H82)</f>
        <v>-2.0079117237459161</v>
      </c>
      <c r="O82" s="28"/>
      <c r="P82" s="32">
        <f>SUM(P79:P81)</f>
        <v>-1433.0999999999767</v>
      </c>
      <c r="Q82" s="15"/>
      <c r="R82" s="31">
        <f>IF(P$12=0,0,P82/P$12)</f>
        <v>-3.8276732415431862E-3</v>
      </c>
      <c r="S82" s="15"/>
      <c r="T82" s="32">
        <f>SUM(T79:T81)</f>
        <v>-9445.7097744825296</v>
      </c>
      <c r="U82" s="15"/>
      <c r="V82" s="31">
        <f>IF(T$12=0,0,T82/T$12)</f>
        <v>-1.9578264214124994E-2</v>
      </c>
      <c r="W82" s="16"/>
      <c r="X82" s="32">
        <f>+P82-T82</f>
        <v>8012.6097744825529</v>
      </c>
      <c r="Y82" s="16"/>
      <c r="Z82" s="31">
        <f>IF(T82=0,0,X82/T82)</f>
        <v>-0.84828032681339849</v>
      </c>
    </row>
    <row r="83" spans="1:26" ht="15" customHeight="1" x14ac:dyDescent="0.3">
      <c r="A83" s="10"/>
      <c r="C83" s="10"/>
      <c r="D83" s="19"/>
      <c r="E83" s="19"/>
      <c r="G83" s="19"/>
      <c r="H83" s="19"/>
      <c r="I83" s="19"/>
      <c r="J83" s="40"/>
      <c r="K83" s="19"/>
      <c r="L83" s="19"/>
      <c r="M83" s="19"/>
      <c r="P83" s="19"/>
      <c r="Q83" s="19"/>
      <c r="R83" s="40"/>
      <c r="S83" s="19"/>
      <c r="T83" s="19"/>
      <c r="U83" s="19"/>
      <c r="V83" s="40"/>
      <c r="W83" s="19"/>
      <c r="X83" s="19"/>
    </row>
    <row r="84" spans="1:26" ht="15" customHeight="1" x14ac:dyDescent="0.3">
      <c r="A84" s="10"/>
      <c r="B84" s="51">
        <v>44663.047665428239</v>
      </c>
      <c r="D84" s="19"/>
      <c r="E84" s="19"/>
      <c r="G84" s="19"/>
      <c r="H84" s="19"/>
      <c r="I84" s="19"/>
      <c r="J84" s="40"/>
      <c r="K84" s="19"/>
      <c r="L84" s="19"/>
      <c r="M84" s="19"/>
      <c r="P84" s="19"/>
      <c r="Q84" s="19"/>
      <c r="R84" s="40"/>
      <c r="S84" s="19"/>
      <c r="T84" s="19"/>
      <c r="U84" s="19"/>
      <c r="V84" s="40"/>
      <c r="W84" s="19"/>
      <c r="X84" s="19"/>
    </row>
    <row r="85" spans="1:26" ht="15" customHeight="1" x14ac:dyDescent="0.3">
      <c r="A85" s="10"/>
      <c r="B85" s="58" t="s">
        <v>298</v>
      </c>
      <c r="D85" s="19"/>
      <c r="E85" s="19"/>
      <c r="G85" s="19"/>
      <c r="H85" s="19"/>
      <c r="I85" s="19"/>
      <c r="J85" s="40"/>
      <c r="K85" s="19"/>
      <c r="L85" s="19"/>
      <c r="M85" s="19"/>
      <c r="P85" s="19"/>
      <c r="Q85" s="19"/>
      <c r="R85" s="40"/>
      <c r="S85" s="19"/>
      <c r="T85" s="19"/>
      <c r="U85" s="19"/>
      <c r="V85" s="40"/>
      <c r="W85" s="19"/>
      <c r="X85" s="19"/>
    </row>
    <row r="86" spans="1:26" ht="15" customHeight="1" x14ac:dyDescent="0.3">
      <c r="A86" s="10"/>
      <c r="B86" s="50"/>
      <c r="D86" s="19"/>
      <c r="E86" s="19"/>
      <c r="G86" s="19"/>
      <c r="H86" s="19"/>
      <c r="I86" s="19"/>
      <c r="J86" s="40"/>
      <c r="K86" s="19"/>
      <c r="L86" s="19"/>
      <c r="M86" s="19"/>
      <c r="P86" s="19"/>
      <c r="Q86" s="19"/>
      <c r="R86" s="40"/>
      <c r="S86" s="19"/>
      <c r="T86" s="19"/>
      <c r="U86" s="19"/>
      <c r="V86" s="40"/>
      <c r="W86" s="19"/>
      <c r="X86" s="19"/>
    </row>
    <row r="87" spans="1:26" ht="15" customHeight="1" x14ac:dyDescent="0.3">
      <c r="D87" s="19"/>
      <c r="E87" s="19"/>
      <c r="G87" s="19"/>
      <c r="H87" s="19"/>
      <c r="I87" s="19"/>
      <c r="J87" s="40"/>
      <c r="K87" s="19"/>
      <c r="L87" s="19"/>
      <c r="M87" s="19"/>
      <c r="P87" s="19"/>
      <c r="Q87" s="19"/>
      <c r="R87" s="40"/>
      <c r="S87" s="19"/>
      <c r="T87" s="19"/>
      <c r="U87" s="19"/>
      <c r="V87" s="40"/>
      <c r="W87" s="19"/>
      <c r="X87" s="19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7691D4-5994-5DBD-1D06-E0A307DE7B6A}">
  <sheetPr>
    <tabColor rgb="FF92D050"/>
    <outlinePr summaryBelow="0" summaryRight="0"/>
  </sheetPr>
  <dimension ref="A2:Z41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6" customWidth="1"/>
    <col min="2" max="2" width="33.44140625" style="66" customWidth="1"/>
    <col min="3" max="3" width="1.88671875" style="66" customWidth="1"/>
    <col min="4" max="4" width="15" style="66" customWidth="1"/>
    <col min="5" max="5" width="1.88671875" style="66" customWidth="1" outlineLevel="1"/>
    <col min="6" max="6" width="15" style="67" customWidth="1" outlineLevel="1"/>
    <col min="7" max="7" width="1.88671875" style="66" customWidth="1" outlineLevel="1"/>
    <col min="8" max="8" width="15" style="66" customWidth="1" outlineLevel="1"/>
    <col min="9" max="9" width="1.88671875" style="66" customWidth="1" outlineLevel="1"/>
    <col min="10" max="10" width="15" style="68" customWidth="1" outlineLevel="1"/>
    <col min="11" max="11" width="1.88671875" style="66" customWidth="1" outlineLevel="1"/>
    <col min="12" max="12" width="15" style="66" customWidth="1" outlineLevel="1"/>
    <col min="13" max="13" width="1.88671875" style="66" customWidth="1" outlineLevel="1"/>
    <col min="14" max="14" width="15" style="67" customWidth="1" outlineLevel="1"/>
    <col min="15" max="15" width="1.88671875" style="64" customWidth="1"/>
    <col min="16" max="16" width="15" style="66" customWidth="1"/>
    <col min="17" max="17" width="1.88671875" style="66" customWidth="1" outlineLevel="1"/>
    <col min="18" max="18" width="15" style="68" customWidth="1" outlineLevel="1"/>
    <col min="19" max="19" width="1.88671875" style="66" customWidth="1" outlineLevel="1"/>
    <col min="20" max="20" width="15" style="66" customWidth="1" outlineLevel="1"/>
    <col min="21" max="21" width="1.88671875" style="66" customWidth="1" outlineLevel="1"/>
    <col min="22" max="22" width="15" style="68" customWidth="1" outlineLevel="1"/>
    <col min="23" max="23" width="1.88671875" style="66" customWidth="1" outlineLevel="1"/>
    <col min="24" max="24" width="15" style="66" customWidth="1" outlineLevel="1"/>
    <col min="25" max="25" width="1.88671875" style="66" customWidth="1" outlineLevel="1"/>
    <col min="26" max="26" width="15" style="68" customWidth="1" outlineLevel="1"/>
  </cols>
  <sheetData>
    <row r="2" spans="1:26" ht="15" customHeight="1" x14ac:dyDescent="0.3">
      <c r="D2" s="54" t="s">
        <v>276</v>
      </c>
    </row>
    <row r="3" spans="1:26" ht="15" customHeight="1" x14ac:dyDescent="0.3">
      <c r="D3" s="54" t="s">
        <v>277</v>
      </c>
      <c r="E3" s="18"/>
      <c r="F3" s="44"/>
      <c r="G3" s="18"/>
      <c r="H3" s="18"/>
      <c r="I3" s="18"/>
      <c r="J3" s="38"/>
      <c r="K3" s="18"/>
      <c r="L3" s="18"/>
      <c r="M3" s="18"/>
      <c r="N3" s="44"/>
      <c r="O3" s="53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ht="15" customHeight="1" x14ac:dyDescent="0.3">
      <c r="D4" s="54" t="e">
        <f ca="1">CONCATENATE("Period ",RIGHT(_xll.ONESTOP.REPORTPLAYER.OSRFUNCTIONS.OSRGET("Period","PeriodId"),2),", ",_xll.ONESTOP.REPORTPLAYER.OSRFUNCTIONS.OSRGET("Period","Year"))</f>
        <v>#NAME?</v>
      </c>
      <c r="E4" s="18"/>
      <c r="F4" s="44"/>
      <c r="G4" s="18"/>
      <c r="H4" s="18"/>
      <c r="I4" s="18"/>
      <c r="J4" s="38"/>
      <c r="K4" s="18"/>
      <c r="L4" s="18"/>
      <c r="M4" s="18"/>
      <c r="N4" s="44"/>
      <c r="O4" s="53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ht="15" customHeight="1" x14ac:dyDescent="0.3">
      <c r="A5" s="24"/>
      <c r="D5" s="61" t="e">
        <f ca="1">_xll.ONESTOP.REPORTPLAYER.OSRFUNCTIONS.OSRGET("Period","PeriodEnd")</f>
        <v>#NAME?</v>
      </c>
      <c r="E5" s="18"/>
      <c r="F5" s="44"/>
      <c r="G5" s="18"/>
      <c r="H5" s="18"/>
      <c r="I5" s="18"/>
      <c r="J5" s="38"/>
      <c r="K5" s="18"/>
      <c r="L5" s="18"/>
      <c r="M5" s="18"/>
      <c r="N5" s="44"/>
      <c r="O5" s="53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ht="15" customHeight="1" x14ac:dyDescent="0.3">
      <c r="A6" s="24"/>
      <c r="B6" s="47"/>
      <c r="C6" s="47"/>
      <c r="D6" s="24" t="e">
        <f ca="1">CONCATENATE("Department ",_xll.ONESTOP.REPORTPLAYER.OSRFUNCTIONS.OSRGET("d_dim0","Code")," - ",_xll.ONESTOP.REPORTPLAYER.OSRFUNCTIONS.OSRGET("d_dim0","Description"))</f>
        <v>#NAME?</v>
      </c>
      <c r="E6" s="18"/>
      <c r="F6" s="44"/>
      <c r="G6" s="18"/>
      <c r="H6" s="18"/>
      <c r="I6" s="18"/>
      <c r="J6" s="38"/>
      <c r="K6" s="18"/>
      <c r="L6" s="18"/>
      <c r="M6" s="18"/>
      <c r="N6" s="44"/>
      <c r="O6" s="59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ht="15" customHeight="1" x14ac:dyDescent="0.3">
      <c r="B7" s="52"/>
    </row>
    <row r="8" spans="1:26" ht="15" customHeight="1" x14ac:dyDescent="0.3">
      <c r="B8" s="52"/>
    </row>
    <row r="9" spans="1:26" ht="15" customHeight="1" x14ac:dyDescent="0.3">
      <c r="B9" s="10"/>
      <c r="C9" s="10"/>
      <c r="D9" s="17" t="s">
        <v>279</v>
      </c>
      <c r="E9" s="17"/>
      <c r="F9" s="36"/>
      <c r="G9" s="17"/>
      <c r="H9" s="17"/>
      <c r="I9" s="17"/>
      <c r="J9" s="43"/>
      <c r="K9" s="17"/>
      <c r="L9" s="17"/>
      <c r="M9" s="17"/>
      <c r="N9" s="36"/>
      <c r="P9" s="17" t="s">
        <v>280</v>
      </c>
      <c r="Q9" s="17"/>
      <c r="R9" s="36"/>
      <c r="S9" s="17"/>
      <c r="T9" s="17"/>
      <c r="U9" s="17"/>
      <c r="V9" s="43"/>
      <c r="W9" s="17"/>
      <c r="X9" s="17"/>
      <c r="Y9" s="17"/>
      <c r="Z9" s="36"/>
    </row>
    <row r="10" spans="1:26" ht="15" customHeight="1" x14ac:dyDescent="0.3">
      <c r="A10" s="11"/>
      <c r="B10" s="57"/>
      <c r="C10" s="11"/>
      <c r="D10" s="41" t="s">
        <v>281</v>
      </c>
      <c r="E10" s="33"/>
      <c r="F10" s="37" t="s">
        <v>282</v>
      </c>
      <c r="G10" s="33"/>
      <c r="H10" s="48" t="s">
        <v>283</v>
      </c>
      <c r="I10" s="33"/>
      <c r="J10" s="45" t="s">
        <v>284</v>
      </c>
      <c r="K10" s="11"/>
      <c r="L10" s="41" t="s">
        <v>285</v>
      </c>
      <c r="M10" s="11"/>
      <c r="N10" s="37" t="s">
        <v>286</v>
      </c>
      <c r="O10" s="11"/>
      <c r="P10" s="56" t="s">
        <v>281</v>
      </c>
      <c r="Q10" s="33"/>
      <c r="R10" s="37" t="s">
        <v>282</v>
      </c>
      <c r="S10" s="33"/>
      <c r="T10" s="48" t="s">
        <v>283</v>
      </c>
      <c r="U10" s="33"/>
      <c r="V10" s="45" t="s">
        <v>284</v>
      </c>
      <c r="W10" s="11"/>
      <c r="X10" s="41" t="s">
        <v>285</v>
      </c>
      <c r="Y10" s="11"/>
      <c r="Z10" s="37" t="s">
        <v>286</v>
      </c>
    </row>
    <row r="11" spans="1:26" ht="16.5" customHeight="1" x14ac:dyDescent="0.3">
      <c r="A11" s="10"/>
      <c r="B11" s="55"/>
      <c r="C11" s="10"/>
      <c r="D11" s="10"/>
      <c r="E11" s="10"/>
      <c r="F11" s="9"/>
      <c r="G11" s="10"/>
      <c r="H11" s="10"/>
      <c r="I11" s="10"/>
      <c r="J11" s="46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6"/>
      <c r="W11" s="10"/>
      <c r="X11" s="10"/>
      <c r="Y11" s="10"/>
      <c r="Z11" s="9"/>
    </row>
    <row r="12" spans="1:26" s="63" customFormat="1" ht="15" customHeight="1" collapsed="1" x14ac:dyDescent="0.3">
      <c r="A12" s="11"/>
      <c r="B12" s="28" t="s">
        <v>287</v>
      </c>
      <c r="C12" s="11"/>
      <c r="D12" s="5" t="e">
        <f ca="1">SUM(_xll.ONESTOP.REPORTPLAYER.OSRFUNCTIONS.OSRREF(D13))</f>
        <v>#NAME?</v>
      </c>
      <c r="E12" s="5"/>
      <c r="F12" s="13"/>
      <c r="G12" s="5"/>
      <c r="H12" s="5" t="e">
        <f ca="1">SUM(_xll.ONESTOP.REPORTPLAYER.OSRFUNCTIONS.OSRREF(H13))</f>
        <v>#NAME?</v>
      </c>
      <c r="I12" s="5"/>
      <c r="J12" s="13"/>
      <c r="K12" s="5"/>
      <c r="L12" s="5" t="e">
        <f ca="1">+D12-H12</f>
        <v>#NAME?</v>
      </c>
      <c r="M12" s="5"/>
      <c r="N12" s="13" t="e">
        <f ca="1">IF(H12=0,0,L12/H12)</f>
        <v>#NAME?</v>
      </c>
      <c r="O12" s="11"/>
      <c r="P12" s="5" t="e">
        <f ca="1">SUM(_xll.ONESTOP.REPORTPLAYER.OSRFUNCTIONS.OSRREF(P13))</f>
        <v>#NAME?</v>
      </c>
      <c r="Q12" s="5"/>
      <c r="R12" s="13"/>
      <c r="S12" s="5"/>
      <c r="T12" s="5" t="e">
        <f ca="1">SUM(_xll.ONESTOP.REPORTPLAYER.OSRFUNCTIONS.OSRREF(T13))</f>
        <v>#NAME?</v>
      </c>
      <c r="U12" s="5"/>
      <c r="V12" s="13"/>
      <c r="W12" s="5"/>
      <c r="X12" s="5" t="e">
        <f ca="1">+P12-T12</f>
        <v>#NAME?</v>
      </c>
      <c r="Y12" s="5"/>
      <c r="Z12" s="13" t="e">
        <f ca="1">IF(T12=0,0,X12/T12)</f>
        <v>#NAME?</v>
      </c>
    </row>
    <row r="13" spans="1:26" s="70" customFormat="1" ht="15" hidden="1" customHeight="1" outlineLevel="1" x14ac:dyDescent="0.3">
      <c r="A13" s="42"/>
      <c r="B13" s="12" t="e">
        <f ca="1">CONCATENATE("          ",_xll.ONESTOP.REPORTPLAYER.OSRFUNCTIONS.OSRGET("d_Account","Code")," - ",_xll.ONESTOP.REPORTPLAYER.OSRFUNCTIONS.OSRGET("d_Account","Description"))</f>
        <v>#NAME?</v>
      </c>
      <c r="C13" s="12"/>
      <c r="D13" s="3" t="e">
        <f ca="1">-_xll.ONESTOP.REPORTPLAYER.OSRFUNCTIONS.OSRGET("GL_F_Trans","Value1")</f>
        <v>#NAME?</v>
      </c>
      <c r="E13" s="3"/>
      <c r="F13" s="20"/>
      <c r="G13" s="3"/>
      <c r="H13" s="3" t="e">
        <f ca="1">_xll.ONESTOP.REPORTPLAYER.OSRFUNCTIONS.OSRGET("GL_F_Trans","Value1")</f>
        <v>#NAME?</v>
      </c>
      <c r="I13" s="3"/>
      <c r="J13" s="20"/>
      <c r="K13" s="3"/>
      <c r="L13" s="3" t="e">
        <f ca="1">+D13-H13</f>
        <v>#NAME?</v>
      </c>
      <c r="M13" s="3"/>
      <c r="N13" s="20" t="e">
        <f ca="1">IF(H13=0,0,L13/H13)</f>
        <v>#NAME?</v>
      </c>
      <c r="O13" s="12"/>
      <c r="P13" s="3" t="e">
        <f ca="1">-_xll.ONESTOP.REPORTPLAYER.OSRFUNCTIONS.OSRGET("GL_F_Trans","Value1")</f>
        <v>#NAME?</v>
      </c>
      <c r="Q13" s="3"/>
      <c r="R13" s="20"/>
      <c r="S13" s="3"/>
      <c r="T13" s="3" t="e">
        <f ca="1">_xll.ONESTOP.REPORTPLAYER.OSRFUNCTIONS.OSRGET("GL_F_Trans","Value1")</f>
        <v>#NAME?</v>
      </c>
      <c r="U13" s="3"/>
      <c r="V13" s="20"/>
      <c r="W13" s="3"/>
      <c r="X13" s="3" t="e">
        <f ca="1">+P13-T13</f>
        <v>#NAME?</v>
      </c>
      <c r="Y13" s="3"/>
      <c r="Z13" s="20" t="e">
        <f ca="1">IF(T13=0,0,X13/T13)</f>
        <v>#NAME?</v>
      </c>
    </row>
    <row r="14" spans="1:26" ht="15" customHeight="1" x14ac:dyDescent="0.3">
      <c r="A14" s="10"/>
      <c r="B14" s="11"/>
      <c r="C14" s="10"/>
      <c r="D14" s="4"/>
      <c r="E14" s="4"/>
      <c r="F14" s="9"/>
      <c r="G14" s="4"/>
      <c r="H14" s="4"/>
      <c r="I14" s="4"/>
      <c r="J14" s="9"/>
      <c r="K14" s="4"/>
      <c r="L14" s="4"/>
      <c r="M14" s="4"/>
      <c r="N14" s="9"/>
      <c r="P14" s="4"/>
      <c r="Q14" s="4"/>
      <c r="R14" s="9"/>
      <c r="S14" s="4"/>
      <c r="T14" s="4"/>
      <c r="U14" s="4"/>
      <c r="V14" s="9"/>
      <c r="W14" s="4"/>
      <c r="X14" s="4"/>
      <c r="Y14" s="4"/>
      <c r="Z14" s="9"/>
    </row>
    <row r="15" spans="1:26" s="63" customFormat="1" ht="15" customHeight="1" collapsed="1" x14ac:dyDescent="0.3">
      <c r="A15" s="11"/>
      <c r="B15" s="28" t="s">
        <v>288</v>
      </c>
      <c r="C15" s="11"/>
      <c r="D15" s="5" t="e">
        <f ca="1">SUM(_xll.ONESTOP.REPORTPLAYER.OSRFUNCTIONS.OSRREF(D16))</f>
        <v>#NAME?</v>
      </c>
      <c r="E15" s="5"/>
      <c r="F15" s="13" t="e">
        <f ca="1">IF(D$12=0,0,D15/D$12)</f>
        <v>#NAME?</v>
      </c>
      <c r="G15" s="5"/>
      <c r="H15" s="5" t="e">
        <f ca="1">SUM(_xll.ONESTOP.REPORTPLAYER.OSRFUNCTIONS.OSRREF(H16))</f>
        <v>#NAME?</v>
      </c>
      <c r="I15" s="5"/>
      <c r="J15" s="13" t="e">
        <f ca="1">IF(H$12=0,0,H15/H$12)</f>
        <v>#NAME?</v>
      </c>
      <c r="K15" s="5"/>
      <c r="L15" s="5" t="e">
        <f ca="1">+D15-H15</f>
        <v>#NAME?</v>
      </c>
      <c r="M15" s="5"/>
      <c r="N15" s="13" t="e">
        <f ca="1">IF(H15=0,0,L15/H15)</f>
        <v>#NAME?</v>
      </c>
      <c r="O15" s="11"/>
      <c r="P15" s="5" t="e">
        <f ca="1">SUM(_xll.ONESTOP.REPORTPLAYER.OSRFUNCTIONS.OSRREF(P16))</f>
        <v>#NAME?</v>
      </c>
      <c r="Q15" s="5"/>
      <c r="R15" s="13" t="e">
        <f ca="1">IF(P$12=0,0,P15/P$12)</f>
        <v>#NAME?</v>
      </c>
      <c r="S15" s="5"/>
      <c r="T15" s="5" t="e">
        <f ca="1">SUM(_xll.ONESTOP.REPORTPLAYER.OSRFUNCTIONS.OSRREF(T16))</f>
        <v>#NAME?</v>
      </c>
      <c r="U15" s="5"/>
      <c r="V15" s="13" t="e">
        <f ca="1">IF(T$12=0,0,T15/T$12)</f>
        <v>#NAME?</v>
      </c>
      <c r="W15" s="5"/>
      <c r="X15" s="5" t="e">
        <f ca="1">+P15-T15</f>
        <v>#NAME?</v>
      </c>
      <c r="Y15" s="5"/>
      <c r="Z15" s="13" t="e">
        <f ca="1">IF(T15=0,0,X15/T15)</f>
        <v>#NAME?</v>
      </c>
    </row>
    <row r="16" spans="1:26" s="70" customFormat="1" ht="15" hidden="1" customHeight="1" outlineLevel="1" x14ac:dyDescent="0.3">
      <c r="A16" s="42"/>
      <c r="B16" s="12" t="e">
        <f ca="1">CONCATENATE("          ",_xll.ONESTOP.REPORTPLAYER.OSRFUNCTIONS.OSRGET("d_Account","Code")," - ",_xll.ONESTOP.REPORTPLAYER.OSRFUNCTIONS.OSRGET("d_Account","Description"))</f>
        <v>#NAME?</v>
      </c>
      <c r="C16" s="12"/>
      <c r="D16" s="3" t="e">
        <f ca="1">_xll.ONESTOP.REPORTPLAYER.OSRFUNCTIONS.OSRGET("GL_F_Trans","Value1")</f>
        <v>#NAME?</v>
      </c>
      <c r="E16" s="3"/>
      <c r="F16" s="20" t="e">
        <f ca="1">IF(D$12=0,0,D16/D$12)</f>
        <v>#NAME?</v>
      </c>
      <c r="G16" s="3"/>
      <c r="H16" s="3" t="e">
        <f ca="1">_xll.ONESTOP.REPORTPLAYER.OSRFUNCTIONS.OSRGET("GL_F_Trans","Value1")</f>
        <v>#NAME?</v>
      </c>
      <c r="I16" s="3"/>
      <c r="J16" s="20" t="e">
        <f ca="1">IF(H$12=0,0,H16/H$12)</f>
        <v>#NAME?</v>
      </c>
      <c r="K16" s="3"/>
      <c r="L16" s="3" t="e">
        <f ca="1">+D16-H16</f>
        <v>#NAME?</v>
      </c>
      <c r="M16" s="3"/>
      <c r="N16" s="20" t="e">
        <f ca="1">IF(H16=0,0,L16/H16)</f>
        <v>#NAME?</v>
      </c>
      <c r="O16" s="12"/>
      <c r="P16" s="3" t="e">
        <f ca="1">_xll.ONESTOP.REPORTPLAYER.OSRFUNCTIONS.OSRGET("GL_F_Trans","Value1")</f>
        <v>#NAME?</v>
      </c>
      <c r="Q16" s="3"/>
      <c r="R16" s="20" t="e">
        <f ca="1">IF(P$12=0,0,P16/P$12)</f>
        <v>#NAME?</v>
      </c>
      <c r="S16" s="3"/>
      <c r="T16" s="3" t="e">
        <f ca="1">_xll.ONESTOP.REPORTPLAYER.OSRFUNCTIONS.OSRGET("GL_F_Trans","Value1")</f>
        <v>#NAME?</v>
      </c>
      <c r="U16" s="3"/>
      <c r="V16" s="20" t="e">
        <f ca="1">IF(T$12=0,0,T16/T$12)</f>
        <v>#NAME?</v>
      </c>
      <c r="W16" s="3"/>
      <c r="X16" s="3" t="e">
        <f ca="1">+P16-T16</f>
        <v>#NAME?</v>
      </c>
      <c r="Y16" s="3"/>
      <c r="Z16" s="20" t="e">
        <f ca="1">IF(T16=0,0,X16/T16)</f>
        <v>#NAME?</v>
      </c>
    </row>
    <row r="17" spans="1:26" ht="15" customHeight="1" x14ac:dyDescent="0.3">
      <c r="A17" s="10"/>
      <c r="B17" s="11"/>
      <c r="C17" s="11"/>
      <c r="D17" s="4"/>
      <c r="E17" s="4"/>
      <c r="F17" s="9"/>
      <c r="G17" s="4"/>
      <c r="H17" s="4"/>
      <c r="I17" s="4"/>
      <c r="J17" s="9"/>
      <c r="K17" s="4"/>
      <c r="L17" s="4"/>
      <c r="M17" s="4"/>
      <c r="N17" s="9"/>
      <c r="O17" s="11"/>
      <c r="P17" s="4"/>
      <c r="Q17" s="4"/>
      <c r="R17" s="9"/>
      <c r="S17" s="4"/>
      <c r="T17" s="4"/>
      <c r="U17" s="4"/>
      <c r="V17" s="9"/>
      <c r="W17" s="4"/>
      <c r="X17" s="4"/>
      <c r="Y17" s="4"/>
      <c r="Z17" s="9"/>
    </row>
    <row r="18" spans="1:26" s="63" customFormat="1" ht="15" customHeight="1" x14ac:dyDescent="0.3">
      <c r="A18" s="11"/>
      <c r="B18" s="27" t="s">
        <v>289</v>
      </c>
      <c r="C18" s="27"/>
      <c r="D18" s="21" t="e">
        <f ca="1">D12-D15</f>
        <v>#NAME?</v>
      </c>
      <c r="E18" s="15"/>
      <c r="F18" s="23" t="e">
        <f ca="1">IF(D$12=0,0,D18/D$12)</f>
        <v>#NAME?</v>
      </c>
      <c r="G18" s="15"/>
      <c r="H18" s="21" t="e">
        <f ca="1">H12-H15</f>
        <v>#NAME?</v>
      </c>
      <c r="I18" s="15"/>
      <c r="J18" s="23" t="e">
        <f ca="1">IF(H$12=0,0,H18/H$12)</f>
        <v>#NAME?</v>
      </c>
      <c r="K18" s="16"/>
      <c r="L18" s="21" t="e">
        <f ca="1">+D18-H18</f>
        <v>#NAME?</v>
      </c>
      <c r="M18" s="16"/>
      <c r="N18" s="23" t="e">
        <f ca="1">IF(H18=0,0,L18/H18)</f>
        <v>#NAME?</v>
      </c>
      <c r="O18" s="28"/>
      <c r="P18" s="21" t="e">
        <f ca="1">P12-P15</f>
        <v>#NAME?</v>
      </c>
      <c r="Q18" s="15"/>
      <c r="R18" s="23" t="e">
        <f ca="1">IF(P$12=0,0,P18/P$12)</f>
        <v>#NAME?</v>
      </c>
      <c r="S18" s="15"/>
      <c r="T18" s="21" t="e">
        <f ca="1">T12-T15</f>
        <v>#NAME?</v>
      </c>
      <c r="U18" s="15"/>
      <c r="V18" s="23" t="e">
        <f ca="1">IF(T$12=0,0,T18/T$12)</f>
        <v>#NAME?</v>
      </c>
      <c r="W18" s="16"/>
      <c r="X18" s="21" t="e">
        <f ca="1">+P18-T18</f>
        <v>#NAME?</v>
      </c>
      <c r="Y18" s="16"/>
      <c r="Z18" s="23" t="e">
        <f ca="1">IF(T18=0,0,X18/T18)</f>
        <v>#NAME?</v>
      </c>
    </row>
    <row r="19" spans="1:26" ht="15" customHeight="1" x14ac:dyDescent="0.3">
      <c r="A19" s="10"/>
      <c r="B19" s="11"/>
      <c r="C19" s="10"/>
      <c r="D19" s="2"/>
      <c r="E19" s="2"/>
      <c r="F19" s="6"/>
      <c r="G19" s="2"/>
      <c r="H19" s="2"/>
      <c r="I19" s="2"/>
      <c r="J19" s="6"/>
      <c r="K19" s="2"/>
      <c r="L19" s="2"/>
      <c r="M19" s="2"/>
      <c r="N19" s="6"/>
      <c r="O19" s="35"/>
      <c r="P19" s="2"/>
      <c r="Q19" s="2"/>
      <c r="R19" s="6"/>
      <c r="S19" s="2"/>
      <c r="T19" s="2"/>
      <c r="U19" s="2"/>
      <c r="V19" s="6"/>
      <c r="W19" s="2"/>
      <c r="X19" s="2"/>
      <c r="Y19" s="2"/>
      <c r="Z19" s="6"/>
    </row>
    <row r="20" spans="1:26" s="63" customFormat="1" ht="15" customHeight="1" x14ac:dyDescent="0.3">
      <c r="A20" s="11"/>
      <c r="B20" s="28" t="s">
        <v>290</v>
      </c>
      <c r="C20" s="11"/>
      <c r="D20" s="22" t="e">
        <f ca="1">SUM(_xll.ONESTOP.REPORTPLAYER.OSRFUNCTIONS.OSRREF(D22))</f>
        <v>#NAME?</v>
      </c>
      <c r="E20" s="22"/>
      <c r="F20" s="30" t="e">
        <f ca="1">IF(D$12=0,0,D20/D$12)</f>
        <v>#NAME?</v>
      </c>
      <c r="G20" s="22"/>
      <c r="H20" s="22" t="e">
        <f ca="1">SUM(_xll.ONESTOP.REPORTPLAYER.OSRFUNCTIONS.OSRREF(H22))</f>
        <v>#NAME?</v>
      </c>
      <c r="I20" s="22"/>
      <c r="J20" s="30" t="e">
        <f ca="1">IF(H$12=0,0,H20/H$12)</f>
        <v>#NAME?</v>
      </c>
      <c r="K20" s="5"/>
      <c r="L20" s="22" t="e">
        <f ca="1">+D20-H20</f>
        <v>#NAME?</v>
      </c>
      <c r="M20" s="5"/>
      <c r="N20" s="30" t="e">
        <f ca="1">IF(H20=0,0,L20/H20)</f>
        <v>#NAME?</v>
      </c>
      <c r="O20" s="11"/>
      <c r="P20" s="22" t="e">
        <f ca="1">SUM(_xll.ONESTOP.REPORTPLAYER.OSRFUNCTIONS.OSRREF(P22))</f>
        <v>#NAME?</v>
      </c>
      <c r="Q20" s="22"/>
      <c r="R20" s="30" t="e">
        <f ca="1">IF(P$12=0,0,P20/P$12)</f>
        <v>#NAME?</v>
      </c>
      <c r="S20" s="22"/>
      <c r="T20" s="22" t="e">
        <f ca="1">SUM(_xll.ONESTOP.REPORTPLAYER.OSRFUNCTIONS.OSRREF(T22))</f>
        <v>#NAME?</v>
      </c>
      <c r="U20" s="22"/>
      <c r="V20" s="30" t="e">
        <f ca="1">IF(T$12=0,0,T20/T$12)</f>
        <v>#NAME?</v>
      </c>
      <c r="W20" s="5"/>
      <c r="X20" s="22" t="e">
        <f ca="1">+P20-T20</f>
        <v>#NAME?</v>
      </c>
      <c r="Y20" s="5"/>
      <c r="Z20" s="30" t="e">
        <f ca="1">IF(T20=0,0,X20/T20)</f>
        <v>#NAME?</v>
      </c>
    </row>
    <row r="21" spans="1:26" s="69" customFormat="1" ht="15" customHeight="1" outlineLevel="1" collapsed="1" x14ac:dyDescent="0.3">
      <c r="A21" s="25"/>
      <c r="B21" s="14" t="e">
        <f ca="1">CONCATENATE("     ",_xll.ONESTOP.REPORTPLAYER.OSRFUNCTIONS.OSRGET("d_Account","AccountCategory"))</f>
        <v>#NAME?</v>
      </c>
      <c r="C21" s="14"/>
      <c r="D21" s="2" t="e">
        <f ca="1">SUM(_xll.ONESTOP.REPORTPLAYER.OSRFUNCTIONS.OSRREF(D22))</f>
        <v>#NAME?</v>
      </c>
      <c r="E21" s="2"/>
      <c r="F21" s="6" t="e">
        <f ca="1">IF(D$12=0,0,D21/D$12)</f>
        <v>#NAME?</v>
      </c>
      <c r="G21" s="2"/>
      <c r="H21" s="2" t="e">
        <f ca="1">SUM(_xll.ONESTOP.REPORTPLAYER.OSRFUNCTIONS.OSRREF(H22))</f>
        <v>#NAME?</v>
      </c>
      <c r="I21" s="2"/>
      <c r="J21" s="6" t="e">
        <f ca="1">IF(H$12=0,0,H21/H$12)</f>
        <v>#NAME?</v>
      </c>
      <c r="K21" s="2"/>
      <c r="L21" s="2" t="e">
        <f ca="1">+D21-H21</f>
        <v>#NAME?</v>
      </c>
      <c r="M21" s="2"/>
      <c r="N21" s="6" t="e">
        <f ca="1">IF(H21=0,0,L21/H21)</f>
        <v>#NAME?</v>
      </c>
      <c r="O21" s="14"/>
      <c r="P21" s="2" t="e">
        <f ca="1">SUM(_xll.ONESTOP.REPORTPLAYER.OSRFUNCTIONS.OSRREF(P22))</f>
        <v>#NAME?</v>
      </c>
      <c r="Q21" s="2"/>
      <c r="R21" s="6" t="e">
        <f ca="1">IF(P$12=0,0,P21/P$12)</f>
        <v>#NAME?</v>
      </c>
      <c r="S21" s="2"/>
      <c r="T21" s="2" t="e">
        <f ca="1">SUM(_xll.ONESTOP.REPORTPLAYER.OSRFUNCTIONS.OSRREF(T22))</f>
        <v>#NAME?</v>
      </c>
      <c r="U21" s="2"/>
      <c r="V21" s="6" t="e">
        <f ca="1">IF(T$12=0,0,T21/T$12)</f>
        <v>#NAME?</v>
      </c>
      <c r="W21" s="2"/>
      <c r="X21" s="2" t="e">
        <f ca="1">+P21-T21</f>
        <v>#NAME?</v>
      </c>
      <c r="Y21" s="2"/>
      <c r="Z21" s="6" t="e">
        <f ca="1">IF(T21=0,0,X21/T21)</f>
        <v>#NAME?</v>
      </c>
    </row>
    <row r="22" spans="1:26" s="70" customFormat="1" ht="15" hidden="1" customHeight="1" outlineLevel="2" x14ac:dyDescent="0.3">
      <c r="A22" s="26"/>
      <c r="B22" s="12" t="e">
        <f ca="1">CONCATENATE("          ",_xll.ONESTOP.REPORTPLAYER.OSRFUNCTIONS.OSRGET("d_Account","Code")," - ",_xll.ONESTOP.REPORTPLAYER.OSRFUNCTIONS.OSRGET("d_Account","Description"))</f>
        <v>#NAME?</v>
      </c>
      <c r="C22" s="12"/>
      <c r="D22" s="7" t="e">
        <f ca="1">_xll.ONESTOP.REPORTPLAYER.OSRFUNCTIONS.OSRGET("GL_F_Trans","Value1")</f>
        <v>#NAME?</v>
      </c>
      <c r="E22" s="3"/>
      <c r="F22" s="8" t="e">
        <f ca="1">IF(D$12=0,0,D22/D$12)</f>
        <v>#NAME?</v>
      </c>
      <c r="G22" s="3"/>
      <c r="H22" s="7" t="e">
        <f ca="1">_xll.ONESTOP.REPORTPLAYER.OSRFUNCTIONS.OSRGET("GL_F_Trans","Value1")</f>
        <v>#NAME?</v>
      </c>
      <c r="I22" s="3"/>
      <c r="J22" s="8" t="e">
        <f ca="1">IF(H$12=0,0,H22/H$12)</f>
        <v>#NAME?</v>
      </c>
      <c r="K22" s="3"/>
      <c r="L22" s="7" t="e">
        <f ca="1">+D22-H22</f>
        <v>#NAME?</v>
      </c>
      <c r="M22" s="3"/>
      <c r="N22" s="8" t="e">
        <f ca="1">IF(H22=0,0,L22/H22)</f>
        <v>#NAME?</v>
      </c>
      <c r="O22" s="12"/>
      <c r="P22" s="7" t="e">
        <f ca="1">_xll.ONESTOP.REPORTPLAYER.OSRFUNCTIONS.OSRGET("GL_F_Trans","Value1")</f>
        <v>#NAME?</v>
      </c>
      <c r="Q22" s="3"/>
      <c r="R22" s="8" t="e">
        <f ca="1">IF(P$12=0,0,P22/P$12)</f>
        <v>#NAME?</v>
      </c>
      <c r="S22" s="3"/>
      <c r="T22" s="7" t="e">
        <f ca="1">_xll.ONESTOP.REPORTPLAYER.OSRFUNCTIONS.OSRGET("GL_F_Trans","Value1")</f>
        <v>#NAME?</v>
      </c>
      <c r="U22" s="3"/>
      <c r="V22" s="8" t="e">
        <f ca="1">IF(T$12=0,0,T22/T$12)</f>
        <v>#NAME?</v>
      </c>
      <c r="W22" s="3"/>
      <c r="X22" s="7" t="e">
        <f ca="1">+P22-T22</f>
        <v>#NAME?</v>
      </c>
      <c r="Y22" s="3"/>
      <c r="Z22" s="8" t="e">
        <f ca="1">IF(T22=0,0,X22/T22)</f>
        <v>#NAME?</v>
      </c>
    </row>
    <row r="23" spans="1:26" s="65" customFormat="1" ht="15" customHeight="1" x14ac:dyDescent="0.3">
      <c r="A23" s="35"/>
      <c r="B23" s="35"/>
      <c r="C23" s="35"/>
      <c r="D23" s="2"/>
      <c r="E23" s="2"/>
      <c r="F23" s="6"/>
      <c r="G23" s="2"/>
      <c r="H23" s="2"/>
      <c r="I23" s="2"/>
      <c r="J23" s="6"/>
      <c r="K23" s="2"/>
      <c r="L23" s="2"/>
      <c r="M23" s="2"/>
      <c r="N23" s="6"/>
      <c r="O23" s="35"/>
      <c r="P23" s="2"/>
      <c r="Q23" s="2"/>
      <c r="R23" s="6"/>
      <c r="S23" s="2"/>
      <c r="T23" s="2"/>
      <c r="U23" s="2"/>
      <c r="V23" s="6"/>
      <c r="W23" s="2"/>
      <c r="X23" s="2"/>
      <c r="Y23" s="2"/>
      <c r="Z23" s="6"/>
    </row>
    <row r="24" spans="1:26" s="63" customFormat="1" ht="15" customHeight="1" collapsed="1" x14ac:dyDescent="0.3">
      <c r="A24" s="11"/>
      <c r="B24" s="28" t="s">
        <v>291</v>
      </c>
      <c r="C24" s="11"/>
      <c r="D24" s="5" t="e">
        <f ca="1">SUM(_xll.ONESTOP.REPORTPLAYER.OSRFUNCTIONS.OSRREF(D25))</f>
        <v>#NAME?</v>
      </c>
      <c r="E24" s="5"/>
      <c r="F24" s="13" t="e">
        <f ca="1">IF(D$12=0,0,D24/D$12)</f>
        <v>#NAME?</v>
      </c>
      <c r="G24" s="5"/>
      <c r="H24" s="5" t="e">
        <f ca="1">SUM(_xll.ONESTOP.REPORTPLAYER.OSRFUNCTIONS.OSRREF(H25))</f>
        <v>#NAME?</v>
      </c>
      <c r="I24" s="5"/>
      <c r="J24" s="13" t="e">
        <f ca="1">IF(H$12=0,0,H24/H$12)</f>
        <v>#NAME?</v>
      </c>
      <c r="K24" s="5"/>
      <c r="L24" s="5" t="e">
        <f ca="1">+D24-H24</f>
        <v>#NAME?</v>
      </c>
      <c r="M24" s="5"/>
      <c r="N24" s="13" t="e">
        <f ca="1">IF(H24=0,0,L24/H24)</f>
        <v>#NAME?</v>
      </c>
      <c r="O24" s="11"/>
      <c r="P24" s="5" t="e">
        <f ca="1">SUM(_xll.ONESTOP.REPORTPLAYER.OSRFUNCTIONS.OSRREF(P25))</f>
        <v>#NAME?</v>
      </c>
      <c r="Q24" s="5"/>
      <c r="R24" s="13" t="e">
        <f ca="1">IF(P$12=0,0,P24/P$12)</f>
        <v>#NAME?</v>
      </c>
      <c r="S24" s="5"/>
      <c r="T24" s="5" t="e">
        <f ca="1">SUM(_xll.ONESTOP.REPORTPLAYER.OSRFUNCTIONS.OSRREF(T25))</f>
        <v>#NAME?</v>
      </c>
      <c r="U24" s="5"/>
      <c r="V24" s="13" t="e">
        <f ca="1">IF(T$12=0,0,T24/T$12)</f>
        <v>#NAME?</v>
      </c>
      <c r="W24" s="5"/>
      <c r="X24" s="5" t="e">
        <f ca="1">+P24-T24</f>
        <v>#NAME?</v>
      </c>
      <c r="Y24" s="5"/>
      <c r="Z24" s="13" t="e">
        <f ca="1">IF(T24=0,0,X24/T24)</f>
        <v>#NAME?</v>
      </c>
    </row>
    <row r="25" spans="1:26" s="70" customFormat="1" ht="15" hidden="1" customHeight="1" outlineLevel="1" x14ac:dyDescent="0.3">
      <c r="A25" s="42"/>
      <c r="B25" s="12" t="e">
        <f ca="1">CONCATENATE("          ",_xll.ONESTOP.REPORTPLAYER.OSRFUNCTIONS.OSRGET("d_Account","Code")," - ",_xll.ONESTOP.REPORTPLAYER.OSRFUNCTIONS.OSRGET("d_Account","Description"))</f>
        <v>#NAME?</v>
      </c>
      <c r="C25" s="12"/>
      <c r="D25" s="3" t="e">
        <f ca="1">-_xll.ONESTOP.REPORTPLAYER.OSRFUNCTIONS.OSRGET("GL_F_Trans","Value1")</f>
        <v>#NAME?</v>
      </c>
      <c r="E25" s="3"/>
      <c r="F25" s="20" t="e">
        <f ca="1">IF(D$12=0,0,D25/D$12)</f>
        <v>#NAME?</v>
      </c>
      <c r="G25" s="3"/>
      <c r="H25" s="3" t="e">
        <f ca="1">_xll.ONESTOP.REPORTPLAYER.OSRFUNCTIONS.OSRGET("GL_F_Trans","Value1")</f>
        <v>#NAME?</v>
      </c>
      <c r="I25" s="3"/>
      <c r="J25" s="20" t="e">
        <f ca="1">IF(H$12=0,0,H25/H$12)</f>
        <v>#NAME?</v>
      </c>
      <c r="K25" s="3"/>
      <c r="L25" s="3" t="e">
        <f ca="1">+D25-H25</f>
        <v>#NAME?</v>
      </c>
      <c r="M25" s="3"/>
      <c r="N25" s="20" t="e">
        <f ca="1">IF(H25=0,0,L25/H25)</f>
        <v>#NAME?</v>
      </c>
      <c r="O25" s="12"/>
      <c r="P25" s="3" t="e">
        <f ca="1">-_xll.ONESTOP.REPORTPLAYER.OSRFUNCTIONS.OSRGET("GL_F_Trans","Value1")</f>
        <v>#NAME?</v>
      </c>
      <c r="Q25" s="3"/>
      <c r="R25" s="20" t="e">
        <f ca="1">IF(P$12=0,0,P25/P$12)</f>
        <v>#NAME?</v>
      </c>
      <c r="S25" s="3"/>
      <c r="T25" s="3" t="e">
        <f ca="1">_xll.ONESTOP.REPORTPLAYER.OSRFUNCTIONS.OSRGET("GL_F_Trans","Value1")</f>
        <v>#NAME?</v>
      </c>
      <c r="U25" s="3"/>
      <c r="V25" s="20" t="e">
        <f ca="1">IF(T$12=0,0,T25/T$12)</f>
        <v>#NAME?</v>
      </c>
      <c r="W25" s="3"/>
      <c r="X25" s="3" t="e">
        <f ca="1">+P25-T25</f>
        <v>#NAME?</v>
      </c>
      <c r="Y25" s="3"/>
      <c r="Z25" s="20" t="e">
        <f ca="1">IF(T25=0,0,X25/T25)</f>
        <v>#NAME?</v>
      </c>
    </row>
    <row r="26" spans="1:26" ht="15" customHeight="1" x14ac:dyDescent="0.3">
      <c r="A26" s="10"/>
      <c r="B26" s="11"/>
      <c r="C26" s="11"/>
      <c r="D26" s="4"/>
      <c r="E26" s="4"/>
      <c r="F26" s="9"/>
      <c r="G26" s="4"/>
      <c r="H26" s="4"/>
      <c r="I26" s="4"/>
      <c r="J26" s="9"/>
      <c r="K26" s="4"/>
      <c r="L26" s="4"/>
      <c r="M26" s="4"/>
      <c r="N26" s="9"/>
      <c r="O26" s="11"/>
      <c r="P26" s="4"/>
      <c r="Q26" s="4"/>
      <c r="R26" s="9"/>
      <c r="S26" s="4"/>
      <c r="T26" s="4"/>
      <c r="U26" s="4"/>
      <c r="V26" s="9"/>
      <c r="W26" s="4"/>
      <c r="X26" s="4"/>
      <c r="Y26" s="4"/>
      <c r="Z26" s="9"/>
    </row>
    <row r="27" spans="1:26" s="63" customFormat="1" ht="15" customHeight="1" x14ac:dyDescent="0.3">
      <c r="A27" s="11"/>
      <c r="B27" s="27" t="s">
        <v>292</v>
      </c>
      <c r="C27" s="27"/>
      <c r="D27" s="21" t="e">
        <f ca="1">+D18-D20+D24</f>
        <v>#NAME?</v>
      </c>
      <c r="E27" s="15"/>
      <c r="F27" s="23" t="e">
        <f ca="1">IF(D$12=0,0,D27/D$12)</f>
        <v>#NAME?</v>
      </c>
      <c r="G27" s="15"/>
      <c r="H27" s="21" t="e">
        <f ca="1">+H18-H20+H24</f>
        <v>#NAME?</v>
      </c>
      <c r="I27" s="15"/>
      <c r="J27" s="23" t="e">
        <f ca="1">IF(H$12=0,0,H27/H$12)</f>
        <v>#NAME?</v>
      </c>
      <c r="K27" s="16"/>
      <c r="L27" s="21" t="e">
        <f ca="1">+D27-H27</f>
        <v>#NAME?</v>
      </c>
      <c r="M27" s="16"/>
      <c r="N27" s="23" t="e">
        <f ca="1">IF(H27=0,0,L27/H27)</f>
        <v>#NAME?</v>
      </c>
      <c r="O27" s="28"/>
      <c r="P27" s="21" t="e">
        <f ca="1">+P18-P20+P24</f>
        <v>#NAME?</v>
      </c>
      <c r="Q27" s="15"/>
      <c r="R27" s="23" t="e">
        <f ca="1">IF(P$12=0,0,P27/P$12)</f>
        <v>#NAME?</v>
      </c>
      <c r="S27" s="15"/>
      <c r="T27" s="21" t="e">
        <f ca="1">+T18-T20+T24</f>
        <v>#NAME?</v>
      </c>
      <c r="U27" s="15"/>
      <c r="V27" s="23" t="e">
        <f ca="1">IF(T$12=0,0,T27/T$12)</f>
        <v>#NAME?</v>
      </c>
      <c r="W27" s="16"/>
      <c r="X27" s="21" t="e">
        <f ca="1">+P27-T27</f>
        <v>#NAME?</v>
      </c>
      <c r="Y27" s="16"/>
      <c r="Z27" s="23" t="e">
        <f ca="1">IF(T27=0,0,X27/T27)</f>
        <v>#NAME?</v>
      </c>
    </row>
    <row r="28" spans="1:26" ht="15" customHeight="1" x14ac:dyDescent="0.3">
      <c r="A28" s="10"/>
      <c r="B28" s="11"/>
      <c r="C28" s="10"/>
      <c r="D28" s="4"/>
      <c r="E28" s="4"/>
      <c r="F28" s="9"/>
      <c r="G28" s="4"/>
      <c r="H28" s="4"/>
      <c r="I28" s="4"/>
      <c r="J28" s="9"/>
      <c r="K28" s="4"/>
      <c r="L28" s="4"/>
      <c r="M28" s="4"/>
      <c r="N28" s="9"/>
      <c r="P28" s="4"/>
      <c r="Q28" s="4"/>
      <c r="R28" s="9"/>
      <c r="S28" s="4"/>
      <c r="T28" s="4"/>
      <c r="U28" s="4"/>
      <c r="V28" s="9"/>
      <c r="W28" s="4"/>
      <c r="X28" s="4"/>
      <c r="Y28" s="4"/>
      <c r="Z28" s="9"/>
    </row>
    <row r="29" spans="1:26" s="63" customFormat="1" ht="15" customHeight="1" x14ac:dyDescent="0.3">
      <c r="A29" s="49"/>
      <c r="B29" s="11" t="s">
        <v>293</v>
      </c>
      <c r="C29" s="11"/>
      <c r="D29" s="5" t="e">
        <f ca="1">_xll.ONESTOP.REPORTPLAYER.OSRFUNCTIONS.OSRGET("GL_F_Trans","Value1")</f>
        <v>#NAME?</v>
      </c>
      <c r="E29" s="5"/>
      <c r="F29" s="13" t="e">
        <f ca="1">IF(D$12=0,0,D29/D$12)</f>
        <v>#NAME?</v>
      </c>
      <c r="G29" s="5"/>
      <c r="H29" s="5" t="e">
        <f ca="1">_xll.ONESTOP.REPORTPLAYER.OSRFUNCTIONS.OSRGET("GL_F_Trans","Value1")</f>
        <v>#NAME?</v>
      </c>
      <c r="I29" s="5"/>
      <c r="J29" s="13" t="e">
        <f ca="1">IF(H$12=0,0,H29/H$12)</f>
        <v>#NAME?</v>
      </c>
      <c r="K29" s="5"/>
      <c r="L29" s="5" t="e">
        <f ca="1">+D29-H29</f>
        <v>#NAME?</v>
      </c>
      <c r="M29" s="5"/>
      <c r="N29" s="13" t="e">
        <f ca="1">IF(H29=0,0,L29/H29)</f>
        <v>#NAME?</v>
      </c>
      <c r="O29" s="11"/>
      <c r="P29" s="5" t="e">
        <f ca="1">_xll.ONESTOP.REPORTPLAYER.OSRFUNCTIONS.OSRGET("GL_F_Trans","Value1")</f>
        <v>#NAME?</v>
      </c>
      <c r="Q29" s="5"/>
      <c r="R29" s="13" t="e">
        <f ca="1">IF(P$12=0,0,P29/P$12)</f>
        <v>#NAME?</v>
      </c>
      <c r="S29" s="5"/>
      <c r="T29" s="5" t="e">
        <f ca="1">_xll.ONESTOP.REPORTPLAYER.OSRFUNCTIONS.OSRGET("GL_F_Trans","Value1")</f>
        <v>#NAME?</v>
      </c>
      <c r="U29" s="5"/>
      <c r="V29" s="13" t="e">
        <f ca="1">IF(T$12=0,0,T29/T$12)</f>
        <v>#NAME?</v>
      </c>
      <c r="W29" s="5"/>
      <c r="X29" s="5" t="e">
        <f ca="1">+P29-T29</f>
        <v>#NAME?</v>
      </c>
      <c r="Y29" s="5"/>
      <c r="Z29" s="13" t="e">
        <f ca="1">IF(T29=0,0,X29/T29)</f>
        <v>#NAME?</v>
      </c>
    </row>
    <row r="30" spans="1:26" ht="15" customHeight="1" x14ac:dyDescent="0.3">
      <c r="A30" s="10"/>
      <c r="B30" s="11"/>
      <c r="C30" s="11"/>
      <c r="D30" s="4"/>
      <c r="E30" s="4"/>
      <c r="F30" s="9"/>
      <c r="G30" s="4"/>
      <c r="H30" s="4"/>
      <c r="I30" s="4"/>
      <c r="J30" s="9"/>
      <c r="K30" s="4"/>
      <c r="L30" s="4"/>
      <c r="M30" s="4"/>
      <c r="N30" s="9"/>
      <c r="O30" s="11"/>
      <c r="P30" s="4"/>
      <c r="Q30" s="4"/>
      <c r="R30" s="9"/>
      <c r="S30" s="4"/>
      <c r="T30" s="4"/>
      <c r="U30" s="4"/>
      <c r="V30" s="9"/>
      <c r="W30" s="4"/>
      <c r="X30" s="4"/>
      <c r="Y30" s="4"/>
      <c r="Z30" s="9"/>
    </row>
    <row r="31" spans="1:26" s="63" customFormat="1" ht="15" customHeight="1" x14ac:dyDescent="0.3">
      <c r="A31" s="11"/>
      <c r="B31" s="27" t="s">
        <v>294</v>
      </c>
      <c r="C31" s="27"/>
      <c r="D31" s="34" t="e">
        <f ca="1">+D27-D29</f>
        <v>#NAME?</v>
      </c>
      <c r="E31" s="15"/>
      <c r="F31" s="29" t="e">
        <f ca="1">IF(D$12=0,0,D31/D$12)</f>
        <v>#NAME?</v>
      </c>
      <c r="G31" s="15"/>
      <c r="H31" s="34" t="e">
        <f ca="1">+H27-H29</f>
        <v>#NAME?</v>
      </c>
      <c r="I31" s="15"/>
      <c r="J31" s="29" t="e">
        <f ca="1">IF(H$12=0,0,H31/H$12)</f>
        <v>#NAME?</v>
      </c>
      <c r="K31" s="16"/>
      <c r="L31" s="34" t="e">
        <f ca="1">D31-H31</f>
        <v>#NAME?</v>
      </c>
      <c r="M31" s="16"/>
      <c r="N31" s="29" t="e">
        <f ca="1">IF(H31=0,0,L31/H31)</f>
        <v>#NAME?</v>
      </c>
      <c r="O31" s="28"/>
      <c r="P31" s="34" t="e">
        <f ca="1">+P27-P29</f>
        <v>#NAME?</v>
      </c>
      <c r="Q31" s="15"/>
      <c r="R31" s="29" t="e">
        <f ca="1">IF(P$12=0,0,P31/P$12)</f>
        <v>#NAME?</v>
      </c>
      <c r="S31" s="15"/>
      <c r="T31" s="34" t="e">
        <f ca="1">+T27-T29</f>
        <v>#NAME?</v>
      </c>
      <c r="U31" s="15"/>
      <c r="V31" s="29" t="e">
        <f ca="1">IF(T$12=0,0,T31/T$12)</f>
        <v>#NAME?</v>
      </c>
      <c r="W31" s="16"/>
      <c r="X31" s="34" t="e">
        <f ca="1">P31-T31</f>
        <v>#NAME?</v>
      </c>
      <c r="Y31" s="16"/>
      <c r="Z31" s="29" t="e">
        <f ca="1">IF(T31=0,0,X31/T31)</f>
        <v>#NAME?</v>
      </c>
    </row>
    <row r="32" spans="1:26" ht="15" customHeight="1" x14ac:dyDescent="0.3">
      <c r="A32" s="10"/>
      <c r="B32" s="10"/>
      <c r="C32" s="10"/>
      <c r="D32" s="4"/>
      <c r="E32" s="4"/>
      <c r="F32" s="9"/>
      <c r="G32" s="4"/>
      <c r="H32" s="4"/>
      <c r="I32" s="4"/>
      <c r="J32" s="9"/>
      <c r="K32" s="4"/>
      <c r="L32" s="4"/>
      <c r="M32" s="4"/>
      <c r="N32" s="9"/>
      <c r="P32" s="4"/>
      <c r="Q32" s="4"/>
      <c r="R32" s="9"/>
      <c r="S32" s="4"/>
      <c r="T32" s="4"/>
      <c r="U32" s="4"/>
      <c r="V32" s="9"/>
      <c r="W32" s="4"/>
      <c r="X32" s="4"/>
      <c r="Y32" s="4"/>
      <c r="Z32" s="9"/>
    </row>
    <row r="33" spans="1:26" s="63" customFormat="1" ht="15" customHeight="1" x14ac:dyDescent="0.3">
      <c r="A33" s="49"/>
      <c r="B33" s="11" t="s">
        <v>295</v>
      </c>
      <c r="C33" s="11"/>
      <c r="D33" s="5" t="e">
        <f ca="1">-_xll.ONESTOP.REPORTPLAYER.OSRFUNCTIONS.OSRGET("GL_F_Trans","Value1")</f>
        <v>#NAME?</v>
      </c>
      <c r="E33" s="5"/>
      <c r="F33" s="13" t="e">
        <f ca="1">IF(D$12=0,0,D33/D$12)</f>
        <v>#NAME?</v>
      </c>
      <c r="G33" s="5"/>
      <c r="H33" s="5" t="e">
        <f ca="1">-_xll.ONESTOP.REPORTPLAYER.OSRFUNCTIONS.OSRGET("GL_F_Trans","Value1")</f>
        <v>#NAME?</v>
      </c>
      <c r="I33" s="5"/>
      <c r="J33" s="13" t="e">
        <f ca="1">IF(H$12=0,0,H33/H$12)</f>
        <v>#NAME?</v>
      </c>
      <c r="K33" s="5"/>
      <c r="L33" s="5" t="e">
        <f ca="1">+D33-H33</f>
        <v>#NAME?</v>
      </c>
      <c r="M33" s="5"/>
      <c r="N33" s="13" t="e">
        <f ca="1">IF(H33=0,0,L33/H33)</f>
        <v>#NAME?</v>
      </c>
      <c r="O33" s="11"/>
      <c r="P33" s="5" t="e">
        <f ca="1">-_xll.ONESTOP.REPORTPLAYER.OSRFUNCTIONS.OSRGET("GL_F_Trans","Value1")</f>
        <v>#NAME?</v>
      </c>
      <c r="Q33" s="5"/>
      <c r="R33" s="13" t="e">
        <f ca="1">IF(P$12=0,0,P33/P$12)</f>
        <v>#NAME?</v>
      </c>
      <c r="S33" s="5"/>
      <c r="T33" s="5" t="e">
        <f ca="1">-_xll.ONESTOP.REPORTPLAYER.OSRFUNCTIONS.OSRGET("GL_F_Trans","Value1")</f>
        <v>#NAME?</v>
      </c>
      <c r="U33" s="5"/>
      <c r="V33" s="13" t="e">
        <f ca="1">IF(T$12=0,0,T33/T$12)</f>
        <v>#NAME?</v>
      </c>
      <c r="W33" s="5"/>
      <c r="X33" s="5" t="e">
        <f ca="1">+P33-T33</f>
        <v>#NAME?</v>
      </c>
      <c r="Y33" s="5"/>
      <c r="Z33" s="13" t="e">
        <f ca="1">IF(T33=0,0,X33/T33)</f>
        <v>#NAME?</v>
      </c>
    </row>
    <row r="34" spans="1:26" s="63" customFormat="1" ht="15" customHeight="1" x14ac:dyDescent="0.3">
      <c r="A34" s="49"/>
      <c r="B34" s="11" t="s">
        <v>296</v>
      </c>
      <c r="C34" s="11"/>
      <c r="D34" s="5" t="e">
        <f ca="1">-_xll.ONESTOP.REPORTPLAYER.OSRFUNCTIONS.OSRGET("GL_F_Trans","Value1")</f>
        <v>#NAME?</v>
      </c>
      <c r="E34" s="5"/>
      <c r="F34" s="13" t="e">
        <f ca="1">IF(D$12=0,0,D34/D$12)</f>
        <v>#NAME?</v>
      </c>
      <c r="G34" s="5"/>
      <c r="H34" s="5" t="e">
        <f ca="1">-_xll.ONESTOP.REPORTPLAYER.OSRFUNCTIONS.OSRGET("GL_F_Trans","Value1")</f>
        <v>#NAME?</v>
      </c>
      <c r="I34" s="5"/>
      <c r="J34" s="13" t="e">
        <f ca="1">IF(H$12=0,0,H34/H$12)</f>
        <v>#NAME?</v>
      </c>
      <c r="K34" s="5"/>
      <c r="L34" s="5" t="e">
        <f ca="1">+D34-H34</f>
        <v>#NAME?</v>
      </c>
      <c r="M34" s="5"/>
      <c r="N34" s="13" t="e">
        <f ca="1">IF(H34=0,0,L34/H34)</f>
        <v>#NAME?</v>
      </c>
      <c r="O34" s="11"/>
      <c r="P34" s="5" t="e">
        <f ca="1">-_xll.ONESTOP.REPORTPLAYER.OSRFUNCTIONS.OSRGET("GL_F_Trans","Value1")</f>
        <v>#NAME?</v>
      </c>
      <c r="Q34" s="5"/>
      <c r="R34" s="13" t="e">
        <f ca="1">IF(P$12=0,0,P34/P$12)</f>
        <v>#NAME?</v>
      </c>
      <c r="S34" s="5"/>
      <c r="T34" s="5" t="e">
        <f ca="1">-_xll.ONESTOP.REPORTPLAYER.OSRFUNCTIONS.OSRGET("GL_F_Trans","Value1")</f>
        <v>#NAME?</v>
      </c>
      <c r="U34" s="5"/>
      <c r="V34" s="13" t="e">
        <f ca="1">IF(T$12=0,0,T34/T$12)</f>
        <v>#NAME?</v>
      </c>
      <c r="W34" s="5"/>
      <c r="X34" s="5" t="e">
        <f ca="1">+P34-T34</f>
        <v>#NAME?</v>
      </c>
      <c r="Y34" s="5"/>
      <c r="Z34" s="13" t="e">
        <f ca="1">IF(T34=0,0,X34/T34)</f>
        <v>#NAME?</v>
      </c>
    </row>
    <row r="35" spans="1:26" ht="15" customHeight="1" x14ac:dyDescent="0.3">
      <c r="A35" s="10"/>
      <c r="B35" s="10"/>
      <c r="C35" s="10"/>
      <c r="D35" s="4"/>
      <c r="E35" s="4"/>
      <c r="F35" s="9"/>
      <c r="G35" s="4"/>
      <c r="H35" s="4"/>
      <c r="I35" s="4"/>
      <c r="J35" s="9"/>
      <c r="K35" s="4"/>
      <c r="L35" s="4"/>
      <c r="M35" s="4"/>
      <c r="N35" s="9"/>
      <c r="P35" s="4"/>
      <c r="Q35" s="4"/>
      <c r="R35" s="9"/>
      <c r="S35" s="4"/>
      <c r="T35" s="4"/>
      <c r="U35" s="4"/>
      <c r="V35" s="9"/>
      <c r="W35" s="4"/>
      <c r="X35" s="4"/>
      <c r="Y35" s="4"/>
      <c r="Z35" s="9"/>
    </row>
    <row r="36" spans="1:26" s="63" customFormat="1" ht="15" customHeight="1" x14ac:dyDescent="0.3">
      <c r="A36" s="11"/>
      <c r="B36" s="27" t="s">
        <v>297</v>
      </c>
      <c r="C36" s="27"/>
      <c r="D36" s="32" t="e">
        <f ca="1">SUM(D31:D35)</f>
        <v>#NAME?</v>
      </c>
      <c r="E36" s="15"/>
      <c r="F36" s="31" t="e">
        <f ca="1">IF(D$12=0,0,D36/D$12)</f>
        <v>#NAME?</v>
      </c>
      <c r="G36" s="15"/>
      <c r="H36" s="32" t="e">
        <f ca="1">SUM(H31:H35)</f>
        <v>#NAME?</v>
      </c>
      <c r="I36" s="15"/>
      <c r="J36" s="31" t="e">
        <f ca="1">IF(H$12=0,0,H36/H$12)</f>
        <v>#NAME?</v>
      </c>
      <c r="K36" s="16"/>
      <c r="L36" s="32" t="e">
        <f ca="1">+D36-H36</f>
        <v>#NAME?</v>
      </c>
      <c r="M36" s="16"/>
      <c r="N36" s="31" t="e">
        <f ca="1">IF(H36=0,0,L36/H36)</f>
        <v>#NAME?</v>
      </c>
      <c r="O36" s="28"/>
      <c r="P36" s="32" t="e">
        <f ca="1">SUM(P31:P35)</f>
        <v>#NAME?</v>
      </c>
      <c r="Q36" s="15"/>
      <c r="R36" s="31" t="e">
        <f ca="1">IF(P$12=0,0,P36/P$12)</f>
        <v>#NAME?</v>
      </c>
      <c r="S36" s="15"/>
      <c r="T36" s="32" t="e">
        <f ca="1">SUM(T31:T35)</f>
        <v>#NAME?</v>
      </c>
      <c r="U36" s="15"/>
      <c r="V36" s="31" t="e">
        <f ca="1">IF(T$12=0,0,T36/T$12)</f>
        <v>#NAME?</v>
      </c>
      <c r="W36" s="16"/>
      <c r="X36" s="32" t="e">
        <f ca="1">+P36-T36</f>
        <v>#NAME?</v>
      </c>
      <c r="Y36" s="16"/>
      <c r="Z36" s="31" t="e">
        <f ca="1">IF(T36=0,0,X36/T36)</f>
        <v>#NAME?</v>
      </c>
    </row>
    <row r="37" spans="1:26" ht="15" customHeight="1" x14ac:dyDescent="0.3">
      <c r="A37" s="10"/>
      <c r="C37" s="10"/>
      <c r="D37" s="19"/>
      <c r="E37" s="19"/>
      <c r="G37" s="19"/>
      <c r="H37" s="19"/>
      <c r="I37" s="19"/>
      <c r="J37" s="40"/>
      <c r="K37" s="19"/>
      <c r="L37" s="19"/>
      <c r="M37" s="19"/>
      <c r="P37" s="19"/>
      <c r="Q37" s="19"/>
      <c r="R37" s="40"/>
      <c r="S37" s="19"/>
      <c r="T37" s="19"/>
      <c r="U37" s="19"/>
      <c r="V37" s="40"/>
      <c r="W37" s="19"/>
      <c r="X37" s="19"/>
    </row>
    <row r="38" spans="1:26" ht="15" customHeight="1" x14ac:dyDescent="0.3">
      <c r="A38" s="10"/>
      <c r="B38" s="51" t="e">
        <f ca="1">_xll.ONESTOP.REPORTPLAYER.OSRFUNCTIONS.OSRGET("CurrentDate","Date")</f>
        <v>#NAME?</v>
      </c>
      <c r="D38" s="19"/>
      <c r="E38" s="19"/>
      <c r="G38" s="19"/>
      <c r="H38" s="19"/>
      <c r="I38" s="19"/>
      <c r="J38" s="40"/>
      <c r="K38" s="19"/>
      <c r="L38" s="19"/>
      <c r="M38" s="19"/>
      <c r="P38" s="19"/>
      <c r="Q38" s="19"/>
      <c r="R38" s="40"/>
      <c r="S38" s="19"/>
      <c r="T38" s="19"/>
      <c r="U38" s="19"/>
      <c r="V38" s="40"/>
      <c r="W38" s="19"/>
      <c r="X38" s="19"/>
    </row>
    <row r="39" spans="1:26" ht="15" customHeight="1" x14ac:dyDescent="0.3">
      <c r="A39" s="10"/>
      <c r="B39" s="58" t="e">
        <f ca="1">_xll.ONESTOP.REPORTPLAYER.OSRFUNCTIONS.OSRGET("User","UserId")</f>
        <v>#NAME?</v>
      </c>
      <c r="D39" s="19"/>
      <c r="E39" s="19"/>
      <c r="G39" s="19"/>
      <c r="H39" s="19"/>
      <c r="I39" s="19"/>
      <c r="J39" s="40"/>
      <c r="K39" s="19"/>
      <c r="L39" s="19"/>
      <c r="M39" s="19"/>
      <c r="P39" s="19"/>
      <c r="Q39" s="19"/>
      <c r="R39" s="40"/>
      <c r="S39" s="19"/>
      <c r="T39" s="19"/>
      <c r="U39" s="19"/>
      <c r="V39" s="40"/>
      <c r="W39" s="19"/>
      <c r="X39" s="19"/>
    </row>
    <row r="40" spans="1:26" ht="15" customHeight="1" x14ac:dyDescent="0.3">
      <c r="A40" s="10"/>
      <c r="B40" s="50"/>
      <c r="D40" s="19"/>
      <c r="E40" s="19"/>
      <c r="G40" s="19"/>
      <c r="H40" s="19"/>
      <c r="I40" s="19"/>
      <c r="J40" s="40"/>
      <c r="K40" s="19"/>
      <c r="L40" s="19"/>
      <c r="M40" s="19"/>
      <c r="P40" s="19"/>
      <c r="Q40" s="19"/>
      <c r="R40" s="40"/>
      <c r="S40" s="19"/>
      <c r="T40" s="19"/>
      <c r="U40" s="19"/>
      <c r="V40" s="40"/>
      <c r="W40" s="19"/>
      <c r="X40" s="19"/>
    </row>
    <row r="41" spans="1:26" ht="15" customHeight="1" x14ac:dyDescent="0.3">
      <c r="D41" s="19"/>
      <c r="E41" s="19"/>
      <c r="G41" s="19"/>
      <c r="H41" s="19"/>
      <c r="I41" s="19"/>
      <c r="J41" s="40"/>
      <c r="K41" s="19"/>
      <c r="L41" s="19"/>
      <c r="M41" s="19"/>
      <c r="P41" s="19"/>
      <c r="Q41" s="19"/>
      <c r="R41" s="40"/>
      <c r="S41" s="19"/>
      <c r="T41" s="19"/>
      <c r="U41" s="19"/>
      <c r="V41" s="40"/>
      <c r="W41" s="19"/>
      <c r="X41" s="19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C41948-95A5-F293-172C-7251C79DE12E}">
  <sheetPr>
    <tabColor rgb="FF92D050"/>
    <outlinePr summaryBelow="0" summaryRight="0"/>
  </sheetPr>
  <dimension ref="A2:Z41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6" customWidth="1"/>
    <col min="2" max="2" width="33.44140625" style="66" customWidth="1"/>
    <col min="3" max="3" width="1.88671875" style="66" customWidth="1"/>
    <col min="4" max="4" width="15" style="66" customWidth="1"/>
    <col min="5" max="5" width="1.88671875" style="66" customWidth="1" outlineLevel="1"/>
    <col min="6" max="6" width="15" style="67" customWidth="1" outlineLevel="1"/>
    <col min="7" max="7" width="1.88671875" style="66" customWidth="1" outlineLevel="1"/>
    <col min="8" max="8" width="15" style="66" customWidth="1" outlineLevel="1"/>
    <col min="9" max="9" width="1.88671875" style="66" customWidth="1" outlineLevel="1"/>
    <col min="10" max="10" width="15" style="68" customWidth="1" outlineLevel="1"/>
    <col min="11" max="11" width="1.88671875" style="66" customWidth="1" outlineLevel="1"/>
    <col min="12" max="12" width="15" style="66" customWidth="1" outlineLevel="1"/>
    <col min="13" max="13" width="1.88671875" style="66" customWidth="1" outlineLevel="1"/>
    <col min="14" max="14" width="15" style="67" customWidth="1" outlineLevel="1"/>
    <col min="15" max="15" width="1.88671875" style="64" customWidth="1"/>
    <col min="16" max="16" width="15" style="66" customWidth="1"/>
    <col min="17" max="17" width="1.88671875" style="66" customWidth="1" outlineLevel="1"/>
    <col min="18" max="18" width="15" style="68" customWidth="1" outlineLevel="1"/>
    <col min="19" max="19" width="1.88671875" style="66" customWidth="1" outlineLevel="1"/>
    <col min="20" max="20" width="15" style="66" customWidth="1" outlineLevel="1"/>
    <col min="21" max="21" width="1.88671875" style="66" customWidth="1" outlineLevel="1"/>
    <col min="22" max="22" width="15" style="68" customWidth="1" outlineLevel="1"/>
    <col min="23" max="23" width="1.88671875" style="66" customWidth="1" outlineLevel="1"/>
    <col min="24" max="24" width="15" style="66" customWidth="1" outlineLevel="1"/>
    <col min="25" max="25" width="1.88671875" style="66" customWidth="1" outlineLevel="1"/>
    <col min="26" max="26" width="15" style="68" customWidth="1" outlineLevel="1"/>
  </cols>
  <sheetData>
    <row r="2" spans="1:26" ht="15" customHeight="1" x14ac:dyDescent="0.3">
      <c r="D2" s="54" t="s">
        <v>276</v>
      </c>
    </row>
    <row r="3" spans="1:26" ht="15" customHeight="1" x14ac:dyDescent="0.3">
      <c r="D3" s="54" t="s">
        <v>277</v>
      </c>
      <c r="E3" s="18"/>
      <c r="F3" s="44"/>
      <c r="G3" s="18"/>
      <c r="H3" s="18"/>
      <c r="I3" s="18"/>
      <c r="J3" s="38"/>
      <c r="K3" s="18"/>
      <c r="L3" s="18"/>
      <c r="M3" s="18"/>
      <c r="N3" s="44"/>
      <c r="O3" s="53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ht="15" customHeight="1" x14ac:dyDescent="0.3">
      <c r="D4" s="54" t="e">
        <f ca="1">CONCATENATE("Period ",RIGHT(_xll.ONESTOP.REPORTPLAYER.OSRFUNCTIONS.OSRGET("Period","PeriodId"),2),", ",_xll.ONESTOP.REPORTPLAYER.OSRFUNCTIONS.OSRGET("Period","Year"))</f>
        <v>#NAME?</v>
      </c>
      <c r="E4" s="18"/>
      <c r="F4" s="44"/>
      <c r="G4" s="18"/>
      <c r="H4" s="18"/>
      <c r="I4" s="18"/>
      <c r="J4" s="38"/>
      <c r="K4" s="18"/>
      <c r="L4" s="18"/>
      <c r="M4" s="18"/>
      <c r="N4" s="44"/>
      <c r="O4" s="53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ht="15" customHeight="1" x14ac:dyDescent="0.3">
      <c r="A5" s="24"/>
      <c r="D5" s="61" t="e">
        <f ca="1">_xll.ONESTOP.REPORTPLAYER.OSRFUNCTIONS.OSRGET("Period","PeriodEnd")</f>
        <v>#NAME?</v>
      </c>
      <c r="E5" s="18"/>
      <c r="F5" s="44"/>
      <c r="G5" s="18"/>
      <c r="H5" s="18"/>
      <c r="I5" s="18"/>
      <c r="J5" s="38"/>
      <c r="K5" s="18"/>
      <c r="L5" s="18"/>
      <c r="M5" s="18"/>
      <c r="N5" s="44"/>
      <c r="O5" s="53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ht="15" customHeight="1" x14ac:dyDescent="0.3">
      <c r="A6" s="24"/>
      <c r="B6" s="47"/>
      <c r="C6" s="47"/>
      <c r="D6" s="24" t="e">
        <f ca="1">CONCATENATE("Department ",_xll.ONESTOP.REPORTPLAYER.OSRFUNCTIONS.OSRGET("d_dim0","Code")," - ",_xll.ONESTOP.REPORTPLAYER.OSRFUNCTIONS.OSRGET("d_dim0","Description"))</f>
        <v>#NAME?</v>
      </c>
      <c r="E6" s="18"/>
      <c r="F6" s="44"/>
      <c r="G6" s="18"/>
      <c r="H6" s="18"/>
      <c r="I6" s="18"/>
      <c r="J6" s="38"/>
      <c r="K6" s="18"/>
      <c r="L6" s="18"/>
      <c r="M6" s="18"/>
      <c r="N6" s="44"/>
      <c r="O6" s="59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ht="15" customHeight="1" x14ac:dyDescent="0.3">
      <c r="B7" s="52"/>
    </row>
    <row r="8" spans="1:26" ht="15" customHeight="1" x14ac:dyDescent="0.3">
      <c r="B8" s="52"/>
    </row>
    <row r="9" spans="1:26" ht="15" customHeight="1" x14ac:dyDescent="0.3">
      <c r="B9" s="10"/>
      <c r="C9" s="10"/>
      <c r="D9" s="17" t="s">
        <v>279</v>
      </c>
      <c r="E9" s="17"/>
      <c r="F9" s="36"/>
      <c r="G9" s="17"/>
      <c r="H9" s="17"/>
      <c r="I9" s="17"/>
      <c r="J9" s="43"/>
      <c r="K9" s="17"/>
      <c r="L9" s="17"/>
      <c r="M9" s="17"/>
      <c r="N9" s="36"/>
      <c r="P9" s="17" t="s">
        <v>280</v>
      </c>
      <c r="Q9" s="17"/>
      <c r="R9" s="36"/>
      <c r="S9" s="17"/>
      <c r="T9" s="17"/>
      <c r="U9" s="17"/>
      <c r="V9" s="43"/>
      <c r="W9" s="17"/>
      <c r="X9" s="17"/>
      <c r="Y9" s="17"/>
      <c r="Z9" s="36"/>
    </row>
    <row r="10" spans="1:26" ht="15" customHeight="1" x14ac:dyDescent="0.3">
      <c r="A10" s="11"/>
      <c r="B10" s="57"/>
      <c r="C10" s="11"/>
      <c r="D10" s="41" t="s">
        <v>281</v>
      </c>
      <c r="E10" s="33"/>
      <c r="F10" s="37" t="s">
        <v>282</v>
      </c>
      <c r="G10" s="33"/>
      <c r="H10" s="48" t="s">
        <v>283</v>
      </c>
      <c r="I10" s="33"/>
      <c r="J10" s="45" t="s">
        <v>284</v>
      </c>
      <c r="K10" s="11"/>
      <c r="L10" s="41" t="s">
        <v>285</v>
      </c>
      <c r="M10" s="11"/>
      <c r="N10" s="37" t="s">
        <v>286</v>
      </c>
      <c r="O10" s="11"/>
      <c r="P10" s="56" t="s">
        <v>281</v>
      </c>
      <c r="Q10" s="33"/>
      <c r="R10" s="37" t="s">
        <v>282</v>
      </c>
      <c r="S10" s="33"/>
      <c r="T10" s="48" t="s">
        <v>283</v>
      </c>
      <c r="U10" s="33"/>
      <c r="V10" s="45" t="s">
        <v>284</v>
      </c>
      <c r="W10" s="11"/>
      <c r="X10" s="41" t="s">
        <v>285</v>
      </c>
      <c r="Y10" s="11"/>
      <c r="Z10" s="37" t="s">
        <v>286</v>
      </c>
    </row>
    <row r="11" spans="1:26" ht="16.5" customHeight="1" x14ac:dyDescent="0.3">
      <c r="A11" s="10"/>
      <c r="B11" s="55"/>
      <c r="C11" s="10"/>
      <c r="D11" s="10"/>
      <c r="E11" s="10"/>
      <c r="F11" s="9"/>
      <c r="G11" s="10"/>
      <c r="H11" s="10"/>
      <c r="I11" s="10"/>
      <c r="J11" s="46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6"/>
      <c r="W11" s="10"/>
      <c r="X11" s="10"/>
      <c r="Y11" s="10"/>
      <c r="Z11" s="9"/>
    </row>
    <row r="12" spans="1:26" s="63" customFormat="1" ht="15" customHeight="1" collapsed="1" x14ac:dyDescent="0.3">
      <c r="A12" s="11"/>
      <c r="B12" s="28" t="s">
        <v>287</v>
      </c>
      <c r="C12" s="11"/>
      <c r="D12" s="5" t="e">
        <f ca="1">SUM(_xll.ONESTOP.REPORTPLAYER.OSRFUNCTIONS.OSRREF(D13))</f>
        <v>#NAME?</v>
      </c>
      <c r="E12" s="5"/>
      <c r="F12" s="13"/>
      <c r="G12" s="5"/>
      <c r="H12" s="5" t="e">
        <f ca="1">SUM(_xll.ONESTOP.REPORTPLAYER.OSRFUNCTIONS.OSRREF(H13))</f>
        <v>#NAME?</v>
      </c>
      <c r="I12" s="5"/>
      <c r="J12" s="13"/>
      <c r="K12" s="5"/>
      <c r="L12" s="5" t="e">
        <f ca="1">+D12-H12</f>
        <v>#NAME?</v>
      </c>
      <c r="M12" s="5"/>
      <c r="N12" s="13" t="e">
        <f ca="1">IF(H12=0,0,L12/H12)</f>
        <v>#NAME?</v>
      </c>
      <c r="O12" s="11"/>
      <c r="P12" s="5" t="e">
        <f ca="1">SUM(_xll.ONESTOP.REPORTPLAYER.OSRFUNCTIONS.OSRREF(P13))</f>
        <v>#NAME?</v>
      </c>
      <c r="Q12" s="5"/>
      <c r="R12" s="13"/>
      <c r="S12" s="5"/>
      <c r="T12" s="5" t="e">
        <f ca="1">SUM(_xll.ONESTOP.REPORTPLAYER.OSRFUNCTIONS.OSRREF(T13))</f>
        <v>#NAME?</v>
      </c>
      <c r="U12" s="5"/>
      <c r="V12" s="13"/>
      <c r="W12" s="5"/>
      <c r="X12" s="5" t="e">
        <f ca="1">+P12-T12</f>
        <v>#NAME?</v>
      </c>
      <c r="Y12" s="5"/>
      <c r="Z12" s="13" t="e">
        <f ca="1">IF(T12=0,0,X12/T12)</f>
        <v>#NAME?</v>
      </c>
    </row>
    <row r="13" spans="1:26" s="70" customFormat="1" ht="15" hidden="1" customHeight="1" outlineLevel="1" x14ac:dyDescent="0.3">
      <c r="A13" s="42"/>
      <c r="B13" s="12" t="e">
        <f ca="1">CONCATENATE("          ",_xll.ONESTOP.REPORTPLAYER.OSRFUNCTIONS.OSRGET("d_Account","Code")," - ",_xll.ONESTOP.REPORTPLAYER.OSRFUNCTIONS.OSRGET("d_Account","Description"))</f>
        <v>#NAME?</v>
      </c>
      <c r="C13" s="12"/>
      <c r="D13" s="3" t="e">
        <f ca="1">-_xll.ONESTOP.REPORTPLAYER.OSRFUNCTIONS.OSRGET("GL_F_Trans","Value1")</f>
        <v>#NAME?</v>
      </c>
      <c r="E13" s="3"/>
      <c r="F13" s="20"/>
      <c r="G13" s="3"/>
      <c r="H13" s="3" t="e">
        <f ca="1">_xll.ONESTOP.REPORTPLAYER.OSRFUNCTIONS.OSRGET("GL_F_Trans","Value1")</f>
        <v>#NAME?</v>
      </c>
      <c r="I13" s="3"/>
      <c r="J13" s="20"/>
      <c r="K13" s="3"/>
      <c r="L13" s="3" t="e">
        <f ca="1">+D13-H13</f>
        <v>#NAME?</v>
      </c>
      <c r="M13" s="3"/>
      <c r="N13" s="20" t="e">
        <f ca="1">IF(H13=0,0,L13/H13)</f>
        <v>#NAME?</v>
      </c>
      <c r="O13" s="12"/>
      <c r="P13" s="3" t="e">
        <f ca="1">-_xll.ONESTOP.REPORTPLAYER.OSRFUNCTIONS.OSRGET("GL_F_Trans","Value1")</f>
        <v>#NAME?</v>
      </c>
      <c r="Q13" s="3"/>
      <c r="R13" s="20"/>
      <c r="S13" s="3"/>
      <c r="T13" s="3" t="e">
        <f ca="1">_xll.ONESTOP.REPORTPLAYER.OSRFUNCTIONS.OSRGET("GL_F_Trans","Value1")</f>
        <v>#NAME?</v>
      </c>
      <c r="U13" s="3"/>
      <c r="V13" s="20"/>
      <c r="W13" s="3"/>
      <c r="X13" s="3" t="e">
        <f ca="1">+P13-T13</f>
        <v>#NAME?</v>
      </c>
      <c r="Y13" s="3"/>
      <c r="Z13" s="20" t="e">
        <f ca="1">IF(T13=0,0,X13/T13)</f>
        <v>#NAME?</v>
      </c>
    </row>
    <row r="14" spans="1:26" ht="15" customHeight="1" x14ac:dyDescent="0.3">
      <c r="A14" s="10"/>
      <c r="B14" s="11"/>
      <c r="C14" s="10"/>
      <c r="D14" s="4"/>
      <c r="E14" s="4"/>
      <c r="F14" s="9"/>
      <c r="G14" s="4"/>
      <c r="H14" s="4"/>
      <c r="I14" s="4"/>
      <c r="J14" s="9"/>
      <c r="K14" s="4"/>
      <c r="L14" s="4"/>
      <c r="M14" s="4"/>
      <c r="N14" s="9"/>
      <c r="P14" s="4"/>
      <c r="Q14" s="4"/>
      <c r="R14" s="9"/>
      <c r="S14" s="4"/>
      <c r="T14" s="4"/>
      <c r="U14" s="4"/>
      <c r="V14" s="9"/>
      <c r="W14" s="4"/>
      <c r="X14" s="4"/>
      <c r="Y14" s="4"/>
      <c r="Z14" s="9"/>
    </row>
    <row r="15" spans="1:26" s="63" customFormat="1" ht="15" customHeight="1" collapsed="1" x14ac:dyDescent="0.3">
      <c r="A15" s="11"/>
      <c r="B15" s="28" t="s">
        <v>288</v>
      </c>
      <c r="C15" s="11"/>
      <c r="D15" s="5" t="e">
        <f ca="1">SUM(_xll.ONESTOP.REPORTPLAYER.OSRFUNCTIONS.OSRREF(D16))</f>
        <v>#NAME?</v>
      </c>
      <c r="E15" s="5"/>
      <c r="F15" s="13" t="e">
        <f ca="1">IF(D$12=0,0,D15/D$12)</f>
        <v>#NAME?</v>
      </c>
      <c r="G15" s="5"/>
      <c r="H15" s="5" t="e">
        <f ca="1">SUM(_xll.ONESTOP.REPORTPLAYER.OSRFUNCTIONS.OSRREF(H16))</f>
        <v>#NAME?</v>
      </c>
      <c r="I15" s="5"/>
      <c r="J15" s="13" t="e">
        <f ca="1">IF(H$12=0,0,H15/H$12)</f>
        <v>#NAME?</v>
      </c>
      <c r="K15" s="5"/>
      <c r="L15" s="5" t="e">
        <f ca="1">+D15-H15</f>
        <v>#NAME?</v>
      </c>
      <c r="M15" s="5"/>
      <c r="N15" s="13" t="e">
        <f ca="1">IF(H15=0,0,L15/H15)</f>
        <v>#NAME?</v>
      </c>
      <c r="O15" s="11"/>
      <c r="P15" s="5" t="e">
        <f ca="1">SUM(_xll.ONESTOP.REPORTPLAYER.OSRFUNCTIONS.OSRREF(P16))</f>
        <v>#NAME?</v>
      </c>
      <c r="Q15" s="5"/>
      <c r="R15" s="13" t="e">
        <f ca="1">IF(P$12=0,0,P15/P$12)</f>
        <v>#NAME?</v>
      </c>
      <c r="S15" s="5"/>
      <c r="T15" s="5" t="e">
        <f ca="1">SUM(_xll.ONESTOP.REPORTPLAYER.OSRFUNCTIONS.OSRREF(T16))</f>
        <v>#NAME?</v>
      </c>
      <c r="U15" s="5"/>
      <c r="V15" s="13" t="e">
        <f ca="1">IF(T$12=0,0,T15/T$12)</f>
        <v>#NAME?</v>
      </c>
      <c r="W15" s="5"/>
      <c r="X15" s="5" t="e">
        <f ca="1">+P15-T15</f>
        <v>#NAME?</v>
      </c>
      <c r="Y15" s="5"/>
      <c r="Z15" s="13" t="e">
        <f ca="1">IF(T15=0,0,X15/T15)</f>
        <v>#NAME?</v>
      </c>
    </row>
    <row r="16" spans="1:26" s="70" customFormat="1" ht="15" hidden="1" customHeight="1" outlineLevel="1" x14ac:dyDescent="0.3">
      <c r="A16" s="42"/>
      <c r="B16" s="12" t="e">
        <f ca="1">CONCATENATE("          ",_xll.ONESTOP.REPORTPLAYER.OSRFUNCTIONS.OSRGET("d_Account","Code")," - ",_xll.ONESTOP.REPORTPLAYER.OSRFUNCTIONS.OSRGET("d_Account","Description"))</f>
        <v>#NAME?</v>
      </c>
      <c r="C16" s="12"/>
      <c r="D16" s="3" t="e">
        <f ca="1">_xll.ONESTOP.REPORTPLAYER.OSRFUNCTIONS.OSRGET("GL_F_Trans","Value1")</f>
        <v>#NAME?</v>
      </c>
      <c r="E16" s="3"/>
      <c r="F16" s="20" t="e">
        <f ca="1">IF(D$12=0,0,D16/D$12)</f>
        <v>#NAME?</v>
      </c>
      <c r="G16" s="3"/>
      <c r="H16" s="3" t="e">
        <f ca="1">_xll.ONESTOP.REPORTPLAYER.OSRFUNCTIONS.OSRGET("GL_F_Trans","Value1")</f>
        <v>#NAME?</v>
      </c>
      <c r="I16" s="3"/>
      <c r="J16" s="20" t="e">
        <f ca="1">IF(H$12=0,0,H16/H$12)</f>
        <v>#NAME?</v>
      </c>
      <c r="K16" s="3"/>
      <c r="L16" s="3" t="e">
        <f ca="1">+D16-H16</f>
        <v>#NAME?</v>
      </c>
      <c r="M16" s="3"/>
      <c r="N16" s="20" t="e">
        <f ca="1">IF(H16=0,0,L16/H16)</f>
        <v>#NAME?</v>
      </c>
      <c r="O16" s="12"/>
      <c r="P16" s="3" t="e">
        <f ca="1">_xll.ONESTOP.REPORTPLAYER.OSRFUNCTIONS.OSRGET("GL_F_Trans","Value1")</f>
        <v>#NAME?</v>
      </c>
      <c r="Q16" s="3"/>
      <c r="R16" s="20" t="e">
        <f ca="1">IF(P$12=0,0,P16/P$12)</f>
        <v>#NAME?</v>
      </c>
      <c r="S16" s="3"/>
      <c r="T16" s="3" t="e">
        <f ca="1">_xll.ONESTOP.REPORTPLAYER.OSRFUNCTIONS.OSRGET("GL_F_Trans","Value1")</f>
        <v>#NAME?</v>
      </c>
      <c r="U16" s="3"/>
      <c r="V16" s="20" t="e">
        <f ca="1">IF(T$12=0,0,T16/T$12)</f>
        <v>#NAME?</v>
      </c>
      <c r="W16" s="3"/>
      <c r="X16" s="3" t="e">
        <f ca="1">+P16-T16</f>
        <v>#NAME?</v>
      </c>
      <c r="Y16" s="3"/>
      <c r="Z16" s="20" t="e">
        <f ca="1">IF(T16=0,0,X16/T16)</f>
        <v>#NAME?</v>
      </c>
    </row>
    <row r="17" spans="1:26" ht="15" customHeight="1" x14ac:dyDescent="0.3">
      <c r="A17" s="10"/>
      <c r="B17" s="11"/>
      <c r="C17" s="11"/>
      <c r="D17" s="4"/>
      <c r="E17" s="4"/>
      <c r="F17" s="9"/>
      <c r="G17" s="4"/>
      <c r="H17" s="4"/>
      <c r="I17" s="4"/>
      <c r="J17" s="9"/>
      <c r="K17" s="4"/>
      <c r="L17" s="4"/>
      <c r="M17" s="4"/>
      <c r="N17" s="9"/>
      <c r="O17" s="11"/>
      <c r="P17" s="4"/>
      <c r="Q17" s="4"/>
      <c r="R17" s="9"/>
      <c r="S17" s="4"/>
      <c r="T17" s="4"/>
      <c r="U17" s="4"/>
      <c r="V17" s="9"/>
      <c r="W17" s="4"/>
      <c r="X17" s="4"/>
      <c r="Y17" s="4"/>
      <c r="Z17" s="9"/>
    </row>
    <row r="18" spans="1:26" s="63" customFormat="1" ht="15" customHeight="1" x14ac:dyDescent="0.3">
      <c r="A18" s="11"/>
      <c r="B18" s="27" t="s">
        <v>289</v>
      </c>
      <c r="C18" s="27"/>
      <c r="D18" s="21" t="e">
        <f ca="1">D12-D15</f>
        <v>#NAME?</v>
      </c>
      <c r="E18" s="15"/>
      <c r="F18" s="23" t="e">
        <f ca="1">IF(D$12=0,0,D18/D$12)</f>
        <v>#NAME?</v>
      </c>
      <c r="G18" s="15"/>
      <c r="H18" s="21" t="e">
        <f ca="1">H12-H15</f>
        <v>#NAME?</v>
      </c>
      <c r="I18" s="15"/>
      <c r="J18" s="23" t="e">
        <f ca="1">IF(H$12=0,0,H18/H$12)</f>
        <v>#NAME?</v>
      </c>
      <c r="K18" s="16"/>
      <c r="L18" s="21" t="e">
        <f ca="1">+D18-H18</f>
        <v>#NAME?</v>
      </c>
      <c r="M18" s="16"/>
      <c r="N18" s="23" t="e">
        <f ca="1">IF(H18=0,0,L18/H18)</f>
        <v>#NAME?</v>
      </c>
      <c r="O18" s="28"/>
      <c r="P18" s="21" t="e">
        <f ca="1">P12-P15</f>
        <v>#NAME?</v>
      </c>
      <c r="Q18" s="15"/>
      <c r="R18" s="23" t="e">
        <f ca="1">IF(P$12=0,0,P18/P$12)</f>
        <v>#NAME?</v>
      </c>
      <c r="S18" s="15"/>
      <c r="T18" s="21" t="e">
        <f ca="1">T12-T15</f>
        <v>#NAME?</v>
      </c>
      <c r="U18" s="15"/>
      <c r="V18" s="23" t="e">
        <f ca="1">IF(T$12=0,0,T18/T$12)</f>
        <v>#NAME?</v>
      </c>
      <c r="W18" s="16"/>
      <c r="X18" s="21" t="e">
        <f ca="1">+P18-T18</f>
        <v>#NAME?</v>
      </c>
      <c r="Y18" s="16"/>
      <c r="Z18" s="23" t="e">
        <f ca="1">IF(T18=0,0,X18/T18)</f>
        <v>#NAME?</v>
      </c>
    </row>
    <row r="19" spans="1:26" ht="15" customHeight="1" x14ac:dyDescent="0.3">
      <c r="A19" s="10"/>
      <c r="B19" s="11"/>
      <c r="C19" s="10"/>
      <c r="D19" s="2"/>
      <c r="E19" s="2"/>
      <c r="F19" s="6"/>
      <c r="G19" s="2"/>
      <c r="H19" s="2"/>
      <c r="I19" s="2"/>
      <c r="J19" s="6"/>
      <c r="K19" s="2"/>
      <c r="L19" s="2"/>
      <c r="M19" s="2"/>
      <c r="N19" s="6"/>
      <c r="O19" s="35"/>
      <c r="P19" s="2"/>
      <c r="Q19" s="2"/>
      <c r="R19" s="6"/>
      <c r="S19" s="2"/>
      <c r="T19" s="2"/>
      <c r="U19" s="2"/>
      <c r="V19" s="6"/>
      <c r="W19" s="2"/>
      <c r="X19" s="2"/>
      <c r="Y19" s="2"/>
      <c r="Z19" s="6"/>
    </row>
    <row r="20" spans="1:26" s="63" customFormat="1" ht="15" customHeight="1" x14ac:dyDescent="0.3">
      <c r="A20" s="11"/>
      <c r="B20" s="28" t="s">
        <v>290</v>
      </c>
      <c r="C20" s="11"/>
      <c r="D20" s="22" t="e">
        <f ca="1">SUM(_xll.ONESTOP.REPORTPLAYER.OSRFUNCTIONS.OSRREF(D22))</f>
        <v>#NAME?</v>
      </c>
      <c r="E20" s="22"/>
      <c r="F20" s="30" t="e">
        <f ca="1">IF(D$12=0,0,D20/D$12)</f>
        <v>#NAME?</v>
      </c>
      <c r="G20" s="22"/>
      <c r="H20" s="22" t="e">
        <f ca="1">SUM(_xll.ONESTOP.REPORTPLAYER.OSRFUNCTIONS.OSRREF(H22))</f>
        <v>#NAME?</v>
      </c>
      <c r="I20" s="22"/>
      <c r="J20" s="30" t="e">
        <f ca="1">IF(H$12=0,0,H20/H$12)</f>
        <v>#NAME?</v>
      </c>
      <c r="K20" s="5"/>
      <c r="L20" s="22" t="e">
        <f ca="1">+D20-H20</f>
        <v>#NAME?</v>
      </c>
      <c r="M20" s="5"/>
      <c r="N20" s="30" t="e">
        <f ca="1">IF(H20=0,0,L20/H20)</f>
        <v>#NAME?</v>
      </c>
      <c r="O20" s="11"/>
      <c r="P20" s="22" t="e">
        <f ca="1">SUM(_xll.ONESTOP.REPORTPLAYER.OSRFUNCTIONS.OSRREF(P22))</f>
        <v>#NAME?</v>
      </c>
      <c r="Q20" s="22"/>
      <c r="R20" s="30" t="e">
        <f ca="1">IF(P$12=0,0,P20/P$12)</f>
        <v>#NAME?</v>
      </c>
      <c r="S20" s="22"/>
      <c r="T20" s="22" t="e">
        <f ca="1">SUM(_xll.ONESTOP.REPORTPLAYER.OSRFUNCTIONS.OSRREF(T22))</f>
        <v>#NAME?</v>
      </c>
      <c r="U20" s="22"/>
      <c r="V20" s="30" t="e">
        <f ca="1">IF(T$12=0,0,T20/T$12)</f>
        <v>#NAME?</v>
      </c>
      <c r="W20" s="5"/>
      <c r="X20" s="22" t="e">
        <f ca="1">+P20-T20</f>
        <v>#NAME?</v>
      </c>
      <c r="Y20" s="5"/>
      <c r="Z20" s="30" t="e">
        <f ca="1">IF(T20=0,0,X20/T20)</f>
        <v>#NAME?</v>
      </c>
    </row>
    <row r="21" spans="1:26" s="69" customFormat="1" ht="15" customHeight="1" outlineLevel="1" collapsed="1" x14ac:dyDescent="0.3">
      <c r="A21" s="25"/>
      <c r="B21" s="14" t="e">
        <f ca="1">CONCATENATE("     ",_xll.ONESTOP.REPORTPLAYER.OSRFUNCTIONS.OSRGET("d_Account","AccountCategory"))</f>
        <v>#NAME?</v>
      </c>
      <c r="C21" s="14"/>
      <c r="D21" s="2" t="e">
        <f ca="1">SUM(_xll.ONESTOP.REPORTPLAYER.OSRFUNCTIONS.OSRREF(D22))</f>
        <v>#NAME?</v>
      </c>
      <c r="E21" s="2"/>
      <c r="F21" s="6" t="e">
        <f ca="1">IF(D$12=0,0,D21/D$12)</f>
        <v>#NAME?</v>
      </c>
      <c r="G21" s="2"/>
      <c r="H21" s="2" t="e">
        <f ca="1">SUM(_xll.ONESTOP.REPORTPLAYER.OSRFUNCTIONS.OSRREF(H22))</f>
        <v>#NAME?</v>
      </c>
      <c r="I21" s="2"/>
      <c r="J21" s="6" t="e">
        <f ca="1">IF(H$12=0,0,H21/H$12)</f>
        <v>#NAME?</v>
      </c>
      <c r="K21" s="2"/>
      <c r="L21" s="2" t="e">
        <f ca="1">+D21-H21</f>
        <v>#NAME?</v>
      </c>
      <c r="M21" s="2"/>
      <c r="N21" s="6" t="e">
        <f ca="1">IF(H21=0,0,L21/H21)</f>
        <v>#NAME?</v>
      </c>
      <c r="O21" s="14"/>
      <c r="P21" s="2" t="e">
        <f ca="1">SUM(_xll.ONESTOP.REPORTPLAYER.OSRFUNCTIONS.OSRREF(P22))</f>
        <v>#NAME?</v>
      </c>
      <c r="Q21" s="2"/>
      <c r="R21" s="6" t="e">
        <f ca="1">IF(P$12=0,0,P21/P$12)</f>
        <v>#NAME?</v>
      </c>
      <c r="S21" s="2"/>
      <c r="T21" s="2" t="e">
        <f ca="1">SUM(_xll.ONESTOP.REPORTPLAYER.OSRFUNCTIONS.OSRREF(T22))</f>
        <v>#NAME?</v>
      </c>
      <c r="U21" s="2"/>
      <c r="V21" s="6" t="e">
        <f ca="1">IF(T$12=0,0,T21/T$12)</f>
        <v>#NAME?</v>
      </c>
      <c r="W21" s="2"/>
      <c r="X21" s="2" t="e">
        <f ca="1">+P21-T21</f>
        <v>#NAME?</v>
      </c>
      <c r="Y21" s="2"/>
      <c r="Z21" s="6" t="e">
        <f ca="1">IF(T21=0,0,X21/T21)</f>
        <v>#NAME?</v>
      </c>
    </row>
    <row r="22" spans="1:26" s="70" customFormat="1" ht="15" hidden="1" customHeight="1" outlineLevel="2" x14ac:dyDescent="0.3">
      <c r="A22" s="26"/>
      <c r="B22" s="12" t="e">
        <f ca="1">CONCATENATE("          ",_xll.ONESTOP.REPORTPLAYER.OSRFUNCTIONS.OSRGET("d_Account","Code")," - ",_xll.ONESTOP.REPORTPLAYER.OSRFUNCTIONS.OSRGET("d_Account","Description"))</f>
        <v>#NAME?</v>
      </c>
      <c r="C22" s="12"/>
      <c r="D22" s="7" t="e">
        <f ca="1">_xll.ONESTOP.REPORTPLAYER.OSRFUNCTIONS.OSRGET("GL_F_Trans","Value1")</f>
        <v>#NAME?</v>
      </c>
      <c r="E22" s="3"/>
      <c r="F22" s="8" t="e">
        <f ca="1">IF(D$12=0,0,D22/D$12)</f>
        <v>#NAME?</v>
      </c>
      <c r="G22" s="3"/>
      <c r="H22" s="7" t="e">
        <f ca="1">_xll.ONESTOP.REPORTPLAYER.OSRFUNCTIONS.OSRGET("GL_F_Trans","Value1")</f>
        <v>#NAME?</v>
      </c>
      <c r="I22" s="3"/>
      <c r="J22" s="8" t="e">
        <f ca="1">IF(H$12=0,0,H22/H$12)</f>
        <v>#NAME?</v>
      </c>
      <c r="K22" s="3"/>
      <c r="L22" s="7" t="e">
        <f ca="1">+D22-H22</f>
        <v>#NAME?</v>
      </c>
      <c r="M22" s="3"/>
      <c r="N22" s="8" t="e">
        <f ca="1">IF(H22=0,0,L22/H22)</f>
        <v>#NAME?</v>
      </c>
      <c r="O22" s="12"/>
      <c r="P22" s="7" t="e">
        <f ca="1">_xll.ONESTOP.REPORTPLAYER.OSRFUNCTIONS.OSRGET("GL_F_Trans","Value1")</f>
        <v>#NAME?</v>
      </c>
      <c r="Q22" s="3"/>
      <c r="R22" s="8" t="e">
        <f ca="1">IF(P$12=0,0,P22/P$12)</f>
        <v>#NAME?</v>
      </c>
      <c r="S22" s="3"/>
      <c r="T22" s="7" t="e">
        <f ca="1">_xll.ONESTOP.REPORTPLAYER.OSRFUNCTIONS.OSRGET("GL_F_Trans","Value1")</f>
        <v>#NAME?</v>
      </c>
      <c r="U22" s="3"/>
      <c r="V22" s="8" t="e">
        <f ca="1">IF(T$12=0,0,T22/T$12)</f>
        <v>#NAME?</v>
      </c>
      <c r="W22" s="3"/>
      <c r="X22" s="7" t="e">
        <f ca="1">+P22-T22</f>
        <v>#NAME?</v>
      </c>
      <c r="Y22" s="3"/>
      <c r="Z22" s="8" t="e">
        <f ca="1">IF(T22=0,0,X22/T22)</f>
        <v>#NAME?</v>
      </c>
    </row>
    <row r="23" spans="1:26" s="65" customFormat="1" ht="15" customHeight="1" x14ac:dyDescent="0.3">
      <c r="A23" s="35"/>
      <c r="B23" s="35"/>
      <c r="C23" s="35"/>
      <c r="D23" s="2"/>
      <c r="E23" s="2"/>
      <c r="F23" s="6"/>
      <c r="G23" s="2"/>
      <c r="H23" s="2"/>
      <c r="I23" s="2"/>
      <c r="J23" s="6"/>
      <c r="K23" s="2"/>
      <c r="L23" s="2"/>
      <c r="M23" s="2"/>
      <c r="N23" s="6"/>
      <c r="O23" s="35"/>
      <c r="P23" s="2"/>
      <c r="Q23" s="2"/>
      <c r="R23" s="6"/>
      <c r="S23" s="2"/>
      <c r="T23" s="2"/>
      <c r="U23" s="2"/>
      <c r="V23" s="6"/>
      <c r="W23" s="2"/>
      <c r="X23" s="2"/>
      <c r="Y23" s="2"/>
      <c r="Z23" s="6"/>
    </row>
    <row r="24" spans="1:26" s="63" customFormat="1" ht="15" customHeight="1" collapsed="1" x14ac:dyDescent="0.3">
      <c r="A24" s="11"/>
      <c r="B24" s="28" t="s">
        <v>291</v>
      </c>
      <c r="C24" s="11"/>
      <c r="D24" s="5" t="e">
        <f ca="1">SUM(_xll.ONESTOP.REPORTPLAYER.OSRFUNCTIONS.OSRREF(D25))</f>
        <v>#NAME?</v>
      </c>
      <c r="E24" s="5"/>
      <c r="F24" s="13" t="e">
        <f ca="1">IF(D$12=0,0,D24/D$12)</f>
        <v>#NAME?</v>
      </c>
      <c r="G24" s="5"/>
      <c r="H24" s="5" t="e">
        <f ca="1">SUM(_xll.ONESTOP.REPORTPLAYER.OSRFUNCTIONS.OSRREF(H25))</f>
        <v>#NAME?</v>
      </c>
      <c r="I24" s="5"/>
      <c r="J24" s="13" t="e">
        <f ca="1">IF(H$12=0,0,H24/H$12)</f>
        <v>#NAME?</v>
      </c>
      <c r="K24" s="5"/>
      <c r="L24" s="5" t="e">
        <f ca="1">+D24-H24</f>
        <v>#NAME?</v>
      </c>
      <c r="M24" s="5"/>
      <c r="N24" s="13" t="e">
        <f ca="1">IF(H24=0,0,L24/H24)</f>
        <v>#NAME?</v>
      </c>
      <c r="O24" s="11"/>
      <c r="P24" s="5" t="e">
        <f ca="1">SUM(_xll.ONESTOP.REPORTPLAYER.OSRFUNCTIONS.OSRREF(P25))</f>
        <v>#NAME?</v>
      </c>
      <c r="Q24" s="5"/>
      <c r="R24" s="13" t="e">
        <f ca="1">IF(P$12=0,0,P24/P$12)</f>
        <v>#NAME?</v>
      </c>
      <c r="S24" s="5"/>
      <c r="T24" s="5" t="e">
        <f ca="1">SUM(_xll.ONESTOP.REPORTPLAYER.OSRFUNCTIONS.OSRREF(T25))</f>
        <v>#NAME?</v>
      </c>
      <c r="U24" s="5"/>
      <c r="V24" s="13" t="e">
        <f ca="1">IF(T$12=0,0,T24/T$12)</f>
        <v>#NAME?</v>
      </c>
      <c r="W24" s="5"/>
      <c r="X24" s="5" t="e">
        <f ca="1">+P24-T24</f>
        <v>#NAME?</v>
      </c>
      <c r="Y24" s="5"/>
      <c r="Z24" s="13" t="e">
        <f ca="1">IF(T24=0,0,X24/T24)</f>
        <v>#NAME?</v>
      </c>
    </row>
    <row r="25" spans="1:26" s="70" customFormat="1" ht="15" hidden="1" customHeight="1" outlineLevel="1" x14ac:dyDescent="0.3">
      <c r="A25" s="42"/>
      <c r="B25" s="12" t="e">
        <f ca="1">CONCATENATE("          ",_xll.ONESTOP.REPORTPLAYER.OSRFUNCTIONS.OSRGET("d_Account","Code")," - ",_xll.ONESTOP.REPORTPLAYER.OSRFUNCTIONS.OSRGET("d_Account","Description"))</f>
        <v>#NAME?</v>
      </c>
      <c r="C25" s="12"/>
      <c r="D25" s="3" t="e">
        <f ca="1">-_xll.ONESTOP.REPORTPLAYER.OSRFUNCTIONS.OSRGET("GL_F_Trans","Value1")</f>
        <v>#NAME?</v>
      </c>
      <c r="E25" s="3"/>
      <c r="F25" s="20" t="e">
        <f ca="1">IF(D$12=0,0,D25/D$12)</f>
        <v>#NAME?</v>
      </c>
      <c r="G25" s="3"/>
      <c r="H25" s="3" t="e">
        <f ca="1">_xll.ONESTOP.REPORTPLAYER.OSRFUNCTIONS.OSRGET("GL_F_Trans","Value1")</f>
        <v>#NAME?</v>
      </c>
      <c r="I25" s="3"/>
      <c r="J25" s="20" t="e">
        <f ca="1">IF(H$12=0,0,H25/H$12)</f>
        <v>#NAME?</v>
      </c>
      <c r="K25" s="3"/>
      <c r="L25" s="3" t="e">
        <f ca="1">+D25-H25</f>
        <v>#NAME?</v>
      </c>
      <c r="M25" s="3"/>
      <c r="N25" s="20" t="e">
        <f ca="1">IF(H25=0,0,L25/H25)</f>
        <v>#NAME?</v>
      </c>
      <c r="O25" s="12"/>
      <c r="P25" s="3" t="e">
        <f ca="1">-_xll.ONESTOP.REPORTPLAYER.OSRFUNCTIONS.OSRGET("GL_F_Trans","Value1")</f>
        <v>#NAME?</v>
      </c>
      <c r="Q25" s="3"/>
      <c r="R25" s="20" t="e">
        <f ca="1">IF(P$12=0,0,P25/P$12)</f>
        <v>#NAME?</v>
      </c>
      <c r="S25" s="3"/>
      <c r="T25" s="3" t="e">
        <f ca="1">_xll.ONESTOP.REPORTPLAYER.OSRFUNCTIONS.OSRGET("GL_F_Trans","Value1")</f>
        <v>#NAME?</v>
      </c>
      <c r="U25" s="3"/>
      <c r="V25" s="20" t="e">
        <f ca="1">IF(T$12=0,0,T25/T$12)</f>
        <v>#NAME?</v>
      </c>
      <c r="W25" s="3"/>
      <c r="X25" s="3" t="e">
        <f ca="1">+P25-T25</f>
        <v>#NAME?</v>
      </c>
      <c r="Y25" s="3"/>
      <c r="Z25" s="20" t="e">
        <f ca="1">IF(T25=0,0,X25/T25)</f>
        <v>#NAME?</v>
      </c>
    </row>
    <row r="26" spans="1:26" ht="15" customHeight="1" x14ac:dyDescent="0.3">
      <c r="A26" s="10"/>
      <c r="B26" s="11"/>
      <c r="C26" s="11"/>
      <c r="D26" s="4"/>
      <c r="E26" s="4"/>
      <c r="F26" s="9"/>
      <c r="G26" s="4"/>
      <c r="H26" s="4"/>
      <c r="I26" s="4"/>
      <c r="J26" s="9"/>
      <c r="K26" s="4"/>
      <c r="L26" s="4"/>
      <c r="M26" s="4"/>
      <c r="N26" s="9"/>
      <c r="O26" s="11"/>
      <c r="P26" s="4"/>
      <c r="Q26" s="4"/>
      <c r="R26" s="9"/>
      <c r="S26" s="4"/>
      <c r="T26" s="4"/>
      <c r="U26" s="4"/>
      <c r="V26" s="9"/>
      <c r="W26" s="4"/>
      <c r="X26" s="4"/>
      <c r="Y26" s="4"/>
      <c r="Z26" s="9"/>
    </row>
    <row r="27" spans="1:26" s="63" customFormat="1" ht="15" customHeight="1" x14ac:dyDescent="0.3">
      <c r="A27" s="11"/>
      <c r="B27" s="27" t="s">
        <v>292</v>
      </c>
      <c r="C27" s="27"/>
      <c r="D27" s="21" t="e">
        <f ca="1">+D18-D20+D24</f>
        <v>#NAME?</v>
      </c>
      <c r="E27" s="15"/>
      <c r="F27" s="23" t="e">
        <f ca="1">IF(D$12=0,0,D27/D$12)</f>
        <v>#NAME?</v>
      </c>
      <c r="G27" s="15"/>
      <c r="H27" s="21" t="e">
        <f ca="1">+H18-H20+H24</f>
        <v>#NAME?</v>
      </c>
      <c r="I27" s="15"/>
      <c r="J27" s="23" t="e">
        <f ca="1">IF(H$12=0,0,H27/H$12)</f>
        <v>#NAME?</v>
      </c>
      <c r="K27" s="16"/>
      <c r="L27" s="21" t="e">
        <f ca="1">+D27-H27</f>
        <v>#NAME?</v>
      </c>
      <c r="M27" s="16"/>
      <c r="N27" s="23" t="e">
        <f ca="1">IF(H27=0,0,L27/H27)</f>
        <v>#NAME?</v>
      </c>
      <c r="O27" s="28"/>
      <c r="P27" s="21" t="e">
        <f ca="1">+P18-P20+P24</f>
        <v>#NAME?</v>
      </c>
      <c r="Q27" s="15"/>
      <c r="R27" s="23" t="e">
        <f ca="1">IF(P$12=0,0,P27/P$12)</f>
        <v>#NAME?</v>
      </c>
      <c r="S27" s="15"/>
      <c r="T27" s="21" t="e">
        <f ca="1">+T18-T20+T24</f>
        <v>#NAME?</v>
      </c>
      <c r="U27" s="15"/>
      <c r="V27" s="23" t="e">
        <f ca="1">IF(T$12=0,0,T27/T$12)</f>
        <v>#NAME?</v>
      </c>
      <c r="W27" s="16"/>
      <c r="X27" s="21" t="e">
        <f ca="1">+P27-T27</f>
        <v>#NAME?</v>
      </c>
      <c r="Y27" s="16"/>
      <c r="Z27" s="23" t="e">
        <f ca="1">IF(T27=0,0,X27/T27)</f>
        <v>#NAME?</v>
      </c>
    </row>
    <row r="28" spans="1:26" ht="15" customHeight="1" x14ac:dyDescent="0.3">
      <c r="A28" s="10"/>
      <c r="B28" s="11"/>
      <c r="C28" s="10"/>
      <c r="D28" s="4"/>
      <c r="E28" s="4"/>
      <c r="F28" s="9"/>
      <c r="G28" s="4"/>
      <c r="H28" s="4"/>
      <c r="I28" s="4"/>
      <c r="J28" s="9"/>
      <c r="K28" s="4"/>
      <c r="L28" s="4"/>
      <c r="M28" s="4"/>
      <c r="N28" s="9"/>
      <c r="P28" s="4"/>
      <c r="Q28" s="4"/>
      <c r="R28" s="9"/>
      <c r="S28" s="4"/>
      <c r="T28" s="4"/>
      <c r="U28" s="4"/>
      <c r="V28" s="9"/>
      <c r="W28" s="4"/>
      <c r="X28" s="4"/>
      <c r="Y28" s="4"/>
      <c r="Z28" s="9"/>
    </row>
    <row r="29" spans="1:26" s="63" customFormat="1" ht="15" customHeight="1" x14ac:dyDescent="0.3">
      <c r="A29" s="49"/>
      <c r="B29" s="11" t="s">
        <v>293</v>
      </c>
      <c r="C29" s="11"/>
      <c r="D29" s="5" t="e">
        <f ca="1">_xll.ONESTOP.REPORTPLAYER.OSRFUNCTIONS.OSRGET("GL_F_Trans","Value1")</f>
        <v>#NAME?</v>
      </c>
      <c r="E29" s="5"/>
      <c r="F29" s="13" t="e">
        <f ca="1">IF(D$12=0,0,D29/D$12)</f>
        <v>#NAME?</v>
      </c>
      <c r="G29" s="5"/>
      <c r="H29" s="5" t="e">
        <f ca="1">_xll.ONESTOP.REPORTPLAYER.OSRFUNCTIONS.OSRGET("GL_F_Trans","Value1")</f>
        <v>#NAME?</v>
      </c>
      <c r="I29" s="5"/>
      <c r="J29" s="13" t="e">
        <f ca="1">IF(H$12=0,0,H29/H$12)</f>
        <v>#NAME?</v>
      </c>
      <c r="K29" s="5"/>
      <c r="L29" s="5" t="e">
        <f ca="1">+D29-H29</f>
        <v>#NAME?</v>
      </c>
      <c r="M29" s="5"/>
      <c r="N29" s="13" t="e">
        <f ca="1">IF(H29=0,0,L29/H29)</f>
        <v>#NAME?</v>
      </c>
      <c r="O29" s="11"/>
      <c r="P29" s="5" t="e">
        <f ca="1">_xll.ONESTOP.REPORTPLAYER.OSRFUNCTIONS.OSRGET("GL_F_Trans","Value1")</f>
        <v>#NAME?</v>
      </c>
      <c r="Q29" s="5"/>
      <c r="R29" s="13" t="e">
        <f ca="1">IF(P$12=0,0,P29/P$12)</f>
        <v>#NAME?</v>
      </c>
      <c r="S29" s="5"/>
      <c r="T29" s="5" t="e">
        <f ca="1">_xll.ONESTOP.REPORTPLAYER.OSRFUNCTIONS.OSRGET("GL_F_Trans","Value1")</f>
        <v>#NAME?</v>
      </c>
      <c r="U29" s="5"/>
      <c r="V29" s="13" t="e">
        <f ca="1">IF(T$12=0,0,T29/T$12)</f>
        <v>#NAME?</v>
      </c>
      <c r="W29" s="5"/>
      <c r="X29" s="5" t="e">
        <f ca="1">+P29-T29</f>
        <v>#NAME?</v>
      </c>
      <c r="Y29" s="5"/>
      <c r="Z29" s="13" t="e">
        <f ca="1">IF(T29=0,0,X29/T29)</f>
        <v>#NAME?</v>
      </c>
    </row>
    <row r="30" spans="1:26" ht="15" customHeight="1" x14ac:dyDescent="0.3">
      <c r="A30" s="10"/>
      <c r="B30" s="11"/>
      <c r="C30" s="11"/>
      <c r="D30" s="4"/>
      <c r="E30" s="4"/>
      <c r="F30" s="9"/>
      <c r="G30" s="4"/>
      <c r="H30" s="4"/>
      <c r="I30" s="4"/>
      <c r="J30" s="9"/>
      <c r="K30" s="4"/>
      <c r="L30" s="4"/>
      <c r="M30" s="4"/>
      <c r="N30" s="9"/>
      <c r="O30" s="11"/>
      <c r="P30" s="4"/>
      <c r="Q30" s="4"/>
      <c r="R30" s="9"/>
      <c r="S30" s="4"/>
      <c r="T30" s="4"/>
      <c r="U30" s="4"/>
      <c r="V30" s="9"/>
      <c r="W30" s="4"/>
      <c r="X30" s="4"/>
      <c r="Y30" s="4"/>
      <c r="Z30" s="9"/>
    </row>
    <row r="31" spans="1:26" s="63" customFormat="1" ht="15" customHeight="1" x14ac:dyDescent="0.3">
      <c r="A31" s="11"/>
      <c r="B31" s="27" t="s">
        <v>294</v>
      </c>
      <c r="C31" s="27"/>
      <c r="D31" s="34" t="e">
        <f ca="1">+D27-D29</f>
        <v>#NAME?</v>
      </c>
      <c r="E31" s="15"/>
      <c r="F31" s="29" t="e">
        <f ca="1">IF(D$12=0,0,D31/D$12)</f>
        <v>#NAME?</v>
      </c>
      <c r="G31" s="15"/>
      <c r="H31" s="34" t="e">
        <f ca="1">+H27-H29</f>
        <v>#NAME?</v>
      </c>
      <c r="I31" s="15"/>
      <c r="J31" s="29" t="e">
        <f ca="1">IF(H$12=0,0,H31/H$12)</f>
        <v>#NAME?</v>
      </c>
      <c r="K31" s="16"/>
      <c r="L31" s="34" t="e">
        <f ca="1">D31-H31</f>
        <v>#NAME?</v>
      </c>
      <c r="M31" s="16"/>
      <c r="N31" s="29" t="e">
        <f ca="1">IF(H31=0,0,L31/H31)</f>
        <v>#NAME?</v>
      </c>
      <c r="O31" s="28"/>
      <c r="P31" s="34" t="e">
        <f ca="1">+P27-P29</f>
        <v>#NAME?</v>
      </c>
      <c r="Q31" s="15"/>
      <c r="R31" s="29" t="e">
        <f ca="1">IF(P$12=0,0,P31/P$12)</f>
        <v>#NAME?</v>
      </c>
      <c r="S31" s="15"/>
      <c r="T31" s="34" t="e">
        <f ca="1">+T27-T29</f>
        <v>#NAME?</v>
      </c>
      <c r="U31" s="15"/>
      <c r="V31" s="29" t="e">
        <f ca="1">IF(T$12=0,0,T31/T$12)</f>
        <v>#NAME?</v>
      </c>
      <c r="W31" s="16"/>
      <c r="X31" s="34" t="e">
        <f ca="1">P31-T31</f>
        <v>#NAME?</v>
      </c>
      <c r="Y31" s="16"/>
      <c r="Z31" s="29" t="e">
        <f ca="1">IF(T31=0,0,X31/T31)</f>
        <v>#NAME?</v>
      </c>
    </row>
    <row r="32" spans="1:26" ht="15" customHeight="1" x14ac:dyDescent="0.3">
      <c r="A32" s="10"/>
      <c r="B32" s="10"/>
      <c r="C32" s="10"/>
      <c r="D32" s="4"/>
      <c r="E32" s="4"/>
      <c r="F32" s="9"/>
      <c r="G32" s="4"/>
      <c r="H32" s="4"/>
      <c r="I32" s="4"/>
      <c r="J32" s="9"/>
      <c r="K32" s="4"/>
      <c r="L32" s="4"/>
      <c r="M32" s="4"/>
      <c r="N32" s="9"/>
      <c r="P32" s="4"/>
      <c r="Q32" s="4"/>
      <c r="R32" s="9"/>
      <c r="S32" s="4"/>
      <c r="T32" s="4"/>
      <c r="U32" s="4"/>
      <c r="V32" s="9"/>
      <c r="W32" s="4"/>
      <c r="X32" s="4"/>
      <c r="Y32" s="4"/>
      <c r="Z32" s="9"/>
    </row>
    <row r="33" spans="1:26" s="63" customFormat="1" ht="15" customHeight="1" x14ac:dyDescent="0.3">
      <c r="A33" s="49"/>
      <c r="B33" s="11" t="s">
        <v>295</v>
      </c>
      <c r="C33" s="11"/>
      <c r="D33" s="5" t="e">
        <f ca="1">-_xll.ONESTOP.REPORTPLAYER.OSRFUNCTIONS.OSRGET("GL_F_Trans","Value1")</f>
        <v>#NAME?</v>
      </c>
      <c r="E33" s="5"/>
      <c r="F33" s="13" t="e">
        <f ca="1">IF(D$12=0,0,D33/D$12)</f>
        <v>#NAME?</v>
      </c>
      <c r="G33" s="5"/>
      <c r="H33" s="5" t="e">
        <f ca="1">-_xll.ONESTOP.REPORTPLAYER.OSRFUNCTIONS.OSRGET("GL_F_Trans","Value1")</f>
        <v>#NAME?</v>
      </c>
      <c r="I33" s="5"/>
      <c r="J33" s="13" t="e">
        <f ca="1">IF(H$12=0,0,H33/H$12)</f>
        <v>#NAME?</v>
      </c>
      <c r="K33" s="5"/>
      <c r="L33" s="5" t="e">
        <f ca="1">+D33-H33</f>
        <v>#NAME?</v>
      </c>
      <c r="M33" s="5"/>
      <c r="N33" s="13" t="e">
        <f ca="1">IF(H33=0,0,L33/H33)</f>
        <v>#NAME?</v>
      </c>
      <c r="O33" s="11"/>
      <c r="P33" s="5" t="e">
        <f ca="1">-_xll.ONESTOP.REPORTPLAYER.OSRFUNCTIONS.OSRGET("GL_F_Trans","Value1")</f>
        <v>#NAME?</v>
      </c>
      <c r="Q33" s="5"/>
      <c r="R33" s="13" t="e">
        <f ca="1">IF(P$12=0,0,P33/P$12)</f>
        <v>#NAME?</v>
      </c>
      <c r="S33" s="5"/>
      <c r="T33" s="5" t="e">
        <f ca="1">-_xll.ONESTOP.REPORTPLAYER.OSRFUNCTIONS.OSRGET("GL_F_Trans","Value1")</f>
        <v>#NAME?</v>
      </c>
      <c r="U33" s="5"/>
      <c r="V33" s="13" t="e">
        <f ca="1">IF(T$12=0,0,T33/T$12)</f>
        <v>#NAME?</v>
      </c>
      <c r="W33" s="5"/>
      <c r="X33" s="5" t="e">
        <f ca="1">+P33-T33</f>
        <v>#NAME?</v>
      </c>
      <c r="Y33" s="5"/>
      <c r="Z33" s="13" t="e">
        <f ca="1">IF(T33=0,0,X33/T33)</f>
        <v>#NAME?</v>
      </c>
    </row>
    <row r="34" spans="1:26" s="63" customFormat="1" ht="15" customHeight="1" x14ac:dyDescent="0.3">
      <c r="A34" s="49"/>
      <c r="B34" s="11" t="s">
        <v>296</v>
      </c>
      <c r="C34" s="11"/>
      <c r="D34" s="5" t="e">
        <f ca="1">-_xll.ONESTOP.REPORTPLAYER.OSRFUNCTIONS.OSRGET("GL_F_Trans","Value1")</f>
        <v>#NAME?</v>
      </c>
      <c r="E34" s="5"/>
      <c r="F34" s="13" t="e">
        <f ca="1">IF(D$12=0,0,D34/D$12)</f>
        <v>#NAME?</v>
      </c>
      <c r="G34" s="5"/>
      <c r="H34" s="5" t="e">
        <f ca="1">-_xll.ONESTOP.REPORTPLAYER.OSRFUNCTIONS.OSRGET("GL_F_Trans","Value1")</f>
        <v>#NAME?</v>
      </c>
      <c r="I34" s="5"/>
      <c r="J34" s="13" t="e">
        <f ca="1">IF(H$12=0,0,H34/H$12)</f>
        <v>#NAME?</v>
      </c>
      <c r="K34" s="5"/>
      <c r="L34" s="5" t="e">
        <f ca="1">+D34-H34</f>
        <v>#NAME?</v>
      </c>
      <c r="M34" s="5"/>
      <c r="N34" s="13" t="e">
        <f ca="1">IF(H34=0,0,L34/H34)</f>
        <v>#NAME?</v>
      </c>
      <c r="O34" s="11"/>
      <c r="P34" s="5" t="e">
        <f ca="1">-_xll.ONESTOP.REPORTPLAYER.OSRFUNCTIONS.OSRGET("GL_F_Trans","Value1")</f>
        <v>#NAME?</v>
      </c>
      <c r="Q34" s="5"/>
      <c r="R34" s="13" t="e">
        <f ca="1">IF(P$12=0,0,P34/P$12)</f>
        <v>#NAME?</v>
      </c>
      <c r="S34" s="5"/>
      <c r="T34" s="5" t="e">
        <f ca="1">-_xll.ONESTOP.REPORTPLAYER.OSRFUNCTIONS.OSRGET("GL_F_Trans","Value1")</f>
        <v>#NAME?</v>
      </c>
      <c r="U34" s="5"/>
      <c r="V34" s="13" t="e">
        <f ca="1">IF(T$12=0,0,T34/T$12)</f>
        <v>#NAME?</v>
      </c>
      <c r="W34" s="5"/>
      <c r="X34" s="5" t="e">
        <f ca="1">+P34-T34</f>
        <v>#NAME?</v>
      </c>
      <c r="Y34" s="5"/>
      <c r="Z34" s="13" t="e">
        <f ca="1">IF(T34=0,0,X34/T34)</f>
        <v>#NAME?</v>
      </c>
    </row>
    <row r="35" spans="1:26" ht="15" customHeight="1" x14ac:dyDescent="0.3">
      <c r="A35" s="10"/>
      <c r="B35" s="10"/>
      <c r="C35" s="10"/>
      <c r="D35" s="4"/>
      <c r="E35" s="4"/>
      <c r="F35" s="9"/>
      <c r="G35" s="4"/>
      <c r="H35" s="4"/>
      <c r="I35" s="4"/>
      <c r="J35" s="9"/>
      <c r="K35" s="4"/>
      <c r="L35" s="4"/>
      <c r="M35" s="4"/>
      <c r="N35" s="9"/>
      <c r="P35" s="4"/>
      <c r="Q35" s="4"/>
      <c r="R35" s="9"/>
      <c r="S35" s="4"/>
      <c r="T35" s="4"/>
      <c r="U35" s="4"/>
      <c r="V35" s="9"/>
      <c r="W35" s="4"/>
      <c r="X35" s="4"/>
      <c r="Y35" s="4"/>
      <c r="Z35" s="9"/>
    </row>
    <row r="36" spans="1:26" s="63" customFormat="1" ht="15" customHeight="1" x14ac:dyDescent="0.3">
      <c r="A36" s="11"/>
      <c r="B36" s="27" t="s">
        <v>297</v>
      </c>
      <c r="C36" s="27"/>
      <c r="D36" s="32" t="e">
        <f ca="1">SUM(D31:D35)</f>
        <v>#NAME?</v>
      </c>
      <c r="E36" s="15"/>
      <c r="F36" s="31" t="e">
        <f ca="1">IF(D$12=0,0,D36/D$12)</f>
        <v>#NAME?</v>
      </c>
      <c r="G36" s="15"/>
      <c r="H36" s="32" t="e">
        <f ca="1">SUM(H31:H35)</f>
        <v>#NAME?</v>
      </c>
      <c r="I36" s="15"/>
      <c r="J36" s="31" t="e">
        <f ca="1">IF(H$12=0,0,H36/H$12)</f>
        <v>#NAME?</v>
      </c>
      <c r="K36" s="16"/>
      <c r="L36" s="32" t="e">
        <f ca="1">+D36-H36</f>
        <v>#NAME?</v>
      </c>
      <c r="M36" s="16"/>
      <c r="N36" s="31" t="e">
        <f ca="1">IF(H36=0,0,L36/H36)</f>
        <v>#NAME?</v>
      </c>
      <c r="O36" s="28"/>
      <c r="P36" s="32" t="e">
        <f ca="1">SUM(P31:P35)</f>
        <v>#NAME?</v>
      </c>
      <c r="Q36" s="15"/>
      <c r="R36" s="31" t="e">
        <f ca="1">IF(P$12=0,0,P36/P$12)</f>
        <v>#NAME?</v>
      </c>
      <c r="S36" s="15"/>
      <c r="T36" s="32" t="e">
        <f ca="1">SUM(T31:T35)</f>
        <v>#NAME?</v>
      </c>
      <c r="U36" s="15"/>
      <c r="V36" s="31" t="e">
        <f ca="1">IF(T$12=0,0,T36/T$12)</f>
        <v>#NAME?</v>
      </c>
      <c r="W36" s="16"/>
      <c r="X36" s="32" t="e">
        <f ca="1">+P36-T36</f>
        <v>#NAME?</v>
      </c>
      <c r="Y36" s="16"/>
      <c r="Z36" s="31" t="e">
        <f ca="1">IF(T36=0,0,X36/T36)</f>
        <v>#NAME?</v>
      </c>
    </row>
    <row r="37" spans="1:26" ht="15" customHeight="1" x14ac:dyDescent="0.3">
      <c r="A37" s="10"/>
      <c r="C37" s="10"/>
      <c r="D37" s="19"/>
      <c r="E37" s="19"/>
      <c r="G37" s="19"/>
      <c r="H37" s="19"/>
      <c r="I37" s="19"/>
      <c r="J37" s="40"/>
      <c r="K37" s="19"/>
      <c r="L37" s="19"/>
      <c r="M37" s="19"/>
      <c r="P37" s="19"/>
      <c r="Q37" s="19"/>
      <c r="R37" s="40"/>
      <c r="S37" s="19"/>
      <c r="T37" s="19"/>
      <c r="U37" s="19"/>
      <c r="V37" s="40"/>
      <c r="W37" s="19"/>
      <c r="X37" s="19"/>
    </row>
    <row r="38" spans="1:26" ht="15" customHeight="1" x14ac:dyDescent="0.3">
      <c r="A38" s="10"/>
      <c r="B38" s="51" t="e">
        <f ca="1">_xll.ONESTOP.REPORTPLAYER.OSRFUNCTIONS.OSRGET("CurrentDate","Date")</f>
        <v>#NAME?</v>
      </c>
      <c r="D38" s="19"/>
      <c r="E38" s="19"/>
      <c r="G38" s="19"/>
      <c r="H38" s="19"/>
      <c r="I38" s="19"/>
      <c r="J38" s="40"/>
      <c r="K38" s="19"/>
      <c r="L38" s="19"/>
      <c r="M38" s="19"/>
      <c r="P38" s="19"/>
      <c r="Q38" s="19"/>
      <c r="R38" s="40"/>
      <c r="S38" s="19"/>
      <c r="T38" s="19"/>
      <c r="U38" s="19"/>
      <c r="V38" s="40"/>
      <c r="W38" s="19"/>
      <c r="X38" s="19"/>
    </row>
    <row r="39" spans="1:26" ht="15" customHeight="1" x14ac:dyDescent="0.3">
      <c r="A39" s="10"/>
      <c r="B39" s="58" t="e">
        <f ca="1">_xll.ONESTOP.REPORTPLAYER.OSRFUNCTIONS.OSRGET("User","UserId")</f>
        <v>#NAME?</v>
      </c>
      <c r="D39" s="19"/>
      <c r="E39" s="19"/>
      <c r="G39" s="19"/>
      <c r="H39" s="19"/>
      <c r="I39" s="19"/>
      <c r="J39" s="40"/>
      <c r="K39" s="19"/>
      <c r="L39" s="19"/>
      <c r="M39" s="19"/>
      <c r="P39" s="19"/>
      <c r="Q39" s="19"/>
      <c r="R39" s="40"/>
      <c r="S39" s="19"/>
      <c r="T39" s="19"/>
      <c r="U39" s="19"/>
      <c r="V39" s="40"/>
      <c r="W39" s="19"/>
      <c r="X39" s="19"/>
    </row>
    <row r="40" spans="1:26" ht="15" customHeight="1" x14ac:dyDescent="0.3">
      <c r="A40" s="10"/>
      <c r="B40" s="50"/>
      <c r="D40" s="19"/>
      <c r="E40" s="19"/>
      <c r="G40" s="19"/>
      <c r="H40" s="19"/>
      <c r="I40" s="19"/>
      <c r="J40" s="40"/>
      <c r="K40" s="19"/>
      <c r="L40" s="19"/>
      <c r="M40" s="19"/>
      <c r="P40" s="19"/>
      <c r="Q40" s="19"/>
      <c r="R40" s="40"/>
      <c r="S40" s="19"/>
      <c r="T40" s="19"/>
      <c r="U40" s="19"/>
      <c r="V40" s="40"/>
      <c r="W40" s="19"/>
      <c r="X40" s="19"/>
    </row>
    <row r="41" spans="1:26" ht="15" customHeight="1" x14ac:dyDescent="0.3">
      <c r="D41" s="19"/>
      <c r="E41" s="19"/>
      <c r="G41" s="19"/>
      <c r="H41" s="19"/>
      <c r="I41" s="19"/>
      <c r="J41" s="40"/>
      <c r="K41" s="19"/>
      <c r="L41" s="19"/>
      <c r="M41" s="19"/>
      <c r="P41" s="19"/>
      <c r="Q41" s="19"/>
      <c r="R41" s="40"/>
      <c r="S41" s="19"/>
      <c r="T41" s="19"/>
      <c r="U41" s="19"/>
      <c r="V41" s="40"/>
      <c r="W41" s="19"/>
      <c r="X41" s="19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F0D94D-74CE-D6CE-5918-EF80BE805598}">
  <sheetPr>
    <tabColor rgb="FF92D050"/>
    <outlinePr summaryBelow="0" summaryRight="0"/>
  </sheetPr>
  <dimension ref="A2:Z41"/>
  <sheetViews>
    <sheetView showGridLines="0" defaultGridColor="0" colorId="8" zoomScale="8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D11" sqref="D11"/>
    </sheetView>
  </sheetViews>
  <sheetFormatPr defaultRowHeight="14.85" customHeight="1" outlineLevelRow="2" outlineLevelCol="1" x14ac:dyDescent="0.3"/>
  <cols>
    <col min="1" max="1" width="1.88671875" style="66" customWidth="1"/>
    <col min="2" max="2" width="33.44140625" style="66" customWidth="1"/>
    <col min="3" max="3" width="1.88671875" style="66" customWidth="1"/>
    <col min="4" max="4" width="15" style="66" customWidth="1"/>
    <col min="5" max="5" width="1.88671875" style="66" customWidth="1" outlineLevel="1"/>
    <col min="6" max="6" width="15" style="67" customWidth="1" outlineLevel="1"/>
    <col min="7" max="7" width="1.88671875" style="66" customWidth="1" outlineLevel="1"/>
    <col min="8" max="8" width="15" style="66" customWidth="1" outlineLevel="1"/>
    <col min="9" max="9" width="1.88671875" style="66" customWidth="1" outlineLevel="1"/>
    <col min="10" max="10" width="15" style="68" customWidth="1" outlineLevel="1"/>
    <col min="11" max="11" width="1.88671875" style="66" customWidth="1" outlineLevel="1"/>
    <col min="12" max="12" width="15" style="66" customWidth="1" outlineLevel="1"/>
    <col min="13" max="13" width="1.88671875" style="66" customWidth="1" outlineLevel="1"/>
    <col min="14" max="14" width="15" style="67" customWidth="1" outlineLevel="1"/>
    <col min="15" max="15" width="1.88671875" style="64" customWidth="1"/>
    <col min="16" max="16" width="15" style="66" customWidth="1"/>
    <col min="17" max="17" width="1.88671875" style="66" customWidth="1" outlineLevel="1"/>
    <col min="18" max="18" width="15" style="68" customWidth="1" outlineLevel="1"/>
    <col min="19" max="19" width="1.88671875" style="66" customWidth="1" outlineLevel="1"/>
    <col min="20" max="20" width="15" style="66" customWidth="1" outlineLevel="1"/>
    <col min="21" max="21" width="1.88671875" style="66" customWidth="1" outlineLevel="1"/>
    <col min="22" max="22" width="15" style="68" customWidth="1" outlineLevel="1"/>
    <col min="23" max="23" width="1.88671875" style="66" customWidth="1" outlineLevel="1"/>
    <col min="24" max="24" width="15" style="66" customWidth="1" outlineLevel="1"/>
    <col min="25" max="25" width="1.88671875" style="66" customWidth="1" outlineLevel="1"/>
    <col min="26" max="26" width="15" style="68" customWidth="1" outlineLevel="1"/>
  </cols>
  <sheetData>
    <row r="2" spans="1:26" ht="15" customHeight="1" x14ac:dyDescent="0.3">
      <c r="D2" s="54" t="s">
        <v>276</v>
      </c>
    </row>
    <row r="3" spans="1:26" ht="15" customHeight="1" x14ac:dyDescent="0.3">
      <c r="D3" s="54" t="s">
        <v>277</v>
      </c>
      <c r="E3" s="18"/>
      <c r="F3" s="44"/>
      <c r="G3" s="18"/>
      <c r="H3" s="18"/>
      <c r="I3" s="18"/>
      <c r="J3" s="38"/>
      <c r="K3" s="18"/>
      <c r="L3" s="18"/>
      <c r="M3" s="18"/>
      <c r="N3" s="44"/>
      <c r="O3" s="53"/>
      <c r="P3" s="18"/>
      <c r="Q3" s="18"/>
      <c r="R3" s="38"/>
      <c r="S3" s="18"/>
      <c r="T3" s="18"/>
      <c r="U3" s="18"/>
      <c r="V3" s="38"/>
      <c r="W3" s="18"/>
      <c r="X3" s="18"/>
      <c r="Y3" s="18"/>
      <c r="Z3" s="38"/>
    </row>
    <row r="4" spans="1:26" ht="15" customHeight="1" x14ac:dyDescent="0.3">
      <c r="D4" s="54" t="e">
        <f ca="1">CONCATENATE("Period ",RIGHT(_xll.ONESTOP.REPORTPLAYER.OSRFUNCTIONS.OSRGET("Period","PeriodId"),2),", ",_xll.ONESTOP.REPORTPLAYER.OSRFUNCTIONS.OSRGET("Period","Year"))</f>
        <v>#NAME?</v>
      </c>
      <c r="E4" s="18"/>
      <c r="F4" s="44"/>
      <c r="G4" s="18"/>
      <c r="H4" s="18"/>
      <c r="I4" s="18"/>
      <c r="J4" s="38"/>
      <c r="K4" s="18"/>
      <c r="L4" s="18"/>
      <c r="M4" s="18"/>
      <c r="N4" s="44"/>
      <c r="O4" s="53"/>
      <c r="P4" s="18"/>
      <c r="Q4" s="18"/>
      <c r="R4" s="38"/>
      <c r="S4" s="18"/>
      <c r="T4" s="18"/>
      <c r="U4" s="18"/>
      <c r="V4" s="38"/>
      <c r="W4" s="18"/>
      <c r="X4" s="18"/>
      <c r="Y4" s="18"/>
      <c r="Z4" s="38"/>
    </row>
    <row r="5" spans="1:26" ht="15" customHeight="1" x14ac:dyDescent="0.3">
      <c r="A5" s="24"/>
      <c r="D5" s="61" t="e">
        <f ca="1">_xll.ONESTOP.REPORTPLAYER.OSRFUNCTIONS.OSRGET("Period","PeriodEnd")</f>
        <v>#NAME?</v>
      </c>
      <c r="E5" s="18"/>
      <c r="F5" s="44"/>
      <c r="G5" s="18"/>
      <c r="H5" s="18"/>
      <c r="I5" s="18"/>
      <c r="J5" s="38"/>
      <c r="K5" s="18"/>
      <c r="L5" s="18"/>
      <c r="M5" s="18"/>
      <c r="N5" s="44"/>
      <c r="O5" s="53"/>
      <c r="P5" s="18"/>
      <c r="Q5" s="18"/>
      <c r="R5" s="38"/>
      <c r="S5" s="18"/>
      <c r="T5" s="18"/>
      <c r="U5" s="18"/>
      <c r="V5" s="38"/>
      <c r="W5" s="18"/>
      <c r="X5" s="18"/>
      <c r="Y5" s="18"/>
      <c r="Z5" s="38"/>
    </row>
    <row r="6" spans="1:26" ht="15" customHeight="1" x14ac:dyDescent="0.3">
      <c r="A6" s="24"/>
      <c r="B6" s="47"/>
      <c r="C6" s="47"/>
      <c r="D6" s="24" t="e">
        <f ca="1">CONCATENATE("Department ",_xll.ONESTOP.REPORTPLAYER.OSRFUNCTIONS.OSRGET("d_dim0","Code")," - ",_xll.ONESTOP.REPORTPLAYER.OSRFUNCTIONS.OSRGET("d_dim0","Description"))</f>
        <v>#NAME?</v>
      </c>
      <c r="E6" s="18"/>
      <c r="F6" s="44"/>
      <c r="G6" s="18"/>
      <c r="H6" s="18"/>
      <c r="I6" s="18"/>
      <c r="J6" s="38"/>
      <c r="K6" s="18"/>
      <c r="L6" s="18"/>
      <c r="M6" s="18"/>
      <c r="N6" s="44"/>
      <c r="O6" s="59"/>
      <c r="P6" s="18"/>
      <c r="Q6" s="18"/>
      <c r="R6" s="38"/>
      <c r="S6" s="18"/>
      <c r="T6" s="18"/>
      <c r="U6" s="18"/>
      <c r="V6" s="38"/>
      <c r="W6" s="18"/>
      <c r="X6" s="18"/>
      <c r="Y6" s="18"/>
      <c r="Z6" s="38"/>
    </row>
    <row r="7" spans="1:26" ht="15" customHeight="1" x14ac:dyDescent="0.3">
      <c r="B7" s="52"/>
    </row>
    <row r="8" spans="1:26" ht="15" customHeight="1" x14ac:dyDescent="0.3">
      <c r="B8" s="52"/>
    </row>
    <row r="9" spans="1:26" ht="15" customHeight="1" x14ac:dyDescent="0.3">
      <c r="B9" s="10"/>
      <c r="C9" s="10"/>
      <c r="D9" s="17" t="s">
        <v>279</v>
      </c>
      <c r="E9" s="17"/>
      <c r="F9" s="36"/>
      <c r="G9" s="17"/>
      <c r="H9" s="17"/>
      <c r="I9" s="17"/>
      <c r="J9" s="43"/>
      <c r="K9" s="17"/>
      <c r="L9" s="17"/>
      <c r="M9" s="17"/>
      <c r="N9" s="36"/>
      <c r="P9" s="17" t="s">
        <v>280</v>
      </c>
      <c r="Q9" s="17"/>
      <c r="R9" s="36"/>
      <c r="S9" s="17"/>
      <c r="T9" s="17"/>
      <c r="U9" s="17"/>
      <c r="V9" s="43"/>
      <c r="W9" s="17"/>
      <c r="X9" s="17"/>
      <c r="Y9" s="17"/>
      <c r="Z9" s="36"/>
    </row>
    <row r="10" spans="1:26" ht="15" customHeight="1" x14ac:dyDescent="0.3">
      <c r="A10" s="11"/>
      <c r="B10" s="57"/>
      <c r="C10" s="11"/>
      <c r="D10" s="41" t="s">
        <v>281</v>
      </c>
      <c r="E10" s="33"/>
      <c r="F10" s="37" t="s">
        <v>282</v>
      </c>
      <c r="G10" s="33"/>
      <c r="H10" s="48" t="s">
        <v>283</v>
      </c>
      <c r="I10" s="33"/>
      <c r="J10" s="45" t="s">
        <v>284</v>
      </c>
      <c r="K10" s="11"/>
      <c r="L10" s="41" t="s">
        <v>285</v>
      </c>
      <c r="M10" s="11"/>
      <c r="N10" s="37" t="s">
        <v>286</v>
      </c>
      <c r="O10" s="11"/>
      <c r="P10" s="56" t="s">
        <v>281</v>
      </c>
      <c r="Q10" s="33"/>
      <c r="R10" s="37" t="s">
        <v>282</v>
      </c>
      <c r="S10" s="33"/>
      <c r="T10" s="48" t="s">
        <v>283</v>
      </c>
      <c r="U10" s="33"/>
      <c r="V10" s="45" t="s">
        <v>284</v>
      </c>
      <c r="W10" s="11"/>
      <c r="X10" s="41" t="s">
        <v>285</v>
      </c>
      <c r="Y10" s="11"/>
      <c r="Z10" s="37" t="s">
        <v>286</v>
      </c>
    </row>
    <row r="11" spans="1:26" ht="16.5" customHeight="1" x14ac:dyDescent="0.3">
      <c r="A11" s="10"/>
      <c r="B11" s="55"/>
      <c r="C11" s="10"/>
      <c r="D11" s="10"/>
      <c r="E11" s="10"/>
      <c r="F11" s="9"/>
      <c r="G11" s="10"/>
      <c r="H11" s="10"/>
      <c r="I11" s="10"/>
      <c r="J11" s="46"/>
      <c r="K11" s="10"/>
      <c r="L11" s="10"/>
      <c r="M11" s="10"/>
      <c r="N11" s="9"/>
      <c r="P11" s="10"/>
      <c r="Q11" s="10"/>
      <c r="R11" s="9"/>
      <c r="S11" s="10"/>
      <c r="T11" s="10"/>
      <c r="U11" s="10"/>
      <c r="V11" s="46"/>
      <c r="W11" s="10"/>
      <c r="X11" s="10"/>
      <c r="Y11" s="10"/>
      <c r="Z11" s="9"/>
    </row>
    <row r="12" spans="1:26" s="63" customFormat="1" ht="15" customHeight="1" collapsed="1" x14ac:dyDescent="0.3">
      <c r="A12" s="11"/>
      <c r="B12" s="28" t="s">
        <v>287</v>
      </c>
      <c r="C12" s="11"/>
      <c r="D12" s="5" t="e">
        <f ca="1">SUM(_xll.ONESTOP.REPORTPLAYER.OSRFUNCTIONS.OSRREF(D13))</f>
        <v>#NAME?</v>
      </c>
      <c r="E12" s="5"/>
      <c r="F12" s="13"/>
      <c r="G12" s="5"/>
      <c r="H12" s="5" t="e">
        <f ca="1">SUM(_xll.ONESTOP.REPORTPLAYER.OSRFUNCTIONS.OSRREF(H13))</f>
        <v>#NAME?</v>
      </c>
      <c r="I12" s="5"/>
      <c r="J12" s="13"/>
      <c r="K12" s="5"/>
      <c r="L12" s="5" t="e">
        <f ca="1">+D12-H12</f>
        <v>#NAME?</v>
      </c>
      <c r="M12" s="5"/>
      <c r="N12" s="13" t="e">
        <f ca="1">IF(H12=0,0,L12/H12)</f>
        <v>#NAME?</v>
      </c>
      <c r="O12" s="11"/>
      <c r="P12" s="5" t="e">
        <f ca="1">SUM(_xll.ONESTOP.REPORTPLAYER.OSRFUNCTIONS.OSRREF(P13))</f>
        <v>#NAME?</v>
      </c>
      <c r="Q12" s="5"/>
      <c r="R12" s="13"/>
      <c r="S12" s="5"/>
      <c r="T12" s="5" t="e">
        <f ca="1">SUM(_xll.ONESTOP.REPORTPLAYER.OSRFUNCTIONS.OSRREF(T13))</f>
        <v>#NAME?</v>
      </c>
      <c r="U12" s="5"/>
      <c r="V12" s="13"/>
      <c r="W12" s="5"/>
      <c r="X12" s="5" t="e">
        <f ca="1">+P12-T12</f>
        <v>#NAME?</v>
      </c>
      <c r="Y12" s="5"/>
      <c r="Z12" s="13" t="e">
        <f ca="1">IF(T12=0,0,X12/T12)</f>
        <v>#NAME?</v>
      </c>
    </row>
    <row r="13" spans="1:26" s="70" customFormat="1" ht="15" hidden="1" customHeight="1" outlineLevel="1" x14ac:dyDescent="0.3">
      <c r="A13" s="42"/>
      <c r="B13" s="12" t="e">
        <f ca="1">CONCATENATE("          ",_xll.ONESTOP.REPORTPLAYER.OSRFUNCTIONS.OSRGET("d_Account","Code")," - ",_xll.ONESTOP.REPORTPLAYER.OSRFUNCTIONS.OSRGET("d_Account","Description"))</f>
        <v>#NAME?</v>
      </c>
      <c r="C13" s="12"/>
      <c r="D13" s="3" t="e">
        <f ca="1">-_xll.ONESTOP.REPORTPLAYER.OSRFUNCTIONS.OSRGET("GL_F_Trans","Value1")</f>
        <v>#NAME?</v>
      </c>
      <c r="E13" s="3"/>
      <c r="F13" s="20"/>
      <c r="G13" s="3"/>
      <c r="H13" s="3" t="e">
        <f ca="1">_xll.ONESTOP.REPORTPLAYER.OSRFUNCTIONS.OSRGET("GL_F_Trans","Value1")</f>
        <v>#NAME?</v>
      </c>
      <c r="I13" s="3"/>
      <c r="J13" s="20"/>
      <c r="K13" s="3"/>
      <c r="L13" s="3" t="e">
        <f ca="1">+D13-H13</f>
        <v>#NAME?</v>
      </c>
      <c r="M13" s="3"/>
      <c r="N13" s="20" t="e">
        <f ca="1">IF(H13=0,0,L13/H13)</f>
        <v>#NAME?</v>
      </c>
      <c r="O13" s="12"/>
      <c r="P13" s="3" t="e">
        <f ca="1">-_xll.ONESTOP.REPORTPLAYER.OSRFUNCTIONS.OSRGET("GL_F_Trans","Value1")</f>
        <v>#NAME?</v>
      </c>
      <c r="Q13" s="3"/>
      <c r="R13" s="20"/>
      <c r="S13" s="3"/>
      <c r="T13" s="3" t="e">
        <f ca="1">_xll.ONESTOP.REPORTPLAYER.OSRFUNCTIONS.OSRGET("GL_F_Trans","Value1")</f>
        <v>#NAME?</v>
      </c>
      <c r="U13" s="3"/>
      <c r="V13" s="20"/>
      <c r="W13" s="3"/>
      <c r="X13" s="3" t="e">
        <f ca="1">+P13-T13</f>
        <v>#NAME?</v>
      </c>
      <c r="Y13" s="3"/>
      <c r="Z13" s="20" t="e">
        <f ca="1">IF(T13=0,0,X13/T13)</f>
        <v>#NAME?</v>
      </c>
    </row>
    <row r="14" spans="1:26" ht="15" customHeight="1" x14ac:dyDescent="0.3">
      <c r="A14" s="10"/>
      <c r="B14" s="11"/>
      <c r="C14" s="10"/>
      <c r="D14" s="4"/>
      <c r="E14" s="4"/>
      <c r="F14" s="9"/>
      <c r="G14" s="4"/>
      <c r="H14" s="4"/>
      <c r="I14" s="4"/>
      <c r="J14" s="9"/>
      <c r="K14" s="4"/>
      <c r="L14" s="4"/>
      <c r="M14" s="4"/>
      <c r="N14" s="9"/>
      <c r="P14" s="4"/>
      <c r="Q14" s="4"/>
      <c r="R14" s="9"/>
      <c r="S14" s="4"/>
      <c r="T14" s="4"/>
      <c r="U14" s="4"/>
      <c r="V14" s="9"/>
      <c r="W14" s="4"/>
      <c r="X14" s="4"/>
      <c r="Y14" s="4"/>
      <c r="Z14" s="9"/>
    </row>
    <row r="15" spans="1:26" s="63" customFormat="1" ht="15" customHeight="1" collapsed="1" x14ac:dyDescent="0.3">
      <c r="A15" s="11"/>
      <c r="B15" s="28" t="s">
        <v>288</v>
      </c>
      <c r="C15" s="11"/>
      <c r="D15" s="5" t="e">
        <f ca="1">SUM(_xll.ONESTOP.REPORTPLAYER.OSRFUNCTIONS.OSRREF(D16))</f>
        <v>#NAME?</v>
      </c>
      <c r="E15" s="5"/>
      <c r="F15" s="13" t="e">
        <f ca="1">IF(D$12=0,0,D15/D$12)</f>
        <v>#NAME?</v>
      </c>
      <c r="G15" s="5"/>
      <c r="H15" s="5" t="e">
        <f ca="1">SUM(_xll.ONESTOP.REPORTPLAYER.OSRFUNCTIONS.OSRREF(H16))</f>
        <v>#NAME?</v>
      </c>
      <c r="I15" s="5"/>
      <c r="J15" s="13" t="e">
        <f ca="1">IF(H$12=0,0,H15/H$12)</f>
        <v>#NAME?</v>
      </c>
      <c r="K15" s="5"/>
      <c r="L15" s="5" t="e">
        <f ca="1">+D15-H15</f>
        <v>#NAME?</v>
      </c>
      <c r="M15" s="5"/>
      <c r="N15" s="13" t="e">
        <f ca="1">IF(H15=0,0,L15/H15)</f>
        <v>#NAME?</v>
      </c>
      <c r="O15" s="11"/>
      <c r="P15" s="5" t="e">
        <f ca="1">SUM(_xll.ONESTOP.REPORTPLAYER.OSRFUNCTIONS.OSRREF(P16))</f>
        <v>#NAME?</v>
      </c>
      <c r="Q15" s="5"/>
      <c r="R15" s="13" t="e">
        <f ca="1">IF(P$12=0,0,P15/P$12)</f>
        <v>#NAME?</v>
      </c>
      <c r="S15" s="5"/>
      <c r="T15" s="5" t="e">
        <f ca="1">SUM(_xll.ONESTOP.REPORTPLAYER.OSRFUNCTIONS.OSRREF(T16))</f>
        <v>#NAME?</v>
      </c>
      <c r="U15" s="5"/>
      <c r="V15" s="13" t="e">
        <f ca="1">IF(T$12=0,0,T15/T$12)</f>
        <v>#NAME?</v>
      </c>
      <c r="W15" s="5"/>
      <c r="X15" s="5" t="e">
        <f ca="1">+P15-T15</f>
        <v>#NAME?</v>
      </c>
      <c r="Y15" s="5"/>
      <c r="Z15" s="13" t="e">
        <f ca="1">IF(T15=0,0,X15/T15)</f>
        <v>#NAME?</v>
      </c>
    </row>
    <row r="16" spans="1:26" s="70" customFormat="1" ht="15" hidden="1" customHeight="1" outlineLevel="1" x14ac:dyDescent="0.3">
      <c r="A16" s="42"/>
      <c r="B16" s="12" t="e">
        <f ca="1">CONCATENATE("          ",_xll.ONESTOP.REPORTPLAYER.OSRFUNCTIONS.OSRGET("d_Account","Code")," - ",_xll.ONESTOP.REPORTPLAYER.OSRFUNCTIONS.OSRGET("d_Account","Description"))</f>
        <v>#NAME?</v>
      </c>
      <c r="C16" s="12"/>
      <c r="D16" s="3" t="e">
        <f ca="1">_xll.ONESTOP.REPORTPLAYER.OSRFUNCTIONS.OSRGET("GL_F_Trans","Value1")</f>
        <v>#NAME?</v>
      </c>
      <c r="E16" s="3"/>
      <c r="F16" s="20" t="e">
        <f ca="1">IF(D$12=0,0,D16/D$12)</f>
        <v>#NAME?</v>
      </c>
      <c r="G16" s="3"/>
      <c r="H16" s="3" t="e">
        <f ca="1">_xll.ONESTOP.REPORTPLAYER.OSRFUNCTIONS.OSRGET("GL_F_Trans","Value1")</f>
        <v>#NAME?</v>
      </c>
      <c r="I16" s="3"/>
      <c r="J16" s="20" t="e">
        <f ca="1">IF(H$12=0,0,H16/H$12)</f>
        <v>#NAME?</v>
      </c>
      <c r="K16" s="3"/>
      <c r="L16" s="3" t="e">
        <f ca="1">+D16-H16</f>
        <v>#NAME?</v>
      </c>
      <c r="M16" s="3"/>
      <c r="N16" s="20" t="e">
        <f ca="1">IF(H16=0,0,L16/H16)</f>
        <v>#NAME?</v>
      </c>
      <c r="O16" s="12"/>
      <c r="P16" s="3" t="e">
        <f ca="1">_xll.ONESTOP.REPORTPLAYER.OSRFUNCTIONS.OSRGET("GL_F_Trans","Value1")</f>
        <v>#NAME?</v>
      </c>
      <c r="Q16" s="3"/>
      <c r="R16" s="20" t="e">
        <f ca="1">IF(P$12=0,0,P16/P$12)</f>
        <v>#NAME?</v>
      </c>
      <c r="S16" s="3"/>
      <c r="T16" s="3" t="e">
        <f ca="1">_xll.ONESTOP.REPORTPLAYER.OSRFUNCTIONS.OSRGET("GL_F_Trans","Value1")</f>
        <v>#NAME?</v>
      </c>
      <c r="U16" s="3"/>
      <c r="V16" s="20" t="e">
        <f ca="1">IF(T$12=0,0,T16/T$12)</f>
        <v>#NAME?</v>
      </c>
      <c r="W16" s="3"/>
      <c r="X16" s="3" t="e">
        <f ca="1">+P16-T16</f>
        <v>#NAME?</v>
      </c>
      <c r="Y16" s="3"/>
      <c r="Z16" s="20" t="e">
        <f ca="1">IF(T16=0,0,X16/T16)</f>
        <v>#NAME?</v>
      </c>
    </row>
    <row r="17" spans="1:26" ht="15" customHeight="1" x14ac:dyDescent="0.3">
      <c r="A17" s="10"/>
      <c r="B17" s="11"/>
      <c r="C17" s="11"/>
      <c r="D17" s="4"/>
      <c r="E17" s="4"/>
      <c r="F17" s="9"/>
      <c r="G17" s="4"/>
      <c r="H17" s="4"/>
      <c r="I17" s="4"/>
      <c r="J17" s="9"/>
      <c r="K17" s="4"/>
      <c r="L17" s="4"/>
      <c r="M17" s="4"/>
      <c r="N17" s="9"/>
      <c r="O17" s="11"/>
      <c r="P17" s="4"/>
      <c r="Q17" s="4"/>
      <c r="R17" s="9"/>
      <c r="S17" s="4"/>
      <c r="T17" s="4"/>
      <c r="U17" s="4"/>
      <c r="V17" s="9"/>
      <c r="W17" s="4"/>
      <c r="X17" s="4"/>
      <c r="Y17" s="4"/>
      <c r="Z17" s="9"/>
    </row>
    <row r="18" spans="1:26" s="63" customFormat="1" ht="15" customHeight="1" x14ac:dyDescent="0.3">
      <c r="A18" s="11"/>
      <c r="B18" s="27" t="s">
        <v>289</v>
      </c>
      <c r="C18" s="27"/>
      <c r="D18" s="21" t="e">
        <f ca="1">D12-D15</f>
        <v>#NAME?</v>
      </c>
      <c r="E18" s="15"/>
      <c r="F18" s="23" t="e">
        <f ca="1">IF(D$12=0,0,D18/D$12)</f>
        <v>#NAME?</v>
      </c>
      <c r="G18" s="15"/>
      <c r="H18" s="21" t="e">
        <f ca="1">H12-H15</f>
        <v>#NAME?</v>
      </c>
      <c r="I18" s="15"/>
      <c r="J18" s="23" t="e">
        <f ca="1">IF(H$12=0,0,H18/H$12)</f>
        <v>#NAME?</v>
      </c>
      <c r="K18" s="16"/>
      <c r="L18" s="21" t="e">
        <f ca="1">+D18-H18</f>
        <v>#NAME?</v>
      </c>
      <c r="M18" s="16"/>
      <c r="N18" s="23" t="e">
        <f ca="1">IF(H18=0,0,L18/H18)</f>
        <v>#NAME?</v>
      </c>
      <c r="O18" s="28"/>
      <c r="P18" s="21" t="e">
        <f ca="1">P12-P15</f>
        <v>#NAME?</v>
      </c>
      <c r="Q18" s="15"/>
      <c r="R18" s="23" t="e">
        <f ca="1">IF(P$12=0,0,P18/P$12)</f>
        <v>#NAME?</v>
      </c>
      <c r="S18" s="15"/>
      <c r="T18" s="21" t="e">
        <f ca="1">T12-T15</f>
        <v>#NAME?</v>
      </c>
      <c r="U18" s="15"/>
      <c r="V18" s="23" t="e">
        <f ca="1">IF(T$12=0,0,T18/T$12)</f>
        <v>#NAME?</v>
      </c>
      <c r="W18" s="16"/>
      <c r="X18" s="21" t="e">
        <f ca="1">+P18-T18</f>
        <v>#NAME?</v>
      </c>
      <c r="Y18" s="16"/>
      <c r="Z18" s="23" t="e">
        <f ca="1">IF(T18=0,0,X18/T18)</f>
        <v>#NAME?</v>
      </c>
    </row>
    <row r="19" spans="1:26" ht="15" customHeight="1" x14ac:dyDescent="0.3">
      <c r="A19" s="10"/>
      <c r="B19" s="11"/>
      <c r="C19" s="10"/>
      <c r="D19" s="2"/>
      <c r="E19" s="2"/>
      <c r="F19" s="6"/>
      <c r="G19" s="2"/>
      <c r="H19" s="2"/>
      <c r="I19" s="2"/>
      <c r="J19" s="6"/>
      <c r="K19" s="2"/>
      <c r="L19" s="2"/>
      <c r="M19" s="2"/>
      <c r="N19" s="6"/>
      <c r="O19" s="35"/>
      <c r="P19" s="2"/>
      <c r="Q19" s="2"/>
      <c r="R19" s="6"/>
      <c r="S19" s="2"/>
      <c r="T19" s="2"/>
      <c r="U19" s="2"/>
      <c r="V19" s="6"/>
      <c r="W19" s="2"/>
      <c r="X19" s="2"/>
      <c r="Y19" s="2"/>
      <c r="Z19" s="6"/>
    </row>
    <row r="20" spans="1:26" s="63" customFormat="1" ht="15" customHeight="1" x14ac:dyDescent="0.3">
      <c r="A20" s="11"/>
      <c r="B20" s="28" t="s">
        <v>290</v>
      </c>
      <c r="C20" s="11"/>
      <c r="D20" s="22" t="e">
        <f ca="1">SUM(_xll.ONESTOP.REPORTPLAYER.OSRFUNCTIONS.OSRREF(D22))</f>
        <v>#NAME?</v>
      </c>
      <c r="E20" s="22"/>
      <c r="F20" s="30" t="e">
        <f ca="1">IF(D$12=0,0,D20/D$12)</f>
        <v>#NAME?</v>
      </c>
      <c r="G20" s="22"/>
      <c r="H20" s="22" t="e">
        <f ca="1">SUM(_xll.ONESTOP.REPORTPLAYER.OSRFUNCTIONS.OSRREF(H22))</f>
        <v>#NAME?</v>
      </c>
      <c r="I20" s="22"/>
      <c r="J20" s="30" t="e">
        <f ca="1">IF(H$12=0,0,H20/H$12)</f>
        <v>#NAME?</v>
      </c>
      <c r="K20" s="5"/>
      <c r="L20" s="22" t="e">
        <f ca="1">+D20-H20</f>
        <v>#NAME?</v>
      </c>
      <c r="M20" s="5"/>
      <c r="N20" s="30" t="e">
        <f ca="1">IF(H20=0,0,L20/H20)</f>
        <v>#NAME?</v>
      </c>
      <c r="O20" s="11"/>
      <c r="P20" s="22" t="e">
        <f ca="1">SUM(_xll.ONESTOP.REPORTPLAYER.OSRFUNCTIONS.OSRREF(P22))</f>
        <v>#NAME?</v>
      </c>
      <c r="Q20" s="22"/>
      <c r="R20" s="30" t="e">
        <f ca="1">IF(P$12=0,0,P20/P$12)</f>
        <v>#NAME?</v>
      </c>
      <c r="S20" s="22"/>
      <c r="T20" s="22" t="e">
        <f ca="1">SUM(_xll.ONESTOP.REPORTPLAYER.OSRFUNCTIONS.OSRREF(T22))</f>
        <v>#NAME?</v>
      </c>
      <c r="U20" s="22"/>
      <c r="V20" s="30" t="e">
        <f ca="1">IF(T$12=0,0,T20/T$12)</f>
        <v>#NAME?</v>
      </c>
      <c r="W20" s="5"/>
      <c r="X20" s="22" t="e">
        <f ca="1">+P20-T20</f>
        <v>#NAME?</v>
      </c>
      <c r="Y20" s="5"/>
      <c r="Z20" s="30" t="e">
        <f ca="1">IF(T20=0,0,X20/T20)</f>
        <v>#NAME?</v>
      </c>
    </row>
    <row r="21" spans="1:26" s="69" customFormat="1" ht="15" customHeight="1" outlineLevel="1" collapsed="1" x14ac:dyDescent="0.3">
      <c r="A21" s="25"/>
      <c r="B21" s="14" t="e">
        <f ca="1">CONCATENATE("     ",_xll.ONESTOP.REPORTPLAYER.OSRFUNCTIONS.OSRGET("d_Account","AccountCategory"))</f>
        <v>#NAME?</v>
      </c>
      <c r="C21" s="14"/>
      <c r="D21" s="2" t="e">
        <f ca="1">SUM(_xll.ONESTOP.REPORTPLAYER.OSRFUNCTIONS.OSRREF(D22))</f>
        <v>#NAME?</v>
      </c>
      <c r="E21" s="2"/>
      <c r="F21" s="6" t="e">
        <f ca="1">IF(D$12=0,0,D21/D$12)</f>
        <v>#NAME?</v>
      </c>
      <c r="G21" s="2"/>
      <c r="H21" s="2" t="e">
        <f ca="1">SUM(_xll.ONESTOP.REPORTPLAYER.OSRFUNCTIONS.OSRREF(H22))</f>
        <v>#NAME?</v>
      </c>
      <c r="I21" s="2"/>
      <c r="J21" s="6" t="e">
        <f ca="1">IF(H$12=0,0,H21/H$12)</f>
        <v>#NAME?</v>
      </c>
      <c r="K21" s="2"/>
      <c r="L21" s="2" t="e">
        <f ca="1">+D21-H21</f>
        <v>#NAME?</v>
      </c>
      <c r="M21" s="2"/>
      <c r="N21" s="6" t="e">
        <f ca="1">IF(H21=0,0,L21/H21)</f>
        <v>#NAME?</v>
      </c>
      <c r="O21" s="14"/>
      <c r="P21" s="2" t="e">
        <f ca="1">SUM(_xll.ONESTOP.REPORTPLAYER.OSRFUNCTIONS.OSRREF(P22))</f>
        <v>#NAME?</v>
      </c>
      <c r="Q21" s="2"/>
      <c r="R21" s="6" t="e">
        <f ca="1">IF(P$12=0,0,P21/P$12)</f>
        <v>#NAME?</v>
      </c>
      <c r="S21" s="2"/>
      <c r="T21" s="2" t="e">
        <f ca="1">SUM(_xll.ONESTOP.REPORTPLAYER.OSRFUNCTIONS.OSRREF(T22))</f>
        <v>#NAME?</v>
      </c>
      <c r="U21" s="2"/>
      <c r="V21" s="6" t="e">
        <f ca="1">IF(T$12=0,0,T21/T$12)</f>
        <v>#NAME?</v>
      </c>
      <c r="W21" s="2"/>
      <c r="X21" s="2" t="e">
        <f ca="1">+P21-T21</f>
        <v>#NAME?</v>
      </c>
      <c r="Y21" s="2"/>
      <c r="Z21" s="6" t="e">
        <f ca="1">IF(T21=0,0,X21/T21)</f>
        <v>#NAME?</v>
      </c>
    </row>
    <row r="22" spans="1:26" s="70" customFormat="1" ht="15" hidden="1" customHeight="1" outlineLevel="2" x14ac:dyDescent="0.3">
      <c r="A22" s="26"/>
      <c r="B22" s="12" t="e">
        <f ca="1">CONCATENATE("          ",_xll.ONESTOP.REPORTPLAYER.OSRFUNCTIONS.OSRGET("d_Account","Code")," - ",_xll.ONESTOP.REPORTPLAYER.OSRFUNCTIONS.OSRGET("d_Account","Description"))</f>
        <v>#NAME?</v>
      </c>
      <c r="C22" s="12"/>
      <c r="D22" s="7" t="e">
        <f ca="1">_xll.ONESTOP.REPORTPLAYER.OSRFUNCTIONS.OSRGET("GL_F_Trans","Value1")</f>
        <v>#NAME?</v>
      </c>
      <c r="E22" s="3"/>
      <c r="F22" s="8" t="e">
        <f ca="1">IF(D$12=0,0,D22/D$12)</f>
        <v>#NAME?</v>
      </c>
      <c r="G22" s="3"/>
      <c r="H22" s="7" t="e">
        <f ca="1">_xll.ONESTOP.REPORTPLAYER.OSRFUNCTIONS.OSRGET("GL_F_Trans","Value1")</f>
        <v>#NAME?</v>
      </c>
      <c r="I22" s="3"/>
      <c r="J22" s="8" t="e">
        <f ca="1">IF(H$12=0,0,H22/H$12)</f>
        <v>#NAME?</v>
      </c>
      <c r="K22" s="3"/>
      <c r="L22" s="7" t="e">
        <f ca="1">+D22-H22</f>
        <v>#NAME?</v>
      </c>
      <c r="M22" s="3"/>
      <c r="N22" s="8" t="e">
        <f ca="1">IF(H22=0,0,L22/H22)</f>
        <v>#NAME?</v>
      </c>
      <c r="O22" s="12"/>
      <c r="P22" s="7" t="e">
        <f ca="1">_xll.ONESTOP.REPORTPLAYER.OSRFUNCTIONS.OSRGET("GL_F_Trans","Value1")</f>
        <v>#NAME?</v>
      </c>
      <c r="Q22" s="3"/>
      <c r="R22" s="8" t="e">
        <f ca="1">IF(P$12=0,0,P22/P$12)</f>
        <v>#NAME?</v>
      </c>
      <c r="S22" s="3"/>
      <c r="T22" s="7" t="e">
        <f ca="1">_xll.ONESTOP.REPORTPLAYER.OSRFUNCTIONS.OSRGET("GL_F_Trans","Value1")</f>
        <v>#NAME?</v>
      </c>
      <c r="U22" s="3"/>
      <c r="V22" s="8" t="e">
        <f ca="1">IF(T$12=0,0,T22/T$12)</f>
        <v>#NAME?</v>
      </c>
      <c r="W22" s="3"/>
      <c r="X22" s="7" t="e">
        <f ca="1">+P22-T22</f>
        <v>#NAME?</v>
      </c>
      <c r="Y22" s="3"/>
      <c r="Z22" s="8" t="e">
        <f ca="1">IF(T22=0,0,X22/T22)</f>
        <v>#NAME?</v>
      </c>
    </row>
    <row r="23" spans="1:26" s="65" customFormat="1" ht="15" customHeight="1" x14ac:dyDescent="0.3">
      <c r="A23" s="35"/>
      <c r="B23" s="35"/>
      <c r="C23" s="35"/>
      <c r="D23" s="2"/>
      <c r="E23" s="2"/>
      <c r="F23" s="6"/>
      <c r="G23" s="2"/>
      <c r="H23" s="2"/>
      <c r="I23" s="2"/>
      <c r="J23" s="6"/>
      <c r="K23" s="2"/>
      <c r="L23" s="2"/>
      <c r="M23" s="2"/>
      <c r="N23" s="6"/>
      <c r="O23" s="35"/>
      <c r="P23" s="2"/>
      <c r="Q23" s="2"/>
      <c r="R23" s="6"/>
      <c r="S23" s="2"/>
      <c r="T23" s="2"/>
      <c r="U23" s="2"/>
      <c r="V23" s="6"/>
      <c r="W23" s="2"/>
      <c r="X23" s="2"/>
      <c r="Y23" s="2"/>
      <c r="Z23" s="6"/>
    </row>
    <row r="24" spans="1:26" s="63" customFormat="1" ht="15" customHeight="1" collapsed="1" x14ac:dyDescent="0.3">
      <c r="A24" s="11"/>
      <c r="B24" s="28" t="s">
        <v>291</v>
      </c>
      <c r="C24" s="11"/>
      <c r="D24" s="5" t="e">
        <f ca="1">SUM(_xll.ONESTOP.REPORTPLAYER.OSRFUNCTIONS.OSRREF(D25))</f>
        <v>#NAME?</v>
      </c>
      <c r="E24" s="5"/>
      <c r="F24" s="13" t="e">
        <f ca="1">IF(D$12=0,0,D24/D$12)</f>
        <v>#NAME?</v>
      </c>
      <c r="G24" s="5"/>
      <c r="H24" s="5" t="e">
        <f ca="1">SUM(_xll.ONESTOP.REPORTPLAYER.OSRFUNCTIONS.OSRREF(H25))</f>
        <v>#NAME?</v>
      </c>
      <c r="I24" s="5"/>
      <c r="J24" s="13" t="e">
        <f ca="1">IF(H$12=0,0,H24/H$12)</f>
        <v>#NAME?</v>
      </c>
      <c r="K24" s="5"/>
      <c r="L24" s="5" t="e">
        <f ca="1">+D24-H24</f>
        <v>#NAME?</v>
      </c>
      <c r="M24" s="5"/>
      <c r="N24" s="13" t="e">
        <f ca="1">IF(H24=0,0,L24/H24)</f>
        <v>#NAME?</v>
      </c>
      <c r="O24" s="11"/>
      <c r="P24" s="5" t="e">
        <f ca="1">SUM(_xll.ONESTOP.REPORTPLAYER.OSRFUNCTIONS.OSRREF(P25))</f>
        <v>#NAME?</v>
      </c>
      <c r="Q24" s="5"/>
      <c r="R24" s="13" t="e">
        <f ca="1">IF(P$12=0,0,P24/P$12)</f>
        <v>#NAME?</v>
      </c>
      <c r="S24" s="5"/>
      <c r="T24" s="5" t="e">
        <f ca="1">SUM(_xll.ONESTOP.REPORTPLAYER.OSRFUNCTIONS.OSRREF(T25))</f>
        <v>#NAME?</v>
      </c>
      <c r="U24" s="5"/>
      <c r="V24" s="13" t="e">
        <f ca="1">IF(T$12=0,0,T24/T$12)</f>
        <v>#NAME?</v>
      </c>
      <c r="W24" s="5"/>
      <c r="X24" s="5" t="e">
        <f ca="1">+P24-T24</f>
        <v>#NAME?</v>
      </c>
      <c r="Y24" s="5"/>
      <c r="Z24" s="13" t="e">
        <f ca="1">IF(T24=0,0,X24/T24)</f>
        <v>#NAME?</v>
      </c>
    </row>
    <row r="25" spans="1:26" s="70" customFormat="1" ht="15" hidden="1" customHeight="1" outlineLevel="1" x14ac:dyDescent="0.3">
      <c r="A25" s="42"/>
      <c r="B25" s="12" t="e">
        <f ca="1">CONCATENATE("          ",_xll.ONESTOP.REPORTPLAYER.OSRFUNCTIONS.OSRGET("d_Account","Code")," - ",_xll.ONESTOP.REPORTPLAYER.OSRFUNCTIONS.OSRGET("d_Account","Description"))</f>
        <v>#NAME?</v>
      </c>
      <c r="C25" s="12"/>
      <c r="D25" s="3" t="e">
        <f ca="1">-_xll.ONESTOP.REPORTPLAYER.OSRFUNCTIONS.OSRGET("GL_F_Trans","Value1")</f>
        <v>#NAME?</v>
      </c>
      <c r="E25" s="3"/>
      <c r="F25" s="20" t="e">
        <f ca="1">IF(D$12=0,0,D25/D$12)</f>
        <v>#NAME?</v>
      </c>
      <c r="G25" s="3"/>
      <c r="H25" s="3" t="e">
        <f ca="1">_xll.ONESTOP.REPORTPLAYER.OSRFUNCTIONS.OSRGET("GL_F_Trans","Value1")</f>
        <v>#NAME?</v>
      </c>
      <c r="I25" s="3"/>
      <c r="J25" s="20" t="e">
        <f ca="1">IF(H$12=0,0,H25/H$12)</f>
        <v>#NAME?</v>
      </c>
      <c r="K25" s="3"/>
      <c r="L25" s="3" t="e">
        <f ca="1">+D25-H25</f>
        <v>#NAME?</v>
      </c>
      <c r="M25" s="3"/>
      <c r="N25" s="20" t="e">
        <f ca="1">IF(H25=0,0,L25/H25)</f>
        <v>#NAME?</v>
      </c>
      <c r="O25" s="12"/>
      <c r="P25" s="3" t="e">
        <f ca="1">-_xll.ONESTOP.REPORTPLAYER.OSRFUNCTIONS.OSRGET("GL_F_Trans","Value1")</f>
        <v>#NAME?</v>
      </c>
      <c r="Q25" s="3"/>
      <c r="R25" s="20" t="e">
        <f ca="1">IF(P$12=0,0,P25/P$12)</f>
        <v>#NAME?</v>
      </c>
      <c r="S25" s="3"/>
      <c r="T25" s="3" t="e">
        <f ca="1">_xll.ONESTOP.REPORTPLAYER.OSRFUNCTIONS.OSRGET("GL_F_Trans","Value1")</f>
        <v>#NAME?</v>
      </c>
      <c r="U25" s="3"/>
      <c r="V25" s="20" t="e">
        <f ca="1">IF(T$12=0,0,T25/T$12)</f>
        <v>#NAME?</v>
      </c>
      <c r="W25" s="3"/>
      <c r="X25" s="3" t="e">
        <f ca="1">+P25-T25</f>
        <v>#NAME?</v>
      </c>
      <c r="Y25" s="3"/>
      <c r="Z25" s="20" t="e">
        <f ca="1">IF(T25=0,0,X25/T25)</f>
        <v>#NAME?</v>
      </c>
    </row>
    <row r="26" spans="1:26" ht="15" customHeight="1" x14ac:dyDescent="0.3">
      <c r="A26" s="10"/>
      <c r="B26" s="11"/>
      <c r="C26" s="11"/>
      <c r="D26" s="4"/>
      <c r="E26" s="4"/>
      <c r="F26" s="9"/>
      <c r="G26" s="4"/>
      <c r="H26" s="4"/>
      <c r="I26" s="4"/>
      <c r="J26" s="9"/>
      <c r="K26" s="4"/>
      <c r="L26" s="4"/>
      <c r="M26" s="4"/>
      <c r="N26" s="9"/>
      <c r="O26" s="11"/>
      <c r="P26" s="4"/>
      <c r="Q26" s="4"/>
      <c r="R26" s="9"/>
      <c r="S26" s="4"/>
      <c r="T26" s="4"/>
      <c r="U26" s="4"/>
      <c r="V26" s="9"/>
      <c r="W26" s="4"/>
      <c r="X26" s="4"/>
      <c r="Y26" s="4"/>
      <c r="Z26" s="9"/>
    </row>
    <row r="27" spans="1:26" s="63" customFormat="1" ht="15" customHeight="1" x14ac:dyDescent="0.3">
      <c r="A27" s="11"/>
      <c r="B27" s="27" t="s">
        <v>292</v>
      </c>
      <c r="C27" s="27"/>
      <c r="D27" s="21" t="e">
        <f ca="1">+D18-D20+D24</f>
        <v>#NAME?</v>
      </c>
      <c r="E27" s="15"/>
      <c r="F27" s="23" t="e">
        <f ca="1">IF(D$12=0,0,D27/D$12)</f>
        <v>#NAME?</v>
      </c>
      <c r="G27" s="15"/>
      <c r="H27" s="21" t="e">
        <f ca="1">+H18-H20+H24</f>
        <v>#NAME?</v>
      </c>
      <c r="I27" s="15"/>
      <c r="J27" s="23" t="e">
        <f ca="1">IF(H$12=0,0,H27/H$12)</f>
        <v>#NAME?</v>
      </c>
      <c r="K27" s="16"/>
      <c r="L27" s="21" t="e">
        <f ca="1">+D27-H27</f>
        <v>#NAME?</v>
      </c>
      <c r="M27" s="16"/>
      <c r="N27" s="23" t="e">
        <f ca="1">IF(H27=0,0,L27/H27)</f>
        <v>#NAME?</v>
      </c>
      <c r="O27" s="28"/>
      <c r="P27" s="21" t="e">
        <f ca="1">+P18-P20+P24</f>
        <v>#NAME?</v>
      </c>
      <c r="Q27" s="15"/>
      <c r="R27" s="23" t="e">
        <f ca="1">IF(P$12=0,0,P27/P$12)</f>
        <v>#NAME?</v>
      </c>
      <c r="S27" s="15"/>
      <c r="T27" s="21" t="e">
        <f ca="1">+T18-T20+T24</f>
        <v>#NAME?</v>
      </c>
      <c r="U27" s="15"/>
      <c r="V27" s="23" t="e">
        <f ca="1">IF(T$12=0,0,T27/T$12)</f>
        <v>#NAME?</v>
      </c>
      <c r="W27" s="16"/>
      <c r="X27" s="21" t="e">
        <f ca="1">+P27-T27</f>
        <v>#NAME?</v>
      </c>
      <c r="Y27" s="16"/>
      <c r="Z27" s="23" t="e">
        <f ca="1">IF(T27=0,0,X27/T27)</f>
        <v>#NAME?</v>
      </c>
    </row>
    <row r="28" spans="1:26" ht="15" customHeight="1" x14ac:dyDescent="0.3">
      <c r="A28" s="10"/>
      <c r="B28" s="11"/>
      <c r="C28" s="10"/>
      <c r="D28" s="4"/>
      <c r="E28" s="4"/>
      <c r="F28" s="9"/>
      <c r="G28" s="4"/>
      <c r="H28" s="4"/>
      <c r="I28" s="4"/>
      <c r="J28" s="9"/>
      <c r="K28" s="4"/>
      <c r="L28" s="4"/>
      <c r="M28" s="4"/>
      <c r="N28" s="9"/>
      <c r="P28" s="4"/>
      <c r="Q28" s="4"/>
      <c r="R28" s="9"/>
      <c r="S28" s="4"/>
      <c r="T28" s="4"/>
      <c r="U28" s="4"/>
      <c r="V28" s="9"/>
      <c r="W28" s="4"/>
      <c r="X28" s="4"/>
      <c r="Y28" s="4"/>
      <c r="Z28" s="9"/>
    </row>
    <row r="29" spans="1:26" s="63" customFormat="1" ht="15" customHeight="1" x14ac:dyDescent="0.3">
      <c r="A29" s="49"/>
      <c r="B29" s="11" t="s">
        <v>293</v>
      </c>
      <c r="C29" s="11"/>
      <c r="D29" s="5" t="e">
        <f ca="1">_xll.ONESTOP.REPORTPLAYER.OSRFUNCTIONS.OSRGET("GL_F_Trans","Value1")</f>
        <v>#NAME?</v>
      </c>
      <c r="E29" s="5"/>
      <c r="F29" s="13" t="e">
        <f ca="1">IF(D$12=0,0,D29/D$12)</f>
        <v>#NAME?</v>
      </c>
      <c r="G29" s="5"/>
      <c r="H29" s="5" t="e">
        <f ca="1">_xll.ONESTOP.REPORTPLAYER.OSRFUNCTIONS.OSRGET("GL_F_Trans","Value1")</f>
        <v>#NAME?</v>
      </c>
      <c r="I29" s="5"/>
      <c r="J29" s="13" t="e">
        <f ca="1">IF(H$12=0,0,H29/H$12)</f>
        <v>#NAME?</v>
      </c>
      <c r="K29" s="5"/>
      <c r="L29" s="5" t="e">
        <f ca="1">+D29-H29</f>
        <v>#NAME?</v>
      </c>
      <c r="M29" s="5"/>
      <c r="N29" s="13" t="e">
        <f ca="1">IF(H29=0,0,L29/H29)</f>
        <v>#NAME?</v>
      </c>
      <c r="O29" s="11"/>
      <c r="P29" s="5" t="e">
        <f ca="1">_xll.ONESTOP.REPORTPLAYER.OSRFUNCTIONS.OSRGET("GL_F_Trans","Value1")</f>
        <v>#NAME?</v>
      </c>
      <c r="Q29" s="5"/>
      <c r="R29" s="13" t="e">
        <f ca="1">IF(P$12=0,0,P29/P$12)</f>
        <v>#NAME?</v>
      </c>
      <c r="S29" s="5"/>
      <c r="T29" s="5" t="e">
        <f ca="1">_xll.ONESTOP.REPORTPLAYER.OSRFUNCTIONS.OSRGET("GL_F_Trans","Value1")</f>
        <v>#NAME?</v>
      </c>
      <c r="U29" s="5"/>
      <c r="V29" s="13" t="e">
        <f ca="1">IF(T$12=0,0,T29/T$12)</f>
        <v>#NAME?</v>
      </c>
      <c r="W29" s="5"/>
      <c r="X29" s="5" t="e">
        <f ca="1">+P29-T29</f>
        <v>#NAME?</v>
      </c>
      <c r="Y29" s="5"/>
      <c r="Z29" s="13" t="e">
        <f ca="1">IF(T29=0,0,X29/T29)</f>
        <v>#NAME?</v>
      </c>
    </row>
    <row r="30" spans="1:26" ht="15" customHeight="1" x14ac:dyDescent="0.3">
      <c r="A30" s="10"/>
      <c r="B30" s="11"/>
      <c r="C30" s="11"/>
      <c r="D30" s="4"/>
      <c r="E30" s="4"/>
      <c r="F30" s="9"/>
      <c r="G30" s="4"/>
      <c r="H30" s="4"/>
      <c r="I30" s="4"/>
      <c r="J30" s="9"/>
      <c r="K30" s="4"/>
      <c r="L30" s="4"/>
      <c r="M30" s="4"/>
      <c r="N30" s="9"/>
      <c r="O30" s="11"/>
      <c r="P30" s="4"/>
      <c r="Q30" s="4"/>
      <c r="R30" s="9"/>
      <c r="S30" s="4"/>
      <c r="T30" s="4"/>
      <c r="U30" s="4"/>
      <c r="V30" s="9"/>
      <c r="W30" s="4"/>
      <c r="X30" s="4"/>
      <c r="Y30" s="4"/>
      <c r="Z30" s="9"/>
    </row>
    <row r="31" spans="1:26" s="63" customFormat="1" ht="15" customHeight="1" x14ac:dyDescent="0.3">
      <c r="A31" s="11"/>
      <c r="B31" s="27" t="s">
        <v>294</v>
      </c>
      <c r="C31" s="27"/>
      <c r="D31" s="34" t="e">
        <f ca="1">+D27-D29</f>
        <v>#NAME?</v>
      </c>
      <c r="E31" s="15"/>
      <c r="F31" s="29" t="e">
        <f ca="1">IF(D$12=0,0,D31/D$12)</f>
        <v>#NAME?</v>
      </c>
      <c r="G31" s="15"/>
      <c r="H31" s="34" t="e">
        <f ca="1">+H27-H29</f>
        <v>#NAME?</v>
      </c>
      <c r="I31" s="15"/>
      <c r="J31" s="29" t="e">
        <f ca="1">IF(H$12=0,0,H31/H$12)</f>
        <v>#NAME?</v>
      </c>
      <c r="K31" s="16"/>
      <c r="L31" s="34" t="e">
        <f ca="1">D31-H31</f>
        <v>#NAME?</v>
      </c>
      <c r="M31" s="16"/>
      <c r="N31" s="29" t="e">
        <f ca="1">IF(H31=0,0,L31/H31)</f>
        <v>#NAME?</v>
      </c>
      <c r="O31" s="28"/>
      <c r="P31" s="34" t="e">
        <f ca="1">+P27-P29</f>
        <v>#NAME?</v>
      </c>
      <c r="Q31" s="15"/>
      <c r="R31" s="29" t="e">
        <f ca="1">IF(P$12=0,0,P31/P$12)</f>
        <v>#NAME?</v>
      </c>
      <c r="S31" s="15"/>
      <c r="T31" s="34" t="e">
        <f ca="1">+T27-T29</f>
        <v>#NAME?</v>
      </c>
      <c r="U31" s="15"/>
      <c r="V31" s="29" t="e">
        <f ca="1">IF(T$12=0,0,T31/T$12)</f>
        <v>#NAME?</v>
      </c>
      <c r="W31" s="16"/>
      <c r="X31" s="34" t="e">
        <f ca="1">P31-T31</f>
        <v>#NAME?</v>
      </c>
      <c r="Y31" s="16"/>
      <c r="Z31" s="29" t="e">
        <f ca="1">IF(T31=0,0,X31/T31)</f>
        <v>#NAME?</v>
      </c>
    </row>
    <row r="32" spans="1:26" ht="15" customHeight="1" x14ac:dyDescent="0.3">
      <c r="A32" s="10"/>
      <c r="B32" s="10"/>
      <c r="C32" s="10"/>
      <c r="D32" s="4"/>
      <c r="E32" s="4"/>
      <c r="F32" s="9"/>
      <c r="G32" s="4"/>
      <c r="H32" s="4"/>
      <c r="I32" s="4"/>
      <c r="J32" s="9"/>
      <c r="K32" s="4"/>
      <c r="L32" s="4"/>
      <c r="M32" s="4"/>
      <c r="N32" s="9"/>
      <c r="P32" s="4"/>
      <c r="Q32" s="4"/>
      <c r="R32" s="9"/>
      <c r="S32" s="4"/>
      <c r="T32" s="4"/>
      <c r="U32" s="4"/>
      <c r="V32" s="9"/>
      <c r="W32" s="4"/>
      <c r="X32" s="4"/>
      <c r="Y32" s="4"/>
      <c r="Z32" s="9"/>
    </row>
    <row r="33" spans="1:26" s="63" customFormat="1" ht="15" customHeight="1" x14ac:dyDescent="0.3">
      <c r="A33" s="49"/>
      <c r="B33" s="11" t="s">
        <v>295</v>
      </c>
      <c r="C33" s="11"/>
      <c r="D33" s="5" t="e">
        <f ca="1">-_xll.ONESTOP.REPORTPLAYER.OSRFUNCTIONS.OSRGET("GL_F_Trans","Value1")</f>
        <v>#NAME?</v>
      </c>
      <c r="E33" s="5"/>
      <c r="F33" s="13" t="e">
        <f ca="1">IF(D$12=0,0,D33/D$12)</f>
        <v>#NAME?</v>
      </c>
      <c r="G33" s="5"/>
      <c r="H33" s="5" t="e">
        <f ca="1">-_xll.ONESTOP.REPORTPLAYER.OSRFUNCTIONS.OSRGET("GL_F_Trans","Value1")</f>
        <v>#NAME?</v>
      </c>
      <c r="I33" s="5"/>
      <c r="J33" s="13" t="e">
        <f ca="1">IF(H$12=0,0,H33/H$12)</f>
        <v>#NAME?</v>
      </c>
      <c r="K33" s="5"/>
      <c r="L33" s="5" t="e">
        <f ca="1">+D33-H33</f>
        <v>#NAME?</v>
      </c>
      <c r="M33" s="5"/>
      <c r="N33" s="13" t="e">
        <f ca="1">IF(H33=0,0,L33/H33)</f>
        <v>#NAME?</v>
      </c>
      <c r="O33" s="11"/>
      <c r="P33" s="5" t="e">
        <f ca="1">-_xll.ONESTOP.REPORTPLAYER.OSRFUNCTIONS.OSRGET("GL_F_Trans","Value1")</f>
        <v>#NAME?</v>
      </c>
      <c r="Q33" s="5"/>
      <c r="R33" s="13" t="e">
        <f ca="1">IF(P$12=0,0,P33/P$12)</f>
        <v>#NAME?</v>
      </c>
      <c r="S33" s="5"/>
      <c r="T33" s="5" t="e">
        <f ca="1">-_xll.ONESTOP.REPORTPLAYER.OSRFUNCTIONS.OSRGET("GL_F_Trans","Value1")</f>
        <v>#NAME?</v>
      </c>
      <c r="U33" s="5"/>
      <c r="V33" s="13" t="e">
        <f ca="1">IF(T$12=0,0,T33/T$12)</f>
        <v>#NAME?</v>
      </c>
      <c r="W33" s="5"/>
      <c r="X33" s="5" t="e">
        <f ca="1">+P33-T33</f>
        <v>#NAME?</v>
      </c>
      <c r="Y33" s="5"/>
      <c r="Z33" s="13" t="e">
        <f ca="1">IF(T33=0,0,X33/T33)</f>
        <v>#NAME?</v>
      </c>
    </row>
    <row r="34" spans="1:26" s="63" customFormat="1" ht="15" customHeight="1" x14ac:dyDescent="0.3">
      <c r="A34" s="49"/>
      <c r="B34" s="11" t="s">
        <v>296</v>
      </c>
      <c r="C34" s="11"/>
      <c r="D34" s="5" t="e">
        <f ca="1">-_xll.ONESTOP.REPORTPLAYER.OSRFUNCTIONS.OSRGET("GL_F_Trans","Value1")</f>
        <v>#NAME?</v>
      </c>
      <c r="E34" s="5"/>
      <c r="F34" s="13" t="e">
        <f ca="1">IF(D$12=0,0,D34/D$12)</f>
        <v>#NAME?</v>
      </c>
      <c r="G34" s="5"/>
      <c r="H34" s="5" t="e">
        <f ca="1">-_xll.ONESTOP.REPORTPLAYER.OSRFUNCTIONS.OSRGET("GL_F_Trans","Value1")</f>
        <v>#NAME?</v>
      </c>
      <c r="I34" s="5"/>
      <c r="J34" s="13" t="e">
        <f ca="1">IF(H$12=0,0,H34/H$12)</f>
        <v>#NAME?</v>
      </c>
      <c r="K34" s="5"/>
      <c r="L34" s="5" t="e">
        <f ca="1">+D34-H34</f>
        <v>#NAME?</v>
      </c>
      <c r="M34" s="5"/>
      <c r="N34" s="13" t="e">
        <f ca="1">IF(H34=0,0,L34/H34)</f>
        <v>#NAME?</v>
      </c>
      <c r="O34" s="11"/>
      <c r="P34" s="5" t="e">
        <f ca="1">-_xll.ONESTOP.REPORTPLAYER.OSRFUNCTIONS.OSRGET("GL_F_Trans","Value1")</f>
        <v>#NAME?</v>
      </c>
      <c r="Q34" s="5"/>
      <c r="R34" s="13" t="e">
        <f ca="1">IF(P$12=0,0,P34/P$12)</f>
        <v>#NAME?</v>
      </c>
      <c r="S34" s="5"/>
      <c r="T34" s="5" t="e">
        <f ca="1">-_xll.ONESTOP.REPORTPLAYER.OSRFUNCTIONS.OSRGET("GL_F_Trans","Value1")</f>
        <v>#NAME?</v>
      </c>
      <c r="U34" s="5"/>
      <c r="V34" s="13" t="e">
        <f ca="1">IF(T$12=0,0,T34/T$12)</f>
        <v>#NAME?</v>
      </c>
      <c r="W34" s="5"/>
      <c r="X34" s="5" t="e">
        <f ca="1">+P34-T34</f>
        <v>#NAME?</v>
      </c>
      <c r="Y34" s="5"/>
      <c r="Z34" s="13" t="e">
        <f ca="1">IF(T34=0,0,X34/T34)</f>
        <v>#NAME?</v>
      </c>
    </row>
    <row r="35" spans="1:26" ht="15" customHeight="1" x14ac:dyDescent="0.3">
      <c r="A35" s="10"/>
      <c r="B35" s="10"/>
      <c r="C35" s="10"/>
      <c r="D35" s="4"/>
      <c r="E35" s="4"/>
      <c r="F35" s="9"/>
      <c r="G35" s="4"/>
      <c r="H35" s="4"/>
      <c r="I35" s="4"/>
      <c r="J35" s="9"/>
      <c r="K35" s="4"/>
      <c r="L35" s="4"/>
      <c r="M35" s="4"/>
      <c r="N35" s="9"/>
      <c r="P35" s="4"/>
      <c r="Q35" s="4"/>
      <c r="R35" s="9"/>
      <c r="S35" s="4"/>
      <c r="T35" s="4"/>
      <c r="U35" s="4"/>
      <c r="V35" s="9"/>
      <c r="W35" s="4"/>
      <c r="X35" s="4"/>
      <c r="Y35" s="4"/>
      <c r="Z35" s="9"/>
    </row>
    <row r="36" spans="1:26" s="63" customFormat="1" ht="15" customHeight="1" x14ac:dyDescent="0.3">
      <c r="A36" s="11"/>
      <c r="B36" s="27" t="s">
        <v>297</v>
      </c>
      <c r="C36" s="27"/>
      <c r="D36" s="32" t="e">
        <f ca="1">SUM(D31:D35)</f>
        <v>#NAME?</v>
      </c>
      <c r="E36" s="15"/>
      <c r="F36" s="31" t="e">
        <f ca="1">IF(D$12=0,0,D36/D$12)</f>
        <v>#NAME?</v>
      </c>
      <c r="G36" s="15"/>
      <c r="H36" s="32" t="e">
        <f ca="1">SUM(H31:H35)</f>
        <v>#NAME?</v>
      </c>
      <c r="I36" s="15"/>
      <c r="J36" s="31" t="e">
        <f ca="1">IF(H$12=0,0,H36/H$12)</f>
        <v>#NAME?</v>
      </c>
      <c r="K36" s="16"/>
      <c r="L36" s="32" t="e">
        <f ca="1">+D36-H36</f>
        <v>#NAME?</v>
      </c>
      <c r="M36" s="16"/>
      <c r="N36" s="31" t="e">
        <f ca="1">IF(H36=0,0,L36/H36)</f>
        <v>#NAME?</v>
      </c>
      <c r="O36" s="28"/>
      <c r="P36" s="32" t="e">
        <f ca="1">SUM(P31:P35)</f>
        <v>#NAME?</v>
      </c>
      <c r="Q36" s="15"/>
      <c r="R36" s="31" t="e">
        <f ca="1">IF(P$12=0,0,P36/P$12)</f>
        <v>#NAME?</v>
      </c>
      <c r="S36" s="15"/>
      <c r="T36" s="32" t="e">
        <f ca="1">SUM(T31:T35)</f>
        <v>#NAME?</v>
      </c>
      <c r="U36" s="15"/>
      <c r="V36" s="31" t="e">
        <f ca="1">IF(T$12=0,0,T36/T$12)</f>
        <v>#NAME?</v>
      </c>
      <c r="W36" s="16"/>
      <c r="X36" s="32" t="e">
        <f ca="1">+P36-T36</f>
        <v>#NAME?</v>
      </c>
      <c r="Y36" s="16"/>
      <c r="Z36" s="31" t="e">
        <f ca="1">IF(T36=0,0,X36/T36)</f>
        <v>#NAME?</v>
      </c>
    </row>
    <row r="37" spans="1:26" ht="15" customHeight="1" x14ac:dyDescent="0.3">
      <c r="A37" s="10"/>
      <c r="C37" s="10"/>
      <c r="D37" s="19"/>
      <c r="E37" s="19"/>
      <c r="G37" s="19"/>
      <c r="H37" s="19"/>
      <c r="I37" s="19"/>
      <c r="J37" s="40"/>
      <c r="K37" s="19"/>
      <c r="L37" s="19"/>
      <c r="M37" s="19"/>
      <c r="P37" s="19"/>
      <c r="Q37" s="19"/>
      <c r="R37" s="40"/>
      <c r="S37" s="19"/>
      <c r="T37" s="19"/>
      <c r="U37" s="19"/>
      <c r="V37" s="40"/>
      <c r="W37" s="19"/>
      <c r="X37" s="19"/>
    </row>
    <row r="38" spans="1:26" ht="15" customHeight="1" x14ac:dyDescent="0.3">
      <c r="A38" s="10"/>
      <c r="B38" s="51" t="e">
        <f ca="1">_xll.ONESTOP.REPORTPLAYER.OSRFUNCTIONS.OSRGET("CurrentDate","Date")</f>
        <v>#NAME?</v>
      </c>
      <c r="D38" s="19"/>
      <c r="E38" s="19"/>
      <c r="G38" s="19"/>
      <c r="H38" s="19"/>
      <c r="I38" s="19"/>
      <c r="J38" s="40"/>
      <c r="K38" s="19"/>
      <c r="L38" s="19"/>
      <c r="M38" s="19"/>
      <c r="P38" s="19"/>
      <c r="Q38" s="19"/>
      <c r="R38" s="40"/>
      <c r="S38" s="19"/>
      <c r="T38" s="19"/>
      <c r="U38" s="19"/>
      <c r="V38" s="40"/>
      <c r="W38" s="19"/>
      <c r="X38" s="19"/>
    </row>
    <row r="39" spans="1:26" ht="15" customHeight="1" x14ac:dyDescent="0.3">
      <c r="A39" s="10"/>
      <c r="B39" s="58" t="e">
        <f ca="1">_xll.ONESTOP.REPORTPLAYER.OSRFUNCTIONS.OSRGET("User","UserId")</f>
        <v>#NAME?</v>
      </c>
      <c r="D39" s="19"/>
      <c r="E39" s="19"/>
      <c r="G39" s="19"/>
      <c r="H39" s="19"/>
      <c r="I39" s="19"/>
      <c r="J39" s="40"/>
      <c r="K39" s="19"/>
      <c r="L39" s="19"/>
      <c r="M39" s="19"/>
      <c r="P39" s="19"/>
      <c r="Q39" s="19"/>
      <c r="R39" s="40"/>
      <c r="S39" s="19"/>
      <c r="T39" s="19"/>
      <c r="U39" s="19"/>
      <c r="V39" s="40"/>
      <c r="W39" s="19"/>
      <c r="X39" s="19"/>
    </row>
    <row r="40" spans="1:26" ht="15" customHeight="1" x14ac:dyDescent="0.3">
      <c r="A40" s="10"/>
      <c r="B40" s="50"/>
      <c r="D40" s="19"/>
      <c r="E40" s="19"/>
      <c r="G40" s="19"/>
      <c r="H40" s="19"/>
      <c r="I40" s="19"/>
      <c r="J40" s="40"/>
      <c r="K40" s="19"/>
      <c r="L40" s="19"/>
      <c r="M40" s="19"/>
      <c r="P40" s="19"/>
      <c r="Q40" s="19"/>
      <c r="R40" s="40"/>
      <c r="S40" s="19"/>
      <c r="T40" s="19"/>
      <c r="U40" s="19"/>
      <c r="V40" s="40"/>
      <c r="W40" s="19"/>
      <c r="X40" s="19"/>
    </row>
    <row r="41" spans="1:26" ht="15" customHeight="1" x14ac:dyDescent="0.3">
      <c r="D41" s="19"/>
      <c r="E41" s="19"/>
      <c r="G41" s="19"/>
      <c r="H41" s="19"/>
      <c r="I41" s="19"/>
      <c r="J41" s="40"/>
      <c r="K41" s="19"/>
      <c r="L41" s="19"/>
      <c r="M41" s="19"/>
      <c r="P41" s="19"/>
      <c r="Q41" s="19"/>
      <c r="R41" s="40"/>
      <c r="S41" s="19"/>
      <c r="T41" s="19"/>
      <c r="U41" s="19"/>
      <c r="V41" s="40"/>
      <c r="W41" s="19"/>
      <c r="X41" s="19"/>
    </row>
  </sheetData>
  <pageMargins left="0.25" right="0.25" top="0.75" bottom="0.75" header="0.3" footer="0.3"/>
  <pageSetup scale="55" orientation="landscape"/>
  <headerFooter>
    <oddHeader>&amp;L&amp;C&amp;R</oddHeader>
    <oddFooter>&amp;L&amp;C&amp;R</oddFooter>
    <evenHeader>&amp;L&amp;C&amp;R</evenHeader>
    <evenFooter>&amp;L&amp;C&amp;R</even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93</vt:i4>
      </vt:variant>
      <vt:variant>
        <vt:lpstr>Named Ranges</vt:lpstr>
      </vt:variant>
      <vt:variant>
        <vt:i4>3642</vt:i4>
      </vt:variant>
    </vt:vector>
  </HeadingPairs>
  <TitlesOfParts>
    <vt:vector size="3735" baseType="lpstr">
      <vt:lpstr>Interface</vt:lpstr>
      <vt:lpstr>DataSetting</vt:lpstr>
      <vt:lpstr>Summary</vt:lpstr>
      <vt:lpstr>OSR_Summary_18VAVWG</vt:lpstr>
      <vt:lpstr>OSR_Current ...69b7dd8c_1IEQKFK</vt:lpstr>
      <vt:lpstr>Div 1</vt:lpstr>
      <vt:lpstr>OSR_Div 1_7H47HR</vt:lpstr>
      <vt:lpstr>OSR_Div 3 (2)...4cb81c06_PBSMLS</vt:lpstr>
      <vt:lpstr>OSR_Div 2_1PQ800A</vt:lpstr>
      <vt:lpstr>OSR_Div 1 (2)...789fe994_2NV3KA</vt:lpstr>
      <vt:lpstr>OSR_Div 3_18723PH</vt:lpstr>
      <vt:lpstr>OSR_300 (2)_7...54cb56fc_UFX0O2</vt:lpstr>
      <vt:lpstr>OSR_300_IYZXI6</vt:lpstr>
      <vt:lpstr>OSR_310 (2)_5...3d931dee_QNK8R2</vt:lpstr>
      <vt:lpstr>OSR_300 &amp; 317_1C00ID4</vt:lpstr>
      <vt:lpstr>OSR_300 (2)_...6aa5a22d_14M6XO4</vt:lpstr>
      <vt:lpstr>OSR_310_1CMTOSB</vt:lpstr>
      <vt:lpstr>OSR_300 (2)_e...5d0da5bf_6BPGAO</vt:lpstr>
      <vt:lpstr>OSR_310 (2)_...6e684f08_1FLCNJG</vt:lpstr>
      <vt:lpstr>OSR_308_UAWDAG</vt:lpstr>
      <vt:lpstr>OSR_330 (2)_...8a14c83e_1NSH7XI</vt:lpstr>
      <vt:lpstr>OSR_331_10VKQAJ</vt:lpstr>
      <vt:lpstr>OSR_308 (2)_...47685838_1YQW4QY</vt:lpstr>
      <vt:lpstr>OSR_332_6NDVBW</vt:lpstr>
      <vt:lpstr>OSR_331 (2)_...7280af70_1P5SPLT</vt:lpstr>
      <vt:lpstr>OSR_333_69UF5U</vt:lpstr>
      <vt:lpstr>OSR_Div 4_1740TMT</vt:lpstr>
      <vt:lpstr>OSR_310 (2)_...8cac1423_1JTU33X</vt:lpstr>
      <vt:lpstr>OSR_310 &amp; 491_1NGRCS9</vt:lpstr>
      <vt:lpstr>OSR_491 (2)_...853a34aa_1UNC34K</vt:lpstr>
      <vt:lpstr>OSR_491_9Z9JH5</vt:lpstr>
      <vt:lpstr>OSR_Div 4 (2...2533da42_174R6QX</vt:lpstr>
      <vt:lpstr>OSR_492_943FP1</vt:lpstr>
      <vt:lpstr>OSR_Div 4 (2)...1a9a4454_CQFRNE</vt:lpstr>
      <vt:lpstr>OSR_Div 5_16NAZO2</vt:lpstr>
      <vt:lpstr>OSR_492 (2)_...cd97c6a6_13HYXEV</vt:lpstr>
      <vt:lpstr>OSR_Div 6_P37YY7</vt:lpstr>
      <vt:lpstr>OSR_Div 5 (2)...32d16c57_IVJ1QO</vt:lpstr>
      <vt:lpstr>100</vt:lpstr>
      <vt:lpstr>Div 2</vt:lpstr>
      <vt:lpstr>200</vt:lpstr>
      <vt:lpstr>201</vt:lpstr>
      <vt:lpstr>202</vt:lpstr>
      <vt:lpstr>203</vt:lpstr>
      <vt:lpstr>204</vt:lpstr>
      <vt:lpstr>205</vt:lpstr>
      <vt:lpstr>206</vt:lpstr>
      <vt:lpstr>Div 3</vt:lpstr>
      <vt:lpstr>300</vt:lpstr>
      <vt:lpstr>300 &amp; 317</vt:lpstr>
      <vt:lpstr>301</vt:lpstr>
      <vt:lpstr>308</vt:lpstr>
      <vt:lpstr>311</vt:lpstr>
      <vt:lpstr>324</vt:lpstr>
      <vt:lpstr>333</vt:lpstr>
      <vt:lpstr>307</vt:lpstr>
      <vt:lpstr>331</vt:lpstr>
      <vt:lpstr>332</vt:lpstr>
      <vt:lpstr>315</vt:lpstr>
      <vt:lpstr>326</vt:lpstr>
      <vt:lpstr>316</vt:lpstr>
      <vt:lpstr>Div 6</vt:lpstr>
      <vt:lpstr>317</vt:lpstr>
      <vt:lpstr>310</vt:lpstr>
      <vt:lpstr>309</vt:lpstr>
      <vt:lpstr>321</vt:lpstr>
      <vt:lpstr>325</vt:lpstr>
      <vt:lpstr>327</vt:lpstr>
      <vt:lpstr>Div 4</vt:lpstr>
      <vt:lpstr>310 &amp; 491</vt:lpstr>
      <vt:lpstr>491</vt:lpstr>
      <vt:lpstr>405</vt:lpstr>
      <vt:lpstr>406</vt:lpstr>
      <vt:lpstr>411</vt:lpstr>
      <vt:lpstr>412</vt:lpstr>
      <vt:lpstr>413</vt:lpstr>
      <vt:lpstr>414</vt:lpstr>
      <vt:lpstr>415</vt:lpstr>
      <vt:lpstr>418</vt:lpstr>
      <vt:lpstr>423</vt:lpstr>
      <vt:lpstr>424</vt:lpstr>
      <vt:lpstr>425</vt:lpstr>
      <vt:lpstr>492</vt:lpstr>
      <vt:lpstr>430</vt:lpstr>
      <vt:lpstr>433</vt:lpstr>
      <vt:lpstr>435</vt:lpstr>
      <vt:lpstr>444</vt:lpstr>
      <vt:lpstr>450</vt:lpstr>
      <vt:lpstr>Div 5</vt:lpstr>
      <vt:lpstr>501</vt:lpstr>
      <vt:lpstr>Dept</vt:lpstr>
      <vt:lpstr>OSR_Dept_Y0WUKY</vt:lpstr>
      <vt:lpstr>OSR_Summary (...56e5d78f_5JEYZH</vt:lpstr>
      <vt:lpstr>'300'!OSRRefD13x_0</vt:lpstr>
      <vt:lpstr>'300 &amp; 317'!OSRRefD13x_0</vt:lpstr>
      <vt:lpstr>'307'!OSRRefD13x_0</vt:lpstr>
      <vt:lpstr>'308'!OSRRefD13x_0</vt:lpstr>
      <vt:lpstr>'309'!OSRRefD13x_0</vt:lpstr>
      <vt:lpstr>'310'!OSRRefD13x_0</vt:lpstr>
      <vt:lpstr>'310 &amp; 491'!OSRRefD13x_0</vt:lpstr>
      <vt:lpstr>'311'!OSRRefD13x_0</vt:lpstr>
      <vt:lpstr>'315'!OSRRefD13x_0</vt:lpstr>
      <vt:lpstr>'316'!OSRRefD13x_0</vt:lpstr>
      <vt:lpstr>'317'!OSRRefD13x_0</vt:lpstr>
      <vt:lpstr>'321'!OSRRefD13x_0</vt:lpstr>
      <vt:lpstr>'324'!OSRRefD13x_0</vt:lpstr>
      <vt:lpstr>'325'!OSRRefD13x_0</vt:lpstr>
      <vt:lpstr>'326'!OSRRefD13x_0</vt:lpstr>
      <vt:lpstr>'327'!OSRRefD13x_0</vt:lpstr>
      <vt:lpstr>'331'!OSRRefD13x_0</vt:lpstr>
      <vt:lpstr>'332'!OSRRefD13x_0</vt:lpstr>
      <vt:lpstr>'333'!OSRRefD13x_0</vt:lpstr>
      <vt:lpstr>'405'!OSRRefD13x_0</vt:lpstr>
      <vt:lpstr>'415'!OSRRefD13x_0</vt:lpstr>
      <vt:lpstr>'418'!OSRRefD13x_0</vt:lpstr>
      <vt:lpstr>'425'!OSRRefD13x_0</vt:lpstr>
      <vt:lpstr>'433'!OSRRefD13x_0</vt:lpstr>
      <vt:lpstr>'435'!OSRRefD13x_0</vt:lpstr>
      <vt:lpstr>'444'!OSRRefD13x_0</vt:lpstr>
      <vt:lpstr>'450'!OSRRefD13x_0</vt:lpstr>
      <vt:lpstr>'491'!OSRRefD13x_0</vt:lpstr>
      <vt:lpstr>'492'!OSRRefD13x_0</vt:lpstr>
      <vt:lpstr>'501'!OSRRefD13x_0</vt:lpstr>
      <vt:lpstr>'Div 3'!OSRRefD13x_0</vt:lpstr>
      <vt:lpstr>'Div 4'!OSRRefD13x_0</vt:lpstr>
      <vt:lpstr>'Div 5'!OSRRefD13x_0</vt:lpstr>
      <vt:lpstr>'Div 6'!OSRRefD13x_0</vt:lpstr>
      <vt:lpstr>Summary!OSRRefD13x_0</vt:lpstr>
      <vt:lpstr>'300'!OSRRefD16x_0</vt:lpstr>
      <vt:lpstr>'300 &amp; 317'!OSRRefD16x_0</vt:lpstr>
      <vt:lpstr>'301'!OSRRefD16x_0</vt:lpstr>
      <vt:lpstr>'307'!OSRRefD16x_0</vt:lpstr>
      <vt:lpstr>'308'!OSRRefD16x_0</vt:lpstr>
      <vt:lpstr>'309'!OSRRefD16x_0</vt:lpstr>
      <vt:lpstr>'310'!OSRRefD16x_0</vt:lpstr>
      <vt:lpstr>'310 &amp; 491'!OSRRefD16x_0</vt:lpstr>
      <vt:lpstr>'311'!OSRRefD16x_0</vt:lpstr>
      <vt:lpstr>'315'!OSRRefD16x_0</vt:lpstr>
      <vt:lpstr>'316'!OSRRefD16x_0</vt:lpstr>
      <vt:lpstr>'317'!OSRRefD16x_0</vt:lpstr>
      <vt:lpstr>'321'!OSRRefD16x_0</vt:lpstr>
      <vt:lpstr>'324'!OSRRefD16x_0</vt:lpstr>
      <vt:lpstr>'325'!OSRRefD16x_0</vt:lpstr>
      <vt:lpstr>'326'!OSRRefD16x_0</vt:lpstr>
      <vt:lpstr>'327'!OSRRefD16x_0</vt:lpstr>
      <vt:lpstr>'331'!OSRRefD16x_0</vt:lpstr>
      <vt:lpstr>'332'!OSRRefD16x_0</vt:lpstr>
      <vt:lpstr>'333'!OSRRefD16x_0</vt:lpstr>
      <vt:lpstr>'405'!OSRRefD16x_0</vt:lpstr>
      <vt:lpstr>'415'!OSRRefD16x_0</vt:lpstr>
      <vt:lpstr>'418'!OSRRefD16x_0</vt:lpstr>
      <vt:lpstr>'425'!OSRRefD16x_0</vt:lpstr>
      <vt:lpstr>'433'!OSRRefD16x_0</vt:lpstr>
      <vt:lpstr>'444'!OSRRefD16x_0</vt:lpstr>
      <vt:lpstr>'450'!OSRRefD16x_0</vt:lpstr>
      <vt:lpstr>'491'!OSRRefD16x_0</vt:lpstr>
      <vt:lpstr>'492'!OSRRefD16x_0</vt:lpstr>
      <vt:lpstr>'Div 3'!OSRRefD16x_0</vt:lpstr>
      <vt:lpstr>'Div 4'!OSRRefD16x_0</vt:lpstr>
      <vt:lpstr>'Div 6'!OSRRefD16x_0</vt:lpstr>
      <vt:lpstr>Summary!OSRRefD16x_0</vt:lpstr>
      <vt:lpstr>'200'!OSRRefD22_0x_0</vt:lpstr>
      <vt:lpstr>'201'!OSRRefD22_0x_0</vt:lpstr>
      <vt:lpstr>'202'!OSRRefD22_0x_0</vt:lpstr>
      <vt:lpstr>'203'!OSRRefD22_0x_0</vt:lpstr>
      <vt:lpstr>'204'!OSRRefD22_0x_0</vt:lpstr>
      <vt:lpstr>'205'!OSRRefD22_0x_0</vt:lpstr>
      <vt:lpstr>'206'!OSRRefD22_0x_0</vt:lpstr>
      <vt:lpstr>'300'!OSRRefD22_0x_0</vt:lpstr>
      <vt:lpstr>'300 &amp; 317'!OSRRefD22_0x_0</vt:lpstr>
      <vt:lpstr>'301'!OSRRefD22_0x_0</vt:lpstr>
      <vt:lpstr>'307'!OSRRefD22_0x_0</vt:lpstr>
      <vt:lpstr>'308'!OSRRefD22_0x_0</vt:lpstr>
      <vt:lpstr>'309'!OSRRefD22_0x_0</vt:lpstr>
      <vt:lpstr>'310'!OSRRefD22_0x_0</vt:lpstr>
      <vt:lpstr>'310 &amp; 491'!OSRRefD22_0x_0</vt:lpstr>
      <vt:lpstr>'311'!OSRRefD22_0x_0</vt:lpstr>
      <vt:lpstr>'315'!OSRRefD22_0x_0</vt:lpstr>
      <vt:lpstr>'316'!OSRRefD22_0x_0</vt:lpstr>
      <vt:lpstr>'317'!OSRRefD22_0x_0</vt:lpstr>
      <vt:lpstr>'321'!OSRRefD22_0x_0</vt:lpstr>
      <vt:lpstr>'325'!OSRRefD22_0x_0</vt:lpstr>
      <vt:lpstr>'326'!OSRRefD22_0x_0</vt:lpstr>
      <vt:lpstr>'327'!OSRRefD22_0x_0</vt:lpstr>
      <vt:lpstr>'331'!OSRRefD22_0x_0</vt:lpstr>
      <vt:lpstr>'332'!OSRRefD22_0x_0</vt:lpstr>
      <vt:lpstr>'333'!OSRRefD22_0x_0</vt:lpstr>
      <vt:lpstr>'405'!OSRRefD22_0x_0</vt:lpstr>
      <vt:lpstr>'406'!OSRRefD22_0x_0</vt:lpstr>
      <vt:lpstr>'411'!OSRRefD22_0x_0</vt:lpstr>
      <vt:lpstr>'412'!OSRRefD22_0x_0</vt:lpstr>
      <vt:lpstr>'413'!OSRRefD22_0x_0</vt:lpstr>
      <vt:lpstr>'414'!OSRRefD22_0x_0</vt:lpstr>
      <vt:lpstr>'415'!OSRRefD22_0x_0</vt:lpstr>
      <vt:lpstr>'418'!OSRRefD22_0x_0</vt:lpstr>
      <vt:lpstr>'423'!OSRRefD22_0x_0</vt:lpstr>
      <vt:lpstr>'424'!OSRRefD22_0x_0</vt:lpstr>
      <vt:lpstr>'425'!OSRRefD22_0x_0</vt:lpstr>
      <vt:lpstr>'430'!OSRRefD22_0x_0</vt:lpstr>
      <vt:lpstr>'433'!OSRRefD22_0x_0</vt:lpstr>
      <vt:lpstr>'435'!OSRRefD22_0x_0</vt:lpstr>
      <vt:lpstr>'444'!OSRRefD22_0x_0</vt:lpstr>
      <vt:lpstr>'450'!OSRRefD22_0x_0</vt:lpstr>
      <vt:lpstr>'491'!OSRRefD22_0x_0</vt:lpstr>
      <vt:lpstr>'492'!OSRRefD22_0x_0</vt:lpstr>
      <vt:lpstr>'501'!OSRRefD22_0x_0</vt:lpstr>
      <vt:lpstr>'Div 2'!OSRRefD22_0x_0</vt:lpstr>
      <vt:lpstr>'Div 3'!OSRRefD22_0x_0</vt:lpstr>
      <vt:lpstr>'Div 4'!OSRRefD22_0x_0</vt:lpstr>
      <vt:lpstr>'Div 5'!OSRRefD22_0x_0</vt:lpstr>
      <vt:lpstr>'Div 6'!OSRRefD22_0x_0</vt:lpstr>
      <vt:lpstr>Summary!OSRRefD22_0x_0</vt:lpstr>
      <vt:lpstr>'201'!OSRRefD22_10x_0</vt:lpstr>
      <vt:lpstr>'202'!OSRRefD22_10x_0</vt:lpstr>
      <vt:lpstr>'203'!OSRRefD22_10x_0</vt:lpstr>
      <vt:lpstr>'204'!OSRRefD22_10x_0</vt:lpstr>
      <vt:lpstr>'300'!OSRRefD22_10x_0</vt:lpstr>
      <vt:lpstr>'300 &amp; 317'!OSRRefD22_10x_0</vt:lpstr>
      <vt:lpstr>'301'!OSRRefD22_10x_0</vt:lpstr>
      <vt:lpstr>'307'!OSRRefD22_10x_0</vt:lpstr>
      <vt:lpstr>'308'!OSRRefD22_10x_0</vt:lpstr>
      <vt:lpstr>'309'!OSRRefD22_10x_0</vt:lpstr>
      <vt:lpstr>'310'!OSRRefD22_10x_0</vt:lpstr>
      <vt:lpstr>'310 &amp; 491'!OSRRefD22_10x_0</vt:lpstr>
      <vt:lpstr>'311'!OSRRefD22_10x_0</vt:lpstr>
      <vt:lpstr>'315'!OSRRefD22_10x_0</vt:lpstr>
      <vt:lpstr>'316'!OSRRefD22_10x_0</vt:lpstr>
      <vt:lpstr>'317'!OSRRefD22_10x_0</vt:lpstr>
      <vt:lpstr>'321'!OSRRefD22_10x_0</vt:lpstr>
      <vt:lpstr>'325'!OSRRefD22_10x_0</vt:lpstr>
      <vt:lpstr>'326'!OSRRefD22_10x_0</vt:lpstr>
      <vt:lpstr>'331'!OSRRefD22_10x_0</vt:lpstr>
      <vt:lpstr>'332'!OSRRefD22_10x_0</vt:lpstr>
      <vt:lpstr>'333'!OSRRefD22_10x_0</vt:lpstr>
      <vt:lpstr>'405'!OSRRefD22_10x_0</vt:lpstr>
      <vt:lpstr>'411'!OSRRefD22_10x_0</vt:lpstr>
      <vt:lpstr>'415'!OSRRefD22_10x_0</vt:lpstr>
      <vt:lpstr>'418'!OSRRefD22_10x_0</vt:lpstr>
      <vt:lpstr>'433'!OSRRefD22_10x_0</vt:lpstr>
      <vt:lpstr>'444'!OSRRefD22_10x_0</vt:lpstr>
      <vt:lpstr>'450'!OSRRefD22_10x_0</vt:lpstr>
      <vt:lpstr>'491'!OSRRefD22_10x_0</vt:lpstr>
      <vt:lpstr>'492'!OSRRefD22_10x_0</vt:lpstr>
      <vt:lpstr>'501'!OSRRefD22_10x_0</vt:lpstr>
      <vt:lpstr>'Div 2'!OSRRefD22_10x_0</vt:lpstr>
      <vt:lpstr>'Div 3'!OSRRefD22_10x_0</vt:lpstr>
      <vt:lpstr>'Div 4'!OSRRefD22_10x_0</vt:lpstr>
      <vt:lpstr>'Div 5'!OSRRefD22_10x_0</vt:lpstr>
      <vt:lpstr>'Div 6'!OSRRefD22_10x_0</vt:lpstr>
      <vt:lpstr>Summary!OSRRefD22_10x_0</vt:lpstr>
      <vt:lpstr>'201'!OSRRefD22_11x_0</vt:lpstr>
      <vt:lpstr>'202'!OSRRefD22_11x_0</vt:lpstr>
      <vt:lpstr>'203'!OSRRefD22_11x_0</vt:lpstr>
      <vt:lpstr>'300'!OSRRefD22_11x_0</vt:lpstr>
      <vt:lpstr>'300 &amp; 317'!OSRRefD22_11x_0</vt:lpstr>
      <vt:lpstr>'301'!OSRRefD22_11x_0</vt:lpstr>
      <vt:lpstr>'307'!OSRRefD22_11x_0</vt:lpstr>
      <vt:lpstr>'308'!OSRRefD22_11x_0</vt:lpstr>
      <vt:lpstr>'309'!OSRRefD22_11x_0</vt:lpstr>
      <vt:lpstr>'310'!OSRRefD22_11x_0</vt:lpstr>
      <vt:lpstr>'310 &amp; 491'!OSRRefD22_11x_0</vt:lpstr>
      <vt:lpstr>'311'!OSRRefD22_11x_0</vt:lpstr>
      <vt:lpstr>'315'!OSRRefD22_11x_0</vt:lpstr>
      <vt:lpstr>'316'!OSRRefD22_11x_0</vt:lpstr>
      <vt:lpstr>'321'!OSRRefD22_11x_0</vt:lpstr>
      <vt:lpstr>'325'!OSRRefD22_11x_0</vt:lpstr>
      <vt:lpstr>'326'!OSRRefD22_11x_0</vt:lpstr>
      <vt:lpstr>'331'!OSRRefD22_11x_0</vt:lpstr>
      <vt:lpstr>'332'!OSRRefD22_11x_0</vt:lpstr>
      <vt:lpstr>'333'!OSRRefD22_11x_0</vt:lpstr>
      <vt:lpstr>'405'!OSRRefD22_11x_0</vt:lpstr>
      <vt:lpstr>'411'!OSRRefD22_11x_0</vt:lpstr>
      <vt:lpstr>'415'!OSRRefD22_11x_0</vt:lpstr>
      <vt:lpstr>'418'!OSRRefD22_11x_0</vt:lpstr>
      <vt:lpstr>'433'!OSRRefD22_11x_0</vt:lpstr>
      <vt:lpstr>'444'!OSRRefD22_11x_0</vt:lpstr>
      <vt:lpstr>'450'!OSRRefD22_11x_0</vt:lpstr>
      <vt:lpstr>'491'!OSRRefD22_11x_0</vt:lpstr>
      <vt:lpstr>'492'!OSRRefD22_11x_0</vt:lpstr>
      <vt:lpstr>'501'!OSRRefD22_11x_0</vt:lpstr>
      <vt:lpstr>'Div 2'!OSRRefD22_11x_0</vt:lpstr>
      <vt:lpstr>'Div 3'!OSRRefD22_11x_0</vt:lpstr>
      <vt:lpstr>'Div 4'!OSRRefD22_11x_0</vt:lpstr>
      <vt:lpstr>'Div 5'!OSRRefD22_11x_0</vt:lpstr>
      <vt:lpstr>Summary!OSRRefD22_11x_0</vt:lpstr>
      <vt:lpstr>'201'!OSRRefD22_12x_0</vt:lpstr>
      <vt:lpstr>'202'!OSRRefD22_12x_0</vt:lpstr>
      <vt:lpstr>'203'!OSRRefD22_12x_0</vt:lpstr>
      <vt:lpstr>'300'!OSRRefD22_12x_0</vt:lpstr>
      <vt:lpstr>'300 &amp; 317'!OSRRefD22_12x_0</vt:lpstr>
      <vt:lpstr>'301'!OSRRefD22_12x_0</vt:lpstr>
      <vt:lpstr>'307'!OSRRefD22_12x_0</vt:lpstr>
      <vt:lpstr>'308'!OSRRefD22_12x_0</vt:lpstr>
      <vt:lpstr>'309'!OSRRefD22_12x_0</vt:lpstr>
      <vt:lpstr>'310'!OSRRefD22_12x_0</vt:lpstr>
      <vt:lpstr>'310 &amp; 491'!OSRRefD22_12x_0</vt:lpstr>
      <vt:lpstr>'311'!OSRRefD22_12x_0</vt:lpstr>
      <vt:lpstr>'315'!OSRRefD22_12x_0</vt:lpstr>
      <vt:lpstr>'321'!OSRRefD22_12x_0</vt:lpstr>
      <vt:lpstr>'325'!OSRRefD22_12x_0</vt:lpstr>
      <vt:lpstr>'326'!OSRRefD22_12x_0</vt:lpstr>
      <vt:lpstr>'331'!OSRRefD22_12x_0</vt:lpstr>
      <vt:lpstr>'333'!OSRRefD22_12x_0</vt:lpstr>
      <vt:lpstr>'405'!OSRRefD22_12x_0</vt:lpstr>
      <vt:lpstr>'411'!OSRRefD22_12x_0</vt:lpstr>
      <vt:lpstr>'415'!OSRRefD22_12x_0</vt:lpstr>
      <vt:lpstr>'418'!OSRRefD22_12x_0</vt:lpstr>
      <vt:lpstr>'433'!OSRRefD22_12x_0</vt:lpstr>
      <vt:lpstr>'444'!OSRRefD22_12x_0</vt:lpstr>
      <vt:lpstr>'450'!OSRRefD22_12x_0</vt:lpstr>
      <vt:lpstr>'491'!OSRRefD22_12x_0</vt:lpstr>
      <vt:lpstr>'492'!OSRRefD22_12x_0</vt:lpstr>
      <vt:lpstr>'501'!OSRRefD22_12x_0</vt:lpstr>
      <vt:lpstr>'Div 2'!OSRRefD22_12x_0</vt:lpstr>
      <vt:lpstr>'Div 3'!OSRRefD22_12x_0</vt:lpstr>
      <vt:lpstr>'Div 4'!OSRRefD22_12x_0</vt:lpstr>
      <vt:lpstr>'Div 5'!OSRRefD22_12x_0</vt:lpstr>
      <vt:lpstr>Summary!OSRRefD22_12x_0</vt:lpstr>
      <vt:lpstr>'201'!OSRRefD22_13x_0</vt:lpstr>
      <vt:lpstr>'203'!OSRRefD22_13x_0</vt:lpstr>
      <vt:lpstr>'300'!OSRRefD22_13x_0</vt:lpstr>
      <vt:lpstr>'300 &amp; 317'!OSRRefD22_13x_0</vt:lpstr>
      <vt:lpstr>'301'!OSRRefD22_13x_0</vt:lpstr>
      <vt:lpstr>'307'!OSRRefD22_13x_0</vt:lpstr>
      <vt:lpstr>'308'!OSRRefD22_13x_0</vt:lpstr>
      <vt:lpstr>'310'!OSRRefD22_13x_0</vt:lpstr>
      <vt:lpstr>'310 &amp; 491'!OSRRefD22_13x_0</vt:lpstr>
      <vt:lpstr>'311'!OSRRefD22_13x_0</vt:lpstr>
      <vt:lpstr>'315'!OSRRefD22_13x_0</vt:lpstr>
      <vt:lpstr>'325'!OSRRefD22_13x_0</vt:lpstr>
      <vt:lpstr>'326'!OSRRefD22_13x_0</vt:lpstr>
      <vt:lpstr>'331'!OSRRefD22_13x_0</vt:lpstr>
      <vt:lpstr>'333'!OSRRefD22_13x_0</vt:lpstr>
      <vt:lpstr>'405'!OSRRefD22_13x_0</vt:lpstr>
      <vt:lpstr>'411'!OSRRefD22_13x_0</vt:lpstr>
      <vt:lpstr>'415'!OSRRefD22_13x_0</vt:lpstr>
      <vt:lpstr>'418'!OSRRefD22_13x_0</vt:lpstr>
      <vt:lpstr>'433'!OSRRefD22_13x_0</vt:lpstr>
      <vt:lpstr>'444'!OSRRefD22_13x_0</vt:lpstr>
      <vt:lpstr>'450'!OSRRefD22_13x_0</vt:lpstr>
      <vt:lpstr>'491'!OSRRefD22_13x_0</vt:lpstr>
      <vt:lpstr>'492'!OSRRefD22_13x_0</vt:lpstr>
      <vt:lpstr>'501'!OSRRefD22_13x_0</vt:lpstr>
      <vt:lpstr>'Div 2'!OSRRefD22_13x_0</vt:lpstr>
      <vt:lpstr>'Div 3'!OSRRefD22_13x_0</vt:lpstr>
      <vt:lpstr>'Div 4'!OSRRefD22_13x_0</vt:lpstr>
      <vt:lpstr>'Div 5'!OSRRefD22_13x_0</vt:lpstr>
      <vt:lpstr>Summary!OSRRefD22_13x_0</vt:lpstr>
      <vt:lpstr>'201'!OSRRefD22_14x_0</vt:lpstr>
      <vt:lpstr>'203'!OSRRefD22_14x_0</vt:lpstr>
      <vt:lpstr>'300'!OSRRefD22_14x_0</vt:lpstr>
      <vt:lpstr>'300 &amp; 317'!OSRRefD22_14x_0</vt:lpstr>
      <vt:lpstr>'301'!OSRRefD22_14x_0</vt:lpstr>
      <vt:lpstr>'310'!OSRRefD22_14x_0</vt:lpstr>
      <vt:lpstr>'310 &amp; 491'!OSRRefD22_14x_0</vt:lpstr>
      <vt:lpstr>'315'!OSRRefD22_14x_0</vt:lpstr>
      <vt:lpstr>'325'!OSRRefD22_14x_0</vt:lpstr>
      <vt:lpstr>'326'!OSRRefD22_14x_0</vt:lpstr>
      <vt:lpstr>'331'!OSRRefD22_14x_0</vt:lpstr>
      <vt:lpstr>'333'!OSRRefD22_14x_0</vt:lpstr>
      <vt:lpstr>'405'!OSRRefD22_14x_0</vt:lpstr>
      <vt:lpstr>'411'!OSRRefD22_14x_0</vt:lpstr>
      <vt:lpstr>'415'!OSRRefD22_14x_0</vt:lpstr>
      <vt:lpstr>'418'!OSRRefD22_14x_0</vt:lpstr>
      <vt:lpstr>'433'!OSRRefD22_14x_0</vt:lpstr>
      <vt:lpstr>'444'!OSRRefD22_14x_0</vt:lpstr>
      <vt:lpstr>'450'!OSRRefD22_14x_0</vt:lpstr>
      <vt:lpstr>'491'!OSRRefD22_14x_0</vt:lpstr>
      <vt:lpstr>'492'!OSRRefD22_14x_0</vt:lpstr>
      <vt:lpstr>'Div 2'!OSRRefD22_14x_0</vt:lpstr>
      <vt:lpstr>'Div 3'!OSRRefD22_14x_0</vt:lpstr>
      <vt:lpstr>'Div 4'!OSRRefD22_14x_0</vt:lpstr>
      <vt:lpstr>Summary!OSRRefD22_14x_0</vt:lpstr>
      <vt:lpstr>'201'!OSRRefD22_15x_0</vt:lpstr>
      <vt:lpstr>'300'!OSRRefD22_15x_0</vt:lpstr>
      <vt:lpstr>'300 &amp; 317'!OSRRefD22_15x_0</vt:lpstr>
      <vt:lpstr>'301'!OSRRefD22_15x_0</vt:lpstr>
      <vt:lpstr>'310'!OSRRefD22_15x_0</vt:lpstr>
      <vt:lpstr>'310 &amp; 491'!OSRRefD22_15x_0</vt:lpstr>
      <vt:lpstr>'315'!OSRRefD22_15x_0</vt:lpstr>
      <vt:lpstr>'325'!OSRRefD22_15x_0</vt:lpstr>
      <vt:lpstr>'326'!OSRRefD22_15x_0</vt:lpstr>
      <vt:lpstr>'331'!OSRRefD22_15x_0</vt:lpstr>
      <vt:lpstr>'333'!OSRRefD22_15x_0</vt:lpstr>
      <vt:lpstr>'405'!OSRRefD22_15x_0</vt:lpstr>
      <vt:lpstr>'411'!OSRRefD22_15x_0</vt:lpstr>
      <vt:lpstr>'415'!OSRRefD22_15x_0</vt:lpstr>
      <vt:lpstr>'418'!OSRRefD22_15x_0</vt:lpstr>
      <vt:lpstr>'433'!OSRRefD22_15x_0</vt:lpstr>
      <vt:lpstr>'444'!OSRRefD22_15x_0</vt:lpstr>
      <vt:lpstr>'450'!OSRRefD22_15x_0</vt:lpstr>
      <vt:lpstr>'491'!OSRRefD22_15x_0</vt:lpstr>
      <vt:lpstr>'492'!OSRRefD22_15x_0</vt:lpstr>
      <vt:lpstr>'Div 2'!OSRRefD22_15x_0</vt:lpstr>
      <vt:lpstr>'Div 3'!OSRRefD22_15x_0</vt:lpstr>
      <vt:lpstr>'Div 4'!OSRRefD22_15x_0</vt:lpstr>
      <vt:lpstr>Summary!OSRRefD22_15x_0</vt:lpstr>
      <vt:lpstr>'300'!OSRRefD22_16x_0</vt:lpstr>
      <vt:lpstr>'300 &amp; 317'!OSRRefD22_16x_0</vt:lpstr>
      <vt:lpstr>'301'!OSRRefD22_16x_0</vt:lpstr>
      <vt:lpstr>'310'!OSRRefD22_16x_0</vt:lpstr>
      <vt:lpstr>'310 &amp; 491'!OSRRefD22_16x_0</vt:lpstr>
      <vt:lpstr>'315'!OSRRefD22_16x_0</vt:lpstr>
      <vt:lpstr>'325'!OSRRefD22_16x_0</vt:lpstr>
      <vt:lpstr>'326'!OSRRefD22_16x_0</vt:lpstr>
      <vt:lpstr>'331'!OSRRefD22_16x_0</vt:lpstr>
      <vt:lpstr>'333'!OSRRefD22_16x_0</vt:lpstr>
      <vt:lpstr>'405'!OSRRefD22_16x_0</vt:lpstr>
      <vt:lpstr>'415'!OSRRefD22_16x_0</vt:lpstr>
      <vt:lpstr>'444'!OSRRefD22_16x_0</vt:lpstr>
      <vt:lpstr>'450'!OSRRefD22_16x_0</vt:lpstr>
      <vt:lpstr>'491'!OSRRefD22_16x_0</vt:lpstr>
      <vt:lpstr>'492'!OSRRefD22_16x_0</vt:lpstr>
      <vt:lpstr>'Div 2'!OSRRefD22_16x_0</vt:lpstr>
      <vt:lpstr>'Div 3'!OSRRefD22_16x_0</vt:lpstr>
      <vt:lpstr>'Div 4'!OSRRefD22_16x_0</vt:lpstr>
      <vt:lpstr>Summary!OSRRefD22_16x_0</vt:lpstr>
      <vt:lpstr>'300'!OSRRefD22_17x_0</vt:lpstr>
      <vt:lpstr>'300 &amp; 317'!OSRRefD22_17x_0</vt:lpstr>
      <vt:lpstr>'301'!OSRRefD22_17x_0</vt:lpstr>
      <vt:lpstr>'310'!OSRRefD22_17x_0</vt:lpstr>
      <vt:lpstr>'310 &amp; 491'!OSRRefD22_17x_0</vt:lpstr>
      <vt:lpstr>'315'!OSRRefD22_17x_0</vt:lpstr>
      <vt:lpstr>'326'!OSRRefD22_17x_0</vt:lpstr>
      <vt:lpstr>'331'!OSRRefD22_17x_0</vt:lpstr>
      <vt:lpstr>'333'!OSRRefD22_17x_0</vt:lpstr>
      <vt:lpstr>'415'!OSRRefD22_17x_0</vt:lpstr>
      <vt:lpstr>'491'!OSRRefD22_17x_0</vt:lpstr>
      <vt:lpstr>'492'!OSRRefD22_17x_0</vt:lpstr>
      <vt:lpstr>'Div 2'!OSRRefD22_17x_0</vt:lpstr>
      <vt:lpstr>'Div 3'!OSRRefD22_17x_0</vt:lpstr>
      <vt:lpstr>'Div 4'!OSRRefD22_17x_0</vt:lpstr>
      <vt:lpstr>Summary!OSRRefD22_17x_0</vt:lpstr>
      <vt:lpstr>'300'!OSRRefD22_18x_0</vt:lpstr>
      <vt:lpstr>'300 &amp; 317'!OSRRefD22_18x_0</vt:lpstr>
      <vt:lpstr>'301'!OSRRefD22_18x_0</vt:lpstr>
      <vt:lpstr>'310 &amp; 491'!OSRRefD22_18x_0</vt:lpstr>
      <vt:lpstr>'315'!OSRRefD22_18x_0</vt:lpstr>
      <vt:lpstr>'331'!OSRRefD22_18x_0</vt:lpstr>
      <vt:lpstr>'333'!OSRRefD22_18x_0</vt:lpstr>
      <vt:lpstr>'491'!OSRRefD22_18x_0</vt:lpstr>
      <vt:lpstr>'492'!OSRRefD22_18x_0</vt:lpstr>
      <vt:lpstr>'Div 2'!OSRRefD22_18x_0</vt:lpstr>
      <vt:lpstr>'Div 3'!OSRRefD22_18x_0</vt:lpstr>
      <vt:lpstr>'Div 4'!OSRRefD22_18x_0</vt:lpstr>
      <vt:lpstr>Summary!OSRRefD22_18x_0</vt:lpstr>
      <vt:lpstr>'300'!OSRRefD22_19x_0</vt:lpstr>
      <vt:lpstr>'300 &amp; 317'!OSRRefD22_19x_0</vt:lpstr>
      <vt:lpstr>'301'!OSRRefD22_19x_0</vt:lpstr>
      <vt:lpstr>'310 &amp; 491'!OSRRefD22_19x_0</vt:lpstr>
      <vt:lpstr>'331'!OSRRefD22_19x_0</vt:lpstr>
      <vt:lpstr>'333'!OSRRefD22_19x_0</vt:lpstr>
      <vt:lpstr>'491'!OSRRefD22_19x_0</vt:lpstr>
      <vt:lpstr>'Div 2'!OSRRefD22_19x_0</vt:lpstr>
      <vt:lpstr>'Div 3'!OSRRefD22_19x_0</vt:lpstr>
      <vt:lpstr>'Div 4'!OSRRefD22_19x_0</vt:lpstr>
      <vt:lpstr>Summary!OSRRefD22_19x_0</vt:lpstr>
      <vt:lpstr>'200'!OSRRefD22_1x_0</vt:lpstr>
      <vt:lpstr>'201'!OSRRefD22_1x_0</vt:lpstr>
      <vt:lpstr>'202'!OSRRefD22_1x_0</vt:lpstr>
      <vt:lpstr>'203'!OSRRefD22_1x_0</vt:lpstr>
      <vt:lpstr>'204'!OSRRefD22_1x_0</vt:lpstr>
      <vt:lpstr>'205'!OSRRefD22_1x_0</vt:lpstr>
      <vt:lpstr>'206'!OSRRefD22_1x_0</vt:lpstr>
      <vt:lpstr>'300'!OSRRefD22_1x_0</vt:lpstr>
      <vt:lpstr>'300 &amp; 317'!OSRRefD22_1x_0</vt:lpstr>
      <vt:lpstr>'301'!OSRRefD22_1x_0</vt:lpstr>
      <vt:lpstr>'307'!OSRRefD22_1x_0</vt:lpstr>
      <vt:lpstr>'308'!OSRRefD22_1x_0</vt:lpstr>
      <vt:lpstr>'309'!OSRRefD22_1x_0</vt:lpstr>
      <vt:lpstr>'310'!OSRRefD22_1x_0</vt:lpstr>
      <vt:lpstr>'310 &amp; 491'!OSRRefD22_1x_0</vt:lpstr>
      <vt:lpstr>'311'!OSRRefD22_1x_0</vt:lpstr>
      <vt:lpstr>'315'!OSRRefD22_1x_0</vt:lpstr>
      <vt:lpstr>'316'!OSRRefD22_1x_0</vt:lpstr>
      <vt:lpstr>'317'!OSRRefD22_1x_0</vt:lpstr>
      <vt:lpstr>'321'!OSRRefD22_1x_0</vt:lpstr>
      <vt:lpstr>'325'!OSRRefD22_1x_0</vt:lpstr>
      <vt:lpstr>'326'!OSRRefD22_1x_0</vt:lpstr>
      <vt:lpstr>'327'!OSRRefD22_1x_0</vt:lpstr>
      <vt:lpstr>'331'!OSRRefD22_1x_0</vt:lpstr>
      <vt:lpstr>'332'!OSRRefD22_1x_0</vt:lpstr>
      <vt:lpstr>'333'!OSRRefD22_1x_0</vt:lpstr>
      <vt:lpstr>'405'!OSRRefD22_1x_0</vt:lpstr>
      <vt:lpstr>'406'!OSRRefD22_1x_0</vt:lpstr>
      <vt:lpstr>'411'!OSRRefD22_1x_0</vt:lpstr>
      <vt:lpstr>'412'!OSRRefD22_1x_0</vt:lpstr>
      <vt:lpstr>'413'!OSRRefD22_1x_0</vt:lpstr>
      <vt:lpstr>'414'!OSRRefD22_1x_0</vt:lpstr>
      <vt:lpstr>'415'!OSRRefD22_1x_0</vt:lpstr>
      <vt:lpstr>'418'!OSRRefD22_1x_0</vt:lpstr>
      <vt:lpstr>'423'!OSRRefD22_1x_0</vt:lpstr>
      <vt:lpstr>'424'!OSRRefD22_1x_0</vt:lpstr>
      <vt:lpstr>'425'!OSRRefD22_1x_0</vt:lpstr>
      <vt:lpstr>'430'!OSRRefD22_1x_0</vt:lpstr>
      <vt:lpstr>'433'!OSRRefD22_1x_0</vt:lpstr>
      <vt:lpstr>'435'!OSRRefD22_1x_0</vt:lpstr>
      <vt:lpstr>'444'!OSRRefD22_1x_0</vt:lpstr>
      <vt:lpstr>'450'!OSRRefD22_1x_0</vt:lpstr>
      <vt:lpstr>'491'!OSRRefD22_1x_0</vt:lpstr>
      <vt:lpstr>'492'!OSRRefD22_1x_0</vt:lpstr>
      <vt:lpstr>'501'!OSRRefD22_1x_0</vt:lpstr>
      <vt:lpstr>'Div 2'!OSRRefD22_1x_0</vt:lpstr>
      <vt:lpstr>'Div 3'!OSRRefD22_1x_0</vt:lpstr>
      <vt:lpstr>'Div 4'!OSRRefD22_1x_0</vt:lpstr>
      <vt:lpstr>'Div 5'!OSRRefD22_1x_0</vt:lpstr>
      <vt:lpstr>'Div 6'!OSRRefD22_1x_0</vt:lpstr>
      <vt:lpstr>Summary!OSRRefD22_1x_0</vt:lpstr>
      <vt:lpstr>'300'!OSRRefD22_20x_0</vt:lpstr>
      <vt:lpstr>'300 &amp; 317'!OSRRefD22_20x_0</vt:lpstr>
      <vt:lpstr>'301'!OSRRefD22_20x_0</vt:lpstr>
      <vt:lpstr>'310 &amp; 491'!OSRRefD22_20x_0</vt:lpstr>
      <vt:lpstr>'331'!OSRRefD22_20x_0</vt:lpstr>
      <vt:lpstr>'333'!OSRRefD22_20x_0</vt:lpstr>
      <vt:lpstr>'491'!OSRRefD22_20x_0</vt:lpstr>
      <vt:lpstr>'Div 3'!OSRRefD22_20x_0</vt:lpstr>
      <vt:lpstr>'Div 4'!OSRRefD22_20x_0</vt:lpstr>
      <vt:lpstr>Summary!OSRRefD22_20x_0</vt:lpstr>
      <vt:lpstr>'300'!OSRRefD22_21x_0</vt:lpstr>
      <vt:lpstr>'300 &amp; 317'!OSRRefD22_21x_0</vt:lpstr>
      <vt:lpstr>'301'!OSRRefD22_21x_0</vt:lpstr>
      <vt:lpstr>'331'!OSRRefD22_21x_0</vt:lpstr>
      <vt:lpstr>'333'!OSRRefD22_21x_0</vt:lpstr>
      <vt:lpstr>'Div 3'!OSRRefD22_21x_0</vt:lpstr>
      <vt:lpstr>'Div 4'!OSRRefD22_21x_0</vt:lpstr>
      <vt:lpstr>Summary!OSRRefD22_21x_0</vt:lpstr>
      <vt:lpstr>'300'!OSRRefD22_22x_0</vt:lpstr>
      <vt:lpstr>'300 &amp; 317'!OSRRefD22_22x_0</vt:lpstr>
      <vt:lpstr>'301'!OSRRefD22_22x_0</vt:lpstr>
      <vt:lpstr>'331'!OSRRefD22_22x_0</vt:lpstr>
      <vt:lpstr>'333'!OSRRefD22_22x_0</vt:lpstr>
      <vt:lpstr>'Div 3'!OSRRefD22_22x_0</vt:lpstr>
      <vt:lpstr>'Div 4'!OSRRefD22_22x_0</vt:lpstr>
      <vt:lpstr>Summary!OSRRefD22_22x_0</vt:lpstr>
      <vt:lpstr>'300'!OSRRefD22_23x_0</vt:lpstr>
      <vt:lpstr>'300 &amp; 317'!OSRRefD22_23x_0</vt:lpstr>
      <vt:lpstr>'Div 3'!OSRRefD22_23x_0</vt:lpstr>
      <vt:lpstr>Summary!OSRRefD22_23x_0</vt:lpstr>
      <vt:lpstr>'300'!OSRRefD22_24x_0</vt:lpstr>
      <vt:lpstr>'300 &amp; 317'!OSRRefD22_24x_0</vt:lpstr>
      <vt:lpstr>'Div 3'!OSRRefD22_24x_0</vt:lpstr>
      <vt:lpstr>Summary!OSRRefD22_24x_0</vt:lpstr>
      <vt:lpstr>'Div 3'!OSRRefD22_25x_0</vt:lpstr>
      <vt:lpstr>Summary!OSRRefD22_25x_0</vt:lpstr>
      <vt:lpstr>Summary!OSRRefD22_26x_0</vt:lpstr>
      <vt:lpstr>'200'!OSRRefD22_2x_0</vt:lpstr>
      <vt:lpstr>'201'!OSRRefD22_2x_0</vt:lpstr>
      <vt:lpstr>'202'!OSRRefD22_2x_0</vt:lpstr>
      <vt:lpstr>'203'!OSRRefD22_2x_0</vt:lpstr>
      <vt:lpstr>'204'!OSRRefD22_2x_0</vt:lpstr>
      <vt:lpstr>'205'!OSRRefD22_2x_0</vt:lpstr>
      <vt:lpstr>'206'!OSRRefD22_2x_0</vt:lpstr>
      <vt:lpstr>'300'!OSRRefD22_2x_0</vt:lpstr>
      <vt:lpstr>'300 &amp; 317'!OSRRefD22_2x_0</vt:lpstr>
      <vt:lpstr>'301'!OSRRefD22_2x_0</vt:lpstr>
      <vt:lpstr>'307'!OSRRefD22_2x_0</vt:lpstr>
      <vt:lpstr>'308'!OSRRefD22_2x_0</vt:lpstr>
      <vt:lpstr>'309'!OSRRefD22_2x_0</vt:lpstr>
      <vt:lpstr>'310'!OSRRefD22_2x_0</vt:lpstr>
      <vt:lpstr>'310 &amp; 491'!OSRRefD22_2x_0</vt:lpstr>
      <vt:lpstr>'311'!OSRRefD22_2x_0</vt:lpstr>
      <vt:lpstr>'315'!OSRRefD22_2x_0</vt:lpstr>
      <vt:lpstr>'316'!OSRRefD22_2x_0</vt:lpstr>
      <vt:lpstr>'317'!OSRRefD22_2x_0</vt:lpstr>
      <vt:lpstr>'321'!OSRRefD22_2x_0</vt:lpstr>
      <vt:lpstr>'325'!OSRRefD22_2x_0</vt:lpstr>
      <vt:lpstr>'326'!OSRRefD22_2x_0</vt:lpstr>
      <vt:lpstr>'331'!OSRRefD22_2x_0</vt:lpstr>
      <vt:lpstr>'332'!OSRRefD22_2x_0</vt:lpstr>
      <vt:lpstr>'333'!OSRRefD22_2x_0</vt:lpstr>
      <vt:lpstr>'405'!OSRRefD22_2x_0</vt:lpstr>
      <vt:lpstr>'411'!OSRRefD22_2x_0</vt:lpstr>
      <vt:lpstr>'412'!OSRRefD22_2x_0</vt:lpstr>
      <vt:lpstr>'413'!OSRRefD22_2x_0</vt:lpstr>
      <vt:lpstr>'414'!OSRRefD22_2x_0</vt:lpstr>
      <vt:lpstr>'415'!OSRRefD22_2x_0</vt:lpstr>
      <vt:lpstr>'418'!OSRRefD22_2x_0</vt:lpstr>
      <vt:lpstr>'423'!OSRRefD22_2x_0</vt:lpstr>
      <vt:lpstr>'424'!OSRRefD22_2x_0</vt:lpstr>
      <vt:lpstr>'425'!OSRRefD22_2x_0</vt:lpstr>
      <vt:lpstr>'430'!OSRRefD22_2x_0</vt:lpstr>
      <vt:lpstr>'433'!OSRRefD22_2x_0</vt:lpstr>
      <vt:lpstr>'444'!OSRRefD22_2x_0</vt:lpstr>
      <vt:lpstr>'450'!OSRRefD22_2x_0</vt:lpstr>
      <vt:lpstr>'491'!OSRRefD22_2x_0</vt:lpstr>
      <vt:lpstr>'492'!OSRRefD22_2x_0</vt:lpstr>
      <vt:lpstr>'501'!OSRRefD22_2x_0</vt:lpstr>
      <vt:lpstr>'Div 2'!OSRRefD22_2x_0</vt:lpstr>
      <vt:lpstr>'Div 3'!OSRRefD22_2x_0</vt:lpstr>
      <vt:lpstr>'Div 4'!OSRRefD22_2x_0</vt:lpstr>
      <vt:lpstr>'Div 5'!OSRRefD22_2x_0</vt:lpstr>
      <vt:lpstr>'Div 6'!OSRRefD22_2x_0</vt:lpstr>
      <vt:lpstr>Summary!OSRRefD22_2x_0</vt:lpstr>
      <vt:lpstr>'200'!OSRRefD22_3x_0</vt:lpstr>
      <vt:lpstr>'201'!OSRRefD22_3x_0</vt:lpstr>
      <vt:lpstr>'202'!OSRRefD22_3x_0</vt:lpstr>
      <vt:lpstr>'203'!OSRRefD22_3x_0</vt:lpstr>
      <vt:lpstr>'204'!OSRRefD22_3x_0</vt:lpstr>
      <vt:lpstr>'205'!OSRRefD22_3x_0</vt:lpstr>
      <vt:lpstr>'206'!OSRRefD22_3x_0</vt:lpstr>
      <vt:lpstr>'300'!OSRRefD22_3x_0</vt:lpstr>
      <vt:lpstr>'300 &amp; 317'!OSRRefD22_3x_0</vt:lpstr>
      <vt:lpstr>'301'!OSRRefD22_3x_0</vt:lpstr>
      <vt:lpstr>'307'!OSRRefD22_3x_0</vt:lpstr>
      <vt:lpstr>'308'!OSRRefD22_3x_0</vt:lpstr>
      <vt:lpstr>'309'!OSRRefD22_3x_0</vt:lpstr>
      <vt:lpstr>'310'!OSRRefD22_3x_0</vt:lpstr>
      <vt:lpstr>'310 &amp; 491'!OSRRefD22_3x_0</vt:lpstr>
      <vt:lpstr>'311'!OSRRefD22_3x_0</vt:lpstr>
      <vt:lpstr>'315'!OSRRefD22_3x_0</vt:lpstr>
      <vt:lpstr>'316'!OSRRefD22_3x_0</vt:lpstr>
      <vt:lpstr>'317'!OSRRefD22_3x_0</vt:lpstr>
      <vt:lpstr>'321'!OSRRefD22_3x_0</vt:lpstr>
      <vt:lpstr>'325'!OSRRefD22_3x_0</vt:lpstr>
      <vt:lpstr>'326'!OSRRefD22_3x_0</vt:lpstr>
      <vt:lpstr>'331'!OSRRefD22_3x_0</vt:lpstr>
      <vt:lpstr>'332'!OSRRefD22_3x_0</vt:lpstr>
      <vt:lpstr>'333'!OSRRefD22_3x_0</vt:lpstr>
      <vt:lpstr>'405'!OSRRefD22_3x_0</vt:lpstr>
      <vt:lpstr>'411'!OSRRefD22_3x_0</vt:lpstr>
      <vt:lpstr>'412'!OSRRefD22_3x_0</vt:lpstr>
      <vt:lpstr>'415'!OSRRefD22_3x_0</vt:lpstr>
      <vt:lpstr>'418'!OSRRefD22_3x_0</vt:lpstr>
      <vt:lpstr>'423'!OSRRefD22_3x_0</vt:lpstr>
      <vt:lpstr>'425'!OSRRefD22_3x_0</vt:lpstr>
      <vt:lpstr>'430'!OSRRefD22_3x_0</vt:lpstr>
      <vt:lpstr>'433'!OSRRefD22_3x_0</vt:lpstr>
      <vt:lpstr>'444'!OSRRefD22_3x_0</vt:lpstr>
      <vt:lpstr>'450'!OSRRefD22_3x_0</vt:lpstr>
      <vt:lpstr>'491'!OSRRefD22_3x_0</vt:lpstr>
      <vt:lpstr>'492'!OSRRefD22_3x_0</vt:lpstr>
      <vt:lpstr>'501'!OSRRefD22_3x_0</vt:lpstr>
      <vt:lpstr>'Div 2'!OSRRefD22_3x_0</vt:lpstr>
      <vt:lpstr>'Div 3'!OSRRefD22_3x_0</vt:lpstr>
      <vt:lpstr>'Div 4'!OSRRefD22_3x_0</vt:lpstr>
      <vt:lpstr>'Div 5'!OSRRefD22_3x_0</vt:lpstr>
      <vt:lpstr>'Div 6'!OSRRefD22_3x_0</vt:lpstr>
      <vt:lpstr>Summary!OSRRefD22_3x_0</vt:lpstr>
      <vt:lpstr>'201'!OSRRefD22_4x_0</vt:lpstr>
      <vt:lpstr>'202'!OSRRefD22_4x_0</vt:lpstr>
      <vt:lpstr>'203'!OSRRefD22_4x_0</vt:lpstr>
      <vt:lpstr>'204'!OSRRefD22_4x_0</vt:lpstr>
      <vt:lpstr>'205'!OSRRefD22_4x_0</vt:lpstr>
      <vt:lpstr>'206'!OSRRefD22_4x_0</vt:lpstr>
      <vt:lpstr>'300'!OSRRefD22_4x_0</vt:lpstr>
      <vt:lpstr>'300 &amp; 317'!OSRRefD22_4x_0</vt:lpstr>
      <vt:lpstr>'301'!OSRRefD22_4x_0</vt:lpstr>
      <vt:lpstr>'307'!OSRRefD22_4x_0</vt:lpstr>
      <vt:lpstr>'308'!OSRRefD22_4x_0</vt:lpstr>
      <vt:lpstr>'309'!OSRRefD22_4x_0</vt:lpstr>
      <vt:lpstr>'310'!OSRRefD22_4x_0</vt:lpstr>
      <vt:lpstr>'310 &amp; 491'!OSRRefD22_4x_0</vt:lpstr>
      <vt:lpstr>'311'!OSRRefD22_4x_0</vt:lpstr>
      <vt:lpstr>'315'!OSRRefD22_4x_0</vt:lpstr>
      <vt:lpstr>'316'!OSRRefD22_4x_0</vt:lpstr>
      <vt:lpstr>'317'!OSRRefD22_4x_0</vt:lpstr>
      <vt:lpstr>'321'!OSRRefD22_4x_0</vt:lpstr>
      <vt:lpstr>'325'!OSRRefD22_4x_0</vt:lpstr>
      <vt:lpstr>'326'!OSRRefD22_4x_0</vt:lpstr>
      <vt:lpstr>'331'!OSRRefD22_4x_0</vt:lpstr>
      <vt:lpstr>'332'!OSRRefD22_4x_0</vt:lpstr>
      <vt:lpstr>'333'!OSRRefD22_4x_0</vt:lpstr>
      <vt:lpstr>'405'!OSRRefD22_4x_0</vt:lpstr>
      <vt:lpstr>'411'!OSRRefD22_4x_0</vt:lpstr>
      <vt:lpstr>'415'!OSRRefD22_4x_0</vt:lpstr>
      <vt:lpstr>'418'!OSRRefD22_4x_0</vt:lpstr>
      <vt:lpstr>'423'!OSRRefD22_4x_0</vt:lpstr>
      <vt:lpstr>'425'!OSRRefD22_4x_0</vt:lpstr>
      <vt:lpstr>'430'!OSRRefD22_4x_0</vt:lpstr>
      <vt:lpstr>'433'!OSRRefD22_4x_0</vt:lpstr>
      <vt:lpstr>'444'!OSRRefD22_4x_0</vt:lpstr>
      <vt:lpstr>'450'!OSRRefD22_4x_0</vt:lpstr>
      <vt:lpstr>'491'!OSRRefD22_4x_0</vt:lpstr>
      <vt:lpstr>'492'!OSRRefD22_4x_0</vt:lpstr>
      <vt:lpstr>'501'!OSRRefD22_4x_0</vt:lpstr>
      <vt:lpstr>'Div 2'!OSRRefD22_4x_0</vt:lpstr>
      <vt:lpstr>'Div 3'!OSRRefD22_4x_0</vt:lpstr>
      <vt:lpstr>'Div 4'!OSRRefD22_4x_0</vt:lpstr>
      <vt:lpstr>'Div 5'!OSRRefD22_4x_0</vt:lpstr>
      <vt:lpstr>'Div 6'!OSRRefD22_4x_0</vt:lpstr>
      <vt:lpstr>Summary!OSRRefD22_4x_0</vt:lpstr>
      <vt:lpstr>'201'!OSRRefD22_5x_0</vt:lpstr>
      <vt:lpstr>'202'!OSRRefD22_5x_0</vt:lpstr>
      <vt:lpstr>'203'!OSRRefD22_5x_0</vt:lpstr>
      <vt:lpstr>'204'!OSRRefD22_5x_0</vt:lpstr>
      <vt:lpstr>'205'!OSRRefD22_5x_0</vt:lpstr>
      <vt:lpstr>'206'!OSRRefD22_5x_0</vt:lpstr>
      <vt:lpstr>'300'!OSRRefD22_5x_0</vt:lpstr>
      <vt:lpstr>'300 &amp; 317'!OSRRefD22_5x_0</vt:lpstr>
      <vt:lpstr>'301'!OSRRefD22_5x_0</vt:lpstr>
      <vt:lpstr>'307'!OSRRefD22_5x_0</vt:lpstr>
      <vt:lpstr>'308'!OSRRefD22_5x_0</vt:lpstr>
      <vt:lpstr>'309'!OSRRefD22_5x_0</vt:lpstr>
      <vt:lpstr>'310'!OSRRefD22_5x_0</vt:lpstr>
      <vt:lpstr>'310 &amp; 491'!OSRRefD22_5x_0</vt:lpstr>
      <vt:lpstr>'311'!OSRRefD22_5x_0</vt:lpstr>
      <vt:lpstr>'315'!OSRRefD22_5x_0</vt:lpstr>
      <vt:lpstr>'316'!OSRRefD22_5x_0</vt:lpstr>
      <vt:lpstr>'317'!OSRRefD22_5x_0</vt:lpstr>
      <vt:lpstr>'321'!OSRRefD22_5x_0</vt:lpstr>
      <vt:lpstr>'325'!OSRRefD22_5x_0</vt:lpstr>
      <vt:lpstr>'326'!OSRRefD22_5x_0</vt:lpstr>
      <vt:lpstr>'331'!OSRRefD22_5x_0</vt:lpstr>
      <vt:lpstr>'332'!OSRRefD22_5x_0</vt:lpstr>
      <vt:lpstr>'333'!OSRRefD22_5x_0</vt:lpstr>
      <vt:lpstr>'405'!OSRRefD22_5x_0</vt:lpstr>
      <vt:lpstr>'411'!OSRRefD22_5x_0</vt:lpstr>
      <vt:lpstr>'415'!OSRRefD22_5x_0</vt:lpstr>
      <vt:lpstr>'418'!OSRRefD22_5x_0</vt:lpstr>
      <vt:lpstr>'423'!OSRRefD22_5x_0</vt:lpstr>
      <vt:lpstr>'425'!OSRRefD22_5x_0</vt:lpstr>
      <vt:lpstr>'430'!OSRRefD22_5x_0</vt:lpstr>
      <vt:lpstr>'433'!OSRRefD22_5x_0</vt:lpstr>
      <vt:lpstr>'444'!OSRRefD22_5x_0</vt:lpstr>
      <vt:lpstr>'450'!OSRRefD22_5x_0</vt:lpstr>
      <vt:lpstr>'491'!OSRRefD22_5x_0</vt:lpstr>
      <vt:lpstr>'492'!OSRRefD22_5x_0</vt:lpstr>
      <vt:lpstr>'501'!OSRRefD22_5x_0</vt:lpstr>
      <vt:lpstr>'Div 2'!OSRRefD22_5x_0</vt:lpstr>
      <vt:lpstr>'Div 3'!OSRRefD22_5x_0</vt:lpstr>
      <vt:lpstr>'Div 4'!OSRRefD22_5x_0</vt:lpstr>
      <vt:lpstr>'Div 5'!OSRRefD22_5x_0</vt:lpstr>
      <vt:lpstr>'Div 6'!OSRRefD22_5x_0</vt:lpstr>
      <vt:lpstr>Summary!OSRRefD22_5x_0</vt:lpstr>
      <vt:lpstr>'201'!OSRRefD22_6x_0</vt:lpstr>
      <vt:lpstr>'202'!OSRRefD22_6x_0</vt:lpstr>
      <vt:lpstr>'203'!OSRRefD22_6x_0</vt:lpstr>
      <vt:lpstr>'204'!OSRRefD22_6x_0</vt:lpstr>
      <vt:lpstr>'205'!OSRRefD22_6x_0</vt:lpstr>
      <vt:lpstr>'206'!OSRRefD22_6x_0</vt:lpstr>
      <vt:lpstr>'300'!OSRRefD22_6x_0</vt:lpstr>
      <vt:lpstr>'300 &amp; 317'!OSRRefD22_6x_0</vt:lpstr>
      <vt:lpstr>'301'!OSRRefD22_6x_0</vt:lpstr>
      <vt:lpstr>'307'!OSRRefD22_6x_0</vt:lpstr>
      <vt:lpstr>'308'!OSRRefD22_6x_0</vt:lpstr>
      <vt:lpstr>'309'!OSRRefD22_6x_0</vt:lpstr>
      <vt:lpstr>'310'!OSRRefD22_6x_0</vt:lpstr>
      <vt:lpstr>'310 &amp; 491'!OSRRefD22_6x_0</vt:lpstr>
      <vt:lpstr>'311'!OSRRefD22_6x_0</vt:lpstr>
      <vt:lpstr>'315'!OSRRefD22_6x_0</vt:lpstr>
      <vt:lpstr>'316'!OSRRefD22_6x_0</vt:lpstr>
      <vt:lpstr>'317'!OSRRefD22_6x_0</vt:lpstr>
      <vt:lpstr>'321'!OSRRefD22_6x_0</vt:lpstr>
      <vt:lpstr>'325'!OSRRefD22_6x_0</vt:lpstr>
      <vt:lpstr>'326'!OSRRefD22_6x_0</vt:lpstr>
      <vt:lpstr>'331'!OSRRefD22_6x_0</vt:lpstr>
      <vt:lpstr>'332'!OSRRefD22_6x_0</vt:lpstr>
      <vt:lpstr>'333'!OSRRefD22_6x_0</vt:lpstr>
      <vt:lpstr>'405'!OSRRefD22_6x_0</vt:lpstr>
      <vt:lpstr>'411'!OSRRefD22_6x_0</vt:lpstr>
      <vt:lpstr>'415'!OSRRefD22_6x_0</vt:lpstr>
      <vt:lpstr>'418'!OSRRefD22_6x_0</vt:lpstr>
      <vt:lpstr>'430'!OSRRefD22_6x_0</vt:lpstr>
      <vt:lpstr>'433'!OSRRefD22_6x_0</vt:lpstr>
      <vt:lpstr>'444'!OSRRefD22_6x_0</vt:lpstr>
      <vt:lpstr>'450'!OSRRefD22_6x_0</vt:lpstr>
      <vt:lpstr>'491'!OSRRefD22_6x_0</vt:lpstr>
      <vt:lpstr>'492'!OSRRefD22_6x_0</vt:lpstr>
      <vt:lpstr>'501'!OSRRefD22_6x_0</vt:lpstr>
      <vt:lpstr>'Div 2'!OSRRefD22_6x_0</vt:lpstr>
      <vt:lpstr>'Div 3'!OSRRefD22_6x_0</vt:lpstr>
      <vt:lpstr>'Div 4'!OSRRefD22_6x_0</vt:lpstr>
      <vt:lpstr>'Div 5'!OSRRefD22_6x_0</vt:lpstr>
      <vt:lpstr>'Div 6'!OSRRefD22_6x_0</vt:lpstr>
      <vt:lpstr>Summary!OSRRefD22_6x_0</vt:lpstr>
      <vt:lpstr>'201'!OSRRefD22_7x_0</vt:lpstr>
      <vt:lpstr>'202'!OSRRefD22_7x_0</vt:lpstr>
      <vt:lpstr>'203'!OSRRefD22_7x_0</vt:lpstr>
      <vt:lpstr>'204'!OSRRefD22_7x_0</vt:lpstr>
      <vt:lpstr>'205'!OSRRefD22_7x_0</vt:lpstr>
      <vt:lpstr>'206'!OSRRefD22_7x_0</vt:lpstr>
      <vt:lpstr>'300'!OSRRefD22_7x_0</vt:lpstr>
      <vt:lpstr>'300 &amp; 317'!OSRRefD22_7x_0</vt:lpstr>
      <vt:lpstr>'301'!OSRRefD22_7x_0</vt:lpstr>
      <vt:lpstr>'307'!OSRRefD22_7x_0</vt:lpstr>
      <vt:lpstr>'308'!OSRRefD22_7x_0</vt:lpstr>
      <vt:lpstr>'309'!OSRRefD22_7x_0</vt:lpstr>
      <vt:lpstr>'310'!OSRRefD22_7x_0</vt:lpstr>
      <vt:lpstr>'310 &amp; 491'!OSRRefD22_7x_0</vt:lpstr>
      <vt:lpstr>'311'!OSRRefD22_7x_0</vt:lpstr>
      <vt:lpstr>'315'!OSRRefD22_7x_0</vt:lpstr>
      <vt:lpstr>'316'!OSRRefD22_7x_0</vt:lpstr>
      <vt:lpstr>'317'!OSRRefD22_7x_0</vt:lpstr>
      <vt:lpstr>'321'!OSRRefD22_7x_0</vt:lpstr>
      <vt:lpstr>'325'!OSRRefD22_7x_0</vt:lpstr>
      <vt:lpstr>'326'!OSRRefD22_7x_0</vt:lpstr>
      <vt:lpstr>'331'!OSRRefD22_7x_0</vt:lpstr>
      <vt:lpstr>'332'!OSRRefD22_7x_0</vt:lpstr>
      <vt:lpstr>'333'!OSRRefD22_7x_0</vt:lpstr>
      <vt:lpstr>'405'!OSRRefD22_7x_0</vt:lpstr>
      <vt:lpstr>'411'!OSRRefD22_7x_0</vt:lpstr>
      <vt:lpstr>'415'!OSRRefD22_7x_0</vt:lpstr>
      <vt:lpstr>'418'!OSRRefD22_7x_0</vt:lpstr>
      <vt:lpstr>'430'!OSRRefD22_7x_0</vt:lpstr>
      <vt:lpstr>'433'!OSRRefD22_7x_0</vt:lpstr>
      <vt:lpstr>'444'!OSRRefD22_7x_0</vt:lpstr>
      <vt:lpstr>'450'!OSRRefD22_7x_0</vt:lpstr>
      <vt:lpstr>'491'!OSRRefD22_7x_0</vt:lpstr>
      <vt:lpstr>'492'!OSRRefD22_7x_0</vt:lpstr>
      <vt:lpstr>'501'!OSRRefD22_7x_0</vt:lpstr>
      <vt:lpstr>'Div 2'!OSRRefD22_7x_0</vt:lpstr>
      <vt:lpstr>'Div 3'!OSRRefD22_7x_0</vt:lpstr>
      <vt:lpstr>'Div 4'!OSRRefD22_7x_0</vt:lpstr>
      <vt:lpstr>'Div 5'!OSRRefD22_7x_0</vt:lpstr>
      <vt:lpstr>'Div 6'!OSRRefD22_7x_0</vt:lpstr>
      <vt:lpstr>Summary!OSRRefD22_7x_0</vt:lpstr>
      <vt:lpstr>'201'!OSRRefD22_8x_0</vt:lpstr>
      <vt:lpstr>'202'!OSRRefD22_8x_0</vt:lpstr>
      <vt:lpstr>'203'!OSRRefD22_8x_0</vt:lpstr>
      <vt:lpstr>'204'!OSRRefD22_8x_0</vt:lpstr>
      <vt:lpstr>'300'!OSRRefD22_8x_0</vt:lpstr>
      <vt:lpstr>'300 &amp; 317'!OSRRefD22_8x_0</vt:lpstr>
      <vt:lpstr>'301'!OSRRefD22_8x_0</vt:lpstr>
      <vt:lpstr>'307'!OSRRefD22_8x_0</vt:lpstr>
      <vt:lpstr>'308'!OSRRefD22_8x_0</vt:lpstr>
      <vt:lpstr>'309'!OSRRefD22_8x_0</vt:lpstr>
      <vt:lpstr>'310'!OSRRefD22_8x_0</vt:lpstr>
      <vt:lpstr>'310 &amp; 491'!OSRRefD22_8x_0</vt:lpstr>
      <vt:lpstr>'311'!OSRRefD22_8x_0</vt:lpstr>
      <vt:lpstr>'315'!OSRRefD22_8x_0</vt:lpstr>
      <vt:lpstr>'316'!OSRRefD22_8x_0</vt:lpstr>
      <vt:lpstr>'317'!OSRRefD22_8x_0</vt:lpstr>
      <vt:lpstr>'321'!OSRRefD22_8x_0</vt:lpstr>
      <vt:lpstr>'325'!OSRRefD22_8x_0</vt:lpstr>
      <vt:lpstr>'326'!OSRRefD22_8x_0</vt:lpstr>
      <vt:lpstr>'331'!OSRRefD22_8x_0</vt:lpstr>
      <vt:lpstr>'332'!OSRRefD22_8x_0</vt:lpstr>
      <vt:lpstr>'333'!OSRRefD22_8x_0</vt:lpstr>
      <vt:lpstr>'405'!OSRRefD22_8x_0</vt:lpstr>
      <vt:lpstr>'411'!OSRRefD22_8x_0</vt:lpstr>
      <vt:lpstr>'415'!OSRRefD22_8x_0</vt:lpstr>
      <vt:lpstr>'418'!OSRRefD22_8x_0</vt:lpstr>
      <vt:lpstr>'430'!OSRRefD22_8x_0</vt:lpstr>
      <vt:lpstr>'433'!OSRRefD22_8x_0</vt:lpstr>
      <vt:lpstr>'444'!OSRRefD22_8x_0</vt:lpstr>
      <vt:lpstr>'450'!OSRRefD22_8x_0</vt:lpstr>
      <vt:lpstr>'491'!OSRRefD22_8x_0</vt:lpstr>
      <vt:lpstr>'492'!OSRRefD22_8x_0</vt:lpstr>
      <vt:lpstr>'501'!OSRRefD22_8x_0</vt:lpstr>
      <vt:lpstr>'Div 2'!OSRRefD22_8x_0</vt:lpstr>
      <vt:lpstr>'Div 3'!OSRRefD22_8x_0</vt:lpstr>
      <vt:lpstr>'Div 4'!OSRRefD22_8x_0</vt:lpstr>
      <vt:lpstr>'Div 5'!OSRRefD22_8x_0</vt:lpstr>
      <vt:lpstr>'Div 6'!OSRRefD22_8x_0</vt:lpstr>
      <vt:lpstr>Summary!OSRRefD22_8x_0</vt:lpstr>
      <vt:lpstr>'201'!OSRRefD22_9x_0</vt:lpstr>
      <vt:lpstr>'202'!OSRRefD22_9x_0</vt:lpstr>
      <vt:lpstr>'203'!OSRRefD22_9x_0</vt:lpstr>
      <vt:lpstr>'204'!OSRRefD22_9x_0</vt:lpstr>
      <vt:lpstr>'300'!OSRRefD22_9x_0</vt:lpstr>
      <vt:lpstr>'300 &amp; 317'!OSRRefD22_9x_0</vt:lpstr>
      <vt:lpstr>'301'!OSRRefD22_9x_0</vt:lpstr>
      <vt:lpstr>'307'!OSRRefD22_9x_0</vt:lpstr>
      <vt:lpstr>'308'!OSRRefD22_9x_0</vt:lpstr>
      <vt:lpstr>'309'!OSRRefD22_9x_0</vt:lpstr>
      <vt:lpstr>'310'!OSRRefD22_9x_0</vt:lpstr>
      <vt:lpstr>'310 &amp; 491'!OSRRefD22_9x_0</vt:lpstr>
      <vt:lpstr>'311'!OSRRefD22_9x_0</vt:lpstr>
      <vt:lpstr>'315'!OSRRefD22_9x_0</vt:lpstr>
      <vt:lpstr>'316'!OSRRefD22_9x_0</vt:lpstr>
      <vt:lpstr>'317'!OSRRefD22_9x_0</vt:lpstr>
      <vt:lpstr>'321'!OSRRefD22_9x_0</vt:lpstr>
      <vt:lpstr>'325'!OSRRefD22_9x_0</vt:lpstr>
      <vt:lpstr>'326'!OSRRefD22_9x_0</vt:lpstr>
      <vt:lpstr>'331'!OSRRefD22_9x_0</vt:lpstr>
      <vt:lpstr>'332'!OSRRefD22_9x_0</vt:lpstr>
      <vt:lpstr>'333'!OSRRefD22_9x_0</vt:lpstr>
      <vt:lpstr>'405'!OSRRefD22_9x_0</vt:lpstr>
      <vt:lpstr>'411'!OSRRefD22_9x_0</vt:lpstr>
      <vt:lpstr>'415'!OSRRefD22_9x_0</vt:lpstr>
      <vt:lpstr>'418'!OSRRefD22_9x_0</vt:lpstr>
      <vt:lpstr>'433'!OSRRefD22_9x_0</vt:lpstr>
      <vt:lpstr>'444'!OSRRefD22_9x_0</vt:lpstr>
      <vt:lpstr>'450'!OSRRefD22_9x_0</vt:lpstr>
      <vt:lpstr>'491'!OSRRefD22_9x_0</vt:lpstr>
      <vt:lpstr>'492'!OSRRefD22_9x_0</vt:lpstr>
      <vt:lpstr>'501'!OSRRefD22_9x_0</vt:lpstr>
      <vt:lpstr>'Div 2'!OSRRefD22_9x_0</vt:lpstr>
      <vt:lpstr>'Div 3'!OSRRefD22_9x_0</vt:lpstr>
      <vt:lpstr>'Div 4'!OSRRefD22_9x_0</vt:lpstr>
      <vt:lpstr>'Div 5'!OSRRefD22_9x_0</vt:lpstr>
      <vt:lpstr>'Div 6'!OSRRefD22_9x_0</vt:lpstr>
      <vt:lpstr>Summary!OSRRefD22_9x_0</vt:lpstr>
      <vt:lpstr>'200'!OSRRefD22x_0</vt:lpstr>
      <vt:lpstr>'201'!OSRRefD22x_0</vt:lpstr>
      <vt:lpstr>'202'!OSRRefD22x_0</vt:lpstr>
      <vt:lpstr>'203'!OSRRefD22x_0</vt:lpstr>
      <vt:lpstr>'204'!OSRRefD22x_0</vt:lpstr>
      <vt:lpstr>'205'!OSRRefD22x_0</vt:lpstr>
      <vt:lpstr>'206'!OSRRefD22x_0</vt:lpstr>
      <vt:lpstr>'300'!OSRRefD22x_0</vt:lpstr>
      <vt:lpstr>'300 &amp; 317'!OSRRefD22x_0</vt:lpstr>
      <vt:lpstr>'301'!OSRRefD22x_0</vt:lpstr>
      <vt:lpstr>'307'!OSRRefD22x_0</vt:lpstr>
      <vt:lpstr>'308'!OSRRefD22x_0</vt:lpstr>
      <vt:lpstr>'309'!OSRRefD22x_0</vt:lpstr>
      <vt:lpstr>'310'!OSRRefD22x_0</vt:lpstr>
      <vt:lpstr>'310 &amp; 491'!OSRRefD22x_0</vt:lpstr>
      <vt:lpstr>'311'!OSRRefD22x_0</vt:lpstr>
      <vt:lpstr>'315'!OSRRefD22x_0</vt:lpstr>
      <vt:lpstr>'316'!OSRRefD22x_0</vt:lpstr>
      <vt:lpstr>'317'!OSRRefD22x_0</vt:lpstr>
      <vt:lpstr>'321'!OSRRefD22x_0</vt:lpstr>
      <vt:lpstr>'325'!OSRRefD22x_0</vt:lpstr>
      <vt:lpstr>'326'!OSRRefD22x_0</vt:lpstr>
      <vt:lpstr>'327'!OSRRefD22x_0</vt:lpstr>
      <vt:lpstr>'331'!OSRRefD22x_0</vt:lpstr>
      <vt:lpstr>'332'!OSRRefD22x_0</vt:lpstr>
      <vt:lpstr>'333'!OSRRefD22x_0</vt:lpstr>
      <vt:lpstr>'405'!OSRRefD22x_0</vt:lpstr>
      <vt:lpstr>'406'!OSRRefD22x_0</vt:lpstr>
      <vt:lpstr>'411'!OSRRefD22x_0</vt:lpstr>
      <vt:lpstr>'412'!OSRRefD22x_0</vt:lpstr>
      <vt:lpstr>'413'!OSRRefD22x_0</vt:lpstr>
      <vt:lpstr>'414'!OSRRefD22x_0</vt:lpstr>
      <vt:lpstr>'415'!OSRRefD22x_0</vt:lpstr>
      <vt:lpstr>'418'!OSRRefD22x_0</vt:lpstr>
      <vt:lpstr>'423'!OSRRefD22x_0</vt:lpstr>
      <vt:lpstr>'424'!OSRRefD22x_0</vt:lpstr>
      <vt:lpstr>'425'!OSRRefD22x_0</vt:lpstr>
      <vt:lpstr>'430'!OSRRefD22x_0</vt:lpstr>
      <vt:lpstr>'433'!OSRRefD22x_0</vt:lpstr>
      <vt:lpstr>'435'!OSRRefD22x_0</vt:lpstr>
      <vt:lpstr>'444'!OSRRefD22x_0</vt:lpstr>
      <vt:lpstr>'450'!OSRRefD22x_0</vt:lpstr>
      <vt:lpstr>'491'!OSRRefD22x_0</vt:lpstr>
      <vt:lpstr>'492'!OSRRefD22x_0</vt:lpstr>
      <vt:lpstr>'501'!OSRRefD22x_0</vt:lpstr>
      <vt:lpstr>'Div 2'!OSRRefD22x_0</vt:lpstr>
      <vt:lpstr>'Div 3'!OSRRefD22x_0</vt:lpstr>
      <vt:lpstr>'Div 4'!OSRRefD22x_0</vt:lpstr>
      <vt:lpstr>'Div 5'!OSRRefD22x_0</vt:lpstr>
      <vt:lpstr>'Div 6'!OSRRefD22x_0</vt:lpstr>
      <vt:lpstr>Summary!OSRRefD22x_0</vt:lpstr>
      <vt:lpstr>'300'!OSRRefD25x_0</vt:lpstr>
      <vt:lpstr>'300 &amp; 317'!OSRRefD25x_0</vt:lpstr>
      <vt:lpstr>'301'!OSRRefD25x_0</vt:lpstr>
      <vt:lpstr>'308'!OSRRefD25x_0</vt:lpstr>
      <vt:lpstr>'310 &amp; 491'!OSRRefD25x_0</vt:lpstr>
      <vt:lpstr>'311'!OSRRefD25x_0</vt:lpstr>
      <vt:lpstr>'315'!OSRRefD25x_0</vt:lpstr>
      <vt:lpstr>'316'!OSRRefD25x_0</vt:lpstr>
      <vt:lpstr>'317'!OSRRefD25x_0</vt:lpstr>
      <vt:lpstr>'331'!OSRRefD25x_0</vt:lpstr>
      <vt:lpstr>'332'!OSRRefD25x_0</vt:lpstr>
      <vt:lpstr>'333'!OSRRefD25x_0</vt:lpstr>
      <vt:lpstr>'405'!OSRRefD25x_0</vt:lpstr>
      <vt:lpstr>'411'!OSRRefD25x_0</vt:lpstr>
      <vt:lpstr>'415'!OSRRefD25x_0</vt:lpstr>
      <vt:lpstr>'418'!OSRRefD25x_0</vt:lpstr>
      <vt:lpstr>'423'!OSRRefD25x_0</vt:lpstr>
      <vt:lpstr>'491'!OSRRefD25x_0</vt:lpstr>
      <vt:lpstr>'501'!OSRRefD25x_0</vt:lpstr>
      <vt:lpstr>'Div 3'!OSRRefD25x_0</vt:lpstr>
      <vt:lpstr>'Div 4'!OSRRefD25x_0</vt:lpstr>
      <vt:lpstr>'Div 5'!OSRRefD25x_0</vt:lpstr>
      <vt:lpstr>'Div 6'!OSRRefD25x_0</vt:lpstr>
      <vt:lpstr>Summary!OSRRefD25x_0</vt:lpstr>
      <vt:lpstr>'300'!OSRRefH13x_0</vt:lpstr>
      <vt:lpstr>'300 &amp; 317'!OSRRefH13x_0</vt:lpstr>
      <vt:lpstr>'307'!OSRRefH13x_0</vt:lpstr>
      <vt:lpstr>'308'!OSRRefH13x_0</vt:lpstr>
      <vt:lpstr>'309'!OSRRefH13x_0</vt:lpstr>
      <vt:lpstr>'310'!OSRRefH13x_0</vt:lpstr>
      <vt:lpstr>'310 &amp; 491'!OSRRefH13x_0</vt:lpstr>
      <vt:lpstr>'311'!OSRRefH13x_0</vt:lpstr>
      <vt:lpstr>'315'!OSRRefH13x_0</vt:lpstr>
      <vt:lpstr>'316'!OSRRefH13x_0</vt:lpstr>
      <vt:lpstr>'317'!OSRRefH13x_0</vt:lpstr>
      <vt:lpstr>'321'!OSRRefH13x_0</vt:lpstr>
      <vt:lpstr>'324'!OSRRefH13x_0</vt:lpstr>
      <vt:lpstr>'325'!OSRRefH13x_0</vt:lpstr>
      <vt:lpstr>'326'!OSRRefH13x_0</vt:lpstr>
      <vt:lpstr>'327'!OSRRefH13x_0</vt:lpstr>
      <vt:lpstr>'331'!OSRRefH13x_0</vt:lpstr>
      <vt:lpstr>'332'!OSRRefH13x_0</vt:lpstr>
      <vt:lpstr>'333'!OSRRefH13x_0</vt:lpstr>
      <vt:lpstr>'405'!OSRRefH13x_0</vt:lpstr>
      <vt:lpstr>'415'!OSRRefH13x_0</vt:lpstr>
      <vt:lpstr>'418'!OSRRefH13x_0</vt:lpstr>
      <vt:lpstr>'425'!OSRRefH13x_0</vt:lpstr>
      <vt:lpstr>'433'!OSRRefH13x_0</vt:lpstr>
      <vt:lpstr>'435'!OSRRefH13x_0</vt:lpstr>
      <vt:lpstr>'444'!OSRRefH13x_0</vt:lpstr>
      <vt:lpstr>'450'!OSRRefH13x_0</vt:lpstr>
      <vt:lpstr>'491'!OSRRefH13x_0</vt:lpstr>
      <vt:lpstr>'492'!OSRRefH13x_0</vt:lpstr>
      <vt:lpstr>'501'!OSRRefH13x_0</vt:lpstr>
      <vt:lpstr>'Div 3'!OSRRefH13x_0</vt:lpstr>
      <vt:lpstr>'Div 4'!OSRRefH13x_0</vt:lpstr>
      <vt:lpstr>'Div 5'!OSRRefH13x_0</vt:lpstr>
      <vt:lpstr>'Div 6'!OSRRefH13x_0</vt:lpstr>
      <vt:lpstr>Summary!OSRRefH13x_0</vt:lpstr>
      <vt:lpstr>'300'!OSRRefH16x_0</vt:lpstr>
      <vt:lpstr>'300 &amp; 317'!OSRRefH16x_0</vt:lpstr>
      <vt:lpstr>'301'!OSRRefH16x_0</vt:lpstr>
      <vt:lpstr>'307'!OSRRefH16x_0</vt:lpstr>
      <vt:lpstr>'308'!OSRRefH16x_0</vt:lpstr>
      <vt:lpstr>'309'!OSRRefH16x_0</vt:lpstr>
      <vt:lpstr>'310'!OSRRefH16x_0</vt:lpstr>
      <vt:lpstr>'310 &amp; 491'!OSRRefH16x_0</vt:lpstr>
      <vt:lpstr>'311'!OSRRefH16x_0</vt:lpstr>
      <vt:lpstr>'315'!OSRRefH16x_0</vt:lpstr>
      <vt:lpstr>'316'!OSRRefH16x_0</vt:lpstr>
      <vt:lpstr>'317'!OSRRefH16x_0</vt:lpstr>
      <vt:lpstr>'321'!OSRRefH16x_0</vt:lpstr>
      <vt:lpstr>'324'!OSRRefH16x_0</vt:lpstr>
      <vt:lpstr>'325'!OSRRefH16x_0</vt:lpstr>
      <vt:lpstr>'326'!OSRRefH16x_0</vt:lpstr>
      <vt:lpstr>'327'!OSRRefH16x_0</vt:lpstr>
      <vt:lpstr>'331'!OSRRefH16x_0</vt:lpstr>
      <vt:lpstr>'332'!OSRRefH16x_0</vt:lpstr>
      <vt:lpstr>'333'!OSRRefH16x_0</vt:lpstr>
      <vt:lpstr>'405'!OSRRefH16x_0</vt:lpstr>
      <vt:lpstr>'415'!OSRRefH16x_0</vt:lpstr>
      <vt:lpstr>'418'!OSRRefH16x_0</vt:lpstr>
      <vt:lpstr>'425'!OSRRefH16x_0</vt:lpstr>
      <vt:lpstr>'433'!OSRRefH16x_0</vt:lpstr>
      <vt:lpstr>'444'!OSRRefH16x_0</vt:lpstr>
      <vt:lpstr>'450'!OSRRefH16x_0</vt:lpstr>
      <vt:lpstr>'491'!OSRRefH16x_0</vt:lpstr>
      <vt:lpstr>'492'!OSRRefH16x_0</vt:lpstr>
      <vt:lpstr>'Div 3'!OSRRefH16x_0</vt:lpstr>
      <vt:lpstr>'Div 4'!OSRRefH16x_0</vt:lpstr>
      <vt:lpstr>'Div 6'!OSRRefH16x_0</vt:lpstr>
      <vt:lpstr>Summary!OSRRefH16x_0</vt:lpstr>
      <vt:lpstr>'200'!OSRRefH22_0x_0</vt:lpstr>
      <vt:lpstr>'201'!OSRRefH22_0x_0</vt:lpstr>
      <vt:lpstr>'202'!OSRRefH22_0x_0</vt:lpstr>
      <vt:lpstr>'203'!OSRRefH22_0x_0</vt:lpstr>
      <vt:lpstr>'204'!OSRRefH22_0x_0</vt:lpstr>
      <vt:lpstr>'205'!OSRRefH22_0x_0</vt:lpstr>
      <vt:lpstr>'206'!OSRRefH22_0x_0</vt:lpstr>
      <vt:lpstr>'300'!OSRRefH22_0x_0</vt:lpstr>
      <vt:lpstr>'300 &amp; 317'!OSRRefH22_0x_0</vt:lpstr>
      <vt:lpstr>'301'!OSRRefH22_0x_0</vt:lpstr>
      <vt:lpstr>'307'!OSRRefH22_0x_0</vt:lpstr>
      <vt:lpstr>'308'!OSRRefH22_0x_0</vt:lpstr>
      <vt:lpstr>'309'!OSRRefH22_0x_0</vt:lpstr>
      <vt:lpstr>'310'!OSRRefH22_0x_0</vt:lpstr>
      <vt:lpstr>'310 &amp; 491'!OSRRefH22_0x_0</vt:lpstr>
      <vt:lpstr>'311'!OSRRefH22_0x_0</vt:lpstr>
      <vt:lpstr>'315'!OSRRefH22_0x_0</vt:lpstr>
      <vt:lpstr>'316'!OSRRefH22_0x_0</vt:lpstr>
      <vt:lpstr>'317'!OSRRefH22_0x_0</vt:lpstr>
      <vt:lpstr>'321'!OSRRefH22_0x_0</vt:lpstr>
      <vt:lpstr>'325'!OSRRefH22_0x_0</vt:lpstr>
      <vt:lpstr>'326'!OSRRefH22_0x_0</vt:lpstr>
      <vt:lpstr>'327'!OSRRefH22_0x_0</vt:lpstr>
      <vt:lpstr>'331'!OSRRefH22_0x_0</vt:lpstr>
      <vt:lpstr>'332'!OSRRefH22_0x_0</vt:lpstr>
      <vt:lpstr>'333'!OSRRefH22_0x_0</vt:lpstr>
      <vt:lpstr>'405'!OSRRefH22_0x_0</vt:lpstr>
      <vt:lpstr>'406'!OSRRefH22_0x_0</vt:lpstr>
      <vt:lpstr>'411'!OSRRefH22_0x_0</vt:lpstr>
      <vt:lpstr>'412'!OSRRefH22_0x_0</vt:lpstr>
      <vt:lpstr>'413'!OSRRefH22_0x_0</vt:lpstr>
      <vt:lpstr>'414'!OSRRefH22_0x_0</vt:lpstr>
      <vt:lpstr>'415'!OSRRefH22_0x_0</vt:lpstr>
      <vt:lpstr>'418'!OSRRefH22_0x_0</vt:lpstr>
      <vt:lpstr>'423'!OSRRefH22_0x_0</vt:lpstr>
      <vt:lpstr>'424'!OSRRefH22_0x_0</vt:lpstr>
      <vt:lpstr>'425'!OSRRefH22_0x_0</vt:lpstr>
      <vt:lpstr>'430'!OSRRefH22_0x_0</vt:lpstr>
      <vt:lpstr>'433'!OSRRefH22_0x_0</vt:lpstr>
      <vt:lpstr>'435'!OSRRefH22_0x_0</vt:lpstr>
      <vt:lpstr>'444'!OSRRefH22_0x_0</vt:lpstr>
      <vt:lpstr>'450'!OSRRefH22_0x_0</vt:lpstr>
      <vt:lpstr>'491'!OSRRefH22_0x_0</vt:lpstr>
      <vt:lpstr>'492'!OSRRefH22_0x_0</vt:lpstr>
      <vt:lpstr>'501'!OSRRefH22_0x_0</vt:lpstr>
      <vt:lpstr>'Div 2'!OSRRefH22_0x_0</vt:lpstr>
      <vt:lpstr>'Div 3'!OSRRefH22_0x_0</vt:lpstr>
      <vt:lpstr>'Div 4'!OSRRefH22_0x_0</vt:lpstr>
      <vt:lpstr>'Div 5'!OSRRefH22_0x_0</vt:lpstr>
      <vt:lpstr>'Div 6'!OSRRefH22_0x_0</vt:lpstr>
      <vt:lpstr>Summary!OSRRefH22_0x_0</vt:lpstr>
      <vt:lpstr>'201'!OSRRefH22_10x_0</vt:lpstr>
      <vt:lpstr>'202'!OSRRefH22_10x_0</vt:lpstr>
      <vt:lpstr>'203'!OSRRefH22_10x_0</vt:lpstr>
      <vt:lpstr>'204'!OSRRefH22_10x_0</vt:lpstr>
      <vt:lpstr>'300'!OSRRefH22_10x_0</vt:lpstr>
      <vt:lpstr>'300 &amp; 317'!OSRRefH22_10x_0</vt:lpstr>
      <vt:lpstr>'301'!OSRRefH22_10x_0</vt:lpstr>
      <vt:lpstr>'307'!OSRRefH22_10x_0</vt:lpstr>
      <vt:lpstr>'308'!OSRRefH22_10x_0</vt:lpstr>
      <vt:lpstr>'309'!OSRRefH22_10x_0</vt:lpstr>
      <vt:lpstr>'310'!OSRRefH22_10x_0</vt:lpstr>
      <vt:lpstr>'310 &amp; 491'!OSRRefH22_10x_0</vt:lpstr>
      <vt:lpstr>'311'!OSRRefH22_10x_0</vt:lpstr>
      <vt:lpstr>'315'!OSRRefH22_10x_0</vt:lpstr>
      <vt:lpstr>'316'!OSRRefH22_10x_0</vt:lpstr>
      <vt:lpstr>'317'!OSRRefH22_10x_0</vt:lpstr>
      <vt:lpstr>'321'!OSRRefH22_10x_0</vt:lpstr>
      <vt:lpstr>'325'!OSRRefH22_10x_0</vt:lpstr>
      <vt:lpstr>'326'!OSRRefH22_10x_0</vt:lpstr>
      <vt:lpstr>'331'!OSRRefH22_10x_0</vt:lpstr>
      <vt:lpstr>'332'!OSRRefH22_10x_0</vt:lpstr>
      <vt:lpstr>'333'!OSRRefH22_10x_0</vt:lpstr>
      <vt:lpstr>'405'!OSRRefH22_10x_0</vt:lpstr>
      <vt:lpstr>'411'!OSRRefH22_10x_0</vt:lpstr>
      <vt:lpstr>'415'!OSRRefH22_10x_0</vt:lpstr>
      <vt:lpstr>'418'!OSRRefH22_10x_0</vt:lpstr>
      <vt:lpstr>'433'!OSRRefH22_10x_0</vt:lpstr>
      <vt:lpstr>'444'!OSRRefH22_10x_0</vt:lpstr>
      <vt:lpstr>'450'!OSRRefH22_10x_0</vt:lpstr>
      <vt:lpstr>'491'!OSRRefH22_10x_0</vt:lpstr>
      <vt:lpstr>'492'!OSRRefH22_10x_0</vt:lpstr>
      <vt:lpstr>'501'!OSRRefH22_10x_0</vt:lpstr>
      <vt:lpstr>'Div 2'!OSRRefH22_10x_0</vt:lpstr>
      <vt:lpstr>'Div 3'!OSRRefH22_10x_0</vt:lpstr>
      <vt:lpstr>'Div 4'!OSRRefH22_10x_0</vt:lpstr>
      <vt:lpstr>'Div 5'!OSRRefH22_10x_0</vt:lpstr>
      <vt:lpstr>'Div 6'!OSRRefH22_10x_0</vt:lpstr>
      <vt:lpstr>Summary!OSRRefH22_10x_0</vt:lpstr>
      <vt:lpstr>'201'!OSRRefH22_11x_0</vt:lpstr>
      <vt:lpstr>'202'!OSRRefH22_11x_0</vt:lpstr>
      <vt:lpstr>'203'!OSRRefH22_11x_0</vt:lpstr>
      <vt:lpstr>'300'!OSRRefH22_11x_0</vt:lpstr>
      <vt:lpstr>'300 &amp; 317'!OSRRefH22_11x_0</vt:lpstr>
      <vt:lpstr>'301'!OSRRefH22_11x_0</vt:lpstr>
      <vt:lpstr>'307'!OSRRefH22_11x_0</vt:lpstr>
      <vt:lpstr>'308'!OSRRefH22_11x_0</vt:lpstr>
      <vt:lpstr>'309'!OSRRefH22_11x_0</vt:lpstr>
      <vt:lpstr>'310'!OSRRefH22_11x_0</vt:lpstr>
      <vt:lpstr>'310 &amp; 491'!OSRRefH22_11x_0</vt:lpstr>
      <vt:lpstr>'311'!OSRRefH22_11x_0</vt:lpstr>
      <vt:lpstr>'315'!OSRRefH22_11x_0</vt:lpstr>
      <vt:lpstr>'316'!OSRRefH22_11x_0</vt:lpstr>
      <vt:lpstr>'321'!OSRRefH22_11x_0</vt:lpstr>
      <vt:lpstr>'325'!OSRRefH22_11x_0</vt:lpstr>
      <vt:lpstr>'326'!OSRRefH22_11x_0</vt:lpstr>
      <vt:lpstr>'331'!OSRRefH22_11x_0</vt:lpstr>
      <vt:lpstr>'332'!OSRRefH22_11x_0</vt:lpstr>
      <vt:lpstr>'333'!OSRRefH22_11x_0</vt:lpstr>
      <vt:lpstr>'405'!OSRRefH22_11x_0</vt:lpstr>
      <vt:lpstr>'411'!OSRRefH22_11x_0</vt:lpstr>
      <vt:lpstr>'415'!OSRRefH22_11x_0</vt:lpstr>
      <vt:lpstr>'418'!OSRRefH22_11x_0</vt:lpstr>
      <vt:lpstr>'433'!OSRRefH22_11x_0</vt:lpstr>
      <vt:lpstr>'444'!OSRRefH22_11x_0</vt:lpstr>
      <vt:lpstr>'450'!OSRRefH22_11x_0</vt:lpstr>
      <vt:lpstr>'491'!OSRRefH22_11x_0</vt:lpstr>
      <vt:lpstr>'492'!OSRRefH22_11x_0</vt:lpstr>
      <vt:lpstr>'501'!OSRRefH22_11x_0</vt:lpstr>
      <vt:lpstr>'Div 2'!OSRRefH22_11x_0</vt:lpstr>
      <vt:lpstr>'Div 3'!OSRRefH22_11x_0</vt:lpstr>
      <vt:lpstr>'Div 4'!OSRRefH22_11x_0</vt:lpstr>
      <vt:lpstr>'Div 5'!OSRRefH22_11x_0</vt:lpstr>
      <vt:lpstr>Summary!OSRRefH22_11x_0</vt:lpstr>
      <vt:lpstr>'201'!OSRRefH22_12x_0</vt:lpstr>
      <vt:lpstr>'202'!OSRRefH22_12x_0</vt:lpstr>
      <vt:lpstr>'203'!OSRRefH22_12x_0</vt:lpstr>
      <vt:lpstr>'300'!OSRRefH22_12x_0</vt:lpstr>
      <vt:lpstr>'300 &amp; 317'!OSRRefH22_12x_0</vt:lpstr>
      <vt:lpstr>'301'!OSRRefH22_12x_0</vt:lpstr>
      <vt:lpstr>'307'!OSRRefH22_12x_0</vt:lpstr>
      <vt:lpstr>'308'!OSRRefH22_12x_0</vt:lpstr>
      <vt:lpstr>'309'!OSRRefH22_12x_0</vt:lpstr>
      <vt:lpstr>'310'!OSRRefH22_12x_0</vt:lpstr>
      <vt:lpstr>'310 &amp; 491'!OSRRefH22_12x_0</vt:lpstr>
      <vt:lpstr>'311'!OSRRefH22_12x_0</vt:lpstr>
      <vt:lpstr>'315'!OSRRefH22_12x_0</vt:lpstr>
      <vt:lpstr>'321'!OSRRefH22_12x_0</vt:lpstr>
      <vt:lpstr>'325'!OSRRefH22_12x_0</vt:lpstr>
      <vt:lpstr>'326'!OSRRefH22_12x_0</vt:lpstr>
      <vt:lpstr>'331'!OSRRefH22_12x_0</vt:lpstr>
      <vt:lpstr>'333'!OSRRefH22_12x_0</vt:lpstr>
      <vt:lpstr>'405'!OSRRefH22_12x_0</vt:lpstr>
      <vt:lpstr>'411'!OSRRefH22_12x_0</vt:lpstr>
      <vt:lpstr>'415'!OSRRefH22_12x_0</vt:lpstr>
      <vt:lpstr>'418'!OSRRefH22_12x_0</vt:lpstr>
      <vt:lpstr>'433'!OSRRefH22_12x_0</vt:lpstr>
      <vt:lpstr>'444'!OSRRefH22_12x_0</vt:lpstr>
      <vt:lpstr>'450'!OSRRefH22_12x_0</vt:lpstr>
      <vt:lpstr>'491'!OSRRefH22_12x_0</vt:lpstr>
      <vt:lpstr>'492'!OSRRefH22_12x_0</vt:lpstr>
      <vt:lpstr>'501'!OSRRefH22_12x_0</vt:lpstr>
      <vt:lpstr>'Div 2'!OSRRefH22_12x_0</vt:lpstr>
      <vt:lpstr>'Div 3'!OSRRefH22_12x_0</vt:lpstr>
      <vt:lpstr>'Div 4'!OSRRefH22_12x_0</vt:lpstr>
      <vt:lpstr>'Div 5'!OSRRefH22_12x_0</vt:lpstr>
      <vt:lpstr>Summary!OSRRefH22_12x_0</vt:lpstr>
      <vt:lpstr>'201'!OSRRefH22_13x_0</vt:lpstr>
      <vt:lpstr>'203'!OSRRefH22_13x_0</vt:lpstr>
      <vt:lpstr>'300'!OSRRefH22_13x_0</vt:lpstr>
      <vt:lpstr>'300 &amp; 317'!OSRRefH22_13x_0</vt:lpstr>
      <vt:lpstr>'301'!OSRRefH22_13x_0</vt:lpstr>
      <vt:lpstr>'307'!OSRRefH22_13x_0</vt:lpstr>
      <vt:lpstr>'308'!OSRRefH22_13x_0</vt:lpstr>
      <vt:lpstr>'310'!OSRRefH22_13x_0</vt:lpstr>
      <vt:lpstr>'310 &amp; 491'!OSRRefH22_13x_0</vt:lpstr>
      <vt:lpstr>'311'!OSRRefH22_13x_0</vt:lpstr>
      <vt:lpstr>'315'!OSRRefH22_13x_0</vt:lpstr>
      <vt:lpstr>'325'!OSRRefH22_13x_0</vt:lpstr>
      <vt:lpstr>'326'!OSRRefH22_13x_0</vt:lpstr>
      <vt:lpstr>'331'!OSRRefH22_13x_0</vt:lpstr>
      <vt:lpstr>'333'!OSRRefH22_13x_0</vt:lpstr>
      <vt:lpstr>'405'!OSRRefH22_13x_0</vt:lpstr>
      <vt:lpstr>'411'!OSRRefH22_13x_0</vt:lpstr>
      <vt:lpstr>'415'!OSRRefH22_13x_0</vt:lpstr>
      <vt:lpstr>'418'!OSRRefH22_13x_0</vt:lpstr>
      <vt:lpstr>'433'!OSRRefH22_13x_0</vt:lpstr>
      <vt:lpstr>'444'!OSRRefH22_13x_0</vt:lpstr>
      <vt:lpstr>'450'!OSRRefH22_13x_0</vt:lpstr>
      <vt:lpstr>'491'!OSRRefH22_13x_0</vt:lpstr>
      <vt:lpstr>'492'!OSRRefH22_13x_0</vt:lpstr>
      <vt:lpstr>'501'!OSRRefH22_13x_0</vt:lpstr>
      <vt:lpstr>'Div 2'!OSRRefH22_13x_0</vt:lpstr>
      <vt:lpstr>'Div 3'!OSRRefH22_13x_0</vt:lpstr>
      <vt:lpstr>'Div 4'!OSRRefH22_13x_0</vt:lpstr>
      <vt:lpstr>'Div 5'!OSRRefH22_13x_0</vt:lpstr>
      <vt:lpstr>Summary!OSRRefH22_13x_0</vt:lpstr>
      <vt:lpstr>'201'!OSRRefH22_14x_0</vt:lpstr>
      <vt:lpstr>'203'!OSRRefH22_14x_0</vt:lpstr>
      <vt:lpstr>'300'!OSRRefH22_14x_0</vt:lpstr>
      <vt:lpstr>'300 &amp; 317'!OSRRefH22_14x_0</vt:lpstr>
      <vt:lpstr>'301'!OSRRefH22_14x_0</vt:lpstr>
      <vt:lpstr>'310'!OSRRefH22_14x_0</vt:lpstr>
      <vt:lpstr>'310 &amp; 491'!OSRRefH22_14x_0</vt:lpstr>
      <vt:lpstr>'315'!OSRRefH22_14x_0</vt:lpstr>
      <vt:lpstr>'325'!OSRRefH22_14x_0</vt:lpstr>
      <vt:lpstr>'326'!OSRRefH22_14x_0</vt:lpstr>
      <vt:lpstr>'331'!OSRRefH22_14x_0</vt:lpstr>
      <vt:lpstr>'333'!OSRRefH22_14x_0</vt:lpstr>
      <vt:lpstr>'405'!OSRRefH22_14x_0</vt:lpstr>
      <vt:lpstr>'411'!OSRRefH22_14x_0</vt:lpstr>
      <vt:lpstr>'415'!OSRRefH22_14x_0</vt:lpstr>
      <vt:lpstr>'418'!OSRRefH22_14x_0</vt:lpstr>
      <vt:lpstr>'433'!OSRRefH22_14x_0</vt:lpstr>
      <vt:lpstr>'444'!OSRRefH22_14x_0</vt:lpstr>
      <vt:lpstr>'450'!OSRRefH22_14x_0</vt:lpstr>
      <vt:lpstr>'491'!OSRRefH22_14x_0</vt:lpstr>
      <vt:lpstr>'492'!OSRRefH22_14x_0</vt:lpstr>
      <vt:lpstr>'Div 2'!OSRRefH22_14x_0</vt:lpstr>
      <vt:lpstr>'Div 3'!OSRRefH22_14x_0</vt:lpstr>
      <vt:lpstr>'Div 4'!OSRRefH22_14x_0</vt:lpstr>
      <vt:lpstr>Summary!OSRRefH22_14x_0</vt:lpstr>
      <vt:lpstr>'201'!OSRRefH22_15x_0</vt:lpstr>
      <vt:lpstr>'300'!OSRRefH22_15x_0</vt:lpstr>
      <vt:lpstr>'300 &amp; 317'!OSRRefH22_15x_0</vt:lpstr>
      <vt:lpstr>'301'!OSRRefH22_15x_0</vt:lpstr>
      <vt:lpstr>'310'!OSRRefH22_15x_0</vt:lpstr>
      <vt:lpstr>'310 &amp; 491'!OSRRefH22_15x_0</vt:lpstr>
      <vt:lpstr>'315'!OSRRefH22_15x_0</vt:lpstr>
      <vt:lpstr>'325'!OSRRefH22_15x_0</vt:lpstr>
      <vt:lpstr>'326'!OSRRefH22_15x_0</vt:lpstr>
      <vt:lpstr>'331'!OSRRefH22_15x_0</vt:lpstr>
      <vt:lpstr>'333'!OSRRefH22_15x_0</vt:lpstr>
      <vt:lpstr>'405'!OSRRefH22_15x_0</vt:lpstr>
      <vt:lpstr>'411'!OSRRefH22_15x_0</vt:lpstr>
      <vt:lpstr>'415'!OSRRefH22_15x_0</vt:lpstr>
      <vt:lpstr>'418'!OSRRefH22_15x_0</vt:lpstr>
      <vt:lpstr>'433'!OSRRefH22_15x_0</vt:lpstr>
      <vt:lpstr>'444'!OSRRefH22_15x_0</vt:lpstr>
      <vt:lpstr>'450'!OSRRefH22_15x_0</vt:lpstr>
      <vt:lpstr>'491'!OSRRefH22_15x_0</vt:lpstr>
      <vt:lpstr>'492'!OSRRefH22_15x_0</vt:lpstr>
      <vt:lpstr>'Div 2'!OSRRefH22_15x_0</vt:lpstr>
      <vt:lpstr>'Div 3'!OSRRefH22_15x_0</vt:lpstr>
      <vt:lpstr>'Div 4'!OSRRefH22_15x_0</vt:lpstr>
      <vt:lpstr>Summary!OSRRefH22_15x_0</vt:lpstr>
      <vt:lpstr>'300'!OSRRefH22_16x_0</vt:lpstr>
      <vt:lpstr>'300 &amp; 317'!OSRRefH22_16x_0</vt:lpstr>
      <vt:lpstr>'301'!OSRRefH22_16x_0</vt:lpstr>
      <vt:lpstr>'310'!OSRRefH22_16x_0</vt:lpstr>
      <vt:lpstr>'310 &amp; 491'!OSRRefH22_16x_0</vt:lpstr>
      <vt:lpstr>'315'!OSRRefH22_16x_0</vt:lpstr>
      <vt:lpstr>'325'!OSRRefH22_16x_0</vt:lpstr>
      <vt:lpstr>'326'!OSRRefH22_16x_0</vt:lpstr>
      <vt:lpstr>'331'!OSRRefH22_16x_0</vt:lpstr>
      <vt:lpstr>'333'!OSRRefH22_16x_0</vt:lpstr>
      <vt:lpstr>'405'!OSRRefH22_16x_0</vt:lpstr>
      <vt:lpstr>'415'!OSRRefH22_16x_0</vt:lpstr>
      <vt:lpstr>'444'!OSRRefH22_16x_0</vt:lpstr>
      <vt:lpstr>'450'!OSRRefH22_16x_0</vt:lpstr>
      <vt:lpstr>'491'!OSRRefH22_16x_0</vt:lpstr>
      <vt:lpstr>'492'!OSRRefH22_16x_0</vt:lpstr>
      <vt:lpstr>'Div 2'!OSRRefH22_16x_0</vt:lpstr>
      <vt:lpstr>'Div 3'!OSRRefH22_16x_0</vt:lpstr>
      <vt:lpstr>'Div 4'!OSRRefH22_16x_0</vt:lpstr>
      <vt:lpstr>Summary!OSRRefH22_16x_0</vt:lpstr>
      <vt:lpstr>'300'!OSRRefH22_17x_0</vt:lpstr>
      <vt:lpstr>'300 &amp; 317'!OSRRefH22_17x_0</vt:lpstr>
      <vt:lpstr>'301'!OSRRefH22_17x_0</vt:lpstr>
      <vt:lpstr>'310'!OSRRefH22_17x_0</vt:lpstr>
      <vt:lpstr>'310 &amp; 491'!OSRRefH22_17x_0</vt:lpstr>
      <vt:lpstr>'315'!OSRRefH22_17x_0</vt:lpstr>
      <vt:lpstr>'326'!OSRRefH22_17x_0</vt:lpstr>
      <vt:lpstr>'331'!OSRRefH22_17x_0</vt:lpstr>
      <vt:lpstr>'333'!OSRRefH22_17x_0</vt:lpstr>
      <vt:lpstr>'415'!OSRRefH22_17x_0</vt:lpstr>
      <vt:lpstr>'491'!OSRRefH22_17x_0</vt:lpstr>
      <vt:lpstr>'492'!OSRRefH22_17x_0</vt:lpstr>
      <vt:lpstr>'Div 2'!OSRRefH22_17x_0</vt:lpstr>
      <vt:lpstr>'Div 3'!OSRRefH22_17x_0</vt:lpstr>
      <vt:lpstr>'Div 4'!OSRRefH22_17x_0</vt:lpstr>
      <vt:lpstr>Summary!OSRRefH22_17x_0</vt:lpstr>
      <vt:lpstr>'300'!OSRRefH22_18x_0</vt:lpstr>
      <vt:lpstr>'300 &amp; 317'!OSRRefH22_18x_0</vt:lpstr>
      <vt:lpstr>'301'!OSRRefH22_18x_0</vt:lpstr>
      <vt:lpstr>'310 &amp; 491'!OSRRefH22_18x_0</vt:lpstr>
      <vt:lpstr>'315'!OSRRefH22_18x_0</vt:lpstr>
      <vt:lpstr>'331'!OSRRefH22_18x_0</vt:lpstr>
      <vt:lpstr>'333'!OSRRefH22_18x_0</vt:lpstr>
      <vt:lpstr>'491'!OSRRefH22_18x_0</vt:lpstr>
      <vt:lpstr>'492'!OSRRefH22_18x_0</vt:lpstr>
      <vt:lpstr>'Div 2'!OSRRefH22_18x_0</vt:lpstr>
      <vt:lpstr>'Div 3'!OSRRefH22_18x_0</vt:lpstr>
      <vt:lpstr>'Div 4'!OSRRefH22_18x_0</vt:lpstr>
      <vt:lpstr>Summary!OSRRefH22_18x_0</vt:lpstr>
      <vt:lpstr>'300'!OSRRefH22_19x_0</vt:lpstr>
      <vt:lpstr>'300 &amp; 317'!OSRRefH22_19x_0</vt:lpstr>
      <vt:lpstr>'301'!OSRRefH22_19x_0</vt:lpstr>
      <vt:lpstr>'310 &amp; 491'!OSRRefH22_19x_0</vt:lpstr>
      <vt:lpstr>'331'!OSRRefH22_19x_0</vt:lpstr>
      <vt:lpstr>'333'!OSRRefH22_19x_0</vt:lpstr>
      <vt:lpstr>'491'!OSRRefH22_19x_0</vt:lpstr>
      <vt:lpstr>'Div 2'!OSRRefH22_19x_0</vt:lpstr>
      <vt:lpstr>'Div 3'!OSRRefH22_19x_0</vt:lpstr>
      <vt:lpstr>'Div 4'!OSRRefH22_19x_0</vt:lpstr>
      <vt:lpstr>Summary!OSRRefH22_19x_0</vt:lpstr>
      <vt:lpstr>'200'!OSRRefH22_1x_0</vt:lpstr>
      <vt:lpstr>'201'!OSRRefH22_1x_0</vt:lpstr>
      <vt:lpstr>'202'!OSRRefH22_1x_0</vt:lpstr>
      <vt:lpstr>'203'!OSRRefH22_1x_0</vt:lpstr>
      <vt:lpstr>'204'!OSRRefH22_1x_0</vt:lpstr>
      <vt:lpstr>'205'!OSRRefH22_1x_0</vt:lpstr>
      <vt:lpstr>'206'!OSRRefH22_1x_0</vt:lpstr>
      <vt:lpstr>'300'!OSRRefH22_1x_0</vt:lpstr>
      <vt:lpstr>'300 &amp; 317'!OSRRefH22_1x_0</vt:lpstr>
      <vt:lpstr>'301'!OSRRefH22_1x_0</vt:lpstr>
      <vt:lpstr>'307'!OSRRefH22_1x_0</vt:lpstr>
      <vt:lpstr>'308'!OSRRefH22_1x_0</vt:lpstr>
      <vt:lpstr>'309'!OSRRefH22_1x_0</vt:lpstr>
      <vt:lpstr>'310'!OSRRefH22_1x_0</vt:lpstr>
      <vt:lpstr>'310 &amp; 491'!OSRRefH22_1x_0</vt:lpstr>
      <vt:lpstr>'311'!OSRRefH22_1x_0</vt:lpstr>
      <vt:lpstr>'315'!OSRRefH22_1x_0</vt:lpstr>
      <vt:lpstr>'316'!OSRRefH22_1x_0</vt:lpstr>
      <vt:lpstr>'317'!OSRRefH22_1x_0</vt:lpstr>
      <vt:lpstr>'321'!OSRRefH22_1x_0</vt:lpstr>
      <vt:lpstr>'325'!OSRRefH22_1x_0</vt:lpstr>
      <vt:lpstr>'326'!OSRRefH22_1x_0</vt:lpstr>
      <vt:lpstr>'327'!OSRRefH22_1x_0</vt:lpstr>
      <vt:lpstr>'331'!OSRRefH22_1x_0</vt:lpstr>
      <vt:lpstr>'332'!OSRRefH22_1x_0</vt:lpstr>
      <vt:lpstr>'333'!OSRRefH22_1x_0</vt:lpstr>
      <vt:lpstr>'405'!OSRRefH22_1x_0</vt:lpstr>
      <vt:lpstr>'406'!OSRRefH22_1x_0</vt:lpstr>
      <vt:lpstr>'411'!OSRRefH22_1x_0</vt:lpstr>
      <vt:lpstr>'412'!OSRRefH22_1x_0</vt:lpstr>
      <vt:lpstr>'413'!OSRRefH22_1x_0</vt:lpstr>
      <vt:lpstr>'414'!OSRRefH22_1x_0</vt:lpstr>
      <vt:lpstr>'415'!OSRRefH22_1x_0</vt:lpstr>
      <vt:lpstr>'418'!OSRRefH22_1x_0</vt:lpstr>
      <vt:lpstr>'423'!OSRRefH22_1x_0</vt:lpstr>
      <vt:lpstr>'424'!OSRRefH22_1x_0</vt:lpstr>
      <vt:lpstr>'425'!OSRRefH22_1x_0</vt:lpstr>
      <vt:lpstr>'430'!OSRRefH22_1x_0</vt:lpstr>
      <vt:lpstr>'433'!OSRRefH22_1x_0</vt:lpstr>
      <vt:lpstr>'435'!OSRRefH22_1x_0</vt:lpstr>
      <vt:lpstr>'444'!OSRRefH22_1x_0</vt:lpstr>
      <vt:lpstr>'450'!OSRRefH22_1x_0</vt:lpstr>
      <vt:lpstr>'491'!OSRRefH22_1x_0</vt:lpstr>
      <vt:lpstr>'492'!OSRRefH22_1x_0</vt:lpstr>
      <vt:lpstr>'501'!OSRRefH22_1x_0</vt:lpstr>
      <vt:lpstr>'Div 2'!OSRRefH22_1x_0</vt:lpstr>
      <vt:lpstr>'Div 3'!OSRRefH22_1x_0</vt:lpstr>
      <vt:lpstr>'Div 4'!OSRRefH22_1x_0</vt:lpstr>
      <vt:lpstr>'Div 5'!OSRRefH22_1x_0</vt:lpstr>
      <vt:lpstr>'Div 6'!OSRRefH22_1x_0</vt:lpstr>
      <vt:lpstr>Summary!OSRRefH22_1x_0</vt:lpstr>
      <vt:lpstr>'300'!OSRRefH22_20x_0</vt:lpstr>
      <vt:lpstr>'300 &amp; 317'!OSRRefH22_20x_0</vt:lpstr>
      <vt:lpstr>'301'!OSRRefH22_20x_0</vt:lpstr>
      <vt:lpstr>'310 &amp; 491'!OSRRefH22_20x_0</vt:lpstr>
      <vt:lpstr>'331'!OSRRefH22_20x_0</vt:lpstr>
      <vt:lpstr>'333'!OSRRefH22_20x_0</vt:lpstr>
      <vt:lpstr>'491'!OSRRefH22_20x_0</vt:lpstr>
      <vt:lpstr>'Div 3'!OSRRefH22_20x_0</vt:lpstr>
      <vt:lpstr>'Div 4'!OSRRefH22_20x_0</vt:lpstr>
      <vt:lpstr>Summary!OSRRefH22_20x_0</vt:lpstr>
      <vt:lpstr>'300'!OSRRefH22_21x_0</vt:lpstr>
      <vt:lpstr>'300 &amp; 317'!OSRRefH22_21x_0</vt:lpstr>
      <vt:lpstr>'301'!OSRRefH22_21x_0</vt:lpstr>
      <vt:lpstr>'331'!OSRRefH22_21x_0</vt:lpstr>
      <vt:lpstr>'333'!OSRRefH22_21x_0</vt:lpstr>
      <vt:lpstr>'Div 3'!OSRRefH22_21x_0</vt:lpstr>
      <vt:lpstr>'Div 4'!OSRRefH22_21x_0</vt:lpstr>
      <vt:lpstr>Summary!OSRRefH22_21x_0</vt:lpstr>
      <vt:lpstr>'300'!OSRRefH22_22x_0</vt:lpstr>
      <vt:lpstr>'300 &amp; 317'!OSRRefH22_22x_0</vt:lpstr>
      <vt:lpstr>'301'!OSRRefH22_22x_0</vt:lpstr>
      <vt:lpstr>'331'!OSRRefH22_22x_0</vt:lpstr>
      <vt:lpstr>'333'!OSRRefH22_22x_0</vt:lpstr>
      <vt:lpstr>'Div 3'!OSRRefH22_22x_0</vt:lpstr>
      <vt:lpstr>'Div 4'!OSRRefH22_22x_0</vt:lpstr>
      <vt:lpstr>Summary!OSRRefH22_22x_0</vt:lpstr>
      <vt:lpstr>'300'!OSRRefH22_23x_0</vt:lpstr>
      <vt:lpstr>'300 &amp; 317'!OSRRefH22_23x_0</vt:lpstr>
      <vt:lpstr>'Div 3'!OSRRefH22_23x_0</vt:lpstr>
      <vt:lpstr>Summary!OSRRefH22_23x_0</vt:lpstr>
      <vt:lpstr>'300'!OSRRefH22_24x_0</vt:lpstr>
      <vt:lpstr>'300 &amp; 317'!OSRRefH22_24x_0</vt:lpstr>
      <vt:lpstr>'Div 3'!OSRRefH22_24x_0</vt:lpstr>
      <vt:lpstr>Summary!OSRRefH22_24x_0</vt:lpstr>
      <vt:lpstr>'Div 3'!OSRRefH22_25x_0</vt:lpstr>
      <vt:lpstr>Summary!OSRRefH22_25x_0</vt:lpstr>
      <vt:lpstr>Summary!OSRRefH22_26x_0</vt:lpstr>
      <vt:lpstr>'200'!OSRRefH22_2x_0</vt:lpstr>
      <vt:lpstr>'201'!OSRRefH22_2x_0</vt:lpstr>
      <vt:lpstr>'202'!OSRRefH22_2x_0</vt:lpstr>
      <vt:lpstr>'203'!OSRRefH22_2x_0</vt:lpstr>
      <vt:lpstr>'204'!OSRRefH22_2x_0</vt:lpstr>
      <vt:lpstr>'205'!OSRRefH22_2x_0</vt:lpstr>
      <vt:lpstr>'206'!OSRRefH22_2x_0</vt:lpstr>
      <vt:lpstr>'300'!OSRRefH22_2x_0</vt:lpstr>
      <vt:lpstr>'300 &amp; 317'!OSRRefH22_2x_0</vt:lpstr>
      <vt:lpstr>'301'!OSRRefH22_2x_0</vt:lpstr>
      <vt:lpstr>'307'!OSRRefH22_2x_0</vt:lpstr>
      <vt:lpstr>'308'!OSRRefH22_2x_0</vt:lpstr>
      <vt:lpstr>'309'!OSRRefH22_2x_0</vt:lpstr>
      <vt:lpstr>'310'!OSRRefH22_2x_0</vt:lpstr>
      <vt:lpstr>'310 &amp; 491'!OSRRefH22_2x_0</vt:lpstr>
      <vt:lpstr>'311'!OSRRefH22_2x_0</vt:lpstr>
      <vt:lpstr>'315'!OSRRefH22_2x_0</vt:lpstr>
      <vt:lpstr>'316'!OSRRefH22_2x_0</vt:lpstr>
      <vt:lpstr>'317'!OSRRefH22_2x_0</vt:lpstr>
      <vt:lpstr>'321'!OSRRefH22_2x_0</vt:lpstr>
      <vt:lpstr>'325'!OSRRefH22_2x_0</vt:lpstr>
      <vt:lpstr>'326'!OSRRefH22_2x_0</vt:lpstr>
      <vt:lpstr>'331'!OSRRefH22_2x_0</vt:lpstr>
      <vt:lpstr>'332'!OSRRefH22_2x_0</vt:lpstr>
      <vt:lpstr>'333'!OSRRefH22_2x_0</vt:lpstr>
      <vt:lpstr>'405'!OSRRefH22_2x_0</vt:lpstr>
      <vt:lpstr>'411'!OSRRefH22_2x_0</vt:lpstr>
      <vt:lpstr>'412'!OSRRefH22_2x_0</vt:lpstr>
      <vt:lpstr>'413'!OSRRefH22_2x_0</vt:lpstr>
      <vt:lpstr>'414'!OSRRefH22_2x_0</vt:lpstr>
      <vt:lpstr>'415'!OSRRefH22_2x_0</vt:lpstr>
      <vt:lpstr>'418'!OSRRefH22_2x_0</vt:lpstr>
      <vt:lpstr>'423'!OSRRefH22_2x_0</vt:lpstr>
      <vt:lpstr>'424'!OSRRefH22_2x_0</vt:lpstr>
      <vt:lpstr>'425'!OSRRefH22_2x_0</vt:lpstr>
      <vt:lpstr>'430'!OSRRefH22_2x_0</vt:lpstr>
      <vt:lpstr>'433'!OSRRefH22_2x_0</vt:lpstr>
      <vt:lpstr>'444'!OSRRefH22_2x_0</vt:lpstr>
      <vt:lpstr>'450'!OSRRefH22_2x_0</vt:lpstr>
      <vt:lpstr>'491'!OSRRefH22_2x_0</vt:lpstr>
      <vt:lpstr>'492'!OSRRefH22_2x_0</vt:lpstr>
      <vt:lpstr>'501'!OSRRefH22_2x_0</vt:lpstr>
      <vt:lpstr>'Div 2'!OSRRefH22_2x_0</vt:lpstr>
      <vt:lpstr>'Div 3'!OSRRefH22_2x_0</vt:lpstr>
      <vt:lpstr>'Div 4'!OSRRefH22_2x_0</vt:lpstr>
      <vt:lpstr>'Div 5'!OSRRefH22_2x_0</vt:lpstr>
      <vt:lpstr>'Div 6'!OSRRefH22_2x_0</vt:lpstr>
      <vt:lpstr>Summary!OSRRefH22_2x_0</vt:lpstr>
      <vt:lpstr>'200'!OSRRefH22_3x_0</vt:lpstr>
      <vt:lpstr>'201'!OSRRefH22_3x_0</vt:lpstr>
      <vt:lpstr>'202'!OSRRefH22_3x_0</vt:lpstr>
      <vt:lpstr>'203'!OSRRefH22_3x_0</vt:lpstr>
      <vt:lpstr>'204'!OSRRefH22_3x_0</vt:lpstr>
      <vt:lpstr>'205'!OSRRefH22_3x_0</vt:lpstr>
      <vt:lpstr>'206'!OSRRefH22_3x_0</vt:lpstr>
      <vt:lpstr>'300'!OSRRefH22_3x_0</vt:lpstr>
      <vt:lpstr>'300 &amp; 317'!OSRRefH22_3x_0</vt:lpstr>
      <vt:lpstr>'301'!OSRRefH22_3x_0</vt:lpstr>
      <vt:lpstr>'307'!OSRRefH22_3x_0</vt:lpstr>
      <vt:lpstr>'308'!OSRRefH22_3x_0</vt:lpstr>
      <vt:lpstr>'309'!OSRRefH22_3x_0</vt:lpstr>
      <vt:lpstr>'310'!OSRRefH22_3x_0</vt:lpstr>
      <vt:lpstr>'310 &amp; 491'!OSRRefH22_3x_0</vt:lpstr>
      <vt:lpstr>'311'!OSRRefH22_3x_0</vt:lpstr>
      <vt:lpstr>'315'!OSRRefH22_3x_0</vt:lpstr>
      <vt:lpstr>'316'!OSRRefH22_3x_0</vt:lpstr>
      <vt:lpstr>'317'!OSRRefH22_3x_0</vt:lpstr>
      <vt:lpstr>'321'!OSRRefH22_3x_0</vt:lpstr>
      <vt:lpstr>'325'!OSRRefH22_3x_0</vt:lpstr>
      <vt:lpstr>'326'!OSRRefH22_3x_0</vt:lpstr>
      <vt:lpstr>'331'!OSRRefH22_3x_0</vt:lpstr>
      <vt:lpstr>'332'!OSRRefH22_3x_0</vt:lpstr>
      <vt:lpstr>'333'!OSRRefH22_3x_0</vt:lpstr>
      <vt:lpstr>'405'!OSRRefH22_3x_0</vt:lpstr>
      <vt:lpstr>'411'!OSRRefH22_3x_0</vt:lpstr>
      <vt:lpstr>'412'!OSRRefH22_3x_0</vt:lpstr>
      <vt:lpstr>'415'!OSRRefH22_3x_0</vt:lpstr>
      <vt:lpstr>'418'!OSRRefH22_3x_0</vt:lpstr>
      <vt:lpstr>'423'!OSRRefH22_3x_0</vt:lpstr>
      <vt:lpstr>'425'!OSRRefH22_3x_0</vt:lpstr>
      <vt:lpstr>'430'!OSRRefH22_3x_0</vt:lpstr>
      <vt:lpstr>'433'!OSRRefH22_3x_0</vt:lpstr>
      <vt:lpstr>'444'!OSRRefH22_3x_0</vt:lpstr>
      <vt:lpstr>'450'!OSRRefH22_3x_0</vt:lpstr>
      <vt:lpstr>'491'!OSRRefH22_3x_0</vt:lpstr>
      <vt:lpstr>'492'!OSRRefH22_3x_0</vt:lpstr>
      <vt:lpstr>'501'!OSRRefH22_3x_0</vt:lpstr>
      <vt:lpstr>'Div 2'!OSRRefH22_3x_0</vt:lpstr>
      <vt:lpstr>'Div 3'!OSRRefH22_3x_0</vt:lpstr>
      <vt:lpstr>'Div 4'!OSRRefH22_3x_0</vt:lpstr>
      <vt:lpstr>'Div 5'!OSRRefH22_3x_0</vt:lpstr>
      <vt:lpstr>'Div 6'!OSRRefH22_3x_0</vt:lpstr>
      <vt:lpstr>Summary!OSRRefH22_3x_0</vt:lpstr>
      <vt:lpstr>'201'!OSRRefH22_4x_0</vt:lpstr>
      <vt:lpstr>'202'!OSRRefH22_4x_0</vt:lpstr>
      <vt:lpstr>'203'!OSRRefH22_4x_0</vt:lpstr>
      <vt:lpstr>'204'!OSRRefH22_4x_0</vt:lpstr>
      <vt:lpstr>'205'!OSRRefH22_4x_0</vt:lpstr>
      <vt:lpstr>'206'!OSRRefH22_4x_0</vt:lpstr>
      <vt:lpstr>'300'!OSRRefH22_4x_0</vt:lpstr>
      <vt:lpstr>'300 &amp; 317'!OSRRefH22_4x_0</vt:lpstr>
      <vt:lpstr>'301'!OSRRefH22_4x_0</vt:lpstr>
      <vt:lpstr>'307'!OSRRefH22_4x_0</vt:lpstr>
      <vt:lpstr>'308'!OSRRefH22_4x_0</vt:lpstr>
      <vt:lpstr>'309'!OSRRefH22_4x_0</vt:lpstr>
      <vt:lpstr>'310'!OSRRefH22_4x_0</vt:lpstr>
      <vt:lpstr>'310 &amp; 491'!OSRRefH22_4x_0</vt:lpstr>
      <vt:lpstr>'311'!OSRRefH22_4x_0</vt:lpstr>
      <vt:lpstr>'315'!OSRRefH22_4x_0</vt:lpstr>
      <vt:lpstr>'316'!OSRRefH22_4x_0</vt:lpstr>
      <vt:lpstr>'317'!OSRRefH22_4x_0</vt:lpstr>
      <vt:lpstr>'321'!OSRRefH22_4x_0</vt:lpstr>
      <vt:lpstr>'325'!OSRRefH22_4x_0</vt:lpstr>
      <vt:lpstr>'326'!OSRRefH22_4x_0</vt:lpstr>
      <vt:lpstr>'331'!OSRRefH22_4x_0</vt:lpstr>
      <vt:lpstr>'332'!OSRRefH22_4x_0</vt:lpstr>
      <vt:lpstr>'333'!OSRRefH22_4x_0</vt:lpstr>
      <vt:lpstr>'405'!OSRRefH22_4x_0</vt:lpstr>
      <vt:lpstr>'411'!OSRRefH22_4x_0</vt:lpstr>
      <vt:lpstr>'415'!OSRRefH22_4x_0</vt:lpstr>
      <vt:lpstr>'418'!OSRRefH22_4x_0</vt:lpstr>
      <vt:lpstr>'423'!OSRRefH22_4x_0</vt:lpstr>
      <vt:lpstr>'425'!OSRRefH22_4x_0</vt:lpstr>
      <vt:lpstr>'430'!OSRRefH22_4x_0</vt:lpstr>
      <vt:lpstr>'433'!OSRRefH22_4x_0</vt:lpstr>
      <vt:lpstr>'444'!OSRRefH22_4x_0</vt:lpstr>
      <vt:lpstr>'450'!OSRRefH22_4x_0</vt:lpstr>
      <vt:lpstr>'491'!OSRRefH22_4x_0</vt:lpstr>
      <vt:lpstr>'492'!OSRRefH22_4x_0</vt:lpstr>
      <vt:lpstr>'501'!OSRRefH22_4x_0</vt:lpstr>
      <vt:lpstr>'Div 2'!OSRRefH22_4x_0</vt:lpstr>
      <vt:lpstr>'Div 3'!OSRRefH22_4x_0</vt:lpstr>
      <vt:lpstr>'Div 4'!OSRRefH22_4x_0</vt:lpstr>
      <vt:lpstr>'Div 5'!OSRRefH22_4x_0</vt:lpstr>
      <vt:lpstr>'Div 6'!OSRRefH22_4x_0</vt:lpstr>
      <vt:lpstr>Summary!OSRRefH22_4x_0</vt:lpstr>
      <vt:lpstr>'201'!OSRRefH22_5x_0</vt:lpstr>
      <vt:lpstr>'202'!OSRRefH22_5x_0</vt:lpstr>
      <vt:lpstr>'203'!OSRRefH22_5x_0</vt:lpstr>
      <vt:lpstr>'204'!OSRRefH22_5x_0</vt:lpstr>
      <vt:lpstr>'205'!OSRRefH22_5x_0</vt:lpstr>
      <vt:lpstr>'206'!OSRRefH22_5x_0</vt:lpstr>
      <vt:lpstr>'300'!OSRRefH22_5x_0</vt:lpstr>
      <vt:lpstr>'300 &amp; 317'!OSRRefH22_5x_0</vt:lpstr>
      <vt:lpstr>'301'!OSRRefH22_5x_0</vt:lpstr>
      <vt:lpstr>'307'!OSRRefH22_5x_0</vt:lpstr>
      <vt:lpstr>'308'!OSRRefH22_5x_0</vt:lpstr>
      <vt:lpstr>'309'!OSRRefH22_5x_0</vt:lpstr>
      <vt:lpstr>'310'!OSRRefH22_5x_0</vt:lpstr>
      <vt:lpstr>'310 &amp; 491'!OSRRefH22_5x_0</vt:lpstr>
      <vt:lpstr>'311'!OSRRefH22_5x_0</vt:lpstr>
      <vt:lpstr>'315'!OSRRefH22_5x_0</vt:lpstr>
      <vt:lpstr>'316'!OSRRefH22_5x_0</vt:lpstr>
      <vt:lpstr>'317'!OSRRefH22_5x_0</vt:lpstr>
      <vt:lpstr>'321'!OSRRefH22_5x_0</vt:lpstr>
      <vt:lpstr>'325'!OSRRefH22_5x_0</vt:lpstr>
      <vt:lpstr>'326'!OSRRefH22_5x_0</vt:lpstr>
      <vt:lpstr>'331'!OSRRefH22_5x_0</vt:lpstr>
      <vt:lpstr>'332'!OSRRefH22_5x_0</vt:lpstr>
      <vt:lpstr>'333'!OSRRefH22_5x_0</vt:lpstr>
      <vt:lpstr>'405'!OSRRefH22_5x_0</vt:lpstr>
      <vt:lpstr>'411'!OSRRefH22_5x_0</vt:lpstr>
      <vt:lpstr>'415'!OSRRefH22_5x_0</vt:lpstr>
      <vt:lpstr>'418'!OSRRefH22_5x_0</vt:lpstr>
      <vt:lpstr>'423'!OSRRefH22_5x_0</vt:lpstr>
      <vt:lpstr>'425'!OSRRefH22_5x_0</vt:lpstr>
      <vt:lpstr>'430'!OSRRefH22_5x_0</vt:lpstr>
      <vt:lpstr>'433'!OSRRefH22_5x_0</vt:lpstr>
      <vt:lpstr>'444'!OSRRefH22_5x_0</vt:lpstr>
      <vt:lpstr>'450'!OSRRefH22_5x_0</vt:lpstr>
      <vt:lpstr>'491'!OSRRefH22_5x_0</vt:lpstr>
      <vt:lpstr>'492'!OSRRefH22_5x_0</vt:lpstr>
      <vt:lpstr>'501'!OSRRefH22_5x_0</vt:lpstr>
      <vt:lpstr>'Div 2'!OSRRefH22_5x_0</vt:lpstr>
      <vt:lpstr>'Div 3'!OSRRefH22_5x_0</vt:lpstr>
      <vt:lpstr>'Div 4'!OSRRefH22_5x_0</vt:lpstr>
      <vt:lpstr>'Div 5'!OSRRefH22_5x_0</vt:lpstr>
      <vt:lpstr>'Div 6'!OSRRefH22_5x_0</vt:lpstr>
      <vt:lpstr>Summary!OSRRefH22_5x_0</vt:lpstr>
      <vt:lpstr>'201'!OSRRefH22_6x_0</vt:lpstr>
      <vt:lpstr>'202'!OSRRefH22_6x_0</vt:lpstr>
      <vt:lpstr>'203'!OSRRefH22_6x_0</vt:lpstr>
      <vt:lpstr>'204'!OSRRefH22_6x_0</vt:lpstr>
      <vt:lpstr>'205'!OSRRefH22_6x_0</vt:lpstr>
      <vt:lpstr>'206'!OSRRefH22_6x_0</vt:lpstr>
      <vt:lpstr>'300'!OSRRefH22_6x_0</vt:lpstr>
      <vt:lpstr>'300 &amp; 317'!OSRRefH22_6x_0</vt:lpstr>
      <vt:lpstr>'301'!OSRRefH22_6x_0</vt:lpstr>
      <vt:lpstr>'307'!OSRRefH22_6x_0</vt:lpstr>
      <vt:lpstr>'308'!OSRRefH22_6x_0</vt:lpstr>
      <vt:lpstr>'309'!OSRRefH22_6x_0</vt:lpstr>
      <vt:lpstr>'310'!OSRRefH22_6x_0</vt:lpstr>
      <vt:lpstr>'310 &amp; 491'!OSRRefH22_6x_0</vt:lpstr>
      <vt:lpstr>'311'!OSRRefH22_6x_0</vt:lpstr>
      <vt:lpstr>'315'!OSRRefH22_6x_0</vt:lpstr>
      <vt:lpstr>'316'!OSRRefH22_6x_0</vt:lpstr>
      <vt:lpstr>'317'!OSRRefH22_6x_0</vt:lpstr>
      <vt:lpstr>'321'!OSRRefH22_6x_0</vt:lpstr>
      <vt:lpstr>'325'!OSRRefH22_6x_0</vt:lpstr>
      <vt:lpstr>'326'!OSRRefH22_6x_0</vt:lpstr>
      <vt:lpstr>'331'!OSRRefH22_6x_0</vt:lpstr>
      <vt:lpstr>'332'!OSRRefH22_6x_0</vt:lpstr>
      <vt:lpstr>'333'!OSRRefH22_6x_0</vt:lpstr>
      <vt:lpstr>'405'!OSRRefH22_6x_0</vt:lpstr>
      <vt:lpstr>'411'!OSRRefH22_6x_0</vt:lpstr>
      <vt:lpstr>'415'!OSRRefH22_6x_0</vt:lpstr>
      <vt:lpstr>'418'!OSRRefH22_6x_0</vt:lpstr>
      <vt:lpstr>'430'!OSRRefH22_6x_0</vt:lpstr>
      <vt:lpstr>'433'!OSRRefH22_6x_0</vt:lpstr>
      <vt:lpstr>'444'!OSRRefH22_6x_0</vt:lpstr>
      <vt:lpstr>'450'!OSRRefH22_6x_0</vt:lpstr>
      <vt:lpstr>'491'!OSRRefH22_6x_0</vt:lpstr>
      <vt:lpstr>'492'!OSRRefH22_6x_0</vt:lpstr>
      <vt:lpstr>'501'!OSRRefH22_6x_0</vt:lpstr>
      <vt:lpstr>'Div 2'!OSRRefH22_6x_0</vt:lpstr>
      <vt:lpstr>'Div 3'!OSRRefH22_6x_0</vt:lpstr>
      <vt:lpstr>'Div 4'!OSRRefH22_6x_0</vt:lpstr>
      <vt:lpstr>'Div 5'!OSRRefH22_6x_0</vt:lpstr>
      <vt:lpstr>'Div 6'!OSRRefH22_6x_0</vt:lpstr>
      <vt:lpstr>Summary!OSRRefH22_6x_0</vt:lpstr>
      <vt:lpstr>'201'!OSRRefH22_7x_0</vt:lpstr>
      <vt:lpstr>'202'!OSRRefH22_7x_0</vt:lpstr>
      <vt:lpstr>'203'!OSRRefH22_7x_0</vt:lpstr>
      <vt:lpstr>'204'!OSRRefH22_7x_0</vt:lpstr>
      <vt:lpstr>'205'!OSRRefH22_7x_0</vt:lpstr>
      <vt:lpstr>'206'!OSRRefH22_7x_0</vt:lpstr>
      <vt:lpstr>'300'!OSRRefH22_7x_0</vt:lpstr>
      <vt:lpstr>'300 &amp; 317'!OSRRefH22_7x_0</vt:lpstr>
      <vt:lpstr>'301'!OSRRefH22_7x_0</vt:lpstr>
      <vt:lpstr>'307'!OSRRefH22_7x_0</vt:lpstr>
      <vt:lpstr>'308'!OSRRefH22_7x_0</vt:lpstr>
      <vt:lpstr>'309'!OSRRefH22_7x_0</vt:lpstr>
      <vt:lpstr>'310'!OSRRefH22_7x_0</vt:lpstr>
      <vt:lpstr>'310 &amp; 491'!OSRRefH22_7x_0</vt:lpstr>
      <vt:lpstr>'311'!OSRRefH22_7x_0</vt:lpstr>
      <vt:lpstr>'315'!OSRRefH22_7x_0</vt:lpstr>
      <vt:lpstr>'316'!OSRRefH22_7x_0</vt:lpstr>
      <vt:lpstr>'317'!OSRRefH22_7x_0</vt:lpstr>
      <vt:lpstr>'321'!OSRRefH22_7x_0</vt:lpstr>
      <vt:lpstr>'325'!OSRRefH22_7x_0</vt:lpstr>
      <vt:lpstr>'326'!OSRRefH22_7x_0</vt:lpstr>
      <vt:lpstr>'331'!OSRRefH22_7x_0</vt:lpstr>
      <vt:lpstr>'332'!OSRRefH22_7x_0</vt:lpstr>
      <vt:lpstr>'333'!OSRRefH22_7x_0</vt:lpstr>
      <vt:lpstr>'405'!OSRRefH22_7x_0</vt:lpstr>
      <vt:lpstr>'411'!OSRRefH22_7x_0</vt:lpstr>
      <vt:lpstr>'415'!OSRRefH22_7x_0</vt:lpstr>
      <vt:lpstr>'418'!OSRRefH22_7x_0</vt:lpstr>
      <vt:lpstr>'430'!OSRRefH22_7x_0</vt:lpstr>
      <vt:lpstr>'433'!OSRRefH22_7x_0</vt:lpstr>
      <vt:lpstr>'444'!OSRRefH22_7x_0</vt:lpstr>
      <vt:lpstr>'450'!OSRRefH22_7x_0</vt:lpstr>
      <vt:lpstr>'491'!OSRRefH22_7x_0</vt:lpstr>
      <vt:lpstr>'492'!OSRRefH22_7x_0</vt:lpstr>
      <vt:lpstr>'501'!OSRRefH22_7x_0</vt:lpstr>
      <vt:lpstr>'Div 2'!OSRRefH22_7x_0</vt:lpstr>
      <vt:lpstr>'Div 3'!OSRRefH22_7x_0</vt:lpstr>
      <vt:lpstr>'Div 4'!OSRRefH22_7x_0</vt:lpstr>
      <vt:lpstr>'Div 5'!OSRRefH22_7x_0</vt:lpstr>
      <vt:lpstr>'Div 6'!OSRRefH22_7x_0</vt:lpstr>
      <vt:lpstr>Summary!OSRRefH22_7x_0</vt:lpstr>
      <vt:lpstr>'201'!OSRRefH22_8x_0</vt:lpstr>
      <vt:lpstr>'202'!OSRRefH22_8x_0</vt:lpstr>
      <vt:lpstr>'203'!OSRRefH22_8x_0</vt:lpstr>
      <vt:lpstr>'204'!OSRRefH22_8x_0</vt:lpstr>
      <vt:lpstr>'300'!OSRRefH22_8x_0</vt:lpstr>
      <vt:lpstr>'300 &amp; 317'!OSRRefH22_8x_0</vt:lpstr>
      <vt:lpstr>'301'!OSRRefH22_8x_0</vt:lpstr>
      <vt:lpstr>'307'!OSRRefH22_8x_0</vt:lpstr>
      <vt:lpstr>'308'!OSRRefH22_8x_0</vt:lpstr>
      <vt:lpstr>'309'!OSRRefH22_8x_0</vt:lpstr>
      <vt:lpstr>'310'!OSRRefH22_8x_0</vt:lpstr>
      <vt:lpstr>'310 &amp; 491'!OSRRefH22_8x_0</vt:lpstr>
      <vt:lpstr>'311'!OSRRefH22_8x_0</vt:lpstr>
      <vt:lpstr>'315'!OSRRefH22_8x_0</vt:lpstr>
      <vt:lpstr>'316'!OSRRefH22_8x_0</vt:lpstr>
      <vt:lpstr>'317'!OSRRefH22_8x_0</vt:lpstr>
      <vt:lpstr>'321'!OSRRefH22_8x_0</vt:lpstr>
      <vt:lpstr>'325'!OSRRefH22_8x_0</vt:lpstr>
      <vt:lpstr>'326'!OSRRefH22_8x_0</vt:lpstr>
      <vt:lpstr>'331'!OSRRefH22_8x_0</vt:lpstr>
      <vt:lpstr>'332'!OSRRefH22_8x_0</vt:lpstr>
      <vt:lpstr>'333'!OSRRefH22_8x_0</vt:lpstr>
      <vt:lpstr>'405'!OSRRefH22_8x_0</vt:lpstr>
      <vt:lpstr>'411'!OSRRefH22_8x_0</vt:lpstr>
      <vt:lpstr>'415'!OSRRefH22_8x_0</vt:lpstr>
      <vt:lpstr>'418'!OSRRefH22_8x_0</vt:lpstr>
      <vt:lpstr>'430'!OSRRefH22_8x_0</vt:lpstr>
      <vt:lpstr>'433'!OSRRefH22_8x_0</vt:lpstr>
      <vt:lpstr>'444'!OSRRefH22_8x_0</vt:lpstr>
      <vt:lpstr>'450'!OSRRefH22_8x_0</vt:lpstr>
      <vt:lpstr>'491'!OSRRefH22_8x_0</vt:lpstr>
      <vt:lpstr>'492'!OSRRefH22_8x_0</vt:lpstr>
      <vt:lpstr>'501'!OSRRefH22_8x_0</vt:lpstr>
      <vt:lpstr>'Div 2'!OSRRefH22_8x_0</vt:lpstr>
      <vt:lpstr>'Div 3'!OSRRefH22_8x_0</vt:lpstr>
      <vt:lpstr>'Div 4'!OSRRefH22_8x_0</vt:lpstr>
      <vt:lpstr>'Div 5'!OSRRefH22_8x_0</vt:lpstr>
      <vt:lpstr>'Div 6'!OSRRefH22_8x_0</vt:lpstr>
      <vt:lpstr>Summary!OSRRefH22_8x_0</vt:lpstr>
      <vt:lpstr>'201'!OSRRefH22_9x_0</vt:lpstr>
      <vt:lpstr>'202'!OSRRefH22_9x_0</vt:lpstr>
      <vt:lpstr>'203'!OSRRefH22_9x_0</vt:lpstr>
      <vt:lpstr>'204'!OSRRefH22_9x_0</vt:lpstr>
      <vt:lpstr>'300'!OSRRefH22_9x_0</vt:lpstr>
      <vt:lpstr>'300 &amp; 317'!OSRRefH22_9x_0</vt:lpstr>
      <vt:lpstr>'301'!OSRRefH22_9x_0</vt:lpstr>
      <vt:lpstr>'307'!OSRRefH22_9x_0</vt:lpstr>
      <vt:lpstr>'308'!OSRRefH22_9x_0</vt:lpstr>
      <vt:lpstr>'309'!OSRRefH22_9x_0</vt:lpstr>
      <vt:lpstr>'310'!OSRRefH22_9x_0</vt:lpstr>
      <vt:lpstr>'310 &amp; 491'!OSRRefH22_9x_0</vt:lpstr>
      <vt:lpstr>'311'!OSRRefH22_9x_0</vt:lpstr>
      <vt:lpstr>'315'!OSRRefH22_9x_0</vt:lpstr>
      <vt:lpstr>'316'!OSRRefH22_9x_0</vt:lpstr>
      <vt:lpstr>'317'!OSRRefH22_9x_0</vt:lpstr>
      <vt:lpstr>'321'!OSRRefH22_9x_0</vt:lpstr>
      <vt:lpstr>'325'!OSRRefH22_9x_0</vt:lpstr>
      <vt:lpstr>'326'!OSRRefH22_9x_0</vt:lpstr>
      <vt:lpstr>'331'!OSRRefH22_9x_0</vt:lpstr>
      <vt:lpstr>'332'!OSRRefH22_9x_0</vt:lpstr>
      <vt:lpstr>'333'!OSRRefH22_9x_0</vt:lpstr>
      <vt:lpstr>'405'!OSRRefH22_9x_0</vt:lpstr>
      <vt:lpstr>'411'!OSRRefH22_9x_0</vt:lpstr>
      <vt:lpstr>'415'!OSRRefH22_9x_0</vt:lpstr>
      <vt:lpstr>'418'!OSRRefH22_9x_0</vt:lpstr>
      <vt:lpstr>'433'!OSRRefH22_9x_0</vt:lpstr>
      <vt:lpstr>'444'!OSRRefH22_9x_0</vt:lpstr>
      <vt:lpstr>'450'!OSRRefH22_9x_0</vt:lpstr>
      <vt:lpstr>'491'!OSRRefH22_9x_0</vt:lpstr>
      <vt:lpstr>'492'!OSRRefH22_9x_0</vt:lpstr>
      <vt:lpstr>'501'!OSRRefH22_9x_0</vt:lpstr>
      <vt:lpstr>'Div 2'!OSRRefH22_9x_0</vt:lpstr>
      <vt:lpstr>'Div 3'!OSRRefH22_9x_0</vt:lpstr>
      <vt:lpstr>'Div 4'!OSRRefH22_9x_0</vt:lpstr>
      <vt:lpstr>'Div 5'!OSRRefH22_9x_0</vt:lpstr>
      <vt:lpstr>'Div 6'!OSRRefH22_9x_0</vt:lpstr>
      <vt:lpstr>Summary!OSRRefH22_9x_0</vt:lpstr>
      <vt:lpstr>'200'!OSRRefH22x_0</vt:lpstr>
      <vt:lpstr>'201'!OSRRefH22x_0</vt:lpstr>
      <vt:lpstr>'202'!OSRRefH22x_0</vt:lpstr>
      <vt:lpstr>'203'!OSRRefH22x_0</vt:lpstr>
      <vt:lpstr>'204'!OSRRefH22x_0</vt:lpstr>
      <vt:lpstr>'205'!OSRRefH22x_0</vt:lpstr>
      <vt:lpstr>'206'!OSRRefH22x_0</vt:lpstr>
      <vt:lpstr>'300'!OSRRefH22x_0</vt:lpstr>
      <vt:lpstr>'300 &amp; 317'!OSRRefH22x_0</vt:lpstr>
      <vt:lpstr>'301'!OSRRefH22x_0</vt:lpstr>
      <vt:lpstr>'307'!OSRRefH22x_0</vt:lpstr>
      <vt:lpstr>'308'!OSRRefH22x_0</vt:lpstr>
      <vt:lpstr>'309'!OSRRefH22x_0</vt:lpstr>
      <vt:lpstr>'310'!OSRRefH22x_0</vt:lpstr>
      <vt:lpstr>'310 &amp; 491'!OSRRefH22x_0</vt:lpstr>
      <vt:lpstr>'311'!OSRRefH22x_0</vt:lpstr>
      <vt:lpstr>'315'!OSRRefH22x_0</vt:lpstr>
      <vt:lpstr>'316'!OSRRefH22x_0</vt:lpstr>
      <vt:lpstr>'317'!OSRRefH22x_0</vt:lpstr>
      <vt:lpstr>'321'!OSRRefH22x_0</vt:lpstr>
      <vt:lpstr>'325'!OSRRefH22x_0</vt:lpstr>
      <vt:lpstr>'326'!OSRRefH22x_0</vt:lpstr>
      <vt:lpstr>'327'!OSRRefH22x_0</vt:lpstr>
      <vt:lpstr>'331'!OSRRefH22x_0</vt:lpstr>
      <vt:lpstr>'332'!OSRRefH22x_0</vt:lpstr>
      <vt:lpstr>'333'!OSRRefH22x_0</vt:lpstr>
      <vt:lpstr>'405'!OSRRefH22x_0</vt:lpstr>
      <vt:lpstr>'406'!OSRRefH22x_0</vt:lpstr>
      <vt:lpstr>'411'!OSRRefH22x_0</vt:lpstr>
      <vt:lpstr>'412'!OSRRefH22x_0</vt:lpstr>
      <vt:lpstr>'413'!OSRRefH22x_0</vt:lpstr>
      <vt:lpstr>'414'!OSRRefH22x_0</vt:lpstr>
      <vt:lpstr>'415'!OSRRefH22x_0</vt:lpstr>
      <vt:lpstr>'418'!OSRRefH22x_0</vt:lpstr>
      <vt:lpstr>'423'!OSRRefH22x_0</vt:lpstr>
      <vt:lpstr>'424'!OSRRefH22x_0</vt:lpstr>
      <vt:lpstr>'425'!OSRRefH22x_0</vt:lpstr>
      <vt:lpstr>'430'!OSRRefH22x_0</vt:lpstr>
      <vt:lpstr>'433'!OSRRefH22x_0</vt:lpstr>
      <vt:lpstr>'435'!OSRRefH22x_0</vt:lpstr>
      <vt:lpstr>'444'!OSRRefH22x_0</vt:lpstr>
      <vt:lpstr>'450'!OSRRefH22x_0</vt:lpstr>
      <vt:lpstr>'491'!OSRRefH22x_0</vt:lpstr>
      <vt:lpstr>'492'!OSRRefH22x_0</vt:lpstr>
      <vt:lpstr>'501'!OSRRefH22x_0</vt:lpstr>
      <vt:lpstr>'Div 2'!OSRRefH22x_0</vt:lpstr>
      <vt:lpstr>'Div 3'!OSRRefH22x_0</vt:lpstr>
      <vt:lpstr>'Div 4'!OSRRefH22x_0</vt:lpstr>
      <vt:lpstr>'Div 5'!OSRRefH22x_0</vt:lpstr>
      <vt:lpstr>'Div 6'!OSRRefH22x_0</vt:lpstr>
      <vt:lpstr>Summary!OSRRefH22x_0</vt:lpstr>
      <vt:lpstr>'300'!OSRRefH25x_0</vt:lpstr>
      <vt:lpstr>'300 &amp; 317'!OSRRefH25x_0</vt:lpstr>
      <vt:lpstr>'301'!OSRRefH25x_0</vt:lpstr>
      <vt:lpstr>'308'!OSRRefH25x_0</vt:lpstr>
      <vt:lpstr>'310 &amp; 491'!OSRRefH25x_0</vt:lpstr>
      <vt:lpstr>'311'!OSRRefH25x_0</vt:lpstr>
      <vt:lpstr>'315'!OSRRefH25x_0</vt:lpstr>
      <vt:lpstr>'316'!OSRRefH25x_0</vt:lpstr>
      <vt:lpstr>'317'!OSRRefH25x_0</vt:lpstr>
      <vt:lpstr>'331'!OSRRefH25x_0</vt:lpstr>
      <vt:lpstr>'332'!OSRRefH25x_0</vt:lpstr>
      <vt:lpstr>'333'!OSRRefH25x_0</vt:lpstr>
      <vt:lpstr>'405'!OSRRefH25x_0</vt:lpstr>
      <vt:lpstr>'411'!OSRRefH25x_0</vt:lpstr>
      <vt:lpstr>'415'!OSRRefH25x_0</vt:lpstr>
      <vt:lpstr>'418'!OSRRefH25x_0</vt:lpstr>
      <vt:lpstr>'423'!OSRRefH25x_0</vt:lpstr>
      <vt:lpstr>'491'!OSRRefH25x_0</vt:lpstr>
      <vt:lpstr>'501'!OSRRefH25x_0</vt:lpstr>
      <vt:lpstr>'Div 3'!OSRRefH25x_0</vt:lpstr>
      <vt:lpstr>'Div 4'!OSRRefH25x_0</vt:lpstr>
      <vt:lpstr>'Div 5'!OSRRefH25x_0</vt:lpstr>
      <vt:lpstr>'Div 6'!OSRRefH25x_0</vt:lpstr>
      <vt:lpstr>Summary!OSRRefH25x_0</vt:lpstr>
      <vt:lpstr>'300'!OSRRefP13x_0</vt:lpstr>
      <vt:lpstr>'300 &amp; 317'!OSRRefP13x_0</vt:lpstr>
      <vt:lpstr>'307'!OSRRefP13x_0</vt:lpstr>
      <vt:lpstr>'308'!OSRRefP13x_0</vt:lpstr>
      <vt:lpstr>'309'!OSRRefP13x_0</vt:lpstr>
      <vt:lpstr>'310'!OSRRefP13x_0</vt:lpstr>
      <vt:lpstr>'310 &amp; 491'!OSRRefP13x_0</vt:lpstr>
      <vt:lpstr>'311'!OSRRefP13x_0</vt:lpstr>
      <vt:lpstr>'315'!OSRRefP13x_0</vt:lpstr>
      <vt:lpstr>'316'!OSRRefP13x_0</vt:lpstr>
      <vt:lpstr>'317'!OSRRefP13x_0</vt:lpstr>
      <vt:lpstr>'321'!OSRRefP13x_0</vt:lpstr>
      <vt:lpstr>'324'!OSRRefP13x_0</vt:lpstr>
      <vt:lpstr>'325'!OSRRefP13x_0</vt:lpstr>
      <vt:lpstr>'326'!OSRRefP13x_0</vt:lpstr>
      <vt:lpstr>'327'!OSRRefP13x_0</vt:lpstr>
      <vt:lpstr>'331'!OSRRefP13x_0</vt:lpstr>
      <vt:lpstr>'332'!OSRRefP13x_0</vt:lpstr>
      <vt:lpstr>'333'!OSRRefP13x_0</vt:lpstr>
      <vt:lpstr>'405'!OSRRefP13x_0</vt:lpstr>
      <vt:lpstr>'415'!OSRRefP13x_0</vt:lpstr>
      <vt:lpstr>'418'!OSRRefP13x_0</vt:lpstr>
      <vt:lpstr>'425'!OSRRefP13x_0</vt:lpstr>
      <vt:lpstr>'433'!OSRRefP13x_0</vt:lpstr>
      <vt:lpstr>'435'!OSRRefP13x_0</vt:lpstr>
      <vt:lpstr>'444'!OSRRefP13x_0</vt:lpstr>
      <vt:lpstr>'450'!OSRRefP13x_0</vt:lpstr>
      <vt:lpstr>'491'!OSRRefP13x_0</vt:lpstr>
      <vt:lpstr>'492'!OSRRefP13x_0</vt:lpstr>
      <vt:lpstr>'501'!OSRRefP13x_0</vt:lpstr>
      <vt:lpstr>'Div 3'!OSRRefP13x_0</vt:lpstr>
      <vt:lpstr>'Div 4'!OSRRefP13x_0</vt:lpstr>
      <vt:lpstr>'Div 5'!OSRRefP13x_0</vt:lpstr>
      <vt:lpstr>'Div 6'!OSRRefP13x_0</vt:lpstr>
      <vt:lpstr>Summary!OSRRefP13x_0</vt:lpstr>
      <vt:lpstr>'300'!OSRRefP16x_0</vt:lpstr>
      <vt:lpstr>'300 &amp; 317'!OSRRefP16x_0</vt:lpstr>
      <vt:lpstr>'301'!OSRRefP16x_0</vt:lpstr>
      <vt:lpstr>'307'!OSRRefP16x_0</vt:lpstr>
      <vt:lpstr>'308'!OSRRefP16x_0</vt:lpstr>
      <vt:lpstr>'309'!OSRRefP16x_0</vt:lpstr>
      <vt:lpstr>'310'!OSRRefP16x_0</vt:lpstr>
      <vt:lpstr>'310 &amp; 491'!OSRRefP16x_0</vt:lpstr>
      <vt:lpstr>'311'!OSRRefP16x_0</vt:lpstr>
      <vt:lpstr>'315'!OSRRefP16x_0</vt:lpstr>
      <vt:lpstr>'316'!OSRRefP16x_0</vt:lpstr>
      <vt:lpstr>'317'!OSRRefP16x_0</vt:lpstr>
      <vt:lpstr>'321'!OSRRefP16x_0</vt:lpstr>
      <vt:lpstr>'324'!OSRRefP16x_0</vt:lpstr>
      <vt:lpstr>'325'!OSRRefP16x_0</vt:lpstr>
      <vt:lpstr>'326'!OSRRefP16x_0</vt:lpstr>
      <vt:lpstr>'327'!OSRRefP16x_0</vt:lpstr>
      <vt:lpstr>'331'!OSRRefP16x_0</vt:lpstr>
      <vt:lpstr>'332'!OSRRefP16x_0</vt:lpstr>
      <vt:lpstr>'333'!OSRRefP16x_0</vt:lpstr>
      <vt:lpstr>'405'!OSRRefP16x_0</vt:lpstr>
      <vt:lpstr>'415'!OSRRefP16x_0</vt:lpstr>
      <vt:lpstr>'418'!OSRRefP16x_0</vt:lpstr>
      <vt:lpstr>'425'!OSRRefP16x_0</vt:lpstr>
      <vt:lpstr>'433'!OSRRefP16x_0</vt:lpstr>
      <vt:lpstr>'444'!OSRRefP16x_0</vt:lpstr>
      <vt:lpstr>'450'!OSRRefP16x_0</vt:lpstr>
      <vt:lpstr>'491'!OSRRefP16x_0</vt:lpstr>
      <vt:lpstr>'492'!OSRRefP16x_0</vt:lpstr>
      <vt:lpstr>'Div 3'!OSRRefP16x_0</vt:lpstr>
      <vt:lpstr>'Div 4'!OSRRefP16x_0</vt:lpstr>
      <vt:lpstr>'Div 6'!OSRRefP16x_0</vt:lpstr>
      <vt:lpstr>Summary!OSRRefP16x_0</vt:lpstr>
      <vt:lpstr>'200'!OSRRefP22_0x_0</vt:lpstr>
      <vt:lpstr>'201'!OSRRefP22_0x_0</vt:lpstr>
      <vt:lpstr>'202'!OSRRefP22_0x_0</vt:lpstr>
      <vt:lpstr>'203'!OSRRefP22_0x_0</vt:lpstr>
      <vt:lpstr>'204'!OSRRefP22_0x_0</vt:lpstr>
      <vt:lpstr>'205'!OSRRefP22_0x_0</vt:lpstr>
      <vt:lpstr>'206'!OSRRefP22_0x_0</vt:lpstr>
      <vt:lpstr>'300'!OSRRefP22_0x_0</vt:lpstr>
      <vt:lpstr>'300 &amp; 317'!OSRRefP22_0x_0</vt:lpstr>
      <vt:lpstr>'301'!OSRRefP22_0x_0</vt:lpstr>
      <vt:lpstr>'307'!OSRRefP22_0x_0</vt:lpstr>
      <vt:lpstr>'308'!OSRRefP22_0x_0</vt:lpstr>
      <vt:lpstr>'309'!OSRRefP22_0x_0</vt:lpstr>
      <vt:lpstr>'310'!OSRRefP22_0x_0</vt:lpstr>
      <vt:lpstr>'310 &amp; 491'!OSRRefP22_0x_0</vt:lpstr>
      <vt:lpstr>'311'!OSRRefP22_0x_0</vt:lpstr>
      <vt:lpstr>'315'!OSRRefP22_0x_0</vt:lpstr>
      <vt:lpstr>'316'!OSRRefP22_0x_0</vt:lpstr>
      <vt:lpstr>'317'!OSRRefP22_0x_0</vt:lpstr>
      <vt:lpstr>'321'!OSRRefP22_0x_0</vt:lpstr>
      <vt:lpstr>'325'!OSRRefP22_0x_0</vt:lpstr>
      <vt:lpstr>'326'!OSRRefP22_0x_0</vt:lpstr>
      <vt:lpstr>'327'!OSRRefP22_0x_0</vt:lpstr>
      <vt:lpstr>'331'!OSRRefP22_0x_0</vt:lpstr>
      <vt:lpstr>'332'!OSRRefP22_0x_0</vt:lpstr>
      <vt:lpstr>'333'!OSRRefP22_0x_0</vt:lpstr>
      <vt:lpstr>'405'!OSRRefP22_0x_0</vt:lpstr>
      <vt:lpstr>'406'!OSRRefP22_0x_0</vt:lpstr>
      <vt:lpstr>'411'!OSRRefP22_0x_0</vt:lpstr>
      <vt:lpstr>'412'!OSRRefP22_0x_0</vt:lpstr>
      <vt:lpstr>'413'!OSRRefP22_0x_0</vt:lpstr>
      <vt:lpstr>'414'!OSRRefP22_0x_0</vt:lpstr>
      <vt:lpstr>'415'!OSRRefP22_0x_0</vt:lpstr>
      <vt:lpstr>'418'!OSRRefP22_0x_0</vt:lpstr>
      <vt:lpstr>'423'!OSRRefP22_0x_0</vt:lpstr>
      <vt:lpstr>'424'!OSRRefP22_0x_0</vt:lpstr>
      <vt:lpstr>'425'!OSRRefP22_0x_0</vt:lpstr>
      <vt:lpstr>'430'!OSRRefP22_0x_0</vt:lpstr>
      <vt:lpstr>'433'!OSRRefP22_0x_0</vt:lpstr>
      <vt:lpstr>'435'!OSRRefP22_0x_0</vt:lpstr>
      <vt:lpstr>'444'!OSRRefP22_0x_0</vt:lpstr>
      <vt:lpstr>'450'!OSRRefP22_0x_0</vt:lpstr>
      <vt:lpstr>'491'!OSRRefP22_0x_0</vt:lpstr>
      <vt:lpstr>'492'!OSRRefP22_0x_0</vt:lpstr>
      <vt:lpstr>'501'!OSRRefP22_0x_0</vt:lpstr>
      <vt:lpstr>'Div 2'!OSRRefP22_0x_0</vt:lpstr>
      <vt:lpstr>'Div 3'!OSRRefP22_0x_0</vt:lpstr>
      <vt:lpstr>'Div 4'!OSRRefP22_0x_0</vt:lpstr>
      <vt:lpstr>'Div 5'!OSRRefP22_0x_0</vt:lpstr>
      <vt:lpstr>'Div 6'!OSRRefP22_0x_0</vt:lpstr>
      <vt:lpstr>Summary!OSRRefP22_0x_0</vt:lpstr>
      <vt:lpstr>'201'!OSRRefP22_10x_0</vt:lpstr>
      <vt:lpstr>'202'!OSRRefP22_10x_0</vt:lpstr>
      <vt:lpstr>'203'!OSRRefP22_10x_0</vt:lpstr>
      <vt:lpstr>'204'!OSRRefP22_10x_0</vt:lpstr>
      <vt:lpstr>'300'!OSRRefP22_10x_0</vt:lpstr>
      <vt:lpstr>'300 &amp; 317'!OSRRefP22_10x_0</vt:lpstr>
      <vt:lpstr>'301'!OSRRefP22_10x_0</vt:lpstr>
      <vt:lpstr>'307'!OSRRefP22_10x_0</vt:lpstr>
      <vt:lpstr>'308'!OSRRefP22_10x_0</vt:lpstr>
      <vt:lpstr>'309'!OSRRefP22_10x_0</vt:lpstr>
      <vt:lpstr>'310'!OSRRefP22_10x_0</vt:lpstr>
      <vt:lpstr>'310 &amp; 491'!OSRRefP22_10x_0</vt:lpstr>
      <vt:lpstr>'311'!OSRRefP22_10x_0</vt:lpstr>
      <vt:lpstr>'315'!OSRRefP22_10x_0</vt:lpstr>
      <vt:lpstr>'316'!OSRRefP22_10x_0</vt:lpstr>
      <vt:lpstr>'317'!OSRRefP22_10x_0</vt:lpstr>
      <vt:lpstr>'321'!OSRRefP22_10x_0</vt:lpstr>
      <vt:lpstr>'325'!OSRRefP22_10x_0</vt:lpstr>
      <vt:lpstr>'326'!OSRRefP22_10x_0</vt:lpstr>
      <vt:lpstr>'331'!OSRRefP22_10x_0</vt:lpstr>
      <vt:lpstr>'332'!OSRRefP22_10x_0</vt:lpstr>
      <vt:lpstr>'333'!OSRRefP22_10x_0</vt:lpstr>
      <vt:lpstr>'405'!OSRRefP22_10x_0</vt:lpstr>
      <vt:lpstr>'411'!OSRRefP22_10x_0</vt:lpstr>
      <vt:lpstr>'415'!OSRRefP22_10x_0</vt:lpstr>
      <vt:lpstr>'418'!OSRRefP22_10x_0</vt:lpstr>
      <vt:lpstr>'433'!OSRRefP22_10x_0</vt:lpstr>
      <vt:lpstr>'444'!OSRRefP22_10x_0</vt:lpstr>
      <vt:lpstr>'450'!OSRRefP22_10x_0</vt:lpstr>
      <vt:lpstr>'491'!OSRRefP22_10x_0</vt:lpstr>
      <vt:lpstr>'492'!OSRRefP22_10x_0</vt:lpstr>
      <vt:lpstr>'501'!OSRRefP22_10x_0</vt:lpstr>
      <vt:lpstr>'Div 2'!OSRRefP22_10x_0</vt:lpstr>
      <vt:lpstr>'Div 3'!OSRRefP22_10x_0</vt:lpstr>
      <vt:lpstr>'Div 4'!OSRRefP22_10x_0</vt:lpstr>
      <vt:lpstr>'Div 5'!OSRRefP22_10x_0</vt:lpstr>
      <vt:lpstr>'Div 6'!OSRRefP22_10x_0</vt:lpstr>
      <vt:lpstr>Summary!OSRRefP22_10x_0</vt:lpstr>
      <vt:lpstr>'201'!OSRRefP22_11x_0</vt:lpstr>
      <vt:lpstr>'202'!OSRRefP22_11x_0</vt:lpstr>
      <vt:lpstr>'203'!OSRRefP22_11x_0</vt:lpstr>
      <vt:lpstr>'300'!OSRRefP22_11x_0</vt:lpstr>
      <vt:lpstr>'300 &amp; 317'!OSRRefP22_11x_0</vt:lpstr>
      <vt:lpstr>'301'!OSRRefP22_11x_0</vt:lpstr>
      <vt:lpstr>'307'!OSRRefP22_11x_0</vt:lpstr>
      <vt:lpstr>'308'!OSRRefP22_11x_0</vt:lpstr>
      <vt:lpstr>'309'!OSRRefP22_11x_0</vt:lpstr>
      <vt:lpstr>'310'!OSRRefP22_11x_0</vt:lpstr>
      <vt:lpstr>'310 &amp; 491'!OSRRefP22_11x_0</vt:lpstr>
      <vt:lpstr>'311'!OSRRefP22_11x_0</vt:lpstr>
      <vt:lpstr>'315'!OSRRefP22_11x_0</vt:lpstr>
      <vt:lpstr>'316'!OSRRefP22_11x_0</vt:lpstr>
      <vt:lpstr>'321'!OSRRefP22_11x_0</vt:lpstr>
      <vt:lpstr>'325'!OSRRefP22_11x_0</vt:lpstr>
      <vt:lpstr>'326'!OSRRefP22_11x_0</vt:lpstr>
      <vt:lpstr>'331'!OSRRefP22_11x_0</vt:lpstr>
      <vt:lpstr>'332'!OSRRefP22_11x_0</vt:lpstr>
      <vt:lpstr>'333'!OSRRefP22_11x_0</vt:lpstr>
      <vt:lpstr>'405'!OSRRefP22_11x_0</vt:lpstr>
      <vt:lpstr>'411'!OSRRefP22_11x_0</vt:lpstr>
      <vt:lpstr>'415'!OSRRefP22_11x_0</vt:lpstr>
      <vt:lpstr>'418'!OSRRefP22_11x_0</vt:lpstr>
      <vt:lpstr>'433'!OSRRefP22_11x_0</vt:lpstr>
      <vt:lpstr>'444'!OSRRefP22_11x_0</vt:lpstr>
      <vt:lpstr>'450'!OSRRefP22_11x_0</vt:lpstr>
      <vt:lpstr>'491'!OSRRefP22_11x_0</vt:lpstr>
      <vt:lpstr>'492'!OSRRefP22_11x_0</vt:lpstr>
      <vt:lpstr>'501'!OSRRefP22_11x_0</vt:lpstr>
      <vt:lpstr>'Div 2'!OSRRefP22_11x_0</vt:lpstr>
      <vt:lpstr>'Div 3'!OSRRefP22_11x_0</vt:lpstr>
      <vt:lpstr>'Div 4'!OSRRefP22_11x_0</vt:lpstr>
      <vt:lpstr>'Div 5'!OSRRefP22_11x_0</vt:lpstr>
      <vt:lpstr>Summary!OSRRefP22_11x_0</vt:lpstr>
      <vt:lpstr>'201'!OSRRefP22_12x_0</vt:lpstr>
      <vt:lpstr>'202'!OSRRefP22_12x_0</vt:lpstr>
      <vt:lpstr>'203'!OSRRefP22_12x_0</vt:lpstr>
      <vt:lpstr>'300'!OSRRefP22_12x_0</vt:lpstr>
      <vt:lpstr>'300 &amp; 317'!OSRRefP22_12x_0</vt:lpstr>
      <vt:lpstr>'301'!OSRRefP22_12x_0</vt:lpstr>
      <vt:lpstr>'307'!OSRRefP22_12x_0</vt:lpstr>
      <vt:lpstr>'308'!OSRRefP22_12x_0</vt:lpstr>
      <vt:lpstr>'309'!OSRRefP22_12x_0</vt:lpstr>
      <vt:lpstr>'310'!OSRRefP22_12x_0</vt:lpstr>
      <vt:lpstr>'310 &amp; 491'!OSRRefP22_12x_0</vt:lpstr>
      <vt:lpstr>'311'!OSRRefP22_12x_0</vt:lpstr>
      <vt:lpstr>'315'!OSRRefP22_12x_0</vt:lpstr>
      <vt:lpstr>'321'!OSRRefP22_12x_0</vt:lpstr>
      <vt:lpstr>'325'!OSRRefP22_12x_0</vt:lpstr>
      <vt:lpstr>'326'!OSRRefP22_12x_0</vt:lpstr>
      <vt:lpstr>'331'!OSRRefP22_12x_0</vt:lpstr>
      <vt:lpstr>'333'!OSRRefP22_12x_0</vt:lpstr>
      <vt:lpstr>'405'!OSRRefP22_12x_0</vt:lpstr>
      <vt:lpstr>'411'!OSRRefP22_12x_0</vt:lpstr>
      <vt:lpstr>'415'!OSRRefP22_12x_0</vt:lpstr>
      <vt:lpstr>'418'!OSRRefP22_12x_0</vt:lpstr>
      <vt:lpstr>'433'!OSRRefP22_12x_0</vt:lpstr>
      <vt:lpstr>'444'!OSRRefP22_12x_0</vt:lpstr>
      <vt:lpstr>'450'!OSRRefP22_12x_0</vt:lpstr>
      <vt:lpstr>'491'!OSRRefP22_12x_0</vt:lpstr>
      <vt:lpstr>'492'!OSRRefP22_12x_0</vt:lpstr>
      <vt:lpstr>'501'!OSRRefP22_12x_0</vt:lpstr>
      <vt:lpstr>'Div 2'!OSRRefP22_12x_0</vt:lpstr>
      <vt:lpstr>'Div 3'!OSRRefP22_12x_0</vt:lpstr>
      <vt:lpstr>'Div 4'!OSRRefP22_12x_0</vt:lpstr>
      <vt:lpstr>'Div 5'!OSRRefP22_12x_0</vt:lpstr>
      <vt:lpstr>Summary!OSRRefP22_12x_0</vt:lpstr>
      <vt:lpstr>'201'!OSRRefP22_13x_0</vt:lpstr>
      <vt:lpstr>'203'!OSRRefP22_13x_0</vt:lpstr>
      <vt:lpstr>'300'!OSRRefP22_13x_0</vt:lpstr>
      <vt:lpstr>'300 &amp; 317'!OSRRefP22_13x_0</vt:lpstr>
      <vt:lpstr>'301'!OSRRefP22_13x_0</vt:lpstr>
      <vt:lpstr>'307'!OSRRefP22_13x_0</vt:lpstr>
      <vt:lpstr>'308'!OSRRefP22_13x_0</vt:lpstr>
      <vt:lpstr>'310'!OSRRefP22_13x_0</vt:lpstr>
      <vt:lpstr>'310 &amp; 491'!OSRRefP22_13x_0</vt:lpstr>
      <vt:lpstr>'311'!OSRRefP22_13x_0</vt:lpstr>
      <vt:lpstr>'315'!OSRRefP22_13x_0</vt:lpstr>
      <vt:lpstr>'325'!OSRRefP22_13x_0</vt:lpstr>
      <vt:lpstr>'326'!OSRRefP22_13x_0</vt:lpstr>
      <vt:lpstr>'331'!OSRRefP22_13x_0</vt:lpstr>
      <vt:lpstr>'333'!OSRRefP22_13x_0</vt:lpstr>
      <vt:lpstr>'405'!OSRRefP22_13x_0</vt:lpstr>
      <vt:lpstr>'411'!OSRRefP22_13x_0</vt:lpstr>
      <vt:lpstr>'415'!OSRRefP22_13x_0</vt:lpstr>
      <vt:lpstr>'418'!OSRRefP22_13x_0</vt:lpstr>
      <vt:lpstr>'433'!OSRRefP22_13x_0</vt:lpstr>
      <vt:lpstr>'444'!OSRRefP22_13x_0</vt:lpstr>
      <vt:lpstr>'450'!OSRRefP22_13x_0</vt:lpstr>
      <vt:lpstr>'491'!OSRRefP22_13x_0</vt:lpstr>
      <vt:lpstr>'492'!OSRRefP22_13x_0</vt:lpstr>
      <vt:lpstr>'501'!OSRRefP22_13x_0</vt:lpstr>
      <vt:lpstr>'Div 2'!OSRRefP22_13x_0</vt:lpstr>
      <vt:lpstr>'Div 3'!OSRRefP22_13x_0</vt:lpstr>
      <vt:lpstr>'Div 4'!OSRRefP22_13x_0</vt:lpstr>
      <vt:lpstr>'Div 5'!OSRRefP22_13x_0</vt:lpstr>
      <vt:lpstr>Summary!OSRRefP22_13x_0</vt:lpstr>
      <vt:lpstr>'201'!OSRRefP22_14x_0</vt:lpstr>
      <vt:lpstr>'203'!OSRRefP22_14x_0</vt:lpstr>
      <vt:lpstr>'300'!OSRRefP22_14x_0</vt:lpstr>
      <vt:lpstr>'300 &amp; 317'!OSRRefP22_14x_0</vt:lpstr>
      <vt:lpstr>'301'!OSRRefP22_14x_0</vt:lpstr>
      <vt:lpstr>'310'!OSRRefP22_14x_0</vt:lpstr>
      <vt:lpstr>'310 &amp; 491'!OSRRefP22_14x_0</vt:lpstr>
      <vt:lpstr>'315'!OSRRefP22_14x_0</vt:lpstr>
      <vt:lpstr>'325'!OSRRefP22_14x_0</vt:lpstr>
      <vt:lpstr>'326'!OSRRefP22_14x_0</vt:lpstr>
      <vt:lpstr>'331'!OSRRefP22_14x_0</vt:lpstr>
      <vt:lpstr>'333'!OSRRefP22_14x_0</vt:lpstr>
      <vt:lpstr>'405'!OSRRefP22_14x_0</vt:lpstr>
      <vt:lpstr>'411'!OSRRefP22_14x_0</vt:lpstr>
      <vt:lpstr>'415'!OSRRefP22_14x_0</vt:lpstr>
      <vt:lpstr>'418'!OSRRefP22_14x_0</vt:lpstr>
      <vt:lpstr>'433'!OSRRefP22_14x_0</vt:lpstr>
      <vt:lpstr>'444'!OSRRefP22_14x_0</vt:lpstr>
      <vt:lpstr>'450'!OSRRefP22_14x_0</vt:lpstr>
      <vt:lpstr>'491'!OSRRefP22_14x_0</vt:lpstr>
      <vt:lpstr>'492'!OSRRefP22_14x_0</vt:lpstr>
      <vt:lpstr>'Div 2'!OSRRefP22_14x_0</vt:lpstr>
      <vt:lpstr>'Div 3'!OSRRefP22_14x_0</vt:lpstr>
      <vt:lpstr>'Div 4'!OSRRefP22_14x_0</vt:lpstr>
      <vt:lpstr>Summary!OSRRefP22_14x_0</vt:lpstr>
      <vt:lpstr>'201'!OSRRefP22_15x_0</vt:lpstr>
      <vt:lpstr>'300'!OSRRefP22_15x_0</vt:lpstr>
      <vt:lpstr>'300 &amp; 317'!OSRRefP22_15x_0</vt:lpstr>
      <vt:lpstr>'301'!OSRRefP22_15x_0</vt:lpstr>
      <vt:lpstr>'310'!OSRRefP22_15x_0</vt:lpstr>
      <vt:lpstr>'310 &amp; 491'!OSRRefP22_15x_0</vt:lpstr>
      <vt:lpstr>'315'!OSRRefP22_15x_0</vt:lpstr>
      <vt:lpstr>'325'!OSRRefP22_15x_0</vt:lpstr>
      <vt:lpstr>'326'!OSRRefP22_15x_0</vt:lpstr>
      <vt:lpstr>'331'!OSRRefP22_15x_0</vt:lpstr>
      <vt:lpstr>'333'!OSRRefP22_15x_0</vt:lpstr>
      <vt:lpstr>'405'!OSRRefP22_15x_0</vt:lpstr>
      <vt:lpstr>'411'!OSRRefP22_15x_0</vt:lpstr>
      <vt:lpstr>'415'!OSRRefP22_15x_0</vt:lpstr>
      <vt:lpstr>'418'!OSRRefP22_15x_0</vt:lpstr>
      <vt:lpstr>'433'!OSRRefP22_15x_0</vt:lpstr>
      <vt:lpstr>'444'!OSRRefP22_15x_0</vt:lpstr>
      <vt:lpstr>'450'!OSRRefP22_15x_0</vt:lpstr>
      <vt:lpstr>'491'!OSRRefP22_15x_0</vt:lpstr>
      <vt:lpstr>'492'!OSRRefP22_15x_0</vt:lpstr>
      <vt:lpstr>'Div 2'!OSRRefP22_15x_0</vt:lpstr>
      <vt:lpstr>'Div 3'!OSRRefP22_15x_0</vt:lpstr>
      <vt:lpstr>'Div 4'!OSRRefP22_15x_0</vt:lpstr>
      <vt:lpstr>Summary!OSRRefP22_15x_0</vt:lpstr>
      <vt:lpstr>'300'!OSRRefP22_16x_0</vt:lpstr>
      <vt:lpstr>'300 &amp; 317'!OSRRefP22_16x_0</vt:lpstr>
      <vt:lpstr>'301'!OSRRefP22_16x_0</vt:lpstr>
      <vt:lpstr>'310'!OSRRefP22_16x_0</vt:lpstr>
      <vt:lpstr>'310 &amp; 491'!OSRRefP22_16x_0</vt:lpstr>
      <vt:lpstr>'315'!OSRRefP22_16x_0</vt:lpstr>
      <vt:lpstr>'325'!OSRRefP22_16x_0</vt:lpstr>
      <vt:lpstr>'326'!OSRRefP22_16x_0</vt:lpstr>
      <vt:lpstr>'331'!OSRRefP22_16x_0</vt:lpstr>
      <vt:lpstr>'333'!OSRRefP22_16x_0</vt:lpstr>
      <vt:lpstr>'405'!OSRRefP22_16x_0</vt:lpstr>
      <vt:lpstr>'415'!OSRRefP22_16x_0</vt:lpstr>
      <vt:lpstr>'444'!OSRRefP22_16x_0</vt:lpstr>
      <vt:lpstr>'450'!OSRRefP22_16x_0</vt:lpstr>
      <vt:lpstr>'491'!OSRRefP22_16x_0</vt:lpstr>
      <vt:lpstr>'492'!OSRRefP22_16x_0</vt:lpstr>
      <vt:lpstr>'Div 2'!OSRRefP22_16x_0</vt:lpstr>
      <vt:lpstr>'Div 3'!OSRRefP22_16x_0</vt:lpstr>
      <vt:lpstr>'Div 4'!OSRRefP22_16x_0</vt:lpstr>
      <vt:lpstr>Summary!OSRRefP22_16x_0</vt:lpstr>
      <vt:lpstr>'300'!OSRRefP22_17x_0</vt:lpstr>
      <vt:lpstr>'300 &amp; 317'!OSRRefP22_17x_0</vt:lpstr>
      <vt:lpstr>'301'!OSRRefP22_17x_0</vt:lpstr>
      <vt:lpstr>'310'!OSRRefP22_17x_0</vt:lpstr>
      <vt:lpstr>'310 &amp; 491'!OSRRefP22_17x_0</vt:lpstr>
      <vt:lpstr>'315'!OSRRefP22_17x_0</vt:lpstr>
      <vt:lpstr>'326'!OSRRefP22_17x_0</vt:lpstr>
      <vt:lpstr>'331'!OSRRefP22_17x_0</vt:lpstr>
      <vt:lpstr>'333'!OSRRefP22_17x_0</vt:lpstr>
      <vt:lpstr>'415'!OSRRefP22_17x_0</vt:lpstr>
      <vt:lpstr>'491'!OSRRefP22_17x_0</vt:lpstr>
      <vt:lpstr>'492'!OSRRefP22_17x_0</vt:lpstr>
      <vt:lpstr>'Div 2'!OSRRefP22_17x_0</vt:lpstr>
      <vt:lpstr>'Div 3'!OSRRefP22_17x_0</vt:lpstr>
      <vt:lpstr>'Div 4'!OSRRefP22_17x_0</vt:lpstr>
      <vt:lpstr>Summary!OSRRefP22_17x_0</vt:lpstr>
      <vt:lpstr>'300'!OSRRefP22_18x_0</vt:lpstr>
      <vt:lpstr>'300 &amp; 317'!OSRRefP22_18x_0</vt:lpstr>
      <vt:lpstr>'301'!OSRRefP22_18x_0</vt:lpstr>
      <vt:lpstr>'310 &amp; 491'!OSRRefP22_18x_0</vt:lpstr>
      <vt:lpstr>'315'!OSRRefP22_18x_0</vt:lpstr>
      <vt:lpstr>'331'!OSRRefP22_18x_0</vt:lpstr>
      <vt:lpstr>'333'!OSRRefP22_18x_0</vt:lpstr>
      <vt:lpstr>'491'!OSRRefP22_18x_0</vt:lpstr>
      <vt:lpstr>'492'!OSRRefP22_18x_0</vt:lpstr>
      <vt:lpstr>'Div 2'!OSRRefP22_18x_0</vt:lpstr>
      <vt:lpstr>'Div 3'!OSRRefP22_18x_0</vt:lpstr>
      <vt:lpstr>'Div 4'!OSRRefP22_18x_0</vt:lpstr>
      <vt:lpstr>Summary!OSRRefP22_18x_0</vt:lpstr>
      <vt:lpstr>'300'!OSRRefP22_19x_0</vt:lpstr>
      <vt:lpstr>'300 &amp; 317'!OSRRefP22_19x_0</vt:lpstr>
      <vt:lpstr>'301'!OSRRefP22_19x_0</vt:lpstr>
      <vt:lpstr>'310 &amp; 491'!OSRRefP22_19x_0</vt:lpstr>
      <vt:lpstr>'331'!OSRRefP22_19x_0</vt:lpstr>
      <vt:lpstr>'333'!OSRRefP22_19x_0</vt:lpstr>
      <vt:lpstr>'491'!OSRRefP22_19x_0</vt:lpstr>
      <vt:lpstr>'Div 2'!OSRRefP22_19x_0</vt:lpstr>
      <vt:lpstr>'Div 3'!OSRRefP22_19x_0</vt:lpstr>
      <vt:lpstr>'Div 4'!OSRRefP22_19x_0</vt:lpstr>
      <vt:lpstr>Summary!OSRRefP22_19x_0</vt:lpstr>
      <vt:lpstr>'200'!OSRRefP22_1x_0</vt:lpstr>
      <vt:lpstr>'201'!OSRRefP22_1x_0</vt:lpstr>
      <vt:lpstr>'202'!OSRRefP22_1x_0</vt:lpstr>
      <vt:lpstr>'203'!OSRRefP22_1x_0</vt:lpstr>
      <vt:lpstr>'204'!OSRRefP22_1x_0</vt:lpstr>
      <vt:lpstr>'205'!OSRRefP22_1x_0</vt:lpstr>
      <vt:lpstr>'206'!OSRRefP22_1x_0</vt:lpstr>
      <vt:lpstr>'300'!OSRRefP22_1x_0</vt:lpstr>
      <vt:lpstr>'300 &amp; 317'!OSRRefP22_1x_0</vt:lpstr>
      <vt:lpstr>'301'!OSRRefP22_1x_0</vt:lpstr>
      <vt:lpstr>'307'!OSRRefP22_1x_0</vt:lpstr>
      <vt:lpstr>'308'!OSRRefP22_1x_0</vt:lpstr>
      <vt:lpstr>'309'!OSRRefP22_1x_0</vt:lpstr>
      <vt:lpstr>'310'!OSRRefP22_1x_0</vt:lpstr>
      <vt:lpstr>'310 &amp; 491'!OSRRefP22_1x_0</vt:lpstr>
      <vt:lpstr>'311'!OSRRefP22_1x_0</vt:lpstr>
      <vt:lpstr>'315'!OSRRefP22_1x_0</vt:lpstr>
      <vt:lpstr>'316'!OSRRefP22_1x_0</vt:lpstr>
      <vt:lpstr>'317'!OSRRefP22_1x_0</vt:lpstr>
      <vt:lpstr>'321'!OSRRefP22_1x_0</vt:lpstr>
      <vt:lpstr>'325'!OSRRefP22_1x_0</vt:lpstr>
      <vt:lpstr>'326'!OSRRefP22_1x_0</vt:lpstr>
      <vt:lpstr>'327'!OSRRefP22_1x_0</vt:lpstr>
      <vt:lpstr>'331'!OSRRefP22_1x_0</vt:lpstr>
      <vt:lpstr>'332'!OSRRefP22_1x_0</vt:lpstr>
      <vt:lpstr>'333'!OSRRefP22_1x_0</vt:lpstr>
      <vt:lpstr>'405'!OSRRefP22_1x_0</vt:lpstr>
      <vt:lpstr>'406'!OSRRefP22_1x_0</vt:lpstr>
      <vt:lpstr>'411'!OSRRefP22_1x_0</vt:lpstr>
      <vt:lpstr>'412'!OSRRefP22_1x_0</vt:lpstr>
      <vt:lpstr>'413'!OSRRefP22_1x_0</vt:lpstr>
      <vt:lpstr>'414'!OSRRefP22_1x_0</vt:lpstr>
      <vt:lpstr>'415'!OSRRefP22_1x_0</vt:lpstr>
      <vt:lpstr>'418'!OSRRefP22_1x_0</vt:lpstr>
      <vt:lpstr>'423'!OSRRefP22_1x_0</vt:lpstr>
      <vt:lpstr>'424'!OSRRefP22_1x_0</vt:lpstr>
      <vt:lpstr>'425'!OSRRefP22_1x_0</vt:lpstr>
      <vt:lpstr>'430'!OSRRefP22_1x_0</vt:lpstr>
      <vt:lpstr>'433'!OSRRefP22_1x_0</vt:lpstr>
      <vt:lpstr>'435'!OSRRefP22_1x_0</vt:lpstr>
      <vt:lpstr>'444'!OSRRefP22_1x_0</vt:lpstr>
      <vt:lpstr>'450'!OSRRefP22_1x_0</vt:lpstr>
      <vt:lpstr>'491'!OSRRefP22_1x_0</vt:lpstr>
      <vt:lpstr>'492'!OSRRefP22_1x_0</vt:lpstr>
      <vt:lpstr>'501'!OSRRefP22_1x_0</vt:lpstr>
      <vt:lpstr>'Div 2'!OSRRefP22_1x_0</vt:lpstr>
      <vt:lpstr>'Div 3'!OSRRefP22_1x_0</vt:lpstr>
      <vt:lpstr>'Div 4'!OSRRefP22_1x_0</vt:lpstr>
      <vt:lpstr>'Div 5'!OSRRefP22_1x_0</vt:lpstr>
      <vt:lpstr>'Div 6'!OSRRefP22_1x_0</vt:lpstr>
      <vt:lpstr>Summary!OSRRefP22_1x_0</vt:lpstr>
      <vt:lpstr>'300'!OSRRefP22_20x_0</vt:lpstr>
      <vt:lpstr>'300 &amp; 317'!OSRRefP22_20x_0</vt:lpstr>
      <vt:lpstr>'301'!OSRRefP22_20x_0</vt:lpstr>
      <vt:lpstr>'310 &amp; 491'!OSRRefP22_20x_0</vt:lpstr>
      <vt:lpstr>'331'!OSRRefP22_20x_0</vt:lpstr>
      <vt:lpstr>'333'!OSRRefP22_20x_0</vt:lpstr>
      <vt:lpstr>'491'!OSRRefP22_20x_0</vt:lpstr>
      <vt:lpstr>'Div 3'!OSRRefP22_20x_0</vt:lpstr>
      <vt:lpstr>'Div 4'!OSRRefP22_20x_0</vt:lpstr>
      <vt:lpstr>Summary!OSRRefP22_20x_0</vt:lpstr>
      <vt:lpstr>'300'!OSRRefP22_21x_0</vt:lpstr>
      <vt:lpstr>'300 &amp; 317'!OSRRefP22_21x_0</vt:lpstr>
      <vt:lpstr>'301'!OSRRefP22_21x_0</vt:lpstr>
      <vt:lpstr>'331'!OSRRefP22_21x_0</vt:lpstr>
      <vt:lpstr>'333'!OSRRefP22_21x_0</vt:lpstr>
      <vt:lpstr>'Div 3'!OSRRefP22_21x_0</vt:lpstr>
      <vt:lpstr>'Div 4'!OSRRefP22_21x_0</vt:lpstr>
      <vt:lpstr>Summary!OSRRefP22_21x_0</vt:lpstr>
      <vt:lpstr>'300'!OSRRefP22_22x_0</vt:lpstr>
      <vt:lpstr>'300 &amp; 317'!OSRRefP22_22x_0</vt:lpstr>
      <vt:lpstr>'301'!OSRRefP22_22x_0</vt:lpstr>
      <vt:lpstr>'331'!OSRRefP22_22x_0</vt:lpstr>
      <vt:lpstr>'333'!OSRRefP22_22x_0</vt:lpstr>
      <vt:lpstr>'Div 3'!OSRRefP22_22x_0</vt:lpstr>
      <vt:lpstr>'Div 4'!OSRRefP22_22x_0</vt:lpstr>
      <vt:lpstr>Summary!OSRRefP22_22x_0</vt:lpstr>
      <vt:lpstr>'300'!OSRRefP22_23x_0</vt:lpstr>
      <vt:lpstr>'300 &amp; 317'!OSRRefP22_23x_0</vt:lpstr>
      <vt:lpstr>'Div 3'!OSRRefP22_23x_0</vt:lpstr>
      <vt:lpstr>Summary!OSRRefP22_23x_0</vt:lpstr>
      <vt:lpstr>'300'!OSRRefP22_24x_0</vt:lpstr>
      <vt:lpstr>'300 &amp; 317'!OSRRefP22_24x_0</vt:lpstr>
      <vt:lpstr>'Div 3'!OSRRefP22_24x_0</vt:lpstr>
      <vt:lpstr>Summary!OSRRefP22_24x_0</vt:lpstr>
      <vt:lpstr>'Div 3'!OSRRefP22_25x_0</vt:lpstr>
      <vt:lpstr>Summary!OSRRefP22_25x_0</vt:lpstr>
      <vt:lpstr>Summary!OSRRefP22_26x_0</vt:lpstr>
      <vt:lpstr>'200'!OSRRefP22_2x_0</vt:lpstr>
      <vt:lpstr>'201'!OSRRefP22_2x_0</vt:lpstr>
      <vt:lpstr>'202'!OSRRefP22_2x_0</vt:lpstr>
      <vt:lpstr>'203'!OSRRefP22_2x_0</vt:lpstr>
      <vt:lpstr>'204'!OSRRefP22_2x_0</vt:lpstr>
      <vt:lpstr>'205'!OSRRefP22_2x_0</vt:lpstr>
      <vt:lpstr>'206'!OSRRefP22_2x_0</vt:lpstr>
      <vt:lpstr>'300'!OSRRefP22_2x_0</vt:lpstr>
      <vt:lpstr>'300 &amp; 317'!OSRRefP22_2x_0</vt:lpstr>
      <vt:lpstr>'301'!OSRRefP22_2x_0</vt:lpstr>
      <vt:lpstr>'307'!OSRRefP22_2x_0</vt:lpstr>
      <vt:lpstr>'308'!OSRRefP22_2x_0</vt:lpstr>
      <vt:lpstr>'309'!OSRRefP22_2x_0</vt:lpstr>
      <vt:lpstr>'310'!OSRRefP22_2x_0</vt:lpstr>
      <vt:lpstr>'310 &amp; 491'!OSRRefP22_2x_0</vt:lpstr>
      <vt:lpstr>'311'!OSRRefP22_2x_0</vt:lpstr>
      <vt:lpstr>'315'!OSRRefP22_2x_0</vt:lpstr>
      <vt:lpstr>'316'!OSRRefP22_2x_0</vt:lpstr>
      <vt:lpstr>'317'!OSRRefP22_2x_0</vt:lpstr>
      <vt:lpstr>'321'!OSRRefP22_2x_0</vt:lpstr>
      <vt:lpstr>'325'!OSRRefP22_2x_0</vt:lpstr>
      <vt:lpstr>'326'!OSRRefP22_2x_0</vt:lpstr>
      <vt:lpstr>'331'!OSRRefP22_2x_0</vt:lpstr>
      <vt:lpstr>'332'!OSRRefP22_2x_0</vt:lpstr>
      <vt:lpstr>'333'!OSRRefP22_2x_0</vt:lpstr>
      <vt:lpstr>'405'!OSRRefP22_2x_0</vt:lpstr>
      <vt:lpstr>'411'!OSRRefP22_2x_0</vt:lpstr>
      <vt:lpstr>'412'!OSRRefP22_2x_0</vt:lpstr>
      <vt:lpstr>'413'!OSRRefP22_2x_0</vt:lpstr>
      <vt:lpstr>'414'!OSRRefP22_2x_0</vt:lpstr>
      <vt:lpstr>'415'!OSRRefP22_2x_0</vt:lpstr>
      <vt:lpstr>'418'!OSRRefP22_2x_0</vt:lpstr>
      <vt:lpstr>'423'!OSRRefP22_2x_0</vt:lpstr>
      <vt:lpstr>'424'!OSRRefP22_2x_0</vt:lpstr>
      <vt:lpstr>'425'!OSRRefP22_2x_0</vt:lpstr>
      <vt:lpstr>'430'!OSRRefP22_2x_0</vt:lpstr>
      <vt:lpstr>'433'!OSRRefP22_2x_0</vt:lpstr>
      <vt:lpstr>'444'!OSRRefP22_2x_0</vt:lpstr>
      <vt:lpstr>'450'!OSRRefP22_2x_0</vt:lpstr>
      <vt:lpstr>'491'!OSRRefP22_2x_0</vt:lpstr>
      <vt:lpstr>'492'!OSRRefP22_2x_0</vt:lpstr>
      <vt:lpstr>'501'!OSRRefP22_2x_0</vt:lpstr>
      <vt:lpstr>'Div 2'!OSRRefP22_2x_0</vt:lpstr>
      <vt:lpstr>'Div 3'!OSRRefP22_2x_0</vt:lpstr>
      <vt:lpstr>'Div 4'!OSRRefP22_2x_0</vt:lpstr>
      <vt:lpstr>'Div 5'!OSRRefP22_2x_0</vt:lpstr>
      <vt:lpstr>'Div 6'!OSRRefP22_2x_0</vt:lpstr>
      <vt:lpstr>Summary!OSRRefP22_2x_0</vt:lpstr>
      <vt:lpstr>'200'!OSRRefP22_3x_0</vt:lpstr>
      <vt:lpstr>'201'!OSRRefP22_3x_0</vt:lpstr>
      <vt:lpstr>'202'!OSRRefP22_3x_0</vt:lpstr>
      <vt:lpstr>'203'!OSRRefP22_3x_0</vt:lpstr>
      <vt:lpstr>'204'!OSRRefP22_3x_0</vt:lpstr>
      <vt:lpstr>'205'!OSRRefP22_3x_0</vt:lpstr>
      <vt:lpstr>'206'!OSRRefP22_3x_0</vt:lpstr>
      <vt:lpstr>'300'!OSRRefP22_3x_0</vt:lpstr>
      <vt:lpstr>'300 &amp; 317'!OSRRefP22_3x_0</vt:lpstr>
      <vt:lpstr>'301'!OSRRefP22_3x_0</vt:lpstr>
      <vt:lpstr>'307'!OSRRefP22_3x_0</vt:lpstr>
      <vt:lpstr>'308'!OSRRefP22_3x_0</vt:lpstr>
      <vt:lpstr>'309'!OSRRefP22_3x_0</vt:lpstr>
      <vt:lpstr>'310'!OSRRefP22_3x_0</vt:lpstr>
      <vt:lpstr>'310 &amp; 491'!OSRRefP22_3x_0</vt:lpstr>
      <vt:lpstr>'311'!OSRRefP22_3x_0</vt:lpstr>
      <vt:lpstr>'315'!OSRRefP22_3x_0</vt:lpstr>
      <vt:lpstr>'316'!OSRRefP22_3x_0</vt:lpstr>
      <vt:lpstr>'317'!OSRRefP22_3x_0</vt:lpstr>
      <vt:lpstr>'321'!OSRRefP22_3x_0</vt:lpstr>
      <vt:lpstr>'325'!OSRRefP22_3x_0</vt:lpstr>
      <vt:lpstr>'326'!OSRRefP22_3x_0</vt:lpstr>
      <vt:lpstr>'331'!OSRRefP22_3x_0</vt:lpstr>
      <vt:lpstr>'332'!OSRRefP22_3x_0</vt:lpstr>
      <vt:lpstr>'333'!OSRRefP22_3x_0</vt:lpstr>
      <vt:lpstr>'405'!OSRRefP22_3x_0</vt:lpstr>
      <vt:lpstr>'411'!OSRRefP22_3x_0</vt:lpstr>
      <vt:lpstr>'412'!OSRRefP22_3x_0</vt:lpstr>
      <vt:lpstr>'415'!OSRRefP22_3x_0</vt:lpstr>
      <vt:lpstr>'418'!OSRRefP22_3x_0</vt:lpstr>
      <vt:lpstr>'423'!OSRRefP22_3x_0</vt:lpstr>
      <vt:lpstr>'425'!OSRRefP22_3x_0</vt:lpstr>
      <vt:lpstr>'430'!OSRRefP22_3x_0</vt:lpstr>
      <vt:lpstr>'433'!OSRRefP22_3x_0</vt:lpstr>
      <vt:lpstr>'444'!OSRRefP22_3x_0</vt:lpstr>
      <vt:lpstr>'450'!OSRRefP22_3x_0</vt:lpstr>
      <vt:lpstr>'491'!OSRRefP22_3x_0</vt:lpstr>
      <vt:lpstr>'492'!OSRRefP22_3x_0</vt:lpstr>
      <vt:lpstr>'501'!OSRRefP22_3x_0</vt:lpstr>
      <vt:lpstr>'Div 2'!OSRRefP22_3x_0</vt:lpstr>
      <vt:lpstr>'Div 3'!OSRRefP22_3x_0</vt:lpstr>
      <vt:lpstr>'Div 4'!OSRRefP22_3x_0</vt:lpstr>
      <vt:lpstr>'Div 5'!OSRRefP22_3x_0</vt:lpstr>
      <vt:lpstr>'Div 6'!OSRRefP22_3x_0</vt:lpstr>
      <vt:lpstr>Summary!OSRRefP22_3x_0</vt:lpstr>
      <vt:lpstr>'201'!OSRRefP22_4x_0</vt:lpstr>
      <vt:lpstr>'202'!OSRRefP22_4x_0</vt:lpstr>
      <vt:lpstr>'203'!OSRRefP22_4x_0</vt:lpstr>
      <vt:lpstr>'204'!OSRRefP22_4x_0</vt:lpstr>
      <vt:lpstr>'205'!OSRRefP22_4x_0</vt:lpstr>
      <vt:lpstr>'206'!OSRRefP22_4x_0</vt:lpstr>
      <vt:lpstr>'300'!OSRRefP22_4x_0</vt:lpstr>
      <vt:lpstr>'300 &amp; 317'!OSRRefP22_4x_0</vt:lpstr>
      <vt:lpstr>'301'!OSRRefP22_4x_0</vt:lpstr>
      <vt:lpstr>'307'!OSRRefP22_4x_0</vt:lpstr>
      <vt:lpstr>'308'!OSRRefP22_4x_0</vt:lpstr>
      <vt:lpstr>'309'!OSRRefP22_4x_0</vt:lpstr>
      <vt:lpstr>'310'!OSRRefP22_4x_0</vt:lpstr>
      <vt:lpstr>'310 &amp; 491'!OSRRefP22_4x_0</vt:lpstr>
      <vt:lpstr>'311'!OSRRefP22_4x_0</vt:lpstr>
      <vt:lpstr>'315'!OSRRefP22_4x_0</vt:lpstr>
      <vt:lpstr>'316'!OSRRefP22_4x_0</vt:lpstr>
      <vt:lpstr>'317'!OSRRefP22_4x_0</vt:lpstr>
      <vt:lpstr>'321'!OSRRefP22_4x_0</vt:lpstr>
      <vt:lpstr>'325'!OSRRefP22_4x_0</vt:lpstr>
      <vt:lpstr>'326'!OSRRefP22_4x_0</vt:lpstr>
      <vt:lpstr>'331'!OSRRefP22_4x_0</vt:lpstr>
      <vt:lpstr>'332'!OSRRefP22_4x_0</vt:lpstr>
      <vt:lpstr>'333'!OSRRefP22_4x_0</vt:lpstr>
      <vt:lpstr>'405'!OSRRefP22_4x_0</vt:lpstr>
      <vt:lpstr>'411'!OSRRefP22_4x_0</vt:lpstr>
      <vt:lpstr>'415'!OSRRefP22_4x_0</vt:lpstr>
      <vt:lpstr>'418'!OSRRefP22_4x_0</vt:lpstr>
      <vt:lpstr>'423'!OSRRefP22_4x_0</vt:lpstr>
      <vt:lpstr>'425'!OSRRefP22_4x_0</vt:lpstr>
      <vt:lpstr>'430'!OSRRefP22_4x_0</vt:lpstr>
      <vt:lpstr>'433'!OSRRefP22_4x_0</vt:lpstr>
      <vt:lpstr>'444'!OSRRefP22_4x_0</vt:lpstr>
      <vt:lpstr>'450'!OSRRefP22_4x_0</vt:lpstr>
      <vt:lpstr>'491'!OSRRefP22_4x_0</vt:lpstr>
      <vt:lpstr>'492'!OSRRefP22_4x_0</vt:lpstr>
      <vt:lpstr>'501'!OSRRefP22_4x_0</vt:lpstr>
      <vt:lpstr>'Div 2'!OSRRefP22_4x_0</vt:lpstr>
      <vt:lpstr>'Div 3'!OSRRefP22_4x_0</vt:lpstr>
      <vt:lpstr>'Div 4'!OSRRefP22_4x_0</vt:lpstr>
      <vt:lpstr>'Div 5'!OSRRefP22_4x_0</vt:lpstr>
      <vt:lpstr>'Div 6'!OSRRefP22_4x_0</vt:lpstr>
      <vt:lpstr>Summary!OSRRefP22_4x_0</vt:lpstr>
      <vt:lpstr>'201'!OSRRefP22_5x_0</vt:lpstr>
      <vt:lpstr>'202'!OSRRefP22_5x_0</vt:lpstr>
      <vt:lpstr>'203'!OSRRefP22_5x_0</vt:lpstr>
      <vt:lpstr>'204'!OSRRefP22_5x_0</vt:lpstr>
      <vt:lpstr>'205'!OSRRefP22_5x_0</vt:lpstr>
      <vt:lpstr>'206'!OSRRefP22_5x_0</vt:lpstr>
      <vt:lpstr>'300'!OSRRefP22_5x_0</vt:lpstr>
      <vt:lpstr>'300 &amp; 317'!OSRRefP22_5x_0</vt:lpstr>
      <vt:lpstr>'301'!OSRRefP22_5x_0</vt:lpstr>
      <vt:lpstr>'307'!OSRRefP22_5x_0</vt:lpstr>
      <vt:lpstr>'308'!OSRRefP22_5x_0</vt:lpstr>
      <vt:lpstr>'309'!OSRRefP22_5x_0</vt:lpstr>
      <vt:lpstr>'310'!OSRRefP22_5x_0</vt:lpstr>
      <vt:lpstr>'310 &amp; 491'!OSRRefP22_5x_0</vt:lpstr>
      <vt:lpstr>'311'!OSRRefP22_5x_0</vt:lpstr>
      <vt:lpstr>'315'!OSRRefP22_5x_0</vt:lpstr>
      <vt:lpstr>'316'!OSRRefP22_5x_0</vt:lpstr>
      <vt:lpstr>'317'!OSRRefP22_5x_0</vt:lpstr>
      <vt:lpstr>'321'!OSRRefP22_5x_0</vt:lpstr>
      <vt:lpstr>'325'!OSRRefP22_5x_0</vt:lpstr>
      <vt:lpstr>'326'!OSRRefP22_5x_0</vt:lpstr>
      <vt:lpstr>'331'!OSRRefP22_5x_0</vt:lpstr>
      <vt:lpstr>'332'!OSRRefP22_5x_0</vt:lpstr>
      <vt:lpstr>'333'!OSRRefP22_5x_0</vt:lpstr>
      <vt:lpstr>'405'!OSRRefP22_5x_0</vt:lpstr>
      <vt:lpstr>'411'!OSRRefP22_5x_0</vt:lpstr>
      <vt:lpstr>'415'!OSRRefP22_5x_0</vt:lpstr>
      <vt:lpstr>'418'!OSRRefP22_5x_0</vt:lpstr>
      <vt:lpstr>'423'!OSRRefP22_5x_0</vt:lpstr>
      <vt:lpstr>'425'!OSRRefP22_5x_0</vt:lpstr>
      <vt:lpstr>'430'!OSRRefP22_5x_0</vt:lpstr>
      <vt:lpstr>'433'!OSRRefP22_5x_0</vt:lpstr>
      <vt:lpstr>'444'!OSRRefP22_5x_0</vt:lpstr>
      <vt:lpstr>'450'!OSRRefP22_5x_0</vt:lpstr>
      <vt:lpstr>'491'!OSRRefP22_5x_0</vt:lpstr>
      <vt:lpstr>'492'!OSRRefP22_5x_0</vt:lpstr>
      <vt:lpstr>'501'!OSRRefP22_5x_0</vt:lpstr>
      <vt:lpstr>'Div 2'!OSRRefP22_5x_0</vt:lpstr>
      <vt:lpstr>'Div 3'!OSRRefP22_5x_0</vt:lpstr>
      <vt:lpstr>'Div 4'!OSRRefP22_5x_0</vt:lpstr>
      <vt:lpstr>'Div 5'!OSRRefP22_5x_0</vt:lpstr>
      <vt:lpstr>'Div 6'!OSRRefP22_5x_0</vt:lpstr>
      <vt:lpstr>Summary!OSRRefP22_5x_0</vt:lpstr>
      <vt:lpstr>'201'!OSRRefP22_6x_0</vt:lpstr>
      <vt:lpstr>'202'!OSRRefP22_6x_0</vt:lpstr>
      <vt:lpstr>'203'!OSRRefP22_6x_0</vt:lpstr>
      <vt:lpstr>'204'!OSRRefP22_6x_0</vt:lpstr>
      <vt:lpstr>'205'!OSRRefP22_6x_0</vt:lpstr>
      <vt:lpstr>'206'!OSRRefP22_6x_0</vt:lpstr>
      <vt:lpstr>'300'!OSRRefP22_6x_0</vt:lpstr>
      <vt:lpstr>'300 &amp; 317'!OSRRefP22_6x_0</vt:lpstr>
      <vt:lpstr>'301'!OSRRefP22_6x_0</vt:lpstr>
      <vt:lpstr>'307'!OSRRefP22_6x_0</vt:lpstr>
      <vt:lpstr>'308'!OSRRefP22_6x_0</vt:lpstr>
      <vt:lpstr>'309'!OSRRefP22_6x_0</vt:lpstr>
      <vt:lpstr>'310'!OSRRefP22_6x_0</vt:lpstr>
      <vt:lpstr>'310 &amp; 491'!OSRRefP22_6x_0</vt:lpstr>
      <vt:lpstr>'311'!OSRRefP22_6x_0</vt:lpstr>
      <vt:lpstr>'315'!OSRRefP22_6x_0</vt:lpstr>
      <vt:lpstr>'316'!OSRRefP22_6x_0</vt:lpstr>
      <vt:lpstr>'317'!OSRRefP22_6x_0</vt:lpstr>
      <vt:lpstr>'321'!OSRRefP22_6x_0</vt:lpstr>
      <vt:lpstr>'325'!OSRRefP22_6x_0</vt:lpstr>
      <vt:lpstr>'326'!OSRRefP22_6x_0</vt:lpstr>
      <vt:lpstr>'331'!OSRRefP22_6x_0</vt:lpstr>
      <vt:lpstr>'332'!OSRRefP22_6x_0</vt:lpstr>
      <vt:lpstr>'333'!OSRRefP22_6x_0</vt:lpstr>
      <vt:lpstr>'405'!OSRRefP22_6x_0</vt:lpstr>
      <vt:lpstr>'411'!OSRRefP22_6x_0</vt:lpstr>
      <vt:lpstr>'415'!OSRRefP22_6x_0</vt:lpstr>
      <vt:lpstr>'418'!OSRRefP22_6x_0</vt:lpstr>
      <vt:lpstr>'430'!OSRRefP22_6x_0</vt:lpstr>
      <vt:lpstr>'433'!OSRRefP22_6x_0</vt:lpstr>
      <vt:lpstr>'444'!OSRRefP22_6x_0</vt:lpstr>
      <vt:lpstr>'450'!OSRRefP22_6x_0</vt:lpstr>
      <vt:lpstr>'491'!OSRRefP22_6x_0</vt:lpstr>
      <vt:lpstr>'492'!OSRRefP22_6x_0</vt:lpstr>
      <vt:lpstr>'501'!OSRRefP22_6x_0</vt:lpstr>
      <vt:lpstr>'Div 2'!OSRRefP22_6x_0</vt:lpstr>
      <vt:lpstr>'Div 3'!OSRRefP22_6x_0</vt:lpstr>
      <vt:lpstr>'Div 4'!OSRRefP22_6x_0</vt:lpstr>
      <vt:lpstr>'Div 5'!OSRRefP22_6x_0</vt:lpstr>
      <vt:lpstr>'Div 6'!OSRRefP22_6x_0</vt:lpstr>
      <vt:lpstr>Summary!OSRRefP22_6x_0</vt:lpstr>
      <vt:lpstr>'201'!OSRRefP22_7x_0</vt:lpstr>
      <vt:lpstr>'202'!OSRRefP22_7x_0</vt:lpstr>
      <vt:lpstr>'203'!OSRRefP22_7x_0</vt:lpstr>
      <vt:lpstr>'204'!OSRRefP22_7x_0</vt:lpstr>
      <vt:lpstr>'205'!OSRRefP22_7x_0</vt:lpstr>
      <vt:lpstr>'206'!OSRRefP22_7x_0</vt:lpstr>
      <vt:lpstr>'300'!OSRRefP22_7x_0</vt:lpstr>
      <vt:lpstr>'300 &amp; 317'!OSRRefP22_7x_0</vt:lpstr>
      <vt:lpstr>'301'!OSRRefP22_7x_0</vt:lpstr>
      <vt:lpstr>'307'!OSRRefP22_7x_0</vt:lpstr>
      <vt:lpstr>'308'!OSRRefP22_7x_0</vt:lpstr>
      <vt:lpstr>'309'!OSRRefP22_7x_0</vt:lpstr>
      <vt:lpstr>'310'!OSRRefP22_7x_0</vt:lpstr>
      <vt:lpstr>'310 &amp; 491'!OSRRefP22_7x_0</vt:lpstr>
      <vt:lpstr>'311'!OSRRefP22_7x_0</vt:lpstr>
      <vt:lpstr>'315'!OSRRefP22_7x_0</vt:lpstr>
      <vt:lpstr>'316'!OSRRefP22_7x_0</vt:lpstr>
      <vt:lpstr>'317'!OSRRefP22_7x_0</vt:lpstr>
      <vt:lpstr>'321'!OSRRefP22_7x_0</vt:lpstr>
      <vt:lpstr>'325'!OSRRefP22_7x_0</vt:lpstr>
      <vt:lpstr>'326'!OSRRefP22_7x_0</vt:lpstr>
      <vt:lpstr>'331'!OSRRefP22_7x_0</vt:lpstr>
      <vt:lpstr>'332'!OSRRefP22_7x_0</vt:lpstr>
      <vt:lpstr>'333'!OSRRefP22_7x_0</vt:lpstr>
      <vt:lpstr>'405'!OSRRefP22_7x_0</vt:lpstr>
      <vt:lpstr>'411'!OSRRefP22_7x_0</vt:lpstr>
      <vt:lpstr>'415'!OSRRefP22_7x_0</vt:lpstr>
      <vt:lpstr>'418'!OSRRefP22_7x_0</vt:lpstr>
      <vt:lpstr>'430'!OSRRefP22_7x_0</vt:lpstr>
      <vt:lpstr>'433'!OSRRefP22_7x_0</vt:lpstr>
      <vt:lpstr>'444'!OSRRefP22_7x_0</vt:lpstr>
      <vt:lpstr>'450'!OSRRefP22_7x_0</vt:lpstr>
      <vt:lpstr>'491'!OSRRefP22_7x_0</vt:lpstr>
      <vt:lpstr>'492'!OSRRefP22_7x_0</vt:lpstr>
      <vt:lpstr>'501'!OSRRefP22_7x_0</vt:lpstr>
      <vt:lpstr>'Div 2'!OSRRefP22_7x_0</vt:lpstr>
      <vt:lpstr>'Div 3'!OSRRefP22_7x_0</vt:lpstr>
      <vt:lpstr>'Div 4'!OSRRefP22_7x_0</vt:lpstr>
      <vt:lpstr>'Div 5'!OSRRefP22_7x_0</vt:lpstr>
      <vt:lpstr>'Div 6'!OSRRefP22_7x_0</vt:lpstr>
      <vt:lpstr>Summary!OSRRefP22_7x_0</vt:lpstr>
      <vt:lpstr>'201'!OSRRefP22_8x_0</vt:lpstr>
      <vt:lpstr>'202'!OSRRefP22_8x_0</vt:lpstr>
      <vt:lpstr>'203'!OSRRefP22_8x_0</vt:lpstr>
      <vt:lpstr>'204'!OSRRefP22_8x_0</vt:lpstr>
      <vt:lpstr>'300'!OSRRefP22_8x_0</vt:lpstr>
      <vt:lpstr>'300 &amp; 317'!OSRRefP22_8x_0</vt:lpstr>
      <vt:lpstr>'301'!OSRRefP22_8x_0</vt:lpstr>
      <vt:lpstr>'307'!OSRRefP22_8x_0</vt:lpstr>
      <vt:lpstr>'308'!OSRRefP22_8x_0</vt:lpstr>
      <vt:lpstr>'309'!OSRRefP22_8x_0</vt:lpstr>
      <vt:lpstr>'310'!OSRRefP22_8x_0</vt:lpstr>
      <vt:lpstr>'310 &amp; 491'!OSRRefP22_8x_0</vt:lpstr>
      <vt:lpstr>'311'!OSRRefP22_8x_0</vt:lpstr>
      <vt:lpstr>'315'!OSRRefP22_8x_0</vt:lpstr>
      <vt:lpstr>'316'!OSRRefP22_8x_0</vt:lpstr>
      <vt:lpstr>'317'!OSRRefP22_8x_0</vt:lpstr>
      <vt:lpstr>'321'!OSRRefP22_8x_0</vt:lpstr>
      <vt:lpstr>'325'!OSRRefP22_8x_0</vt:lpstr>
      <vt:lpstr>'326'!OSRRefP22_8x_0</vt:lpstr>
      <vt:lpstr>'331'!OSRRefP22_8x_0</vt:lpstr>
      <vt:lpstr>'332'!OSRRefP22_8x_0</vt:lpstr>
      <vt:lpstr>'333'!OSRRefP22_8x_0</vt:lpstr>
      <vt:lpstr>'405'!OSRRefP22_8x_0</vt:lpstr>
      <vt:lpstr>'411'!OSRRefP22_8x_0</vt:lpstr>
      <vt:lpstr>'415'!OSRRefP22_8x_0</vt:lpstr>
      <vt:lpstr>'418'!OSRRefP22_8x_0</vt:lpstr>
      <vt:lpstr>'430'!OSRRefP22_8x_0</vt:lpstr>
      <vt:lpstr>'433'!OSRRefP22_8x_0</vt:lpstr>
      <vt:lpstr>'444'!OSRRefP22_8x_0</vt:lpstr>
      <vt:lpstr>'450'!OSRRefP22_8x_0</vt:lpstr>
      <vt:lpstr>'491'!OSRRefP22_8x_0</vt:lpstr>
      <vt:lpstr>'492'!OSRRefP22_8x_0</vt:lpstr>
      <vt:lpstr>'501'!OSRRefP22_8x_0</vt:lpstr>
      <vt:lpstr>'Div 2'!OSRRefP22_8x_0</vt:lpstr>
      <vt:lpstr>'Div 3'!OSRRefP22_8x_0</vt:lpstr>
      <vt:lpstr>'Div 4'!OSRRefP22_8x_0</vt:lpstr>
      <vt:lpstr>'Div 5'!OSRRefP22_8x_0</vt:lpstr>
      <vt:lpstr>'Div 6'!OSRRefP22_8x_0</vt:lpstr>
      <vt:lpstr>Summary!OSRRefP22_8x_0</vt:lpstr>
      <vt:lpstr>'201'!OSRRefP22_9x_0</vt:lpstr>
      <vt:lpstr>'202'!OSRRefP22_9x_0</vt:lpstr>
      <vt:lpstr>'203'!OSRRefP22_9x_0</vt:lpstr>
      <vt:lpstr>'204'!OSRRefP22_9x_0</vt:lpstr>
      <vt:lpstr>'300'!OSRRefP22_9x_0</vt:lpstr>
      <vt:lpstr>'300 &amp; 317'!OSRRefP22_9x_0</vt:lpstr>
      <vt:lpstr>'301'!OSRRefP22_9x_0</vt:lpstr>
      <vt:lpstr>'307'!OSRRefP22_9x_0</vt:lpstr>
      <vt:lpstr>'308'!OSRRefP22_9x_0</vt:lpstr>
      <vt:lpstr>'309'!OSRRefP22_9x_0</vt:lpstr>
      <vt:lpstr>'310'!OSRRefP22_9x_0</vt:lpstr>
      <vt:lpstr>'310 &amp; 491'!OSRRefP22_9x_0</vt:lpstr>
      <vt:lpstr>'311'!OSRRefP22_9x_0</vt:lpstr>
      <vt:lpstr>'315'!OSRRefP22_9x_0</vt:lpstr>
      <vt:lpstr>'316'!OSRRefP22_9x_0</vt:lpstr>
      <vt:lpstr>'317'!OSRRefP22_9x_0</vt:lpstr>
      <vt:lpstr>'321'!OSRRefP22_9x_0</vt:lpstr>
      <vt:lpstr>'325'!OSRRefP22_9x_0</vt:lpstr>
      <vt:lpstr>'326'!OSRRefP22_9x_0</vt:lpstr>
      <vt:lpstr>'331'!OSRRefP22_9x_0</vt:lpstr>
      <vt:lpstr>'332'!OSRRefP22_9x_0</vt:lpstr>
      <vt:lpstr>'333'!OSRRefP22_9x_0</vt:lpstr>
      <vt:lpstr>'405'!OSRRefP22_9x_0</vt:lpstr>
      <vt:lpstr>'411'!OSRRefP22_9x_0</vt:lpstr>
      <vt:lpstr>'415'!OSRRefP22_9x_0</vt:lpstr>
      <vt:lpstr>'418'!OSRRefP22_9x_0</vt:lpstr>
      <vt:lpstr>'433'!OSRRefP22_9x_0</vt:lpstr>
      <vt:lpstr>'444'!OSRRefP22_9x_0</vt:lpstr>
      <vt:lpstr>'450'!OSRRefP22_9x_0</vt:lpstr>
      <vt:lpstr>'491'!OSRRefP22_9x_0</vt:lpstr>
      <vt:lpstr>'492'!OSRRefP22_9x_0</vt:lpstr>
      <vt:lpstr>'501'!OSRRefP22_9x_0</vt:lpstr>
      <vt:lpstr>'Div 2'!OSRRefP22_9x_0</vt:lpstr>
      <vt:lpstr>'Div 3'!OSRRefP22_9x_0</vt:lpstr>
      <vt:lpstr>'Div 4'!OSRRefP22_9x_0</vt:lpstr>
      <vt:lpstr>'Div 5'!OSRRefP22_9x_0</vt:lpstr>
      <vt:lpstr>'Div 6'!OSRRefP22_9x_0</vt:lpstr>
      <vt:lpstr>Summary!OSRRefP22_9x_0</vt:lpstr>
      <vt:lpstr>'200'!OSRRefP22x_0</vt:lpstr>
      <vt:lpstr>'201'!OSRRefP22x_0</vt:lpstr>
      <vt:lpstr>'202'!OSRRefP22x_0</vt:lpstr>
      <vt:lpstr>'203'!OSRRefP22x_0</vt:lpstr>
      <vt:lpstr>'204'!OSRRefP22x_0</vt:lpstr>
      <vt:lpstr>'205'!OSRRefP22x_0</vt:lpstr>
      <vt:lpstr>'206'!OSRRefP22x_0</vt:lpstr>
      <vt:lpstr>'300'!OSRRefP22x_0</vt:lpstr>
      <vt:lpstr>'300 &amp; 317'!OSRRefP22x_0</vt:lpstr>
      <vt:lpstr>'301'!OSRRefP22x_0</vt:lpstr>
      <vt:lpstr>'307'!OSRRefP22x_0</vt:lpstr>
      <vt:lpstr>'308'!OSRRefP22x_0</vt:lpstr>
      <vt:lpstr>'309'!OSRRefP22x_0</vt:lpstr>
      <vt:lpstr>'310'!OSRRefP22x_0</vt:lpstr>
      <vt:lpstr>'310 &amp; 491'!OSRRefP22x_0</vt:lpstr>
      <vt:lpstr>'311'!OSRRefP22x_0</vt:lpstr>
      <vt:lpstr>'315'!OSRRefP22x_0</vt:lpstr>
      <vt:lpstr>'316'!OSRRefP22x_0</vt:lpstr>
      <vt:lpstr>'317'!OSRRefP22x_0</vt:lpstr>
      <vt:lpstr>'321'!OSRRefP22x_0</vt:lpstr>
      <vt:lpstr>'325'!OSRRefP22x_0</vt:lpstr>
      <vt:lpstr>'326'!OSRRefP22x_0</vt:lpstr>
      <vt:lpstr>'327'!OSRRefP22x_0</vt:lpstr>
      <vt:lpstr>'331'!OSRRefP22x_0</vt:lpstr>
      <vt:lpstr>'332'!OSRRefP22x_0</vt:lpstr>
      <vt:lpstr>'333'!OSRRefP22x_0</vt:lpstr>
      <vt:lpstr>'405'!OSRRefP22x_0</vt:lpstr>
      <vt:lpstr>'406'!OSRRefP22x_0</vt:lpstr>
      <vt:lpstr>'411'!OSRRefP22x_0</vt:lpstr>
      <vt:lpstr>'412'!OSRRefP22x_0</vt:lpstr>
      <vt:lpstr>'413'!OSRRefP22x_0</vt:lpstr>
      <vt:lpstr>'414'!OSRRefP22x_0</vt:lpstr>
      <vt:lpstr>'415'!OSRRefP22x_0</vt:lpstr>
      <vt:lpstr>'418'!OSRRefP22x_0</vt:lpstr>
      <vt:lpstr>'423'!OSRRefP22x_0</vt:lpstr>
      <vt:lpstr>'424'!OSRRefP22x_0</vt:lpstr>
      <vt:lpstr>'425'!OSRRefP22x_0</vt:lpstr>
      <vt:lpstr>'430'!OSRRefP22x_0</vt:lpstr>
      <vt:lpstr>'433'!OSRRefP22x_0</vt:lpstr>
      <vt:lpstr>'435'!OSRRefP22x_0</vt:lpstr>
      <vt:lpstr>'444'!OSRRefP22x_0</vt:lpstr>
      <vt:lpstr>'450'!OSRRefP22x_0</vt:lpstr>
      <vt:lpstr>'491'!OSRRefP22x_0</vt:lpstr>
      <vt:lpstr>'492'!OSRRefP22x_0</vt:lpstr>
      <vt:lpstr>'501'!OSRRefP22x_0</vt:lpstr>
      <vt:lpstr>'Div 2'!OSRRefP22x_0</vt:lpstr>
      <vt:lpstr>'Div 3'!OSRRefP22x_0</vt:lpstr>
      <vt:lpstr>'Div 4'!OSRRefP22x_0</vt:lpstr>
      <vt:lpstr>'Div 5'!OSRRefP22x_0</vt:lpstr>
      <vt:lpstr>'Div 6'!OSRRefP22x_0</vt:lpstr>
      <vt:lpstr>Summary!OSRRefP22x_0</vt:lpstr>
      <vt:lpstr>'300'!OSRRefP25x_0</vt:lpstr>
      <vt:lpstr>'300 &amp; 317'!OSRRefP25x_0</vt:lpstr>
      <vt:lpstr>'301'!OSRRefP25x_0</vt:lpstr>
      <vt:lpstr>'308'!OSRRefP25x_0</vt:lpstr>
      <vt:lpstr>'310 &amp; 491'!OSRRefP25x_0</vt:lpstr>
      <vt:lpstr>'311'!OSRRefP25x_0</vt:lpstr>
      <vt:lpstr>'315'!OSRRefP25x_0</vt:lpstr>
      <vt:lpstr>'316'!OSRRefP25x_0</vt:lpstr>
      <vt:lpstr>'317'!OSRRefP25x_0</vt:lpstr>
      <vt:lpstr>'331'!OSRRefP25x_0</vt:lpstr>
      <vt:lpstr>'332'!OSRRefP25x_0</vt:lpstr>
      <vt:lpstr>'333'!OSRRefP25x_0</vt:lpstr>
      <vt:lpstr>'405'!OSRRefP25x_0</vt:lpstr>
      <vt:lpstr>'411'!OSRRefP25x_0</vt:lpstr>
      <vt:lpstr>'415'!OSRRefP25x_0</vt:lpstr>
      <vt:lpstr>'418'!OSRRefP25x_0</vt:lpstr>
      <vt:lpstr>'423'!OSRRefP25x_0</vt:lpstr>
      <vt:lpstr>'491'!OSRRefP25x_0</vt:lpstr>
      <vt:lpstr>'501'!OSRRefP25x_0</vt:lpstr>
      <vt:lpstr>'Div 3'!OSRRefP25x_0</vt:lpstr>
      <vt:lpstr>'Div 4'!OSRRefP25x_0</vt:lpstr>
      <vt:lpstr>'Div 5'!OSRRefP25x_0</vt:lpstr>
      <vt:lpstr>'Div 6'!OSRRefP25x_0</vt:lpstr>
      <vt:lpstr>Summary!OSRRefP25x_0</vt:lpstr>
      <vt:lpstr>'300'!OSRRefT13x_0</vt:lpstr>
      <vt:lpstr>'300 &amp; 317'!OSRRefT13x_0</vt:lpstr>
      <vt:lpstr>'307'!OSRRefT13x_0</vt:lpstr>
      <vt:lpstr>'308'!OSRRefT13x_0</vt:lpstr>
      <vt:lpstr>'309'!OSRRefT13x_0</vt:lpstr>
      <vt:lpstr>'310'!OSRRefT13x_0</vt:lpstr>
      <vt:lpstr>'310 &amp; 491'!OSRRefT13x_0</vt:lpstr>
      <vt:lpstr>'311'!OSRRefT13x_0</vt:lpstr>
      <vt:lpstr>'315'!OSRRefT13x_0</vt:lpstr>
      <vt:lpstr>'316'!OSRRefT13x_0</vt:lpstr>
      <vt:lpstr>'317'!OSRRefT13x_0</vt:lpstr>
      <vt:lpstr>'321'!OSRRefT13x_0</vt:lpstr>
      <vt:lpstr>'324'!OSRRefT13x_0</vt:lpstr>
      <vt:lpstr>'325'!OSRRefT13x_0</vt:lpstr>
      <vt:lpstr>'326'!OSRRefT13x_0</vt:lpstr>
      <vt:lpstr>'327'!OSRRefT13x_0</vt:lpstr>
      <vt:lpstr>'331'!OSRRefT13x_0</vt:lpstr>
      <vt:lpstr>'332'!OSRRefT13x_0</vt:lpstr>
      <vt:lpstr>'333'!OSRRefT13x_0</vt:lpstr>
      <vt:lpstr>'405'!OSRRefT13x_0</vt:lpstr>
      <vt:lpstr>'415'!OSRRefT13x_0</vt:lpstr>
      <vt:lpstr>'418'!OSRRefT13x_0</vt:lpstr>
      <vt:lpstr>'425'!OSRRefT13x_0</vt:lpstr>
      <vt:lpstr>'433'!OSRRefT13x_0</vt:lpstr>
      <vt:lpstr>'435'!OSRRefT13x_0</vt:lpstr>
      <vt:lpstr>'444'!OSRRefT13x_0</vt:lpstr>
      <vt:lpstr>'450'!OSRRefT13x_0</vt:lpstr>
      <vt:lpstr>'491'!OSRRefT13x_0</vt:lpstr>
      <vt:lpstr>'492'!OSRRefT13x_0</vt:lpstr>
      <vt:lpstr>'501'!OSRRefT13x_0</vt:lpstr>
      <vt:lpstr>'Div 3'!OSRRefT13x_0</vt:lpstr>
      <vt:lpstr>'Div 4'!OSRRefT13x_0</vt:lpstr>
      <vt:lpstr>'Div 5'!OSRRefT13x_0</vt:lpstr>
      <vt:lpstr>'Div 6'!OSRRefT13x_0</vt:lpstr>
      <vt:lpstr>Summary!OSRRefT13x_0</vt:lpstr>
      <vt:lpstr>'300'!OSRRefT16x_0</vt:lpstr>
      <vt:lpstr>'300 &amp; 317'!OSRRefT16x_0</vt:lpstr>
      <vt:lpstr>'301'!OSRRefT16x_0</vt:lpstr>
      <vt:lpstr>'307'!OSRRefT16x_0</vt:lpstr>
      <vt:lpstr>'308'!OSRRefT16x_0</vt:lpstr>
      <vt:lpstr>'309'!OSRRefT16x_0</vt:lpstr>
      <vt:lpstr>'310'!OSRRefT16x_0</vt:lpstr>
      <vt:lpstr>'310 &amp; 491'!OSRRefT16x_0</vt:lpstr>
      <vt:lpstr>'311'!OSRRefT16x_0</vt:lpstr>
      <vt:lpstr>'315'!OSRRefT16x_0</vt:lpstr>
      <vt:lpstr>'316'!OSRRefT16x_0</vt:lpstr>
      <vt:lpstr>'317'!OSRRefT16x_0</vt:lpstr>
      <vt:lpstr>'321'!OSRRefT16x_0</vt:lpstr>
      <vt:lpstr>'324'!OSRRefT16x_0</vt:lpstr>
      <vt:lpstr>'325'!OSRRefT16x_0</vt:lpstr>
      <vt:lpstr>'326'!OSRRefT16x_0</vt:lpstr>
      <vt:lpstr>'327'!OSRRefT16x_0</vt:lpstr>
      <vt:lpstr>'331'!OSRRefT16x_0</vt:lpstr>
      <vt:lpstr>'332'!OSRRefT16x_0</vt:lpstr>
      <vt:lpstr>'333'!OSRRefT16x_0</vt:lpstr>
      <vt:lpstr>'405'!OSRRefT16x_0</vt:lpstr>
      <vt:lpstr>'415'!OSRRefT16x_0</vt:lpstr>
      <vt:lpstr>'418'!OSRRefT16x_0</vt:lpstr>
      <vt:lpstr>'425'!OSRRefT16x_0</vt:lpstr>
      <vt:lpstr>'433'!OSRRefT16x_0</vt:lpstr>
      <vt:lpstr>'444'!OSRRefT16x_0</vt:lpstr>
      <vt:lpstr>'450'!OSRRefT16x_0</vt:lpstr>
      <vt:lpstr>'491'!OSRRefT16x_0</vt:lpstr>
      <vt:lpstr>'492'!OSRRefT16x_0</vt:lpstr>
      <vt:lpstr>'Div 3'!OSRRefT16x_0</vt:lpstr>
      <vt:lpstr>'Div 4'!OSRRefT16x_0</vt:lpstr>
      <vt:lpstr>'Div 6'!OSRRefT16x_0</vt:lpstr>
      <vt:lpstr>Summary!OSRRefT16x_0</vt:lpstr>
      <vt:lpstr>'200'!OSRRefT22_0x_0</vt:lpstr>
      <vt:lpstr>'201'!OSRRefT22_0x_0</vt:lpstr>
      <vt:lpstr>'202'!OSRRefT22_0x_0</vt:lpstr>
      <vt:lpstr>'203'!OSRRefT22_0x_0</vt:lpstr>
      <vt:lpstr>'204'!OSRRefT22_0x_0</vt:lpstr>
      <vt:lpstr>'205'!OSRRefT22_0x_0</vt:lpstr>
      <vt:lpstr>'206'!OSRRefT22_0x_0</vt:lpstr>
      <vt:lpstr>'300'!OSRRefT22_0x_0</vt:lpstr>
      <vt:lpstr>'300 &amp; 317'!OSRRefT22_0x_0</vt:lpstr>
      <vt:lpstr>'301'!OSRRefT22_0x_0</vt:lpstr>
      <vt:lpstr>'307'!OSRRefT22_0x_0</vt:lpstr>
      <vt:lpstr>'308'!OSRRefT22_0x_0</vt:lpstr>
      <vt:lpstr>'309'!OSRRefT22_0x_0</vt:lpstr>
      <vt:lpstr>'310'!OSRRefT22_0x_0</vt:lpstr>
      <vt:lpstr>'310 &amp; 491'!OSRRefT22_0x_0</vt:lpstr>
      <vt:lpstr>'311'!OSRRefT22_0x_0</vt:lpstr>
      <vt:lpstr>'315'!OSRRefT22_0x_0</vt:lpstr>
      <vt:lpstr>'316'!OSRRefT22_0x_0</vt:lpstr>
      <vt:lpstr>'317'!OSRRefT22_0x_0</vt:lpstr>
      <vt:lpstr>'321'!OSRRefT22_0x_0</vt:lpstr>
      <vt:lpstr>'325'!OSRRefT22_0x_0</vt:lpstr>
      <vt:lpstr>'326'!OSRRefT22_0x_0</vt:lpstr>
      <vt:lpstr>'327'!OSRRefT22_0x_0</vt:lpstr>
      <vt:lpstr>'331'!OSRRefT22_0x_0</vt:lpstr>
      <vt:lpstr>'332'!OSRRefT22_0x_0</vt:lpstr>
      <vt:lpstr>'333'!OSRRefT22_0x_0</vt:lpstr>
      <vt:lpstr>'405'!OSRRefT22_0x_0</vt:lpstr>
      <vt:lpstr>'406'!OSRRefT22_0x_0</vt:lpstr>
      <vt:lpstr>'411'!OSRRefT22_0x_0</vt:lpstr>
      <vt:lpstr>'412'!OSRRefT22_0x_0</vt:lpstr>
      <vt:lpstr>'413'!OSRRefT22_0x_0</vt:lpstr>
      <vt:lpstr>'414'!OSRRefT22_0x_0</vt:lpstr>
      <vt:lpstr>'415'!OSRRefT22_0x_0</vt:lpstr>
      <vt:lpstr>'418'!OSRRefT22_0x_0</vt:lpstr>
      <vt:lpstr>'423'!OSRRefT22_0x_0</vt:lpstr>
      <vt:lpstr>'424'!OSRRefT22_0x_0</vt:lpstr>
      <vt:lpstr>'425'!OSRRefT22_0x_0</vt:lpstr>
      <vt:lpstr>'430'!OSRRefT22_0x_0</vt:lpstr>
      <vt:lpstr>'433'!OSRRefT22_0x_0</vt:lpstr>
      <vt:lpstr>'435'!OSRRefT22_0x_0</vt:lpstr>
      <vt:lpstr>'444'!OSRRefT22_0x_0</vt:lpstr>
      <vt:lpstr>'450'!OSRRefT22_0x_0</vt:lpstr>
      <vt:lpstr>'491'!OSRRefT22_0x_0</vt:lpstr>
      <vt:lpstr>'492'!OSRRefT22_0x_0</vt:lpstr>
      <vt:lpstr>'501'!OSRRefT22_0x_0</vt:lpstr>
      <vt:lpstr>'Div 2'!OSRRefT22_0x_0</vt:lpstr>
      <vt:lpstr>'Div 3'!OSRRefT22_0x_0</vt:lpstr>
      <vt:lpstr>'Div 4'!OSRRefT22_0x_0</vt:lpstr>
      <vt:lpstr>'Div 5'!OSRRefT22_0x_0</vt:lpstr>
      <vt:lpstr>'Div 6'!OSRRefT22_0x_0</vt:lpstr>
      <vt:lpstr>Summary!OSRRefT22_0x_0</vt:lpstr>
      <vt:lpstr>'201'!OSRRefT22_10x_0</vt:lpstr>
      <vt:lpstr>'202'!OSRRefT22_10x_0</vt:lpstr>
      <vt:lpstr>'203'!OSRRefT22_10x_0</vt:lpstr>
      <vt:lpstr>'204'!OSRRefT22_10x_0</vt:lpstr>
      <vt:lpstr>'300'!OSRRefT22_10x_0</vt:lpstr>
      <vt:lpstr>'300 &amp; 317'!OSRRefT22_10x_0</vt:lpstr>
      <vt:lpstr>'301'!OSRRefT22_10x_0</vt:lpstr>
      <vt:lpstr>'307'!OSRRefT22_10x_0</vt:lpstr>
      <vt:lpstr>'308'!OSRRefT22_10x_0</vt:lpstr>
      <vt:lpstr>'309'!OSRRefT22_10x_0</vt:lpstr>
      <vt:lpstr>'310'!OSRRefT22_10x_0</vt:lpstr>
      <vt:lpstr>'310 &amp; 491'!OSRRefT22_10x_0</vt:lpstr>
      <vt:lpstr>'311'!OSRRefT22_10x_0</vt:lpstr>
      <vt:lpstr>'315'!OSRRefT22_10x_0</vt:lpstr>
      <vt:lpstr>'316'!OSRRefT22_10x_0</vt:lpstr>
      <vt:lpstr>'317'!OSRRefT22_10x_0</vt:lpstr>
      <vt:lpstr>'321'!OSRRefT22_10x_0</vt:lpstr>
      <vt:lpstr>'325'!OSRRefT22_10x_0</vt:lpstr>
      <vt:lpstr>'326'!OSRRefT22_10x_0</vt:lpstr>
      <vt:lpstr>'331'!OSRRefT22_10x_0</vt:lpstr>
      <vt:lpstr>'332'!OSRRefT22_10x_0</vt:lpstr>
      <vt:lpstr>'333'!OSRRefT22_10x_0</vt:lpstr>
      <vt:lpstr>'405'!OSRRefT22_10x_0</vt:lpstr>
      <vt:lpstr>'411'!OSRRefT22_10x_0</vt:lpstr>
      <vt:lpstr>'415'!OSRRefT22_10x_0</vt:lpstr>
      <vt:lpstr>'418'!OSRRefT22_10x_0</vt:lpstr>
      <vt:lpstr>'433'!OSRRefT22_10x_0</vt:lpstr>
      <vt:lpstr>'444'!OSRRefT22_10x_0</vt:lpstr>
      <vt:lpstr>'450'!OSRRefT22_10x_0</vt:lpstr>
      <vt:lpstr>'491'!OSRRefT22_10x_0</vt:lpstr>
      <vt:lpstr>'492'!OSRRefT22_10x_0</vt:lpstr>
      <vt:lpstr>'501'!OSRRefT22_10x_0</vt:lpstr>
      <vt:lpstr>'Div 2'!OSRRefT22_10x_0</vt:lpstr>
      <vt:lpstr>'Div 3'!OSRRefT22_10x_0</vt:lpstr>
      <vt:lpstr>'Div 4'!OSRRefT22_10x_0</vt:lpstr>
      <vt:lpstr>'Div 5'!OSRRefT22_10x_0</vt:lpstr>
      <vt:lpstr>'Div 6'!OSRRefT22_10x_0</vt:lpstr>
      <vt:lpstr>Summary!OSRRefT22_10x_0</vt:lpstr>
      <vt:lpstr>'201'!OSRRefT22_11x_0</vt:lpstr>
      <vt:lpstr>'202'!OSRRefT22_11x_0</vt:lpstr>
      <vt:lpstr>'203'!OSRRefT22_11x_0</vt:lpstr>
      <vt:lpstr>'300'!OSRRefT22_11x_0</vt:lpstr>
      <vt:lpstr>'300 &amp; 317'!OSRRefT22_11x_0</vt:lpstr>
      <vt:lpstr>'301'!OSRRefT22_11x_0</vt:lpstr>
      <vt:lpstr>'307'!OSRRefT22_11x_0</vt:lpstr>
      <vt:lpstr>'308'!OSRRefT22_11x_0</vt:lpstr>
      <vt:lpstr>'309'!OSRRefT22_11x_0</vt:lpstr>
      <vt:lpstr>'310'!OSRRefT22_11x_0</vt:lpstr>
      <vt:lpstr>'310 &amp; 491'!OSRRefT22_11x_0</vt:lpstr>
      <vt:lpstr>'311'!OSRRefT22_11x_0</vt:lpstr>
      <vt:lpstr>'315'!OSRRefT22_11x_0</vt:lpstr>
      <vt:lpstr>'316'!OSRRefT22_11x_0</vt:lpstr>
      <vt:lpstr>'321'!OSRRefT22_11x_0</vt:lpstr>
      <vt:lpstr>'325'!OSRRefT22_11x_0</vt:lpstr>
      <vt:lpstr>'326'!OSRRefT22_11x_0</vt:lpstr>
      <vt:lpstr>'331'!OSRRefT22_11x_0</vt:lpstr>
      <vt:lpstr>'332'!OSRRefT22_11x_0</vt:lpstr>
      <vt:lpstr>'333'!OSRRefT22_11x_0</vt:lpstr>
      <vt:lpstr>'405'!OSRRefT22_11x_0</vt:lpstr>
      <vt:lpstr>'411'!OSRRefT22_11x_0</vt:lpstr>
      <vt:lpstr>'415'!OSRRefT22_11x_0</vt:lpstr>
      <vt:lpstr>'418'!OSRRefT22_11x_0</vt:lpstr>
      <vt:lpstr>'433'!OSRRefT22_11x_0</vt:lpstr>
      <vt:lpstr>'444'!OSRRefT22_11x_0</vt:lpstr>
      <vt:lpstr>'450'!OSRRefT22_11x_0</vt:lpstr>
      <vt:lpstr>'491'!OSRRefT22_11x_0</vt:lpstr>
      <vt:lpstr>'492'!OSRRefT22_11x_0</vt:lpstr>
      <vt:lpstr>'501'!OSRRefT22_11x_0</vt:lpstr>
      <vt:lpstr>'Div 2'!OSRRefT22_11x_0</vt:lpstr>
      <vt:lpstr>'Div 3'!OSRRefT22_11x_0</vt:lpstr>
      <vt:lpstr>'Div 4'!OSRRefT22_11x_0</vt:lpstr>
      <vt:lpstr>'Div 5'!OSRRefT22_11x_0</vt:lpstr>
      <vt:lpstr>Summary!OSRRefT22_11x_0</vt:lpstr>
      <vt:lpstr>'201'!OSRRefT22_12x_0</vt:lpstr>
      <vt:lpstr>'202'!OSRRefT22_12x_0</vt:lpstr>
      <vt:lpstr>'203'!OSRRefT22_12x_0</vt:lpstr>
      <vt:lpstr>'300'!OSRRefT22_12x_0</vt:lpstr>
      <vt:lpstr>'300 &amp; 317'!OSRRefT22_12x_0</vt:lpstr>
      <vt:lpstr>'301'!OSRRefT22_12x_0</vt:lpstr>
      <vt:lpstr>'307'!OSRRefT22_12x_0</vt:lpstr>
      <vt:lpstr>'308'!OSRRefT22_12x_0</vt:lpstr>
      <vt:lpstr>'309'!OSRRefT22_12x_0</vt:lpstr>
      <vt:lpstr>'310'!OSRRefT22_12x_0</vt:lpstr>
      <vt:lpstr>'310 &amp; 491'!OSRRefT22_12x_0</vt:lpstr>
      <vt:lpstr>'311'!OSRRefT22_12x_0</vt:lpstr>
      <vt:lpstr>'315'!OSRRefT22_12x_0</vt:lpstr>
      <vt:lpstr>'321'!OSRRefT22_12x_0</vt:lpstr>
      <vt:lpstr>'325'!OSRRefT22_12x_0</vt:lpstr>
      <vt:lpstr>'326'!OSRRefT22_12x_0</vt:lpstr>
      <vt:lpstr>'331'!OSRRefT22_12x_0</vt:lpstr>
      <vt:lpstr>'333'!OSRRefT22_12x_0</vt:lpstr>
      <vt:lpstr>'405'!OSRRefT22_12x_0</vt:lpstr>
      <vt:lpstr>'411'!OSRRefT22_12x_0</vt:lpstr>
      <vt:lpstr>'415'!OSRRefT22_12x_0</vt:lpstr>
      <vt:lpstr>'418'!OSRRefT22_12x_0</vt:lpstr>
      <vt:lpstr>'433'!OSRRefT22_12x_0</vt:lpstr>
      <vt:lpstr>'444'!OSRRefT22_12x_0</vt:lpstr>
      <vt:lpstr>'450'!OSRRefT22_12x_0</vt:lpstr>
      <vt:lpstr>'491'!OSRRefT22_12x_0</vt:lpstr>
      <vt:lpstr>'492'!OSRRefT22_12x_0</vt:lpstr>
      <vt:lpstr>'501'!OSRRefT22_12x_0</vt:lpstr>
      <vt:lpstr>'Div 2'!OSRRefT22_12x_0</vt:lpstr>
      <vt:lpstr>'Div 3'!OSRRefT22_12x_0</vt:lpstr>
      <vt:lpstr>'Div 4'!OSRRefT22_12x_0</vt:lpstr>
      <vt:lpstr>'Div 5'!OSRRefT22_12x_0</vt:lpstr>
      <vt:lpstr>Summary!OSRRefT22_12x_0</vt:lpstr>
      <vt:lpstr>'201'!OSRRefT22_13x_0</vt:lpstr>
      <vt:lpstr>'203'!OSRRefT22_13x_0</vt:lpstr>
      <vt:lpstr>'300'!OSRRefT22_13x_0</vt:lpstr>
      <vt:lpstr>'300 &amp; 317'!OSRRefT22_13x_0</vt:lpstr>
      <vt:lpstr>'301'!OSRRefT22_13x_0</vt:lpstr>
      <vt:lpstr>'307'!OSRRefT22_13x_0</vt:lpstr>
      <vt:lpstr>'308'!OSRRefT22_13x_0</vt:lpstr>
      <vt:lpstr>'310'!OSRRefT22_13x_0</vt:lpstr>
      <vt:lpstr>'310 &amp; 491'!OSRRefT22_13x_0</vt:lpstr>
      <vt:lpstr>'311'!OSRRefT22_13x_0</vt:lpstr>
      <vt:lpstr>'315'!OSRRefT22_13x_0</vt:lpstr>
      <vt:lpstr>'325'!OSRRefT22_13x_0</vt:lpstr>
      <vt:lpstr>'326'!OSRRefT22_13x_0</vt:lpstr>
      <vt:lpstr>'331'!OSRRefT22_13x_0</vt:lpstr>
      <vt:lpstr>'333'!OSRRefT22_13x_0</vt:lpstr>
      <vt:lpstr>'405'!OSRRefT22_13x_0</vt:lpstr>
      <vt:lpstr>'411'!OSRRefT22_13x_0</vt:lpstr>
      <vt:lpstr>'415'!OSRRefT22_13x_0</vt:lpstr>
      <vt:lpstr>'418'!OSRRefT22_13x_0</vt:lpstr>
      <vt:lpstr>'433'!OSRRefT22_13x_0</vt:lpstr>
      <vt:lpstr>'444'!OSRRefT22_13x_0</vt:lpstr>
      <vt:lpstr>'450'!OSRRefT22_13x_0</vt:lpstr>
      <vt:lpstr>'491'!OSRRefT22_13x_0</vt:lpstr>
      <vt:lpstr>'492'!OSRRefT22_13x_0</vt:lpstr>
      <vt:lpstr>'501'!OSRRefT22_13x_0</vt:lpstr>
      <vt:lpstr>'Div 2'!OSRRefT22_13x_0</vt:lpstr>
      <vt:lpstr>'Div 3'!OSRRefT22_13x_0</vt:lpstr>
      <vt:lpstr>'Div 4'!OSRRefT22_13x_0</vt:lpstr>
      <vt:lpstr>'Div 5'!OSRRefT22_13x_0</vt:lpstr>
      <vt:lpstr>Summary!OSRRefT22_13x_0</vt:lpstr>
      <vt:lpstr>'201'!OSRRefT22_14x_0</vt:lpstr>
      <vt:lpstr>'203'!OSRRefT22_14x_0</vt:lpstr>
      <vt:lpstr>'300'!OSRRefT22_14x_0</vt:lpstr>
      <vt:lpstr>'300 &amp; 317'!OSRRefT22_14x_0</vt:lpstr>
      <vt:lpstr>'301'!OSRRefT22_14x_0</vt:lpstr>
      <vt:lpstr>'310'!OSRRefT22_14x_0</vt:lpstr>
      <vt:lpstr>'310 &amp; 491'!OSRRefT22_14x_0</vt:lpstr>
      <vt:lpstr>'315'!OSRRefT22_14x_0</vt:lpstr>
      <vt:lpstr>'325'!OSRRefT22_14x_0</vt:lpstr>
      <vt:lpstr>'326'!OSRRefT22_14x_0</vt:lpstr>
      <vt:lpstr>'331'!OSRRefT22_14x_0</vt:lpstr>
      <vt:lpstr>'333'!OSRRefT22_14x_0</vt:lpstr>
      <vt:lpstr>'405'!OSRRefT22_14x_0</vt:lpstr>
      <vt:lpstr>'411'!OSRRefT22_14x_0</vt:lpstr>
      <vt:lpstr>'415'!OSRRefT22_14x_0</vt:lpstr>
      <vt:lpstr>'418'!OSRRefT22_14x_0</vt:lpstr>
      <vt:lpstr>'433'!OSRRefT22_14x_0</vt:lpstr>
      <vt:lpstr>'444'!OSRRefT22_14x_0</vt:lpstr>
      <vt:lpstr>'450'!OSRRefT22_14x_0</vt:lpstr>
      <vt:lpstr>'491'!OSRRefT22_14x_0</vt:lpstr>
      <vt:lpstr>'492'!OSRRefT22_14x_0</vt:lpstr>
      <vt:lpstr>'Div 2'!OSRRefT22_14x_0</vt:lpstr>
      <vt:lpstr>'Div 3'!OSRRefT22_14x_0</vt:lpstr>
      <vt:lpstr>'Div 4'!OSRRefT22_14x_0</vt:lpstr>
      <vt:lpstr>Summary!OSRRefT22_14x_0</vt:lpstr>
      <vt:lpstr>'201'!OSRRefT22_15x_0</vt:lpstr>
      <vt:lpstr>'300'!OSRRefT22_15x_0</vt:lpstr>
      <vt:lpstr>'300 &amp; 317'!OSRRefT22_15x_0</vt:lpstr>
      <vt:lpstr>'301'!OSRRefT22_15x_0</vt:lpstr>
      <vt:lpstr>'310'!OSRRefT22_15x_0</vt:lpstr>
      <vt:lpstr>'310 &amp; 491'!OSRRefT22_15x_0</vt:lpstr>
      <vt:lpstr>'315'!OSRRefT22_15x_0</vt:lpstr>
      <vt:lpstr>'325'!OSRRefT22_15x_0</vt:lpstr>
      <vt:lpstr>'326'!OSRRefT22_15x_0</vt:lpstr>
      <vt:lpstr>'331'!OSRRefT22_15x_0</vt:lpstr>
      <vt:lpstr>'333'!OSRRefT22_15x_0</vt:lpstr>
      <vt:lpstr>'405'!OSRRefT22_15x_0</vt:lpstr>
      <vt:lpstr>'411'!OSRRefT22_15x_0</vt:lpstr>
      <vt:lpstr>'415'!OSRRefT22_15x_0</vt:lpstr>
      <vt:lpstr>'418'!OSRRefT22_15x_0</vt:lpstr>
      <vt:lpstr>'433'!OSRRefT22_15x_0</vt:lpstr>
      <vt:lpstr>'444'!OSRRefT22_15x_0</vt:lpstr>
      <vt:lpstr>'450'!OSRRefT22_15x_0</vt:lpstr>
      <vt:lpstr>'491'!OSRRefT22_15x_0</vt:lpstr>
      <vt:lpstr>'492'!OSRRefT22_15x_0</vt:lpstr>
      <vt:lpstr>'Div 2'!OSRRefT22_15x_0</vt:lpstr>
      <vt:lpstr>'Div 3'!OSRRefT22_15x_0</vt:lpstr>
      <vt:lpstr>'Div 4'!OSRRefT22_15x_0</vt:lpstr>
      <vt:lpstr>Summary!OSRRefT22_15x_0</vt:lpstr>
      <vt:lpstr>'300'!OSRRefT22_16x_0</vt:lpstr>
      <vt:lpstr>'300 &amp; 317'!OSRRefT22_16x_0</vt:lpstr>
      <vt:lpstr>'301'!OSRRefT22_16x_0</vt:lpstr>
      <vt:lpstr>'310'!OSRRefT22_16x_0</vt:lpstr>
      <vt:lpstr>'310 &amp; 491'!OSRRefT22_16x_0</vt:lpstr>
      <vt:lpstr>'315'!OSRRefT22_16x_0</vt:lpstr>
      <vt:lpstr>'325'!OSRRefT22_16x_0</vt:lpstr>
      <vt:lpstr>'326'!OSRRefT22_16x_0</vt:lpstr>
      <vt:lpstr>'331'!OSRRefT22_16x_0</vt:lpstr>
      <vt:lpstr>'333'!OSRRefT22_16x_0</vt:lpstr>
      <vt:lpstr>'405'!OSRRefT22_16x_0</vt:lpstr>
      <vt:lpstr>'415'!OSRRefT22_16x_0</vt:lpstr>
      <vt:lpstr>'444'!OSRRefT22_16x_0</vt:lpstr>
      <vt:lpstr>'450'!OSRRefT22_16x_0</vt:lpstr>
      <vt:lpstr>'491'!OSRRefT22_16x_0</vt:lpstr>
      <vt:lpstr>'492'!OSRRefT22_16x_0</vt:lpstr>
      <vt:lpstr>'Div 2'!OSRRefT22_16x_0</vt:lpstr>
      <vt:lpstr>'Div 3'!OSRRefT22_16x_0</vt:lpstr>
      <vt:lpstr>'Div 4'!OSRRefT22_16x_0</vt:lpstr>
      <vt:lpstr>Summary!OSRRefT22_16x_0</vt:lpstr>
      <vt:lpstr>'300'!OSRRefT22_17x_0</vt:lpstr>
      <vt:lpstr>'300 &amp; 317'!OSRRefT22_17x_0</vt:lpstr>
      <vt:lpstr>'301'!OSRRefT22_17x_0</vt:lpstr>
      <vt:lpstr>'310'!OSRRefT22_17x_0</vt:lpstr>
      <vt:lpstr>'310 &amp; 491'!OSRRefT22_17x_0</vt:lpstr>
      <vt:lpstr>'315'!OSRRefT22_17x_0</vt:lpstr>
      <vt:lpstr>'326'!OSRRefT22_17x_0</vt:lpstr>
      <vt:lpstr>'331'!OSRRefT22_17x_0</vt:lpstr>
      <vt:lpstr>'333'!OSRRefT22_17x_0</vt:lpstr>
      <vt:lpstr>'415'!OSRRefT22_17x_0</vt:lpstr>
      <vt:lpstr>'491'!OSRRefT22_17x_0</vt:lpstr>
      <vt:lpstr>'492'!OSRRefT22_17x_0</vt:lpstr>
      <vt:lpstr>'Div 2'!OSRRefT22_17x_0</vt:lpstr>
      <vt:lpstr>'Div 3'!OSRRefT22_17x_0</vt:lpstr>
      <vt:lpstr>'Div 4'!OSRRefT22_17x_0</vt:lpstr>
      <vt:lpstr>Summary!OSRRefT22_17x_0</vt:lpstr>
      <vt:lpstr>'300'!OSRRefT22_18x_0</vt:lpstr>
      <vt:lpstr>'300 &amp; 317'!OSRRefT22_18x_0</vt:lpstr>
      <vt:lpstr>'301'!OSRRefT22_18x_0</vt:lpstr>
      <vt:lpstr>'310 &amp; 491'!OSRRefT22_18x_0</vt:lpstr>
      <vt:lpstr>'315'!OSRRefT22_18x_0</vt:lpstr>
      <vt:lpstr>'331'!OSRRefT22_18x_0</vt:lpstr>
      <vt:lpstr>'333'!OSRRefT22_18x_0</vt:lpstr>
      <vt:lpstr>'491'!OSRRefT22_18x_0</vt:lpstr>
      <vt:lpstr>'492'!OSRRefT22_18x_0</vt:lpstr>
      <vt:lpstr>'Div 2'!OSRRefT22_18x_0</vt:lpstr>
      <vt:lpstr>'Div 3'!OSRRefT22_18x_0</vt:lpstr>
      <vt:lpstr>'Div 4'!OSRRefT22_18x_0</vt:lpstr>
      <vt:lpstr>Summary!OSRRefT22_18x_0</vt:lpstr>
      <vt:lpstr>'300'!OSRRefT22_19x_0</vt:lpstr>
      <vt:lpstr>'300 &amp; 317'!OSRRefT22_19x_0</vt:lpstr>
      <vt:lpstr>'301'!OSRRefT22_19x_0</vt:lpstr>
      <vt:lpstr>'310 &amp; 491'!OSRRefT22_19x_0</vt:lpstr>
      <vt:lpstr>'331'!OSRRefT22_19x_0</vt:lpstr>
      <vt:lpstr>'333'!OSRRefT22_19x_0</vt:lpstr>
      <vt:lpstr>'491'!OSRRefT22_19x_0</vt:lpstr>
      <vt:lpstr>'Div 2'!OSRRefT22_19x_0</vt:lpstr>
      <vt:lpstr>'Div 3'!OSRRefT22_19x_0</vt:lpstr>
      <vt:lpstr>'Div 4'!OSRRefT22_19x_0</vt:lpstr>
      <vt:lpstr>Summary!OSRRefT22_19x_0</vt:lpstr>
      <vt:lpstr>'200'!OSRRefT22_1x_0</vt:lpstr>
      <vt:lpstr>'201'!OSRRefT22_1x_0</vt:lpstr>
      <vt:lpstr>'202'!OSRRefT22_1x_0</vt:lpstr>
      <vt:lpstr>'203'!OSRRefT22_1x_0</vt:lpstr>
      <vt:lpstr>'204'!OSRRefT22_1x_0</vt:lpstr>
      <vt:lpstr>'205'!OSRRefT22_1x_0</vt:lpstr>
      <vt:lpstr>'206'!OSRRefT22_1x_0</vt:lpstr>
      <vt:lpstr>'300'!OSRRefT22_1x_0</vt:lpstr>
      <vt:lpstr>'300 &amp; 317'!OSRRefT22_1x_0</vt:lpstr>
      <vt:lpstr>'301'!OSRRefT22_1x_0</vt:lpstr>
      <vt:lpstr>'307'!OSRRefT22_1x_0</vt:lpstr>
      <vt:lpstr>'308'!OSRRefT22_1x_0</vt:lpstr>
      <vt:lpstr>'309'!OSRRefT22_1x_0</vt:lpstr>
      <vt:lpstr>'310'!OSRRefT22_1x_0</vt:lpstr>
      <vt:lpstr>'310 &amp; 491'!OSRRefT22_1x_0</vt:lpstr>
      <vt:lpstr>'311'!OSRRefT22_1x_0</vt:lpstr>
      <vt:lpstr>'315'!OSRRefT22_1x_0</vt:lpstr>
      <vt:lpstr>'316'!OSRRefT22_1x_0</vt:lpstr>
      <vt:lpstr>'317'!OSRRefT22_1x_0</vt:lpstr>
      <vt:lpstr>'321'!OSRRefT22_1x_0</vt:lpstr>
      <vt:lpstr>'325'!OSRRefT22_1x_0</vt:lpstr>
      <vt:lpstr>'326'!OSRRefT22_1x_0</vt:lpstr>
      <vt:lpstr>'327'!OSRRefT22_1x_0</vt:lpstr>
      <vt:lpstr>'331'!OSRRefT22_1x_0</vt:lpstr>
      <vt:lpstr>'332'!OSRRefT22_1x_0</vt:lpstr>
      <vt:lpstr>'333'!OSRRefT22_1x_0</vt:lpstr>
      <vt:lpstr>'405'!OSRRefT22_1x_0</vt:lpstr>
      <vt:lpstr>'406'!OSRRefT22_1x_0</vt:lpstr>
      <vt:lpstr>'411'!OSRRefT22_1x_0</vt:lpstr>
      <vt:lpstr>'412'!OSRRefT22_1x_0</vt:lpstr>
      <vt:lpstr>'413'!OSRRefT22_1x_0</vt:lpstr>
      <vt:lpstr>'414'!OSRRefT22_1x_0</vt:lpstr>
      <vt:lpstr>'415'!OSRRefT22_1x_0</vt:lpstr>
      <vt:lpstr>'418'!OSRRefT22_1x_0</vt:lpstr>
      <vt:lpstr>'423'!OSRRefT22_1x_0</vt:lpstr>
      <vt:lpstr>'424'!OSRRefT22_1x_0</vt:lpstr>
      <vt:lpstr>'425'!OSRRefT22_1x_0</vt:lpstr>
      <vt:lpstr>'430'!OSRRefT22_1x_0</vt:lpstr>
      <vt:lpstr>'433'!OSRRefT22_1x_0</vt:lpstr>
      <vt:lpstr>'435'!OSRRefT22_1x_0</vt:lpstr>
      <vt:lpstr>'444'!OSRRefT22_1x_0</vt:lpstr>
      <vt:lpstr>'450'!OSRRefT22_1x_0</vt:lpstr>
      <vt:lpstr>'491'!OSRRefT22_1x_0</vt:lpstr>
      <vt:lpstr>'492'!OSRRefT22_1x_0</vt:lpstr>
      <vt:lpstr>'501'!OSRRefT22_1x_0</vt:lpstr>
      <vt:lpstr>'Div 2'!OSRRefT22_1x_0</vt:lpstr>
      <vt:lpstr>'Div 3'!OSRRefT22_1x_0</vt:lpstr>
      <vt:lpstr>'Div 4'!OSRRefT22_1x_0</vt:lpstr>
      <vt:lpstr>'Div 5'!OSRRefT22_1x_0</vt:lpstr>
      <vt:lpstr>'Div 6'!OSRRefT22_1x_0</vt:lpstr>
      <vt:lpstr>Summary!OSRRefT22_1x_0</vt:lpstr>
      <vt:lpstr>'300'!OSRRefT22_20x_0</vt:lpstr>
      <vt:lpstr>'300 &amp; 317'!OSRRefT22_20x_0</vt:lpstr>
      <vt:lpstr>'301'!OSRRefT22_20x_0</vt:lpstr>
      <vt:lpstr>'310 &amp; 491'!OSRRefT22_20x_0</vt:lpstr>
      <vt:lpstr>'331'!OSRRefT22_20x_0</vt:lpstr>
      <vt:lpstr>'333'!OSRRefT22_20x_0</vt:lpstr>
      <vt:lpstr>'491'!OSRRefT22_20x_0</vt:lpstr>
      <vt:lpstr>'Div 3'!OSRRefT22_20x_0</vt:lpstr>
      <vt:lpstr>'Div 4'!OSRRefT22_20x_0</vt:lpstr>
      <vt:lpstr>Summary!OSRRefT22_20x_0</vt:lpstr>
      <vt:lpstr>'300'!OSRRefT22_21x_0</vt:lpstr>
      <vt:lpstr>'300 &amp; 317'!OSRRefT22_21x_0</vt:lpstr>
      <vt:lpstr>'301'!OSRRefT22_21x_0</vt:lpstr>
      <vt:lpstr>'331'!OSRRefT22_21x_0</vt:lpstr>
      <vt:lpstr>'333'!OSRRefT22_21x_0</vt:lpstr>
      <vt:lpstr>'Div 3'!OSRRefT22_21x_0</vt:lpstr>
      <vt:lpstr>'Div 4'!OSRRefT22_21x_0</vt:lpstr>
      <vt:lpstr>Summary!OSRRefT22_21x_0</vt:lpstr>
      <vt:lpstr>'300'!OSRRefT22_22x_0</vt:lpstr>
      <vt:lpstr>'300 &amp; 317'!OSRRefT22_22x_0</vt:lpstr>
      <vt:lpstr>'301'!OSRRefT22_22x_0</vt:lpstr>
      <vt:lpstr>'331'!OSRRefT22_22x_0</vt:lpstr>
      <vt:lpstr>'333'!OSRRefT22_22x_0</vt:lpstr>
      <vt:lpstr>'Div 3'!OSRRefT22_22x_0</vt:lpstr>
      <vt:lpstr>'Div 4'!OSRRefT22_22x_0</vt:lpstr>
      <vt:lpstr>Summary!OSRRefT22_22x_0</vt:lpstr>
      <vt:lpstr>'300'!OSRRefT22_23x_0</vt:lpstr>
      <vt:lpstr>'300 &amp; 317'!OSRRefT22_23x_0</vt:lpstr>
      <vt:lpstr>'Div 3'!OSRRefT22_23x_0</vt:lpstr>
      <vt:lpstr>Summary!OSRRefT22_23x_0</vt:lpstr>
      <vt:lpstr>'300'!OSRRefT22_24x_0</vt:lpstr>
      <vt:lpstr>'300 &amp; 317'!OSRRefT22_24x_0</vt:lpstr>
      <vt:lpstr>'Div 3'!OSRRefT22_24x_0</vt:lpstr>
      <vt:lpstr>Summary!OSRRefT22_24x_0</vt:lpstr>
      <vt:lpstr>'Div 3'!OSRRefT22_25x_0</vt:lpstr>
      <vt:lpstr>Summary!OSRRefT22_25x_0</vt:lpstr>
      <vt:lpstr>Summary!OSRRefT22_26x_0</vt:lpstr>
      <vt:lpstr>'200'!OSRRefT22_2x_0</vt:lpstr>
      <vt:lpstr>'201'!OSRRefT22_2x_0</vt:lpstr>
      <vt:lpstr>'202'!OSRRefT22_2x_0</vt:lpstr>
      <vt:lpstr>'203'!OSRRefT22_2x_0</vt:lpstr>
      <vt:lpstr>'204'!OSRRefT22_2x_0</vt:lpstr>
      <vt:lpstr>'205'!OSRRefT22_2x_0</vt:lpstr>
      <vt:lpstr>'206'!OSRRefT22_2x_0</vt:lpstr>
      <vt:lpstr>'300'!OSRRefT22_2x_0</vt:lpstr>
      <vt:lpstr>'300 &amp; 317'!OSRRefT22_2x_0</vt:lpstr>
      <vt:lpstr>'301'!OSRRefT22_2x_0</vt:lpstr>
      <vt:lpstr>'307'!OSRRefT22_2x_0</vt:lpstr>
      <vt:lpstr>'308'!OSRRefT22_2x_0</vt:lpstr>
      <vt:lpstr>'309'!OSRRefT22_2x_0</vt:lpstr>
      <vt:lpstr>'310'!OSRRefT22_2x_0</vt:lpstr>
      <vt:lpstr>'310 &amp; 491'!OSRRefT22_2x_0</vt:lpstr>
      <vt:lpstr>'311'!OSRRefT22_2x_0</vt:lpstr>
      <vt:lpstr>'315'!OSRRefT22_2x_0</vt:lpstr>
      <vt:lpstr>'316'!OSRRefT22_2x_0</vt:lpstr>
      <vt:lpstr>'317'!OSRRefT22_2x_0</vt:lpstr>
      <vt:lpstr>'321'!OSRRefT22_2x_0</vt:lpstr>
      <vt:lpstr>'325'!OSRRefT22_2x_0</vt:lpstr>
      <vt:lpstr>'326'!OSRRefT22_2x_0</vt:lpstr>
      <vt:lpstr>'331'!OSRRefT22_2x_0</vt:lpstr>
      <vt:lpstr>'332'!OSRRefT22_2x_0</vt:lpstr>
      <vt:lpstr>'333'!OSRRefT22_2x_0</vt:lpstr>
      <vt:lpstr>'405'!OSRRefT22_2x_0</vt:lpstr>
      <vt:lpstr>'411'!OSRRefT22_2x_0</vt:lpstr>
      <vt:lpstr>'412'!OSRRefT22_2x_0</vt:lpstr>
      <vt:lpstr>'413'!OSRRefT22_2x_0</vt:lpstr>
      <vt:lpstr>'414'!OSRRefT22_2x_0</vt:lpstr>
      <vt:lpstr>'415'!OSRRefT22_2x_0</vt:lpstr>
      <vt:lpstr>'418'!OSRRefT22_2x_0</vt:lpstr>
      <vt:lpstr>'423'!OSRRefT22_2x_0</vt:lpstr>
      <vt:lpstr>'424'!OSRRefT22_2x_0</vt:lpstr>
      <vt:lpstr>'425'!OSRRefT22_2x_0</vt:lpstr>
      <vt:lpstr>'430'!OSRRefT22_2x_0</vt:lpstr>
      <vt:lpstr>'433'!OSRRefT22_2x_0</vt:lpstr>
      <vt:lpstr>'444'!OSRRefT22_2x_0</vt:lpstr>
      <vt:lpstr>'450'!OSRRefT22_2x_0</vt:lpstr>
      <vt:lpstr>'491'!OSRRefT22_2x_0</vt:lpstr>
      <vt:lpstr>'492'!OSRRefT22_2x_0</vt:lpstr>
      <vt:lpstr>'501'!OSRRefT22_2x_0</vt:lpstr>
      <vt:lpstr>'Div 2'!OSRRefT22_2x_0</vt:lpstr>
      <vt:lpstr>'Div 3'!OSRRefT22_2x_0</vt:lpstr>
      <vt:lpstr>'Div 4'!OSRRefT22_2x_0</vt:lpstr>
      <vt:lpstr>'Div 5'!OSRRefT22_2x_0</vt:lpstr>
      <vt:lpstr>'Div 6'!OSRRefT22_2x_0</vt:lpstr>
      <vt:lpstr>Summary!OSRRefT22_2x_0</vt:lpstr>
      <vt:lpstr>'200'!OSRRefT22_3x_0</vt:lpstr>
      <vt:lpstr>'201'!OSRRefT22_3x_0</vt:lpstr>
      <vt:lpstr>'202'!OSRRefT22_3x_0</vt:lpstr>
      <vt:lpstr>'203'!OSRRefT22_3x_0</vt:lpstr>
      <vt:lpstr>'204'!OSRRefT22_3x_0</vt:lpstr>
      <vt:lpstr>'205'!OSRRefT22_3x_0</vt:lpstr>
      <vt:lpstr>'206'!OSRRefT22_3x_0</vt:lpstr>
      <vt:lpstr>'300'!OSRRefT22_3x_0</vt:lpstr>
      <vt:lpstr>'300 &amp; 317'!OSRRefT22_3x_0</vt:lpstr>
      <vt:lpstr>'301'!OSRRefT22_3x_0</vt:lpstr>
      <vt:lpstr>'307'!OSRRefT22_3x_0</vt:lpstr>
      <vt:lpstr>'308'!OSRRefT22_3x_0</vt:lpstr>
      <vt:lpstr>'309'!OSRRefT22_3x_0</vt:lpstr>
      <vt:lpstr>'310'!OSRRefT22_3x_0</vt:lpstr>
      <vt:lpstr>'310 &amp; 491'!OSRRefT22_3x_0</vt:lpstr>
      <vt:lpstr>'311'!OSRRefT22_3x_0</vt:lpstr>
      <vt:lpstr>'315'!OSRRefT22_3x_0</vt:lpstr>
      <vt:lpstr>'316'!OSRRefT22_3x_0</vt:lpstr>
      <vt:lpstr>'317'!OSRRefT22_3x_0</vt:lpstr>
      <vt:lpstr>'321'!OSRRefT22_3x_0</vt:lpstr>
      <vt:lpstr>'325'!OSRRefT22_3x_0</vt:lpstr>
      <vt:lpstr>'326'!OSRRefT22_3x_0</vt:lpstr>
      <vt:lpstr>'331'!OSRRefT22_3x_0</vt:lpstr>
      <vt:lpstr>'332'!OSRRefT22_3x_0</vt:lpstr>
      <vt:lpstr>'333'!OSRRefT22_3x_0</vt:lpstr>
      <vt:lpstr>'405'!OSRRefT22_3x_0</vt:lpstr>
      <vt:lpstr>'411'!OSRRefT22_3x_0</vt:lpstr>
      <vt:lpstr>'412'!OSRRefT22_3x_0</vt:lpstr>
      <vt:lpstr>'415'!OSRRefT22_3x_0</vt:lpstr>
      <vt:lpstr>'418'!OSRRefT22_3x_0</vt:lpstr>
      <vt:lpstr>'423'!OSRRefT22_3x_0</vt:lpstr>
      <vt:lpstr>'425'!OSRRefT22_3x_0</vt:lpstr>
      <vt:lpstr>'430'!OSRRefT22_3x_0</vt:lpstr>
      <vt:lpstr>'433'!OSRRefT22_3x_0</vt:lpstr>
      <vt:lpstr>'444'!OSRRefT22_3x_0</vt:lpstr>
      <vt:lpstr>'450'!OSRRefT22_3x_0</vt:lpstr>
      <vt:lpstr>'491'!OSRRefT22_3x_0</vt:lpstr>
      <vt:lpstr>'492'!OSRRefT22_3x_0</vt:lpstr>
      <vt:lpstr>'501'!OSRRefT22_3x_0</vt:lpstr>
      <vt:lpstr>'Div 2'!OSRRefT22_3x_0</vt:lpstr>
      <vt:lpstr>'Div 3'!OSRRefT22_3x_0</vt:lpstr>
      <vt:lpstr>'Div 4'!OSRRefT22_3x_0</vt:lpstr>
      <vt:lpstr>'Div 5'!OSRRefT22_3x_0</vt:lpstr>
      <vt:lpstr>'Div 6'!OSRRefT22_3x_0</vt:lpstr>
      <vt:lpstr>Summary!OSRRefT22_3x_0</vt:lpstr>
      <vt:lpstr>'201'!OSRRefT22_4x_0</vt:lpstr>
      <vt:lpstr>'202'!OSRRefT22_4x_0</vt:lpstr>
      <vt:lpstr>'203'!OSRRefT22_4x_0</vt:lpstr>
      <vt:lpstr>'204'!OSRRefT22_4x_0</vt:lpstr>
      <vt:lpstr>'205'!OSRRefT22_4x_0</vt:lpstr>
      <vt:lpstr>'206'!OSRRefT22_4x_0</vt:lpstr>
      <vt:lpstr>'300'!OSRRefT22_4x_0</vt:lpstr>
      <vt:lpstr>'300 &amp; 317'!OSRRefT22_4x_0</vt:lpstr>
      <vt:lpstr>'301'!OSRRefT22_4x_0</vt:lpstr>
      <vt:lpstr>'307'!OSRRefT22_4x_0</vt:lpstr>
      <vt:lpstr>'308'!OSRRefT22_4x_0</vt:lpstr>
      <vt:lpstr>'309'!OSRRefT22_4x_0</vt:lpstr>
      <vt:lpstr>'310'!OSRRefT22_4x_0</vt:lpstr>
      <vt:lpstr>'310 &amp; 491'!OSRRefT22_4x_0</vt:lpstr>
      <vt:lpstr>'311'!OSRRefT22_4x_0</vt:lpstr>
      <vt:lpstr>'315'!OSRRefT22_4x_0</vt:lpstr>
      <vt:lpstr>'316'!OSRRefT22_4x_0</vt:lpstr>
      <vt:lpstr>'317'!OSRRefT22_4x_0</vt:lpstr>
      <vt:lpstr>'321'!OSRRefT22_4x_0</vt:lpstr>
      <vt:lpstr>'325'!OSRRefT22_4x_0</vt:lpstr>
      <vt:lpstr>'326'!OSRRefT22_4x_0</vt:lpstr>
      <vt:lpstr>'331'!OSRRefT22_4x_0</vt:lpstr>
      <vt:lpstr>'332'!OSRRefT22_4x_0</vt:lpstr>
      <vt:lpstr>'333'!OSRRefT22_4x_0</vt:lpstr>
      <vt:lpstr>'405'!OSRRefT22_4x_0</vt:lpstr>
      <vt:lpstr>'411'!OSRRefT22_4x_0</vt:lpstr>
      <vt:lpstr>'415'!OSRRefT22_4x_0</vt:lpstr>
      <vt:lpstr>'418'!OSRRefT22_4x_0</vt:lpstr>
      <vt:lpstr>'423'!OSRRefT22_4x_0</vt:lpstr>
      <vt:lpstr>'425'!OSRRefT22_4x_0</vt:lpstr>
      <vt:lpstr>'430'!OSRRefT22_4x_0</vt:lpstr>
      <vt:lpstr>'433'!OSRRefT22_4x_0</vt:lpstr>
      <vt:lpstr>'444'!OSRRefT22_4x_0</vt:lpstr>
      <vt:lpstr>'450'!OSRRefT22_4x_0</vt:lpstr>
      <vt:lpstr>'491'!OSRRefT22_4x_0</vt:lpstr>
      <vt:lpstr>'492'!OSRRefT22_4x_0</vt:lpstr>
      <vt:lpstr>'501'!OSRRefT22_4x_0</vt:lpstr>
      <vt:lpstr>'Div 2'!OSRRefT22_4x_0</vt:lpstr>
      <vt:lpstr>'Div 3'!OSRRefT22_4x_0</vt:lpstr>
      <vt:lpstr>'Div 4'!OSRRefT22_4x_0</vt:lpstr>
      <vt:lpstr>'Div 5'!OSRRefT22_4x_0</vt:lpstr>
      <vt:lpstr>'Div 6'!OSRRefT22_4x_0</vt:lpstr>
      <vt:lpstr>Summary!OSRRefT22_4x_0</vt:lpstr>
      <vt:lpstr>'201'!OSRRefT22_5x_0</vt:lpstr>
      <vt:lpstr>'202'!OSRRefT22_5x_0</vt:lpstr>
      <vt:lpstr>'203'!OSRRefT22_5x_0</vt:lpstr>
      <vt:lpstr>'204'!OSRRefT22_5x_0</vt:lpstr>
      <vt:lpstr>'205'!OSRRefT22_5x_0</vt:lpstr>
      <vt:lpstr>'206'!OSRRefT22_5x_0</vt:lpstr>
      <vt:lpstr>'300'!OSRRefT22_5x_0</vt:lpstr>
      <vt:lpstr>'300 &amp; 317'!OSRRefT22_5x_0</vt:lpstr>
      <vt:lpstr>'301'!OSRRefT22_5x_0</vt:lpstr>
      <vt:lpstr>'307'!OSRRefT22_5x_0</vt:lpstr>
      <vt:lpstr>'308'!OSRRefT22_5x_0</vt:lpstr>
      <vt:lpstr>'309'!OSRRefT22_5x_0</vt:lpstr>
      <vt:lpstr>'310'!OSRRefT22_5x_0</vt:lpstr>
      <vt:lpstr>'310 &amp; 491'!OSRRefT22_5x_0</vt:lpstr>
      <vt:lpstr>'311'!OSRRefT22_5x_0</vt:lpstr>
      <vt:lpstr>'315'!OSRRefT22_5x_0</vt:lpstr>
      <vt:lpstr>'316'!OSRRefT22_5x_0</vt:lpstr>
      <vt:lpstr>'317'!OSRRefT22_5x_0</vt:lpstr>
      <vt:lpstr>'321'!OSRRefT22_5x_0</vt:lpstr>
      <vt:lpstr>'325'!OSRRefT22_5x_0</vt:lpstr>
      <vt:lpstr>'326'!OSRRefT22_5x_0</vt:lpstr>
      <vt:lpstr>'331'!OSRRefT22_5x_0</vt:lpstr>
      <vt:lpstr>'332'!OSRRefT22_5x_0</vt:lpstr>
      <vt:lpstr>'333'!OSRRefT22_5x_0</vt:lpstr>
      <vt:lpstr>'405'!OSRRefT22_5x_0</vt:lpstr>
      <vt:lpstr>'411'!OSRRefT22_5x_0</vt:lpstr>
      <vt:lpstr>'415'!OSRRefT22_5x_0</vt:lpstr>
      <vt:lpstr>'418'!OSRRefT22_5x_0</vt:lpstr>
      <vt:lpstr>'423'!OSRRefT22_5x_0</vt:lpstr>
      <vt:lpstr>'425'!OSRRefT22_5x_0</vt:lpstr>
      <vt:lpstr>'430'!OSRRefT22_5x_0</vt:lpstr>
      <vt:lpstr>'433'!OSRRefT22_5x_0</vt:lpstr>
      <vt:lpstr>'444'!OSRRefT22_5x_0</vt:lpstr>
      <vt:lpstr>'450'!OSRRefT22_5x_0</vt:lpstr>
      <vt:lpstr>'491'!OSRRefT22_5x_0</vt:lpstr>
      <vt:lpstr>'492'!OSRRefT22_5x_0</vt:lpstr>
      <vt:lpstr>'501'!OSRRefT22_5x_0</vt:lpstr>
      <vt:lpstr>'Div 2'!OSRRefT22_5x_0</vt:lpstr>
      <vt:lpstr>'Div 3'!OSRRefT22_5x_0</vt:lpstr>
      <vt:lpstr>'Div 4'!OSRRefT22_5x_0</vt:lpstr>
      <vt:lpstr>'Div 5'!OSRRefT22_5x_0</vt:lpstr>
      <vt:lpstr>'Div 6'!OSRRefT22_5x_0</vt:lpstr>
      <vt:lpstr>Summary!OSRRefT22_5x_0</vt:lpstr>
      <vt:lpstr>'201'!OSRRefT22_6x_0</vt:lpstr>
      <vt:lpstr>'202'!OSRRefT22_6x_0</vt:lpstr>
      <vt:lpstr>'203'!OSRRefT22_6x_0</vt:lpstr>
      <vt:lpstr>'204'!OSRRefT22_6x_0</vt:lpstr>
      <vt:lpstr>'205'!OSRRefT22_6x_0</vt:lpstr>
      <vt:lpstr>'206'!OSRRefT22_6x_0</vt:lpstr>
      <vt:lpstr>'300'!OSRRefT22_6x_0</vt:lpstr>
      <vt:lpstr>'300 &amp; 317'!OSRRefT22_6x_0</vt:lpstr>
      <vt:lpstr>'301'!OSRRefT22_6x_0</vt:lpstr>
      <vt:lpstr>'307'!OSRRefT22_6x_0</vt:lpstr>
      <vt:lpstr>'308'!OSRRefT22_6x_0</vt:lpstr>
      <vt:lpstr>'309'!OSRRefT22_6x_0</vt:lpstr>
      <vt:lpstr>'310'!OSRRefT22_6x_0</vt:lpstr>
      <vt:lpstr>'310 &amp; 491'!OSRRefT22_6x_0</vt:lpstr>
      <vt:lpstr>'311'!OSRRefT22_6x_0</vt:lpstr>
      <vt:lpstr>'315'!OSRRefT22_6x_0</vt:lpstr>
      <vt:lpstr>'316'!OSRRefT22_6x_0</vt:lpstr>
      <vt:lpstr>'317'!OSRRefT22_6x_0</vt:lpstr>
      <vt:lpstr>'321'!OSRRefT22_6x_0</vt:lpstr>
      <vt:lpstr>'325'!OSRRefT22_6x_0</vt:lpstr>
      <vt:lpstr>'326'!OSRRefT22_6x_0</vt:lpstr>
      <vt:lpstr>'331'!OSRRefT22_6x_0</vt:lpstr>
      <vt:lpstr>'332'!OSRRefT22_6x_0</vt:lpstr>
      <vt:lpstr>'333'!OSRRefT22_6x_0</vt:lpstr>
      <vt:lpstr>'405'!OSRRefT22_6x_0</vt:lpstr>
      <vt:lpstr>'411'!OSRRefT22_6x_0</vt:lpstr>
      <vt:lpstr>'415'!OSRRefT22_6x_0</vt:lpstr>
      <vt:lpstr>'418'!OSRRefT22_6x_0</vt:lpstr>
      <vt:lpstr>'430'!OSRRefT22_6x_0</vt:lpstr>
      <vt:lpstr>'433'!OSRRefT22_6x_0</vt:lpstr>
      <vt:lpstr>'444'!OSRRefT22_6x_0</vt:lpstr>
      <vt:lpstr>'450'!OSRRefT22_6x_0</vt:lpstr>
      <vt:lpstr>'491'!OSRRefT22_6x_0</vt:lpstr>
      <vt:lpstr>'492'!OSRRefT22_6x_0</vt:lpstr>
      <vt:lpstr>'501'!OSRRefT22_6x_0</vt:lpstr>
      <vt:lpstr>'Div 2'!OSRRefT22_6x_0</vt:lpstr>
      <vt:lpstr>'Div 3'!OSRRefT22_6x_0</vt:lpstr>
      <vt:lpstr>'Div 4'!OSRRefT22_6x_0</vt:lpstr>
      <vt:lpstr>'Div 5'!OSRRefT22_6x_0</vt:lpstr>
      <vt:lpstr>'Div 6'!OSRRefT22_6x_0</vt:lpstr>
      <vt:lpstr>Summary!OSRRefT22_6x_0</vt:lpstr>
      <vt:lpstr>'201'!OSRRefT22_7x_0</vt:lpstr>
      <vt:lpstr>'202'!OSRRefT22_7x_0</vt:lpstr>
      <vt:lpstr>'203'!OSRRefT22_7x_0</vt:lpstr>
      <vt:lpstr>'204'!OSRRefT22_7x_0</vt:lpstr>
      <vt:lpstr>'205'!OSRRefT22_7x_0</vt:lpstr>
      <vt:lpstr>'206'!OSRRefT22_7x_0</vt:lpstr>
      <vt:lpstr>'300'!OSRRefT22_7x_0</vt:lpstr>
      <vt:lpstr>'300 &amp; 317'!OSRRefT22_7x_0</vt:lpstr>
      <vt:lpstr>'301'!OSRRefT22_7x_0</vt:lpstr>
      <vt:lpstr>'307'!OSRRefT22_7x_0</vt:lpstr>
      <vt:lpstr>'308'!OSRRefT22_7x_0</vt:lpstr>
      <vt:lpstr>'309'!OSRRefT22_7x_0</vt:lpstr>
      <vt:lpstr>'310'!OSRRefT22_7x_0</vt:lpstr>
      <vt:lpstr>'310 &amp; 491'!OSRRefT22_7x_0</vt:lpstr>
      <vt:lpstr>'311'!OSRRefT22_7x_0</vt:lpstr>
      <vt:lpstr>'315'!OSRRefT22_7x_0</vt:lpstr>
      <vt:lpstr>'316'!OSRRefT22_7x_0</vt:lpstr>
      <vt:lpstr>'317'!OSRRefT22_7x_0</vt:lpstr>
      <vt:lpstr>'321'!OSRRefT22_7x_0</vt:lpstr>
      <vt:lpstr>'325'!OSRRefT22_7x_0</vt:lpstr>
      <vt:lpstr>'326'!OSRRefT22_7x_0</vt:lpstr>
      <vt:lpstr>'331'!OSRRefT22_7x_0</vt:lpstr>
      <vt:lpstr>'332'!OSRRefT22_7x_0</vt:lpstr>
      <vt:lpstr>'333'!OSRRefT22_7x_0</vt:lpstr>
      <vt:lpstr>'405'!OSRRefT22_7x_0</vt:lpstr>
      <vt:lpstr>'411'!OSRRefT22_7x_0</vt:lpstr>
      <vt:lpstr>'415'!OSRRefT22_7x_0</vt:lpstr>
      <vt:lpstr>'418'!OSRRefT22_7x_0</vt:lpstr>
      <vt:lpstr>'430'!OSRRefT22_7x_0</vt:lpstr>
      <vt:lpstr>'433'!OSRRefT22_7x_0</vt:lpstr>
      <vt:lpstr>'444'!OSRRefT22_7x_0</vt:lpstr>
      <vt:lpstr>'450'!OSRRefT22_7x_0</vt:lpstr>
      <vt:lpstr>'491'!OSRRefT22_7x_0</vt:lpstr>
      <vt:lpstr>'492'!OSRRefT22_7x_0</vt:lpstr>
      <vt:lpstr>'501'!OSRRefT22_7x_0</vt:lpstr>
      <vt:lpstr>'Div 2'!OSRRefT22_7x_0</vt:lpstr>
      <vt:lpstr>'Div 3'!OSRRefT22_7x_0</vt:lpstr>
      <vt:lpstr>'Div 4'!OSRRefT22_7x_0</vt:lpstr>
      <vt:lpstr>'Div 5'!OSRRefT22_7x_0</vt:lpstr>
      <vt:lpstr>'Div 6'!OSRRefT22_7x_0</vt:lpstr>
      <vt:lpstr>Summary!OSRRefT22_7x_0</vt:lpstr>
      <vt:lpstr>'201'!OSRRefT22_8x_0</vt:lpstr>
      <vt:lpstr>'202'!OSRRefT22_8x_0</vt:lpstr>
      <vt:lpstr>'203'!OSRRefT22_8x_0</vt:lpstr>
      <vt:lpstr>'204'!OSRRefT22_8x_0</vt:lpstr>
      <vt:lpstr>'300'!OSRRefT22_8x_0</vt:lpstr>
      <vt:lpstr>'300 &amp; 317'!OSRRefT22_8x_0</vt:lpstr>
      <vt:lpstr>'301'!OSRRefT22_8x_0</vt:lpstr>
      <vt:lpstr>'307'!OSRRefT22_8x_0</vt:lpstr>
      <vt:lpstr>'308'!OSRRefT22_8x_0</vt:lpstr>
      <vt:lpstr>'309'!OSRRefT22_8x_0</vt:lpstr>
      <vt:lpstr>'310'!OSRRefT22_8x_0</vt:lpstr>
      <vt:lpstr>'310 &amp; 491'!OSRRefT22_8x_0</vt:lpstr>
      <vt:lpstr>'311'!OSRRefT22_8x_0</vt:lpstr>
      <vt:lpstr>'315'!OSRRefT22_8x_0</vt:lpstr>
      <vt:lpstr>'316'!OSRRefT22_8x_0</vt:lpstr>
      <vt:lpstr>'317'!OSRRefT22_8x_0</vt:lpstr>
      <vt:lpstr>'321'!OSRRefT22_8x_0</vt:lpstr>
      <vt:lpstr>'325'!OSRRefT22_8x_0</vt:lpstr>
      <vt:lpstr>'326'!OSRRefT22_8x_0</vt:lpstr>
      <vt:lpstr>'331'!OSRRefT22_8x_0</vt:lpstr>
      <vt:lpstr>'332'!OSRRefT22_8x_0</vt:lpstr>
      <vt:lpstr>'333'!OSRRefT22_8x_0</vt:lpstr>
      <vt:lpstr>'405'!OSRRefT22_8x_0</vt:lpstr>
      <vt:lpstr>'411'!OSRRefT22_8x_0</vt:lpstr>
      <vt:lpstr>'415'!OSRRefT22_8x_0</vt:lpstr>
      <vt:lpstr>'418'!OSRRefT22_8x_0</vt:lpstr>
      <vt:lpstr>'430'!OSRRefT22_8x_0</vt:lpstr>
      <vt:lpstr>'433'!OSRRefT22_8x_0</vt:lpstr>
      <vt:lpstr>'444'!OSRRefT22_8x_0</vt:lpstr>
      <vt:lpstr>'450'!OSRRefT22_8x_0</vt:lpstr>
      <vt:lpstr>'491'!OSRRefT22_8x_0</vt:lpstr>
      <vt:lpstr>'492'!OSRRefT22_8x_0</vt:lpstr>
      <vt:lpstr>'501'!OSRRefT22_8x_0</vt:lpstr>
      <vt:lpstr>'Div 2'!OSRRefT22_8x_0</vt:lpstr>
      <vt:lpstr>'Div 3'!OSRRefT22_8x_0</vt:lpstr>
      <vt:lpstr>'Div 4'!OSRRefT22_8x_0</vt:lpstr>
      <vt:lpstr>'Div 5'!OSRRefT22_8x_0</vt:lpstr>
      <vt:lpstr>'Div 6'!OSRRefT22_8x_0</vt:lpstr>
      <vt:lpstr>Summary!OSRRefT22_8x_0</vt:lpstr>
      <vt:lpstr>'201'!OSRRefT22_9x_0</vt:lpstr>
      <vt:lpstr>'202'!OSRRefT22_9x_0</vt:lpstr>
      <vt:lpstr>'203'!OSRRefT22_9x_0</vt:lpstr>
      <vt:lpstr>'204'!OSRRefT22_9x_0</vt:lpstr>
      <vt:lpstr>'300'!OSRRefT22_9x_0</vt:lpstr>
      <vt:lpstr>'300 &amp; 317'!OSRRefT22_9x_0</vt:lpstr>
      <vt:lpstr>'301'!OSRRefT22_9x_0</vt:lpstr>
      <vt:lpstr>'307'!OSRRefT22_9x_0</vt:lpstr>
      <vt:lpstr>'308'!OSRRefT22_9x_0</vt:lpstr>
      <vt:lpstr>'309'!OSRRefT22_9x_0</vt:lpstr>
      <vt:lpstr>'310'!OSRRefT22_9x_0</vt:lpstr>
      <vt:lpstr>'310 &amp; 491'!OSRRefT22_9x_0</vt:lpstr>
      <vt:lpstr>'311'!OSRRefT22_9x_0</vt:lpstr>
      <vt:lpstr>'315'!OSRRefT22_9x_0</vt:lpstr>
      <vt:lpstr>'316'!OSRRefT22_9x_0</vt:lpstr>
      <vt:lpstr>'317'!OSRRefT22_9x_0</vt:lpstr>
      <vt:lpstr>'321'!OSRRefT22_9x_0</vt:lpstr>
      <vt:lpstr>'325'!OSRRefT22_9x_0</vt:lpstr>
      <vt:lpstr>'326'!OSRRefT22_9x_0</vt:lpstr>
      <vt:lpstr>'331'!OSRRefT22_9x_0</vt:lpstr>
      <vt:lpstr>'332'!OSRRefT22_9x_0</vt:lpstr>
      <vt:lpstr>'333'!OSRRefT22_9x_0</vt:lpstr>
      <vt:lpstr>'405'!OSRRefT22_9x_0</vt:lpstr>
      <vt:lpstr>'411'!OSRRefT22_9x_0</vt:lpstr>
      <vt:lpstr>'415'!OSRRefT22_9x_0</vt:lpstr>
      <vt:lpstr>'418'!OSRRefT22_9x_0</vt:lpstr>
      <vt:lpstr>'433'!OSRRefT22_9x_0</vt:lpstr>
      <vt:lpstr>'444'!OSRRefT22_9x_0</vt:lpstr>
      <vt:lpstr>'450'!OSRRefT22_9x_0</vt:lpstr>
      <vt:lpstr>'491'!OSRRefT22_9x_0</vt:lpstr>
      <vt:lpstr>'492'!OSRRefT22_9x_0</vt:lpstr>
      <vt:lpstr>'501'!OSRRefT22_9x_0</vt:lpstr>
      <vt:lpstr>'Div 2'!OSRRefT22_9x_0</vt:lpstr>
      <vt:lpstr>'Div 3'!OSRRefT22_9x_0</vt:lpstr>
      <vt:lpstr>'Div 4'!OSRRefT22_9x_0</vt:lpstr>
      <vt:lpstr>'Div 5'!OSRRefT22_9x_0</vt:lpstr>
      <vt:lpstr>'Div 6'!OSRRefT22_9x_0</vt:lpstr>
      <vt:lpstr>Summary!OSRRefT22_9x_0</vt:lpstr>
      <vt:lpstr>'200'!OSRRefT22x_0</vt:lpstr>
      <vt:lpstr>'201'!OSRRefT22x_0</vt:lpstr>
      <vt:lpstr>'202'!OSRRefT22x_0</vt:lpstr>
      <vt:lpstr>'203'!OSRRefT22x_0</vt:lpstr>
      <vt:lpstr>'204'!OSRRefT22x_0</vt:lpstr>
      <vt:lpstr>'205'!OSRRefT22x_0</vt:lpstr>
      <vt:lpstr>'206'!OSRRefT22x_0</vt:lpstr>
      <vt:lpstr>'300'!OSRRefT22x_0</vt:lpstr>
      <vt:lpstr>'300 &amp; 317'!OSRRefT22x_0</vt:lpstr>
      <vt:lpstr>'301'!OSRRefT22x_0</vt:lpstr>
      <vt:lpstr>'307'!OSRRefT22x_0</vt:lpstr>
      <vt:lpstr>'308'!OSRRefT22x_0</vt:lpstr>
      <vt:lpstr>'309'!OSRRefT22x_0</vt:lpstr>
      <vt:lpstr>'310'!OSRRefT22x_0</vt:lpstr>
      <vt:lpstr>'310 &amp; 491'!OSRRefT22x_0</vt:lpstr>
      <vt:lpstr>'311'!OSRRefT22x_0</vt:lpstr>
      <vt:lpstr>'315'!OSRRefT22x_0</vt:lpstr>
      <vt:lpstr>'316'!OSRRefT22x_0</vt:lpstr>
      <vt:lpstr>'317'!OSRRefT22x_0</vt:lpstr>
      <vt:lpstr>'321'!OSRRefT22x_0</vt:lpstr>
      <vt:lpstr>'325'!OSRRefT22x_0</vt:lpstr>
      <vt:lpstr>'326'!OSRRefT22x_0</vt:lpstr>
      <vt:lpstr>'327'!OSRRefT22x_0</vt:lpstr>
      <vt:lpstr>'331'!OSRRefT22x_0</vt:lpstr>
      <vt:lpstr>'332'!OSRRefT22x_0</vt:lpstr>
      <vt:lpstr>'333'!OSRRefT22x_0</vt:lpstr>
      <vt:lpstr>'405'!OSRRefT22x_0</vt:lpstr>
      <vt:lpstr>'406'!OSRRefT22x_0</vt:lpstr>
      <vt:lpstr>'411'!OSRRefT22x_0</vt:lpstr>
      <vt:lpstr>'412'!OSRRefT22x_0</vt:lpstr>
      <vt:lpstr>'413'!OSRRefT22x_0</vt:lpstr>
      <vt:lpstr>'414'!OSRRefT22x_0</vt:lpstr>
      <vt:lpstr>'415'!OSRRefT22x_0</vt:lpstr>
      <vt:lpstr>'418'!OSRRefT22x_0</vt:lpstr>
      <vt:lpstr>'423'!OSRRefT22x_0</vt:lpstr>
      <vt:lpstr>'424'!OSRRefT22x_0</vt:lpstr>
      <vt:lpstr>'425'!OSRRefT22x_0</vt:lpstr>
      <vt:lpstr>'430'!OSRRefT22x_0</vt:lpstr>
      <vt:lpstr>'433'!OSRRefT22x_0</vt:lpstr>
      <vt:lpstr>'435'!OSRRefT22x_0</vt:lpstr>
      <vt:lpstr>'444'!OSRRefT22x_0</vt:lpstr>
      <vt:lpstr>'450'!OSRRefT22x_0</vt:lpstr>
      <vt:lpstr>'491'!OSRRefT22x_0</vt:lpstr>
      <vt:lpstr>'492'!OSRRefT22x_0</vt:lpstr>
      <vt:lpstr>'501'!OSRRefT22x_0</vt:lpstr>
      <vt:lpstr>'Div 2'!OSRRefT22x_0</vt:lpstr>
      <vt:lpstr>'Div 3'!OSRRefT22x_0</vt:lpstr>
      <vt:lpstr>'Div 4'!OSRRefT22x_0</vt:lpstr>
      <vt:lpstr>'Div 5'!OSRRefT22x_0</vt:lpstr>
      <vt:lpstr>'Div 6'!OSRRefT22x_0</vt:lpstr>
      <vt:lpstr>Summary!OSRRefT22x_0</vt:lpstr>
      <vt:lpstr>'300'!OSRRefT25x_0</vt:lpstr>
      <vt:lpstr>'300 &amp; 317'!OSRRefT25x_0</vt:lpstr>
      <vt:lpstr>'301'!OSRRefT25x_0</vt:lpstr>
      <vt:lpstr>'308'!OSRRefT25x_0</vt:lpstr>
      <vt:lpstr>'310 &amp; 491'!OSRRefT25x_0</vt:lpstr>
      <vt:lpstr>'311'!OSRRefT25x_0</vt:lpstr>
      <vt:lpstr>'315'!OSRRefT25x_0</vt:lpstr>
      <vt:lpstr>'316'!OSRRefT25x_0</vt:lpstr>
      <vt:lpstr>'317'!OSRRefT25x_0</vt:lpstr>
      <vt:lpstr>'331'!OSRRefT25x_0</vt:lpstr>
      <vt:lpstr>'332'!OSRRefT25x_0</vt:lpstr>
      <vt:lpstr>'333'!OSRRefT25x_0</vt:lpstr>
      <vt:lpstr>'405'!OSRRefT25x_0</vt:lpstr>
      <vt:lpstr>'411'!OSRRefT25x_0</vt:lpstr>
      <vt:lpstr>'415'!OSRRefT25x_0</vt:lpstr>
      <vt:lpstr>'418'!OSRRefT25x_0</vt:lpstr>
      <vt:lpstr>'423'!OSRRefT25x_0</vt:lpstr>
      <vt:lpstr>'491'!OSRRefT25x_0</vt:lpstr>
      <vt:lpstr>'501'!OSRRefT25x_0</vt:lpstr>
      <vt:lpstr>'Div 3'!OSRRefT25x_0</vt:lpstr>
      <vt:lpstr>'Div 4'!OSRRefT25x_0</vt:lpstr>
      <vt:lpstr>'Div 5'!OSRRefT25x_0</vt:lpstr>
      <vt:lpstr>'Div 6'!OSRRefT25x_0</vt:lpstr>
      <vt:lpstr>Summary!OSRRefT25x_0</vt:lpstr>
      <vt:lpstr>'100'!Print_Area</vt:lpstr>
      <vt:lpstr>'200'!Print_Area</vt:lpstr>
      <vt:lpstr>'201'!Print_Area</vt:lpstr>
      <vt:lpstr>'202'!Print_Area</vt:lpstr>
      <vt:lpstr>'203'!Print_Area</vt:lpstr>
      <vt:lpstr>'204'!Print_Area</vt:lpstr>
      <vt:lpstr>'205'!Print_Area</vt:lpstr>
      <vt:lpstr>'206'!Print_Area</vt:lpstr>
      <vt:lpstr>'300'!Print_Area</vt:lpstr>
      <vt:lpstr>'300 &amp; 317'!Print_Area</vt:lpstr>
      <vt:lpstr>'301'!Print_Area</vt:lpstr>
      <vt:lpstr>'307'!Print_Area</vt:lpstr>
      <vt:lpstr>'308'!Print_Area</vt:lpstr>
      <vt:lpstr>'309'!Print_Area</vt:lpstr>
      <vt:lpstr>'310'!Print_Area</vt:lpstr>
      <vt:lpstr>'310 &amp; 491'!Print_Area</vt:lpstr>
      <vt:lpstr>'311'!Print_Area</vt:lpstr>
      <vt:lpstr>'315'!Print_Area</vt:lpstr>
      <vt:lpstr>'316'!Print_Area</vt:lpstr>
      <vt:lpstr>'317'!Print_Area</vt:lpstr>
      <vt:lpstr>'321'!Print_Area</vt:lpstr>
      <vt:lpstr>'324'!Print_Area</vt:lpstr>
      <vt:lpstr>'325'!Print_Area</vt:lpstr>
      <vt:lpstr>'326'!Print_Area</vt:lpstr>
      <vt:lpstr>'327'!Print_Area</vt:lpstr>
      <vt:lpstr>'331'!Print_Area</vt:lpstr>
      <vt:lpstr>'332'!Print_Area</vt:lpstr>
      <vt:lpstr>'333'!Print_Area</vt:lpstr>
      <vt:lpstr>'405'!Print_Area</vt:lpstr>
      <vt:lpstr>'406'!Print_Area</vt:lpstr>
      <vt:lpstr>'411'!Print_Area</vt:lpstr>
      <vt:lpstr>'412'!Print_Area</vt:lpstr>
      <vt:lpstr>'413'!Print_Area</vt:lpstr>
      <vt:lpstr>'414'!Print_Area</vt:lpstr>
      <vt:lpstr>'415'!Print_Area</vt:lpstr>
      <vt:lpstr>'418'!Print_Area</vt:lpstr>
      <vt:lpstr>'423'!Print_Area</vt:lpstr>
      <vt:lpstr>'424'!Print_Area</vt:lpstr>
      <vt:lpstr>'425'!Print_Area</vt:lpstr>
      <vt:lpstr>'430'!Print_Area</vt:lpstr>
      <vt:lpstr>'433'!Print_Area</vt:lpstr>
      <vt:lpstr>'435'!Print_Area</vt:lpstr>
      <vt:lpstr>'444'!Print_Area</vt:lpstr>
      <vt:lpstr>'450'!Print_Area</vt:lpstr>
      <vt:lpstr>'491'!Print_Area</vt:lpstr>
      <vt:lpstr>'492'!Print_Area</vt:lpstr>
      <vt:lpstr>'501'!Print_Area</vt:lpstr>
      <vt:lpstr>Dept!Print_Area</vt:lpstr>
      <vt:lpstr>'Div 1'!Print_Area</vt:lpstr>
      <vt:lpstr>'Div 2'!Print_Area</vt:lpstr>
      <vt:lpstr>'Div 3'!Print_Area</vt:lpstr>
      <vt:lpstr>'Div 4'!Print_Area</vt:lpstr>
      <vt:lpstr>'Div 5'!Print_Area</vt:lpstr>
      <vt:lpstr>'Div 6'!Print_Area</vt:lpstr>
      <vt:lpstr>'OSR_300 &amp; 317_1C00ID4'!Print_Area</vt:lpstr>
      <vt:lpstr>'OSR_300 (2)_...6aa5a22d_14M6XO4'!Print_Area</vt:lpstr>
      <vt:lpstr>'OSR_300 (2)_7...54cb56fc_UFX0O2'!Print_Area</vt:lpstr>
      <vt:lpstr>'OSR_300 (2)_e...5d0da5bf_6BPGAO'!Print_Area</vt:lpstr>
      <vt:lpstr>OSR_300_IYZXI6!Print_Area</vt:lpstr>
      <vt:lpstr>'OSR_308 (2)_...47685838_1YQW4QY'!Print_Area</vt:lpstr>
      <vt:lpstr>OSR_308_UAWDAG!Print_Area</vt:lpstr>
      <vt:lpstr>'OSR_310 &amp; 491_1NGRCS9'!Print_Area</vt:lpstr>
      <vt:lpstr>'OSR_310 (2)_...6e684f08_1FLCNJG'!Print_Area</vt:lpstr>
      <vt:lpstr>'OSR_310 (2)_...8cac1423_1JTU33X'!Print_Area</vt:lpstr>
      <vt:lpstr>'OSR_310 (2)_5...3d931dee_QNK8R2'!Print_Area</vt:lpstr>
      <vt:lpstr>OSR_310_1CMTOSB!Print_Area</vt:lpstr>
      <vt:lpstr>'OSR_330 (2)_...8a14c83e_1NSH7XI'!Print_Area</vt:lpstr>
      <vt:lpstr>'OSR_331 (2)_...7280af70_1P5SPLT'!Print_Area</vt:lpstr>
      <vt:lpstr>OSR_331_10VKQAJ!Print_Area</vt:lpstr>
      <vt:lpstr>OSR_332_6NDVBW!Print_Area</vt:lpstr>
      <vt:lpstr>OSR_333_69UF5U!Print_Area</vt:lpstr>
      <vt:lpstr>'OSR_491 (2)_...853a34aa_1UNC34K'!Print_Area</vt:lpstr>
      <vt:lpstr>OSR_491_9Z9JH5!Print_Area</vt:lpstr>
      <vt:lpstr>'OSR_492 (2)_...cd97c6a6_13HYXEV'!Print_Area</vt:lpstr>
      <vt:lpstr>OSR_492_943FP1!Print_Area</vt:lpstr>
      <vt:lpstr>'OSR_Current ...69b7dd8c_1IEQKFK'!Print_Area</vt:lpstr>
      <vt:lpstr>OSR_Dept_Y0WUKY!Print_Area</vt:lpstr>
      <vt:lpstr>'OSR_Div 1 (2)...789fe994_2NV3KA'!Print_Area</vt:lpstr>
      <vt:lpstr>'OSR_Div 1_7H47HR'!Print_Area</vt:lpstr>
      <vt:lpstr>'OSR_Div 2_1PQ800A'!Print_Area</vt:lpstr>
      <vt:lpstr>'OSR_Div 3 (2)...4cb81c06_PBSMLS'!Print_Area</vt:lpstr>
      <vt:lpstr>'OSR_Div 3_18723PH'!Print_Area</vt:lpstr>
      <vt:lpstr>'OSR_Div 4 (2)...1a9a4454_CQFRNE'!Print_Area</vt:lpstr>
      <vt:lpstr>'OSR_Div 4 (2...2533da42_174R6QX'!Print_Area</vt:lpstr>
      <vt:lpstr>'OSR_Div 4_1740TMT'!Print_Area</vt:lpstr>
      <vt:lpstr>'OSR_Div 5 (2)...32d16c57_IVJ1QO'!Print_Area</vt:lpstr>
      <vt:lpstr>'OSR_Div 5_16NAZO2'!Print_Area</vt:lpstr>
      <vt:lpstr>'OSR_Div 6_P37YY7'!Print_Area</vt:lpstr>
      <vt:lpstr>'OSR_Summary (...56e5d78f_5JEYZH'!Print_Area</vt:lpstr>
      <vt:lpstr>OSR_Summary_18VAVWG!Print_Area</vt:lpstr>
      <vt:lpstr>Summary!Print_Area</vt:lpstr>
      <vt:lpstr>'100'!Print_Titles</vt:lpstr>
      <vt:lpstr>'200'!Print_Titles</vt:lpstr>
      <vt:lpstr>'201'!Print_Titles</vt:lpstr>
      <vt:lpstr>'202'!Print_Titles</vt:lpstr>
      <vt:lpstr>'203'!Print_Titles</vt:lpstr>
      <vt:lpstr>'204'!Print_Titles</vt:lpstr>
      <vt:lpstr>'205'!Print_Titles</vt:lpstr>
      <vt:lpstr>'206'!Print_Titles</vt:lpstr>
      <vt:lpstr>'300'!Print_Titles</vt:lpstr>
      <vt:lpstr>'300 &amp; 317'!Print_Titles</vt:lpstr>
      <vt:lpstr>'301'!Print_Titles</vt:lpstr>
      <vt:lpstr>'307'!Print_Titles</vt:lpstr>
      <vt:lpstr>'308'!Print_Titles</vt:lpstr>
      <vt:lpstr>'309'!Print_Titles</vt:lpstr>
      <vt:lpstr>'310'!Print_Titles</vt:lpstr>
      <vt:lpstr>'310 &amp; 491'!Print_Titles</vt:lpstr>
      <vt:lpstr>'311'!Print_Titles</vt:lpstr>
      <vt:lpstr>'315'!Print_Titles</vt:lpstr>
      <vt:lpstr>'316'!Print_Titles</vt:lpstr>
      <vt:lpstr>'317'!Print_Titles</vt:lpstr>
      <vt:lpstr>'321'!Print_Titles</vt:lpstr>
      <vt:lpstr>'324'!Print_Titles</vt:lpstr>
      <vt:lpstr>'325'!Print_Titles</vt:lpstr>
      <vt:lpstr>'326'!Print_Titles</vt:lpstr>
      <vt:lpstr>'327'!Print_Titles</vt:lpstr>
      <vt:lpstr>'331'!Print_Titles</vt:lpstr>
      <vt:lpstr>'332'!Print_Titles</vt:lpstr>
      <vt:lpstr>'333'!Print_Titles</vt:lpstr>
      <vt:lpstr>'405'!Print_Titles</vt:lpstr>
      <vt:lpstr>'406'!Print_Titles</vt:lpstr>
      <vt:lpstr>'411'!Print_Titles</vt:lpstr>
      <vt:lpstr>'412'!Print_Titles</vt:lpstr>
      <vt:lpstr>'413'!Print_Titles</vt:lpstr>
      <vt:lpstr>'414'!Print_Titles</vt:lpstr>
      <vt:lpstr>'415'!Print_Titles</vt:lpstr>
      <vt:lpstr>'418'!Print_Titles</vt:lpstr>
      <vt:lpstr>'423'!Print_Titles</vt:lpstr>
      <vt:lpstr>'424'!Print_Titles</vt:lpstr>
      <vt:lpstr>'425'!Print_Titles</vt:lpstr>
      <vt:lpstr>'430'!Print_Titles</vt:lpstr>
      <vt:lpstr>'433'!Print_Titles</vt:lpstr>
      <vt:lpstr>'435'!Print_Titles</vt:lpstr>
      <vt:lpstr>'444'!Print_Titles</vt:lpstr>
      <vt:lpstr>'450'!Print_Titles</vt:lpstr>
      <vt:lpstr>'491'!Print_Titles</vt:lpstr>
      <vt:lpstr>'492'!Print_Titles</vt:lpstr>
      <vt:lpstr>'501'!Print_Titles</vt:lpstr>
      <vt:lpstr>Dept!Print_Titles</vt:lpstr>
      <vt:lpstr>'Div 1'!Print_Titles</vt:lpstr>
      <vt:lpstr>'Div 2'!Print_Titles</vt:lpstr>
      <vt:lpstr>'Div 3'!Print_Titles</vt:lpstr>
      <vt:lpstr>'Div 4'!Print_Titles</vt:lpstr>
      <vt:lpstr>'Div 5'!Print_Titles</vt:lpstr>
      <vt:lpstr>'Div 6'!Print_Titles</vt:lpstr>
      <vt:lpstr>'OSR_300 &amp; 317_1C00ID4'!Print_Titles</vt:lpstr>
      <vt:lpstr>'OSR_300 (2)_...6aa5a22d_14M6XO4'!Print_Titles</vt:lpstr>
      <vt:lpstr>'OSR_300 (2)_7...54cb56fc_UFX0O2'!Print_Titles</vt:lpstr>
      <vt:lpstr>'OSR_300 (2)_e...5d0da5bf_6BPGAO'!Print_Titles</vt:lpstr>
      <vt:lpstr>OSR_300_IYZXI6!Print_Titles</vt:lpstr>
      <vt:lpstr>'OSR_308 (2)_...47685838_1YQW4QY'!Print_Titles</vt:lpstr>
      <vt:lpstr>OSR_308_UAWDAG!Print_Titles</vt:lpstr>
      <vt:lpstr>'OSR_310 &amp; 491_1NGRCS9'!Print_Titles</vt:lpstr>
      <vt:lpstr>'OSR_310 (2)_...6e684f08_1FLCNJG'!Print_Titles</vt:lpstr>
      <vt:lpstr>'OSR_310 (2)_...8cac1423_1JTU33X'!Print_Titles</vt:lpstr>
      <vt:lpstr>'OSR_310 (2)_5...3d931dee_QNK8R2'!Print_Titles</vt:lpstr>
      <vt:lpstr>OSR_310_1CMTOSB!Print_Titles</vt:lpstr>
      <vt:lpstr>'OSR_330 (2)_...8a14c83e_1NSH7XI'!Print_Titles</vt:lpstr>
      <vt:lpstr>'OSR_331 (2)_...7280af70_1P5SPLT'!Print_Titles</vt:lpstr>
      <vt:lpstr>OSR_331_10VKQAJ!Print_Titles</vt:lpstr>
      <vt:lpstr>OSR_332_6NDVBW!Print_Titles</vt:lpstr>
      <vt:lpstr>OSR_333_69UF5U!Print_Titles</vt:lpstr>
      <vt:lpstr>'OSR_491 (2)_...853a34aa_1UNC34K'!Print_Titles</vt:lpstr>
      <vt:lpstr>OSR_491_9Z9JH5!Print_Titles</vt:lpstr>
      <vt:lpstr>'OSR_492 (2)_...cd97c6a6_13HYXEV'!Print_Titles</vt:lpstr>
      <vt:lpstr>OSR_492_943FP1!Print_Titles</vt:lpstr>
      <vt:lpstr>'OSR_Current ...69b7dd8c_1IEQKFK'!Print_Titles</vt:lpstr>
      <vt:lpstr>OSR_Dept_Y0WUKY!Print_Titles</vt:lpstr>
      <vt:lpstr>'OSR_Div 1 (2)...789fe994_2NV3KA'!Print_Titles</vt:lpstr>
      <vt:lpstr>'OSR_Div 1_7H47HR'!Print_Titles</vt:lpstr>
      <vt:lpstr>'OSR_Div 2_1PQ800A'!Print_Titles</vt:lpstr>
      <vt:lpstr>'OSR_Div 3 (2)...4cb81c06_PBSMLS'!Print_Titles</vt:lpstr>
      <vt:lpstr>'OSR_Div 3_18723PH'!Print_Titles</vt:lpstr>
      <vt:lpstr>'OSR_Div 4 (2)...1a9a4454_CQFRNE'!Print_Titles</vt:lpstr>
      <vt:lpstr>'OSR_Div 4 (2...2533da42_174R6QX'!Print_Titles</vt:lpstr>
      <vt:lpstr>'OSR_Div 4_1740TMT'!Print_Titles</vt:lpstr>
      <vt:lpstr>'OSR_Div 5 (2)...32d16c57_IVJ1QO'!Print_Titles</vt:lpstr>
      <vt:lpstr>'OSR_Div 5_16NAZO2'!Print_Titles</vt:lpstr>
      <vt:lpstr>'OSR_Div 6_P37YY7'!Print_Titles</vt:lpstr>
      <vt:lpstr>'OSR_Summary (...56e5d78f_5JEYZH'!Print_Titles</vt:lpstr>
      <vt:lpstr>OSR_Summary_18VAVWG!Print_Titles</vt:lpstr>
      <vt:lpstr>Summary!Print_Titles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Tess Monzon</dc:creator>
  <cp:lastModifiedBy>Tess Monzon</cp:lastModifiedBy>
  <dcterms:created xsi:type="dcterms:W3CDTF">2022-04-12T01:10:12Z</dcterms:created>
  <dcterms:modified xsi:type="dcterms:W3CDTF">2022-04-12T01:13:56Z</dcterms:modified>
</cp:coreProperties>
</file>